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2.xml" ContentType="application/vnd.openxmlformats-officedocument.drawing+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ables/table5.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tables/table4.xml" ContentType="application/vnd.openxmlformats-officedocument.spreadsheetml.table+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codeName="ThisWorkbook"/>
  <mc:AlternateContent xmlns:mc="http://schemas.openxmlformats.org/markup-compatibility/2006">
    <mc:Choice Requires="x15">
      <x15ac:absPath xmlns:x15ac="http://schemas.microsoft.com/office/spreadsheetml/2010/11/ac" url="D:\delta\03.其他配合專案\11.IT開發\DSPBD\提供給DSPBD\POC 8個點位\"/>
    </mc:Choice>
  </mc:AlternateContent>
  <xr:revisionPtr revIDLastSave="0" documentId="13_ncr:1_{872F3741-4245-4EEB-B4C2-920FCFC1B143}" xr6:coauthVersionLast="36" xr6:coauthVersionMax="36" xr10:uidLastSave="{00000000-0000-0000-0000-000000000000}"/>
  <bookViews>
    <workbookView xWindow="0" yWindow="0" windowWidth="19200" windowHeight="6880" tabRatio="800" xr2:uid="{00000000-000D-0000-FFFF-FFFF00000000}"/>
  </bookViews>
  <sheets>
    <sheet name="1.GHG Inventory Form" sheetId="50" r:id="rId1"/>
    <sheet name="2.Emission Inventory Results" sheetId="21" r:id="rId2"/>
    <sheet name="3.Summary" sheetId="62" r:id="rId3"/>
    <sheet name="4.Default Emission Factor" sheetId="52" r:id="rId4"/>
    <sheet name="5.Electricity factor" sheetId="53" r:id="rId5"/>
    <sheet name="6.GWP" sheetId="54" r:id="rId6"/>
    <sheet name="7.Simapro9.4.0.2" sheetId="74" r:id="rId7"/>
    <sheet name="Other Emission Factor" sheetId="58" r:id="rId8"/>
  </sheets>
  <definedNames>
    <definedName name="Africa" localSheetId="2">表格8[[#All],[Africa]]</definedName>
    <definedName name="Africa">表格8[[#All],[Africa]]</definedName>
    <definedName name="America">#REF!</definedName>
    <definedName name="Americas" localSheetId="2">表格5[[#All],[Americas]]</definedName>
    <definedName name="Americas">表格5[[#All],[Americas]]</definedName>
    <definedName name="Asia" localSheetId="2">表格1[[#All],[Asia]]</definedName>
    <definedName name="Asia">表格1[[#All],[Asia]]</definedName>
    <definedName name="CHINA">#REF!</definedName>
    <definedName name="CO2係數" localSheetId="2">表格2[[#Headers],[CO2係數]]</definedName>
    <definedName name="CO2係數">表格2[[#Headers],[CO2係數]]</definedName>
    <definedName name="EMEA">#REF!</definedName>
    <definedName name="Europe" localSheetId="2">表格9[[#All],[Europe]]</definedName>
    <definedName name="Europe">表格9[[#All],[Europe]]</definedName>
    <definedName name="India">#REF!</definedName>
    <definedName name="NEA">#REF!</definedName>
    <definedName name="Oceania" localSheetId="2">表格10[[#All],[Oceania]]</definedName>
    <definedName name="Oceania">表格10[[#All],[Oceania]]</definedName>
    <definedName name="region">'Other Emission Factor'!$M$3:$Q$3</definedName>
    <definedName name="SEA">#REF!</definedName>
    <definedName name="TAIWAN">#REF!</definedName>
    <definedName name="title">'Other Emission Factor'!$B$4:$C$4</definedName>
    <definedName name="title2">'Other Emission Factor'!$B$10:$C$10</definedName>
    <definedName name="Z_8E1E2E74_3766_4E93_8B04_737153DFD9D2_.wvu.PrintTitles" localSheetId="1" hidden="1">'2.Emission Inventory Results'!#REF!</definedName>
    <definedName name="國家" localSheetId="2">表格13[[#All],[國家/市場]]</definedName>
    <definedName name="國家">表格13[[#All],[國家/市場]]</definedName>
    <definedName name="國家電網" localSheetId="2">表格13[[#All],[國家&amp;電網]]</definedName>
    <definedName name="國家電網">表格13[[#All],[國家&amp;電網]]</definedName>
    <definedName name="溫室氣體種類" localSheetId="2">'6.GWP'!$B$1:$B$173</definedName>
    <definedName name="溫室氣體種類">'6.GWP'!$B$1:$B$173</definedName>
    <definedName name="電力係數" localSheetId="2">表格13[[#All],[電力係數]]</definedName>
    <definedName name="電力係數">表格13[[#All],[電力係數]]</definedName>
    <definedName name="電力係數年度" localSheetId="2">表格13[[#All],[電力係數年度]]</definedName>
    <definedName name="電力係數年度">表格13[[#All],[電力係數年度]]</definedName>
    <definedName name="電力係數來源" localSheetId="2">表格13[[#All],[電力係數來源]]</definedName>
    <definedName name="電力係數來源">表格13[[#All],[電力係數來源]]</definedName>
    <definedName name="電網" localSheetId="2">表格13[[#All],[電網]]</definedName>
    <definedName name="電網">表格13[[#All],[電網]]</definedName>
    <definedName name="預設值Default">'4.Default Emission Factor'!$D:$D</definedName>
    <definedName name="預設逸散率" localSheetId="2">表格12[[#All],[冷媒設備Factor in Equation]]</definedName>
    <definedName name="預設逸散率Default">表格12[[#All],[冷媒設備Factor in Equation]]</definedName>
  </definedNames>
  <calcPr calcId="191029"/>
  <extLst>
    <ext xmlns:x14="http://schemas.microsoft.com/office/spreadsheetml/2009/9/main" uri="{79F54976-1DA5-4618-B147-4CDE4B953A38}">
      <x14:workbookPr defaultImageDpi="330"/>
    </ext>
  </extLst>
</workbook>
</file>

<file path=xl/calcChain.xml><?xml version="1.0" encoding="utf-8"?>
<calcChain xmlns="http://schemas.openxmlformats.org/spreadsheetml/2006/main">
  <c r="L125" i="50" l="1"/>
  <c r="P59" i="50"/>
  <c r="P60" i="50"/>
  <c r="P61" i="50"/>
  <c r="P62" i="50"/>
  <c r="P63" i="50"/>
  <c r="M49" i="50" l="1"/>
  <c r="AF49" i="50"/>
  <c r="AG49" i="50"/>
  <c r="Z49" i="50" s="1"/>
  <c r="AO49" i="50" s="1"/>
  <c r="AV49" i="50" s="1"/>
  <c r="AH49" i="50"/>
  <c r="AA49" i="50" s="1"/>
  <c r="AP49" i="50" s="1"/>
  <c r="AI49" i="50"/>
  <c r="AJ49" i="50"/>
  <c r="AC49" i="50" s="1"/>
  <c r="AR49" i="50" s="1"/>
  <c r="AK49" i="50"/>
  <c r="AD49" i="50" s="1"/>
  <c r="AS49" i="50" s="1"/>
  <c r="AZ49" i="50" s="1"/>
  <c r="AL49" i="50"/>
  <c r="AM49" i="50"/>
  <c r="BI49" i="50"/>
  <c r="G11" i="21" s="1"/>
  <c r="BJ49" i="50"/>
  <c r="BK49" i="50"/>
  <c r="AU57" i="50"/>
  <c r="AV57" i="50"/>
  <c r="AW57" i="50"/>
  <c r="AX57" i="50"/>
  <c r="AY57" i="50"/>
  <c r="AZ57" i="50"/>
  <c r="BA57" i="50"/>
  <c r="BK57" i="50"/>
  <c r="AU58" i="50"/>
  <c r="AV58" i="50"/>
  <c r="AW58" i="50"/>
  <c r="AX58" i="50"/>
  <c r="AY58" i="50"/>
  <c r="AZ58" i="50"/>
  <c r="BA58" i="50"/>
  <c r="BK58" i="50"/>
  <c r="Y59" i="50"/>
  <c r="Z59" i="50"/>
  <c r="AO59" i="50" s="1"/>
  <c r="AA59" i="50"/>
  <c r="AP59" i="50" s="1"/>
  <c r="AC59" i="50"/>
  <c r="AD59" i="50"/>
  <c r="AE59" i="50"/>
  <c r="AN59" i="50"/>
  <c r="AR59" i="50"/>
  <c r="BJ59" i="50"/>
  <c r="Y60" i="50"/>
  <c r="Z60" i="50"/>
  <c r="AA60" i="50"/>
  <c r="AP60" i="50" s="1"/>
  <c r="AC60" i="50"/>
  <c r="AD60" i="50"/>
  <c r="AS60" i="50" s="1"/>
  <c r="AE60" i="50"/>
  <c r="AN60" i="50"/>
  <c r="AO60" i="50"/>
  <c r="AR60" i="50"/>
  <c r="AT60" i="50"/>
  <c r="BJ60" i="50"/>
  <c r="Y61" i="50"/>
  <c r="AN61" i="50" s="1"/>
  <c r="Z61" i="50"/>
  <c r="AA61" i="50"/>
  <c r="AP61" i="50" s="1"/>
  <c r="AC61" i="50"/>
  <c r="AR61" i="50" s="1"/>
  <c r="AD61" i="50"/>
  <c r="AS61" i="50" s="1"/>
  <c r="AE61" i="50"/>
  <c r="AO61" i="50"/>
  <c r="AT61" i="50"/>
  <c r="BJ61" i="50"/>
  <c r="Y62" i="50"/>
  <c r="Z62" i="50"/>
  <c r="AO62" i="50" s="1"/>
  <c r="AA62" i="50"/>
  <c r="AC62" i="50"/>
  <c r="AR62" i="50" s="1"/>
  <c r="AD62" i="50"/>
  <c r="AS62" i="50" s="1"/>
  <c r="AE62" i="50"/>
  <c r="AN62" i="50"/>
  <c r="AP62" i="50"/>
  <c r="AT62" i="50"/>
  <c r="BJ62" i="50"/>
  <c r="Y63" i="50"/>
  <c r="AN63" i="50" s="1"/>
  <c r="Z63" i="50"/>
  <c r="AO63" i="50" s="1"/>
  <c r="AA63" i="50"/>
  <c r="AC63" i="50"/>
  <c r="AR63" i="50" s="1"/>
  <c r="AD63" i="50"/>
  <c r="AS63" i="50" s="1"/>
  <c r="AE63" i="50"/>
  <c r="AP63" i="50"/>
  <c r="AT63" i="50"/>
  <c r="BJ63" i="50"/>
  <c r="Y64" i="50"/>
  <c r="AN64" i="50" s="1"/>
  <c r="Z64" i="50"/>
  <c r="AO64" i="50" s="1"/>
  <c r="AA64" i="50"/>
  <c r="AC64" i="50"/>
  <c r="AR64" i="50" s="1"/>
  <c r="AD64" i="50"/>
  <c r="AS64" i="50" s="1"/>
  <c r="AE64" i="50"/>
  <c r="AP64" i="50"/>
  <c r="AT64" i="50"/>
  <c r="BJ64" i="50"/>
  <c r="Y65" i="50"/>
  <c r="AN65" i="50" s="1"/>
  <c r="Z65" i="50"/>
  <c r="AO65" i="50" s="1"/>
  <c r="AA65" i="50"/>
  <c r="AP65" i="50" s="1"/>
  <c r="AC65" i="50"/>
  <c r="AR65" i="50" s="1"/>
  <c r="AD65" i="50"/>
  <c r="AS65" i="50" s="1"/>
  <c r="AE65" i="50"/>
  <c r="AT65" i="50"/>
  <c r="BJ65" i="50"/>
  <c r="Y66" i="50"/>
  <c r="AN66" i="50" s="1"/>
  <c r="Z66" i="50"/>
  <c r="AO66" i="50" s="1"/>
  <c r="AA66" i="50"/>
  <c r="AP66" i="50" s="1"/>
  <c r="AC66" i="50"/>
  <c r="AR66" i="50" s="1"/>
  <c r="AD66" i="50"/>
  <c r="AE66" i="50"/>
  <c r="AS66" i="50"/>
  <c r="AT66" i="50"/>
  <c r="BJ66" i="50"/>
  <c r="Y67" i="50"/>
  <c r="AN67" i="50" s="1"/>
  <c r="Z67" i="50"/>
  <c r="AA67" i="50"/>
  <c r="AC67" i="50"/>
  <c r="AR67" i="50" s="1"/>
  <c r="AD67" i="50"/>
  <c r="AS67" i="50" s="1"/>
  <c r="AE67" i="50"/>
  <c r="AO67" i="50"/>
  <c r="AP67" i="50"/>
  <c r="AT67" i="50"/>
  <c r="BJ67" i="50"/>
  <c r="Y68" i="50"/>
  <c r="AN68" i="50" s="1"/>
  <c r="Z68" i="50"/>
  <c r="AO68" i="50" s="1"/>
  <c r="AA68" i="50"/>
  <c r="AP68" i="50" s="1"/>
  <c r="AC68" i="50"/>
  <c r="AR68" i="50" s="1"/>
  <c r="AD68" i="50"/>
  <c r="AE68" i="50"/>
  <c r="AS68" i="50"/>
  <c r="AT68" i="50"/>
  <c r="BJ68" i="50"/>
  <c r="Y69" i="50"/>
  <c r="AN69" i="50" s="1"/>
  <c r="Z69" i="50"/>
  <c r="AO69" i="50" s="1"/>
  <c r="AA69" i="50"/>
  <c r="AC69" i="50"/>
  <c r="AR69" i="50" s="1"/>
  <c r="AD69" i="50"/>
  <c r="AS69" i="50" s="1"/>
  <c r="AE69" i="50"/>
  <c r="AP69" i="50"/>
  <c r="AT69" i="50"/>
  <c r="BJ69" i="50"/>
  <c r="Y70" i="50"/>
  <c r="Z70" i="50"/>
  <c r="AA70" i="50"/>
  <c r="AP70" i="50" s="1"/>
  <c r="AC70" i="50"/>
  <c r="AR70" i="50" s="1"/>
  <c r="AD70" i="50"/>
  <c r="AE70" i="50"/>
  <c r="AN70" i="50"/>
  <c r="AO70" i="50"/>
  <c r="AS70" i="50"/>
  <c r="AT70" i="50"/>
  <c r="BJ70" i="50"/>
  <c r="Y71" i="50"/>
  <c r="Z71" i="50"/>
  <c r="AO71" i="50" s="1"/>
  <c r="AA71" i="50"/>
  <c r="AC71" i="50"/>
  <c r="AR71" i="50" s="1"/>
  <c r="AD71" i="50"/>
  <c r="AS71" i="50" s="1"/>
  <c r="AE71" i="50"/>
  <c r="AN71" i="50"/>
  <c r="AP71" i="50"/>
  <c r="AT71" i="50"/>
  <c r="BJ71" i="50"/>
  <c r="Y72" i="50"/>
  <c r="AN72" i="50" s="1"/>
  <c r="Z72" i="50"/>
  <c r="AA72" i="50"/>
  <c r="AC72" i="50"/>
  <c r="AR72" i="50" s="1"/>
  <c r="AD72" i="50"/>
  <c r="AS72" i="50" s="1"/>
  <c r="AE72" i="50"/>
  <c r="AO72" i="50"/>
  <c r="AP72" i="50"/>
  <c r="AT72" i="50"/>
  <c r="BJ72" i="50"/>
  <c r="Y73" i="50"/>
  <c r="AN73" i="50" s="1"/>
  <c r="Z73" i="50"/>
  <c r="AA73" i="50"/>
  <c r="AC73" i="50"/>
  <c r="AR73" i="50" s="1"/>
  <c r="AD73" i="50"/>
  <c r="AS73" i="50" s="1"/>
  <c r="AE73" i="50"/>
  <c r="AO73" i="50"/>
  <c r="AP73" i="50"/>
  <c r="AT73" i="50"/>
  <c r="BJ73" i="50"/>
  <c r="Y74" i="50"/>
  <c r="AN74" i="50" s="1"/>
  <c r="Z74" i="50"/>
  <c r="AA74" i="50"/>
  <c r="AP74" i="50" s="1"/>
  <c r="AC74" i="50"/>
  <c r="AD74" i="50"/>
  <c r="AS74" i="50" s="1"/>
  <c r="AE74" i="50"/>
  <c r="AO74" i="50"/>
  <c r="AR74" i="50"/>
  <c r="AT74" i="50"/>
  <c r="BJ74" i="50"/>
  <c r="Y75" i="50"/>
  <c r="Z75" i="50"/>
  <c r="AO75" i="50" s="1"/>
  <c r="AA75" i="50"/>
  <c r="AC75" i="50"/>
  <c r="AR75" i="50" s="1"/>
  <c r="AD75" i="50"/>
  <c r="AS75" i="50" s="1"/>
  <c r="AE75" i="50"/>
  <c r="AN75" i="50"/>
  <c r="AP75" i="50"/>
  <c r="AT75" i="50"/>
  <c r="BJ75" i="50"/>
  <c r="Y76" i="50"/>
  <c r="AN76" i="50" s="1"/>
  <c r="Z76" i="50"/>
  <c r="AO76" i="50" s="1"/>
  <c r="AA76" i="50"/>
  <c r="AP76" i="50" s="1"/>
  <c r="AC76" i="50"/>
  <c r="AR76" i="50" s="1"/>
  <c r="AD76" i="50"/>
  <c r="AS76" i="50" s="1"/>
  <c r="AE76" i="50"/>
  <c r="AT76" i="50"/>
  <c r="BJ76" i="50"/>
  <c r="Y77" i="50"/>
  <c r="AN77" i="50" s="1"/>
  <c r="Z77" i="50"/>
  <c r="AA77" i="50"/>
  <c r="AP77" i="50" s="1"/>
  <c r="AC77" i="50"/>
  <c r="AR77" i="50" s="1"/>
  <c r="AD77" i="50"/>
  <c r="AS77" i="50" s="1"/>
  <c r="AE77" i="50"/>
  <c r="AO77" i="50"/>
  <c r="AT77" i="50"/>
  <c r="BJ77" i="50"/>
  <c r="Y78" i="50"/>
  <c r="AN78" i="50" s="1"/>
  <c r="Z78" i="50"/>
  <c r="AA78" i="50"/>
  <c r="AP78" i="50" s="1"/>
  <c r="AC78" i="50"/>
  <c r="AR78" i="50" s="1"/>
  <c r="AD78" i="50"/>
  <c r="AE78" i="50"/>
  <c r="AO78" i="50"/>
  <c r="AS78" i="50"/>
  <c r="AT78" i="50"/>
  <c r="BJ78" i="50"/>
  <c r="Y79" i="50"/>
  <c r="AN79" i="50" s="1"/>
  <c r="Z79" i="50"/>
  <c r="AO79" i="50" s="1"/>
  <c r="AA79" i="50"/>
  <c r="AP79" i="50" s="1"/>
  <c r="AC79" i="50"/>
  <c r="AR79" i="50" s="1"/>
  <c r="AD79" i="50"/>
  <c r="AS79" i="50" s="1"/>
  <c r="AE79" i="50"/>
  <c r="AT79" i="50"/>
  <c r="BJ79" i="50"/>
  <c r="Y80" i="50"/>
  <c r="Z80" i="50"/>
  <c r="AA80" i="50"/>
  <c r="AP80" i="50" s="1"/>
  <c r="AC80" i="50"/>
  <c r="AR80" i="50" s="1"/>
  <c r="AD80" i="50"/>
  <c r="AE80" i="50"/>
  <c r="AN80" i="50"/>
  <c r="AO80" i="50"/>
  <c r="AS80" i="50"/>
  <c r="AT80" i="50"/>
  <c r="BJ80" i="50"/>
  <c r="Y81" i="50"/>
  <c r="AN81" i="50" s="1"/>
  <c r="Z81" i="50"/>
  <c r="AO81" i="50" s="1"/>
  <c r="AA81" i="50"/>
  <c r="AP81" i="50" s="1"/>
  <c r="AC81" i="50"/>
  <c r="AR81" i="50" s="1"/>
  <c r="AD81" i="50"/>
  <c r="AS81" i="50" s="1"/>
  <c r="AE81" i="50"/>
  <c r="AT81" i="50"/>
  <c r="BJ81" i="50"/>
  <c r="Y82" i="50"/>
  <c r="AN82" i="50" s="1"/>
  <c r="Z82" i="50"/>
  <c r="AA82" i="50"/>
  <c r="AP82" i="50" s="1"/>
  <c r="AC82" i="50"/>
  <c r="AD82" i="50"/>
  <c r="AS82" i="50" s="1"/>
  <c r="AE82" i="50"/>
  <c r="AO82" i="50"/>
  <c r="AR82" i="50"/>
  <c r="AT82" i="50"/>
  <c r="BJ82" i="50"/>
  <c r="Y83" i="50"/>
  <c r="AN83" i="50" s="1"/>
  <c r="Z83" i="50"/>
  <c r="AA83" i="50"/>
  <c r="AP83" i="50" s="1"/>
  <c r="AC83" i="50"/>
  <c r="AR83" i="50" s="1"/>
  <c r="AD83" i="50"/>
  <c r="AS83" i="50" s="1"/>
  <c r="AE83" i="50"/>
  <c r="AO83" i="50"/>
  <c r="AT83" i="50"/>
  <c r="BJ83" i="50"/>
  <c r="Y84" i="50"/>
  <c r="Z84" i="50"/>
  <c r="AA84" i="50"/>
  <c r="AP84" i="50" s="1"/>
  <c r="AC84" i="50"/>
  <c r="AR84" i="50" s="1"/>
  <c r="AD84" i="50"/>
  <c r="AE84" i="50"/>
  <c r="AN84" i="50"/>
  <c r="AO84" i="50"/>
  <c r="AS84" i="50"/>
  <c r="AT84" i="50"/>
  <c r="BJ84" i="50"/>
  <c r="Y85" i="50"/>
  <c r="Z85" i="50"/>
  <c r="AO85" i="50" s="1"/>
  <c r="AA85" i="50"/>
  <c r="AP85" i="50" s="1"/>
  <c r="AC85" i="50"/>
  <c r="AR85" i="50" s="1"/>
  <c r="AD85" i="50"/>
  <c r="AE85" i="50"/>
  <c r="AN85" i="50"/>
  <c r="AS85" i="50"/>
  <c r="AT85" i="50"/>
  <c r="BJ85" i="50"/>
  <c r="Y86" i="50"/>
  <c r="AN86" i="50" s="1"/>
  <c r="Z86" i="50"/>
  <c r="AA86" i="50"/>
  <c r="AC86" i="50"/>
  <c r="AR86" i="50" s="1"/>
  <c r="AD86" i="50"/>
  <c r="AS86" i="50" s="1"/>
  <c r="AE86" i="50"/>
  <c r="AO86" i="50"/>
  <c r="AP86" i="50"/>
  <c r="AT86" i="50"/>
  <c r="BJ86" i="50"/>
  <c r="Y87" i="50"/>
  <c r="AN87" i="50" s="1"/>
  <c r="Z87" i="50"/>
  <c r="AA87" i="50"/>
  <c r="AP87" i="50" s="1"/>
  <c r="AC87" i="50"/>
  <c r="AR87" i="50" s="1"/>
  <c r="AD87" i="50"/>
  <c r="AS87" i="50" s="1"/>
  <c r="AE87" i="50"/>
  <c r="AO87" i="50"/>
  <c r="AT87" i="50"/>
  <c r="BJ87" i="50"/>
  <c r="Z90" i="50"/>
  <c r="AO90" i="50" s="1"/>
  <c r="AA90" i="50"/>
  <c r="AB90" i="50"/>
  <c r="AC90" i="50"/>
  <c r="AD90" i="50"/>
  <c r="AE90" i="50"/>
  <c r="AP90" i="50"/>
  <c r="AS90" i="50"/>
  <c r="AT90" i="50"/>
  <c r="BI90" i="50"/>
  <c r="BJ90" i="50"/>
  <c r="Z91" i="50"/>
  <c r="AO91" i="50" s="1"/>
  <c r="AA91" i="50"/>
  <c r="AS91" i="50" s="1"/>
  <c r="AB91" i="50"/>
  <c r="AC91" i="50"/>
  <c r="AD91" i="50"/>
  <c r="AE91" i="50"/>
  <c r="Z92" i="50"/>
  <c r="AA92" i="50"/>
  <c r="AB92" i="50"/>
  <c r="AC92" i="50"/>
  <c r="AD92" i="50"/>
  <c r="AE92" i="50"/>
  <c r="AO92" i="50"/>
  <c r="Z93" i="50"/>
  <c r="AO93" i="50" s="1"/>
  <c r="AA93" i="50"/>
  <c r="AP93" i="50" s="1"/>
  <c r="AB93" i="50"/>
  <c r="AC93" i="50"/>
  <c r="AD93" i="50"/>
  <c r="AE93" i="50"/>
  <c r="Z94" i="50"/>
  <c r="AA94" i="50"/>
  <c r="AS94" i="50" s="1"/>
  <c r="AB94" i="50"/>
  <c r="AC94" i="50"/>
  <c r="AD94" i="50"/>
  <c r="AE94" i="50"/>
  <c r="AO94" i="50"/>
  <c r="AP94" i="50"/>
  <c r="AT94" i="50"/>
  <c r="Z95" i="50"/>
  <c r="AO95" i="50" s="1"/>
  <c r="AA95" i="50"/>
  <c r="AB95" i="50"/>
  <c r="AC95" i="50"/>
  <c r="AD95" i="50"/>
  <c r="AE95" i="50"/>
  <c r="Z96" i="50"/>
  <c r="AO96" i="50" s="1"/>
  <c r="AA96" i="50"/>
  <c r="AS96" i="50" s="1"/>
  <c r="AB96" i="50"/>
  <c r="AC96" i="50"/>
  <c r="AD96" i="50"/>
  <c r="AE96" i="50"/>
  <c r="BJ96" i="50"/>
  <c r="BK96" i="50"/>
  <c r="AM97" i="50"/>
  <c r="AN97" i="50"/>
  <c r="AO97" i="50"/>
  <c r="AV97" i="50" s="1"/>
  <c r="AP97" i="50"/>
  <c r="AW97" i="50" s="1"/>
  <c r="AS97" i="50"/>
  <c r="AZ97" i="50" s="1"/>
  <c r="AT97" i="50"/>
  <c r="BA97" i="50" s="1"/>
  <c r="AX97" i="50"/>
  <c r="AY97" i="50"/>
  <c r="BK97" i="50"/>
  <c r="AM98" i="50"/>
  <c r="AN98" i="50"/>
  <c r="AO98" i="50"/>
  <c r="AV98" i="50" s="1"/>
  <c r="AP98" i="50"/>
  <c r="AW98" i="50" s="1"/>
  <c r="AS98" i="50"/>
  <c r="AT98" i="50"/>
  <c r="BA98" i="50" s="1"/>
  <c r="AX98" i="50"/>
  <c r="AY98" i="50"/>
  <c r="AZ98" i="50"/>
  <c r="BK98" i="50"/>
  <c r="Y99" i="50"/>
  <c r="AN99" i="50" s="1"/>
  <c r="AE99" i="50"/>
  <c r="AG99" i="50"/>
  <c r="Z99" i="50" s="1"/>
  <c r="AO99" i="50" s="1"/>
  <c r="AH99" i="50"/>
  <c r="AA99" i="50" s="1"/>
  <c r="AP99" i="50" s="1"/>
  <c r="AI99" i="50"/>
  <c r="AB99" i="50" s="1"/>
  <c r="AJ99" i="50"/>
  <c r="AC99" i="50" s="1"/>
  <c r="AK99" i="50"/>
  <c r="AD99" i="50" s="1"/>
  <c r="AS99" i="50" s="1"/>
  <c r="AL99" i="50"/>
  <c r="AT99" i="50"/>
  <c r="BJ100" i="50"/>
  <c r="Z102" i="50"/>
  <c r="AO102" i="50" s="1"/>
  <c r="AF102" i="50"/>
  <c r="AG102" i="50"/>
  <c r="AH102" i="50"/>
  <c r="AA102" i="50" s="1"/>
  <c r="AP102" i="50" s="1"/>
  <c r="AI102" i="50"/>
  <c r="AJ102" i="50"/>
  <c r="AC102" i="50" s="1"/>
  <c r="AK102" i="50"/>
  <c r="AD102" i="50" s="1"/>
  <c r="AS102" i="50" s="1"/>
  <c r="AL102" i="50"/>
  <c r="AE102" i="50" s="1"/>
  <c r="AT102" i="50" s="1"/>
  <c r="AM102" i="50"/>
  <c r="AR102" i="50"/>
  <c r="AV102" i="50"/>
  <c r="BA102" i="50"/>
  <c r="BI102" i="50"/>
  <c r="BJ102" i="50"/>
  <c r="BK102" i="50"/>
  <c r="AF103" i="50"/>
  <c r="AG103" i="50"/>
  <c r="AH103" i="50"/>
  <c r="AA103" i="50" s="1"/>
  <c r="AI103" i="50"/>
  <c r="AB103" i="50" s="1"/>
  <c r="AQ103" i="50" s="1"/>
  <c r="AJ103" i="50"/>
  <c r="AC103" i="50" s="1"/>
  <c r="AR103" i="50" s="1"/>
  <c r="AY103" i="50" s="1"/>
  <c r="AK103" i="50"/>
  <c r="AD103" i="50" s="1"/>
  <c r="AS103" i="50" s="1"/>
  <c r="AL103" i="50"/>
  <c r="AE103" i="50" s="1"/>
  <c r="AM103" i="50"/>
  <c r="AP103" i="50"/>
  <c r="AW103" i="50" s="1"/>
  <c r="AT103" i="50"/>
  <c r="BI103" i="50"/>
  <c r="G15" i="21" s="1"/>
  <c r="BJ103" i="50"/>
  <c r="BK103" i="50"/>
  <c r="Y104" i="50"/>
  <c r="AN104" i="50" s="1"/>
  <c r="AU104" i="50" s="1"/>
  <c r="AD104" i="50"/>
  <c r="AS104" i="50" s="1"/>
  <c r="AZ104" i="50" s="1"/>
  <c r="AF104" i="50"/>
  <c r="AG104" i="50"/>
  <c r="AH104" i="50"/>
  <c r="AI104" i="50"/>
  <c r="AB104" i="50" s="1"/>
  <c r="AQ104" i="50" s="1"/>
  <c r="AJ104" i="50"/>
  <c r="AC104" i="50" s="1"/>
  <c r="AK104" i="50"/>
  <c r="AL104" i="50"/>
  <c r="AM104" i="50"/>
  <c r="AR104" i="50"/>
  <c r="AY104" i="50"/>
  <c r="BI104" i="50"/>
  <c r="BJ104" i="50"/>
  <c r="BK104" i="50"/>
  <c r="Z105" i="50"/>
  <c r="AO105" i="50" s="1"/>
  <c r="AB105" i="50"/>
  <c r="AQ105" i="50" s="1"/>
  <c r="AX105" i="50" s="1"/>
  <c r="AE105" i="50"/>
  <c r="AT105" i="50" s="1"/>
  <c r="AF105" i="50"/>
  <c r="Y105" i="50" s="1"/>
  <c r="AG105" i="50"/>
  <c r="AH105" i="50"/>
  <c r="AI105" i="50"/>
  <c r="AJ105" i="50"/>
  <c r="AK105" i="50"/>
  <c r="AD105" i="50" s="1"/>
  <c r="AS105" i="50" s="1"/>
  <c r="AZ105" i="50" s="1"/>
  <c r="AL105" i="50"/>
  <c r="AM105" i="50"/>
  <c r="AN105" i="50"/>
  <c r="BA105" i="50"/>
  <c r="BI105" i="50"/>
  <c r="BJ105" i="50"/>
  <c r="BK105" i="50"/>
  <c r="AE106" i="50"/>
  <c r="AF106" i="50"/>
  <c r="AG106" i="50"/>
  <c r="Z106" i="50" s="1"/>
  <c r="AO106" i="50" s="1"/>
  <c r="AV106" i="50" s="1"/>
  <c r="AH106" i="50"/>
  <c r="AI106" i="50"/>
  <c r="AB106" i="50" s="1"/>
  <c r="AQ106" i="50" s="1"/>
  <c r="AJ106" i="50"/>
  <c r="AK106" i="50"/>
  <c r="AD106" i="50" s="1"/>
  <c r="AS106" i="50" s="1"/>
  <c r="AL106" i="50"/>
  <c r="AM106" i="50"/>
  <c r="AT106" i="50"/>
  <c r="BA106" i="50"/>
  <c r="BI106" i="50"/>
  <c r="BJ106" i="50"/>
  <c r="I16" i="21" s="1"/>
  <c r="BK106" i="50"/>
  <c r="Z107" i="50"/>
  <c r="AO107" i="50" s="1"/>
  <c r="AB107" i="50"/>
  <c r="AQ107" i="50" s="1"/>
  <c r="AF107" i="50"/>
  <c r="Y107" i="50" s="1"/>
  <c r="AN107" i="50" s="1"/>
  <c r="AG107" i="50"/>
  <c r="AH107" i="50"/>
  <c r="AA107" i="50" s="1"/>
  <c r="AP107" i="50" s="1"/>
  <c r="AW107" i="50" s="1"/>
  <c r="AI107" i="50"/>
  <c r="AJ107" i="50"/>
  <c r="AK107" i="50"/>
  <c r="AL107" i="50"/>
  <c r="AE107" i="50" s="1"/>
  <c r="AT107" i="50" s="1"/>
  <c r="BA107" i="50" s="1"/>
  <c r="AM107" i="50"/>
  <c r="BI107" i="50"/>
  <c r="BJ107" i="50"/>
  <c r="BK107" i="50"/>
  <c r="AF108" i="50"/>
  <c r="AG108" i="50"/>
  <c r="AH108" i="50"/>
  <c r="AI108" i="50"/>
  <c r="AB108" i="50" s="1"/>
  <c r="AJ108" i="50"/>
  <c r="AC108" i="50" s="1"/>
  <c r="AK108" i="50"/>
  <c r="AD108" i="50" s="1"/>
  <c r="AS108" i="50" s="1"/>
  <c r="AZ108" i="50" s="1"/>
  <c r="AL108" i="50"/>
  <c r="AM108" i="50"/>
  <c r="AQ108" i="50"/>
  <c r="AR108" i="50"/>
  <c r="AY108" i="50" s="1"/>
  <c r="BI108" i="50"/>
  <c r="BJ108" i="50"/>
  <c r="I17" i="21" s="1"/>
  <c r="BK108" i="50"/>
  <c r="AB109" i="50"/>
  <c r="AQ109" i="50" s="1"/>
  <c r="AX109" i="50" s="1"/>
  <c r="AC109" i="50"/>
  <c r="AR109" i="50" s="1"/>
  <c r="AF109" i="50"/>
  <c r="Y109" i="50" s="1"/>
  <c r="AN109" i="50" s="1"/>
  <c r="AG109" i="50"/>
  <c r="AH109" i="50"/>
  <c r="AI109" i="50"/>
  <c r="AJ109" i="50"/>
  <c r="AK109" i="50"/>
  <c r="AD109" i="50" s="1"/>
  <c r="AS109" i="50" s="1"/>
  <c r="AZ109" i="50" s="1"/>
  <c r="AL109" i="50"/>
  <c r="AE109" i="50" s="1"/>
  <c r="AT109" i="50" s="1"/>
  <c r="BA109" i="50" s="1"/>
  <c r="AM109" i="50"/>
  <c r="BI109" i="50"/>
  <c r="BJ109" i="50"/>
  <c r="BK109" i="50"/>
  <c r="AC110" i="50"/>
  <c r="AR110" i="50" s="1"/>
  <c r="AF110" i="50"/>
  <c r="AG110" i="50"/>
  <c r="Z110" i="50" s="1"/>
  <c r="AO110" i="50" s="1"/>
  <c r="AH110" i="50"/>
  <c r="AA110" i="50" s="1"/>
  <c r="AP110" i="50" s="1"/>
  <c r="AI110" i="50"/>
  <c r="AB110" i="50" s="1"/>
  <c r="AQ110" i="50" s="1"/>
  <c r="AJ110" i="50"/>
  <c r="AK110" i="50"/>
  <c r="AL110" i="50"/>
  <c r="AE110" i="50" s="1"/>
  <c r="AM110" i="50"/>
  <c r="AT110" i="50"/>
  <c r="BA110" i="50" s="1"/>
  <c r="AY110" i="50"/>
  <c r="BI110" i="50"/>
  <c r="BJ110" i="50"/>
  <c r="BK110" i="50"/>
  <c r="Y111" i="50"/>
  <c r="AN111" i="50" s="1"/>
  <c r="AB111" i="50"/>
  <c r="AQ111" i="50" s="1"/>
  <c r="AX111" i="50" s="1"/>
  <c r="AF111" i="50"/>
  <c r="AG111" i="50"/>
  <c r="AH111" i="50"/>
  <c r="AA111" i="50" s="1"/>
  <c r="AP111" i="50" s="1"/>
  <c r="AI111" i="50"/>
  <c r="AJ111" i="50"/>
  <c r="AC111" i="50" s="1"/>
  <c r="AR111" i="50" s="1"/>
  <c r="AK111" i="50"/>
  <c r="AD111" i="50" s="1"/>
  <c r="AL111" i="50"/>
  <c r="AM111" i="50"/>
  <c r="AS111" i="50"/>
  <c r="BI111" i="50"/>
  <c r="G17" i="21" s="1"/>
  <c r="BJ111" i="50"/>
  <c r="BK111" i="50"/>
  <c r="AF112" i="50"/>
  <c r="Y112" i="50" s="1"/>
  <c r="AN112" i="50" s="1"/>
  <c r="AU112" i="50" s="1"/>
  <c r="AG112" i="50"/>
  <c r="Z112" i="50" s="1"/>
  <c r="AO112" i="50" s="1"/>
  <c r="AH112" i="50"/>
  <c r="AA112" i="50" s="1"/>
  <c r="AI112" i="50"/>
  <c r="AB112" i="50" s="1"/>
  <c r="AQ112" i="50" s="1"/>
  <c r="AX112" i="50" s="1"/>
  <c r="AJ112" i="50"/>
  <c r="AC112" i="50" s="1"/>
  <c r="AR112" i="50" s="1"/>
  <c r="AY112" i="50" s="1"/>
  <c r="AK112" i="50"/>
  <c r="AD112" i="50" s="1"/>
  <c r="AS112" i="50" s="1"/>
  <c r="AL112" i="50"/>
  <c r="AE112" i="50" s="1"/>
  <c r="AT112" i="50" s="1"/>
  <c r="AM112" i="50"/>
  <c r="AP112" i="50"/>
  <c r="AW112" i="50" s="1"/>
  <c r="BI112" i="50"/>
  <c r="BJ112" i="50"/>
  <c r="BK112" i="50"/>
  <c r="AB113" i="50"/>
  <c r="AQ113" i="50" s="1"/>
  <c r="AF113" i="50"/>
  <c r="Y113" i="50" s="1"/>
  <c r="AN113" i="50" s="1"/>
  <c r="AG113" i="50"/>
  <c r="Z113" i="50" s="1"/>
  <c r="AO113" i="50" s="1"/>
  <c r="AH113" i="50"/>
  <c r="AI113" i="50"/>
  <c r="AJ113" i="50"/>
  <c r="AK113" i="50"/>
  <c r="AD113" i="50" s="1"/>
  <c r="AS113" i="50" s="1"/>
  <c r="AZ113" i="50" s="1"/>
  <c r="AL113" i="50"/>
  <c r="AE113" i="50" s="1"/>
  <c r="AT113" i="50" s="1"/>
  <c r="AM113" i="50"/>
  <c r="AX113" i="50"/>
  <c r="BI113" i="50"/>
  <c r="BJ113" i="50"/>
  <c r="BK113" i="50"/>
  <c r="Z114" i="50"/>
  <c r="AO114" i="50" s="1"/>
  <c r="AC114" i="50"/>
  <c r="AR114" i="50" s="1"/>
  <c r="AY114" i="50" s="1"/>
  <c r="AE114" i="50"/>
  <c r="AT114" i="50" s="1"/>
  <c r="BA114" i="50" s="1"/>
  <c r="AF114" i="50"/>
  <c r="AG114" i="50"/>
  <c r="AH114" i="50"/>
  <c r="AA114" i="50" s="1"/>
  <c r="AP114" i="50" s="1"/>
  <c r="AI114" i="50"/>
  <c r="AB114" i="50" s="1"/>
  <c r="AQ114" i="50" s="1"/>
  <c r="AX114" i="50" s="1"/>
  <c r="AJ114" i="50"/>
  <c r="AK114" i="50"/>
  <c r="AL114" i="50"/>
  <c r="AM114" i="50"/>
  <c r="BI114" i="50"/>
  <c r="BJ114" i="50"/>
  <c r="BK114" i="50"/>
  <c r="J18" i="21" s="1"/>
  <c r="Y115" i="50"/>
  <c r="AN115" i="50" s="1"/>
  <c r="AA115" i="50"/>
  <c r="AP115" i="50" s="1"/>
  <c r="AW115" i="50" s="1"/>
  <c r="AC115" i="50"/>
  <c r="AR115" i="50" s="1"/>
  <c r="AY115" i="50" s="1"/>
  <c r="AF115" i="50"/>
  <c r="AG115" i="50"/>
  <c r="AH115" i="50"/>
  <c r="AI115" i="50"/>
  <c r="AB115" i="50" s="1"/>
  <c r="AQ115" i="50" s="1"/>
  <c r="AX115" i="50" s="1"/>
  <c r="AJ115" i="50"/>
  <c r="AK115" i="50"/>
  <c r="AD115" i="50" s="1"/>
  <c r="AS115" i="50" s="1"/>
  <c r="AL115" i="50"/>
  <c r="AM115" i="50"/>
  <c r="BI115" i="50"/>
  <c r="BJ115" i="50"/>
  <c r="BK115" i="50"/>
  <c r="J19" i="21" s="1"/>
  <c r="Y116" i="50"/>
  <c r="AN116" i="50" s="1"/>
  <c r="AU116" i="50" s="1"/>
  <c r="AE116" i="50"/>
  <c r="AT116" i="50" s="1"/>
  <c r="AF116" i="50"/>
  <c r="AG116" i="50"/>
  <c r="Z116" i="50" s="1"/>
  <c r="AO116" i="50" s="1"/>
  <c r="AH116" i="50"/>
  <c r="AI116" i="50"/>
  <c r="AB116" i="50" s="1"/>
  <c r="AQ116" i="50" s="1"/>
  <c r="AJ116" i="50"/>
  <c r="AC116" i="50" s="1"/>
  <c r="AR116" i="50" s="1"/>
  <c r="AY116" i="50" s="1"/>
  <c r="AK116" i="50"/>
  <c r="AD116" i="50" s="1"/>
  <c r="AS116" i="50" s="1"/>
  <c r="AL116" i="50"/>
  <c r="AM116" i="50"/>
  <c r="AZ116" i="50"/>
  <c r="BI116" i="50"/>
  <c r="BJ116" i="50"/>
  <c r="BK116" i="50"/>
  <c r="Y117" i="50"/>
  <c r="AN117" i="50" s="1"/>
  <c r="AU117" i="50" s="1"/>
  <c r="AB117" i="50"/>
  <c r="AQ117" i="50" s="1"/>
  <c r="AX117" i="50" s="1"/>
  <c r="AE117" i="50"/>
  <c r="AT117" i="50" s="1"/>
  <c r="BA117" i="50" s="1"/>
  <c r="AF117" i="50"/>
  <c r="AG117" i="50"/>
  <c r="Z117" i="50" s="1"/>
  <c r="AO117" i="50" s="1"/>
  <c r="AV117" i="50" s="1"/>
  <c r="AH117" i="50"/>
  <c r="AA117" i="50" s="1"/>
  <c r="AP117" i="50" s="1"/>
  <c r="AI117" i="50"/>
  <c r="AJ117" i="50"/>
  <c r="AK117" i="50"/>
  <c r="AD117" i="50" s="1"/>
  <c r="AS117" i="50" s="1"/>
  <c r="AL117" i="50"/>
  <c r="AM117" i="50"/>
  <c r="BI117" i="50"/>
  <c r="BJ117" i="50"/>
  <c r="BK117" i="50"/>
  <c r="Z118" i="50"/>
  <c r="AO118" i="50" s="1"/>
  <c r="AV118" i="50" s="1"/>
  <c r="AD118" i="50"/>
  <c r="AS118" i="50" s="1"/>
  <c r="AE118" i="50"/>
  <c r="AT118" i="50" s="1"/>
  <c r="BA118" i="50" s="1"/>
  <c r="AF118" i="50"/>
  <c r="AG118" i="50"/>
  <c r="AH118" i="50"/>
  <c r="AA118" i="50" s="1"/>
  <c r="AP118" i="50" s="1"/>
  <c r="AI118" i="50"/>
  <c r="AB118" i="50" s="1"/>
  <c r="AQ118" i="50" s="1"/>
  <c r="AX118" i="50" s="1"/>
  <c r="AJ118" i="50"/>
  <c r="AC118" i="50" s="1"/>
  <c r="AR118" i="50" s="1"/>
  <c r="AK118" i="50"/>
  <c r="AL118" i="50"/>
  <c r="AM118" i="50"/>
  <c r="BI118" i="50"/>
  <c r="BJ118" i="50"/>
  <c r="BK118" i="50"/>
  <c r="AA119" i="50"/>
  <c r="AP119" i="50" s="1"/>
  <c r="AF119" i="50"/>
  <c r="Y119" i="50" s="1"/>
  <c r="AN119" i="50" s="1"/>
  <c r="AG119" i="50"/>
  <c r="Z119" i="50" s="1"/>
  <c r="AO119" i="50" s="1"/>
  <c r="AH119" i="50"/>
  <c r="AI119" i="50"/>
  <c r="AJ119" i="50"/>
  <c r="AK119" i="50"/>
  <c r="AL119" i="50"/>
  <c r="AE119" i="50" s="1"/>
  <c r="AT119" i="50" s="1"/>
  <c r="AM119" i="50"/>
  <c r="BI119" i="50"/>
  <c r="BJ119" i="50"/>
  <c r="BK119" i="50"/>
  <c r="Z120" i="50"/>
  <c r="AO120" i="50" s="1"/>
  <c r="AV120" i="50" s="1"/>
  <c r="AB120" i="50"/>
  <c r="AQ120" i="50" s="1"/>
  <c r="AX120" i="50" s="1"/>
  <c r="AF120" i="50"/>
  <c r="AG120" i="50"/>
  <c r="AH120" i="50"/>
  <c r="AI120" i="50"/>
  <c r="AJ120" i="50"/>
  <c r="AC120" i="50" s="1"/>
  <c r="AK120" i="50"/>
  <c r="AD120" i="50" s="1"/>
  <c r="AS120" i="50" s="1"/>
  <c r="AZ120" i="50" s="1"/>
  <c r="AL120" i="50"/>
  <c r="AE120" i="50" s="1"/>
  <c r="AT120" i="50" s="1"/>
  <c r="AM120" i="50"/>
  <c r="AR120" i="50"/>
  <c r="AY120" i="50" s="1"/>
  <c r="BI120" i="50"/>
  <c r="BJ120" i="50"/>
  <c r="BK120" i="50"/>
  <c r="AE121" i="50"/>
  <c r="AT121" i="50" s="1"/>
  <c r="AF121" i="50"/>
  <c r="AG121" i="50"/>
  <c r="AH121" i="50"/>
  <c r="AA121" i="50" s="1"/>
  <c r="AI121" i="50"/>
  <c r="AB121" i="50" s="1"/>
  <c r="AQ121" i="50" s="1"/>
  <c r="AX121" i="50" s="1"/>
  <c r="AJ121" i="50"/>
  <c r="AK121" i="50"/>
  <c r="AD121" i="50" s="1"/>
  <c r="AS121" i="50" s="1"/>
  <c r="AZ121" i="50" s="1"/>
  <c r="AL121" i="50"/>
  <c r="AM121" i="50"/>
  <c r="AP121" i="50"/>
  <c r="BA121" i="50"/>
  <c r="BI121" i="50"/>
  <c r="BJ121" i="50"/>
  <c r="BK121" i="50"/>
  <c r="AC122" i="50"/>
  <c r="AR122" i="50" s="1"/>
  <c r="AF122" i="50"/>
  <c r="Y122" i="50" s="1"/>
  <c r="AG122" i="50"/>
  <c r="Z122" i="50" s="1"/>
  <c r="AO122" i="50" s="1"/>
  <c r="AV122" i="50" s="1"/>
  <c r="AH122" i="50"/>
  <c r="AI122" i="50"/>
  <c r="AB122" i="50" s="1"/>
  <c r="AQ122" i="50" s="1"/>
  <c r="AX122" i="50" s="1"/>
  <c r="AJ122" i="50"/>
  <c r="AK122" i="50"/>
  <c r="AD122" i="50" s="1"/>
  <c r="AS122" i="50" s="1"/>
  <c r="AL122" i="50"/>
  <c r="AE122" i="50" s="1"/>
  <c r="AT122" i="50" s="1"/>
  <c r="AM122" i="50"/>
  <c r="AN122" i="50"/>
  <c r="BI122" i="50"/>
  <c r="BJ122" i="50"/>
  <c r="BK122" i="50"/>
  <c r="AC123" i="50"/>
  <c r="AR123" i="50" s="1"/>
  <c r="AD123" i="50"/>
  <c r="AS123" i="50" s="1"/>
  <c r="AZ123" i="50" s="1"/>
  <c r="AF123" i="50"/>
  <c r="AG123" i="50"/>
  <c r="Z123" i="50" s="1"/>
  <c r="AO123" i="50" s="1"/>
  <c r="AH123" i="50"/>
  <c r="AI123" i="50"/>
  <c r="AB123" i="50" s="1"/>
  <c r="AQ123" i="50" s="1"/>
  <c r="AX123" i="50" s="1"/>
  <c r="AJ123" i="50"/>
  <c r="AK123" i="50"/>
  <c r="AL123" i="50"/>
  <c r="AM123" i="50"/>
  <c r="BI123" i="50"/>
  <c r="BJ123" i="50"/>
  <c r="BK123" i="50"/>
  <c r="AM124" i="50"/>
  <c r="Z124" i="50"/>
  <c r="AO124" i="50" s="1"/>
  <c r="AD124" i="50"/>
  <c r="AG124" i="50"/>
  <c r="AH124" i="50"/>
  <c r="AA124" i="50" s="1"/>
  <c r="AP124" i="50" s="1"/>
  <c r="AI124" i="50"/>
  <c r="AB124" i="50" s="1"/>
  <c r="AQ124" i="50" s="1"/>
  <c r="AJ124" i="50"/>
  <c r="AC124" i="50" s="1"/>
  <c r="AR124" i="50" s="1"/>
  <c r="AK124" i="50"/>
  <c r="AL124" i="50"/>
  <c r="AE124" i="50" s="1"/>
  <c r="AT124" i="50" s="1"/>
  <c r="AS124" i="50"/>
  <c r="AM125" i="50"/>
  <c r="Z125" i="50"/>
  <c r="AO125" i="50" s="1"/>
  <c r="AG125" i="50"/>
  <c r="AH125" i="50"/>
  <c r="AA125" i="50" s="1"/>
  <c r="AP125" i="50" s="1"/>
  <c r="AI125" i="50"/>
  <c r="AB125" i="50" s="1"/>
  <c r="AQ125" i="50" s="1"/>
  <c r="AJ125" i="50"/>
  <c r="AC125" i="50" s="1"/>
  <c r="AR125" i="50" s="1"/>
  <c r="AK125" i="50"/>
  <c r="AD125" i="50" s="1"/>
  <c r="AS125" i="50" s="1"/>
  <c r="AL125" i="50"/>
  <c r="AE125" i="50" s="1"/>
  <c r="AT125" i="50" s="1"/>
  <c r="AC126" i="50"/>
  <c r="AR126" i="50" s="1"/>
  <c r="AD126" i="50"/>
  <c r="AS126" i="50" s="1"/>
  <c r="AF126" i="50"/>
  <c r="Y126" i="50" s="1"/>
  <c r="AN126" i="50" s="1"/>
  <c r="AG126" i="50"/>
  <c r="Z126" i="50" s="1"/>
  <c r="AO126" i="50" s="1"/>
  <c r="AH126" i="50"/>
  <c r="AA126" i="50" s="1"/>
  <c r="AP126" i="50" s="1"/>
  <c r="AI126" i="50"/>
  <c r="AB126" i="50" s="1"/>
  <c r="AQ126" i="50" s="1"/>
  <c r="AJ126" i="50"/>
  <c r="AK126" i="50"/>
  <c r="AL126" i="50"/>
  <c r="AE126" i="50" s="1"/>
  <c r="AT126" i="50" s="1"/>
  <c r="AM126" i="50"/>
  <c r="Y127" i="50"/>
  <c r="AN127" i="50" s="1"/>
  <c r="AB127" i="50"/>
  <c r="AQ127" i="50" s="1"/>
  <c r="AC127" i="50"/>
  <c r="AR127" i="50" s="1"/>
  <c r="AE127" i="50"/>
  <c r="AT127" i="50" s="1"/>
  <c r="AF127" i="50"/>
  <c r="AG127" i="50"/>
  <c r="Z127" i="50" s="1"/>
  <c r="AO127" i="50" s="1"/>
  <c r="AH127" i="50"/>
  <c r="AA127" i="50" s="1"/>
  <c r="AI127" i="50"/>
  <c r="AJ127" i="50"/>
  <c r="AK127" i="50"/>
  <c r="AD127" i="50" s="1"/>
  <c r="AS127" i="50" s="1"/>
  <c r="AL127" i="50"/>
  <c r="AM127" i="50"/>
  <c r="AP127" i="50"/>
  <c r="AB128" i="50"/>
  <c r="AQ128" i="50" s="1"/>
  <c r="AF128" i="50"/>
  <c r="Y128" i="50" s="1"/>
  <c r="AN128" i="50" s="1"/>
  <c r="AG128" i="50"/>
  <c r="Z128" i="50" s="1"/>
  <c r="AO128" i="50" s="1"/>
  <c r="AH128" i="50"/>
  <c r="AA128" i="50" s="1"/>
  <c r="AI128" i="50"/>
  <c r="AJ128" i="50"/>
  <c r="AC128" i="50" s="1"/>
  <c r="AR128" i="50" s="1"/>
  <c r="AK128" i="50"/>
  <c r="AD128" i="50" s="1"/>
  <c r="AS128" i="50" s="1"/>
  <c r="AL128" i="50"/>
  <c r="AE128" i="50" s="1"/>
  <c r="AM128" i="50"/>
  <c r="AP128" i="50"/>
  <c r="AT128" i="50"/>
  <c r="AD129" i="50"/>
  <c r="AS129" i="50" s="1"/>
  <c r="AF129" i="50"/>
  <c r="Y129" i="50" s="1"/>
  <c r="AN129" i="50" s="1"/>
  <c r="AG129" i="50"/>
  <c r="Z129" i="50" s="1"/>
  <c r="AO129" i="50" s="1"/>
  <c r="AH129" i="50"/>
  <c r="AA129" i="50" s="1"/>
  <c r="AP129" i="50" s="1"/>
  <c r="AI129" i="50"/>
  <c r="AB129" i="50" s="1"/>
  <c r="AQ129" i="50" s="1"/>
  <c r="AJ129" i="50"/>
  <c r="AC129" i="50" s="1"/>
  <c r="AR129" i="50" s="1"/>
  <c r="AK129" i="50"/>
  <c r="AL129" i="50"/>
  <c r="AE129" i="50" s="1"/>
  <c r="AT129" i="50" s="1"/>
  <c r="AM129" i="50"/>
  <c r="AD130" i="50"/>
  <c r="AS130" i="50" s="1"/>
  <c r="AF130" i="50"/>
  <c r="Y130" i="50" s="1"/>
  <c r="AN130" i="50" s="1"/>
  <c r="AG130" i="50"/>
  <c r="Z130" i="50" s="1"/>
  <c r="AH130" i="50"/>
  <c r="AA130" i="50" s="1"/>
  <c r="AP130" i="50" s="1"/>
  <c r="AI130" i="50"/>
  <c r="AB130" i="50" s="1"/>
  <c r="AQ130" i="50" s="1"/>
  <c r="AJ130" i="50"/>
  <c r="AC130" i="50" s="1"/>
  <c r="AR130" i="50" s="1"/>
  <c r="AK130" i="50"/>
  <c r="AL130" i="50"/>
  <c r="AE130" i="50" s="1"/>
  <c r="AT130" i="50" s="1"/>
  <c r="AM130" i="50"/>
  <c r="AO130" i="50"/>
  <c r="AB131" i="50"/>
  <c r="AQ131" i="50" s="1"/>
  <c r="AD131" i="50"/>
  <c r="AS131" i="50" s="1"/>
  <c r="AF131" i="50"/>
  <c r="Y131" i="50" s="1"/>
  <c r="AG131" i="50"/>
  <c r="Z131" i="50" s="1"/>
  <c r="AO131" i="50" s="1"/>
  <c r="AH131" i="50"/>
  <c r="AA131" i="50" s="1"/>
  <c r="AI131" i="50"/>
  <c r="AJ131" i="50"/>
  <c r="AC131" i="50" s="1"/>
  <c r="AR131" i="50" s="1"/>
  <c r="AK131" i="50"/>
  <c r="AL131" i="50"/>
  <c r="AE131" i="50" s="1"/>
  <c r="AT131" i="50" s="1"/>
  <c r="AM131" i="50"/>
  <c r="AN131" i="50"/>
  <c r="AP131" i="50"/>
  <c r="BJ132" i="50"/>
  <c r="Y132" i="50"/>
  <c r="AN132" i="50" s="1"/>
  <c r="Z132" i="50"/>
  <c r="AO132" i="50" s="1"/>
  <c r="AC132" i="50"/>
  <c r="AR132" i="50" s="1"/>
  <c r="AF132" i="50"/>
  <c r="AG132" i="50"/>
  <c r="AH132" i="50"/>
  <c r="AA132" i="50" s="1"/>
  <c r="AP132" i="50" s="1"/>
  <c r="AI132" i="50"/>
  <c r="AB132" i="50" s="1"/>
  <c r="AQ132" i="50" s="1"/>
  <c r="AJ132" i="50"/>
  <c r="AK132" i="50"/>
  <c r="AD132" i="50" s="1"/>
  <c r="AS132" i="50" s="1"/>
  <c r="AL132" i="50"/>
  <c r="AE132" i="50" s="1"/>
  <c r="AT132" i="50" s="1"/>
  <c r="AM132" i="50"/>
  <c r="Y133" i="50"/>
  <c r="AN133" i="50" s="1"/>
  <c r="AU133" i="50" s="1"/>
  <c r="Z133" i="50"/>
  <c r="AO133" i="50" s="1"/>
  <c r="AV133" i="50" s="1"/>
  <c r="AC133" i="50"/>
  <c r="AR133" i="50" s="1"/>
  <c r="AY133" i="50" s="1"/>
  <c r="AF133" i="50"/>
  <c r="AG133" i="50"/>
  <c r="AH133" i="50"/>
  <c r="AA133" i="50" s="1"/>
  <c r="AP133" i="50" s="1"/>
  <c r="AI133" i="50"/>
  <c r="AJ133" i="50"/>
  <c r="AK133" i="50"/>
  <c r="AD133" i="50" s="1"/>
  <c r="AS133" i="50" s="1"/>
  <c r="AL133" i="50"/>
  <c r="AE133" i="50" s="1"/>
  <c r="AT133" i="50" s="1"/>
  <c r="AM133" i="50"/>
  <c r="BI133" i="50"/>
  <c r="G21" i="21" s="1"/>
  <c r="BJ133" i="50"/>
  <c r="BK133" i="50"/>
  <c r="AB134" i="50"/>
  <c r="AQ134" i="50" s="1"/>
  <c r="AF134" i="50"/>
  <c r="Y134" i="50" s="1"/>
  <c r="AG134" i="50"/>
  <c r="Z134" i="50" s="1"/>
  <c r="AH134" i="50"/>
  <c r="AI134" i="50"/>
  <c r="AJ134" i="50"/>
  <c r="AC134" i="50" s="1"/>
  <c r="AR134" i="50" s="1"/>
  <c r="AY134" i="50" s="1"/>
  <c r="AK134" i="50"/>
  <c r="AD134" i="50" s="1"/>
  <c r="AS134" i="50" s="1"/>
  <c r="AL134" i="50"/>
  <c r="AM134" i="50"/>
  <c r="AN134" i="50"/>
  <c r="AO134" i="50"/>
  <c r="AV134" i="50"/>
  <c r="BI134" i="50"/>
  <c r="BJ134" i="50"/>
  <c r="BK134" i="50"/>
  <c r="AB135" i="50"/>
  <c r="AQ135" i="50" s="1"/>
  <c r="AC135" i="50"/>
  <c r="AR135" i="50" s="1"/>
  <c r="AE135" i="50"/>
  <c r="AT135" i="50" s="1"/>
  <c r="AF135" i="50"/>
  <c r="Y135" i="50" s="1"/>
  <c r="AN135" i="50" s="1"/>
  <c r="AU135" i="50" s="1"/>
  <c r="AG135" i="50"/>
  <c r="AH135" i="50"/>
  <c r="AA135" i="50" s="1"/>
  <c r="AI135" i="50"/>
  <c r="AJ135" i="50"/>
  <c r="AK135" i="50"/>
  <c r="AD135" i="50" s="1"/>
  <c r="AS135" i="50" s="1"/>
  <c r="AL135" i="50"/>
  <c r="AM135" i="50"/>
  <c r="AP135" i="50"/>
  <c r="AW135" i="50" s="1"/>
  <c r="BI135" i="50"/>
  <c r="BJ135" i="50"/>
  <c r="BK135" i="50"/>
  <c r="AA136" i="50"/>
  <c r="AP136" i="50" s="1"/>
  <c r="AW136" i="50" s="1"/>
  <c r="AB136" i="50"/>
  <c r="AQ136" i="50" s="1"/>
  <c r="AX136" i="50" s="1"/>
  <c r="AC136" i="50"/>
  <c r="AR136" i="50" s="1"/>
  <c r="AY136" i="50" s="1"/>
  <c r="AF136" i="50"/>
  <c r="Y136" i="50" s="1"/>
  <c r="AN136" i="50" s="1"/>
  <c r="AU136" i="50" s="1"/>
  <c r="AG136" i="50"/>
  <c r="Z136" i="50" s="1"/>
  <c r="AO136" i="50" s="1"/>
  <c r="AH136" i="50"/>
  <c r="AI136" i="50"/>
  <c r="AJ136" i="50"/>
  <c r="AK136" i="50"/>
  <c r="AL136" i="50"/>
  <c r="AE136" i="50" s="1"/>
  <c r="AT136" i="50" s="1"/>
  <c r="BA136" i="50" s="1"/>
  <c r="AM136" i="50"/>
  <c r="BI136" i="50"/>
  <c r="BJ136" i="50"/>
  <c r="BK136" i="50"/>
  <c r="Y137" i="50"/>
  <c r="AN137" i="50" s="1"/>
  <c r="AU137" i="50" s="1"/>
  <c r="AC137" i="50"/>
  <c r="AR137" i="50" s="1"/>
  <c r="AY137" i="50" s="1"/>
  <c r="AE137" i="50"/>
  <c r="AT137" i="50" s="1"/>
  <c r="AF137" i="50"/>
  <c r="AG137" i="50"/>
  <c r="Z137" i="50" s="1"/>
  <c r="AO137" i="50" s="1"/>
  <c r="AH137" i="50"/>
  <c r="AA137" i="50" s="1"/>
  <c r="AP137" i="50" s="1"/>
  <c r="AI137" i="50"/>
  <c r="AB137" i="50" s="1"/>
  <c r="AQ137" i="50" s="1"/>
  <c r="AJ137" i="50"/>
  <c r="AK137" i="50"/>
  <c r="AD137" i="50" s="1"/>
  <c r="AS137" i="50" s="1"/>
  <c r="AL137" i="50"/>
  <c r="BA137" i="50" s="1"/>
  <c r="AM137" i="50"/>
  <c r="BI137" i="50"/>
  <c r="BJ137" i="50"/>
  <c r="BK137" i="50"/>
  <c r="AA138" i="50"/>
  <c r="AP138" i="50" s="1"/>
  <c r="AW138" i="50" s="1"/>
  <c r="AD138" i="50"/>
  <c r="AS138" i="50" s="1"/>
  <c r="AZ138" i="50" s="1"/>
  <c r="AF138" i="50"/>
  <c r="Y138" i="50" s="1"/>
  <c r="AN138" i="50" s="1"/>
  <c r="AU138" i="50" s="1"/>
  <c r="AG138" i="50"/>
  <c r="Z138" i="50" s="1"/>
  <c r="AH138" i="50"/>
  <c r="AI138" i="50"/>
  <c r="AB138" i="50" s="1"/>
  <c r="AQ138" i="50" s="1"/>
  <c r="AJ138" i="50"/>
  <c r="AC138" i="50" s="1"/>
  <c r="AR138" i="50" s="1"/>
  <c r="AY138" i="50" s="1"/>
  <c r="AK138" i="50"/>
  <c r="AL138" i="50"/>
  <c r="AE138" i="50" s="1"/>
  <c r="AT138" i="50" s="1"/>
  <c r="AM138" i="50"/>
  <c r="AO138" i="50"/>
  <c r="AV138" i="50" s="1"/>
  <c r="BI138" i="50"/>
  <c r="BJ138" i="50"/>
  <c r="BK138" i="50"/>
  <c r="AF139" i="50"/>
  <c r="Y139" i="50" s="1"/>
  <c r="AN139" i="50" s="1"/>
  <c r="AU139" i="50" s="1"/>
  <c r="AG139" i="50"/>
  <c r="AH139" i="50"/>
  <c r="AI139" i="50"/>
  <c r="AB139" i="50" s="1"/>
  <c r="AQ139" i="50" s="1"/>
  <c r="AJ139" i="50"/>
  <c r="AC139" i="50" s="1"/>
  <c r="AR139" i="50" s="1"/>
  <c r="AK139" i="50"/>
  <c r="AD139" i="50" s="1"/>
  <c r="AS139" i="50" s="1"/>
  <c r="AZ139" i="50" s="1"/>
  <c r="AL139" i="50"/>
  <c r="AE139" i="50" s="1"/>
  <c r="AT139" i="50" s="1"/>
  <c r="BA139" i="50" s="1"/>
  <c r="AM139" i="50"/>
  <c r="BI139" i="50"/>
  <c r="BJ139" i="50"/>
  <c r="BK139" i="50"/>
  <c r="Z140" i="50"/>
  <c r="AO140" i="50" s="1"/>
  <c r="AV140" i="50" s="1"/>
  <c r="AB140" i="50"/>
  <c r="AQ140" i="50" s="1"/>
  <c r="AX140" i="50" s="1"/>
  <c r="AF140" i="50"/>
  <c r="Y140" i="50" s="1"/>
  <c r="AN140" i="50" s="1"/>
  <c r="AG140" i="50"/>
  <c r="AH140" i="50"/>
  <c r="AA140" i="50" s="1"/>
  <c r="AP140" i="50" s="1"/>
  <c r="AW140" i="50" s="1"/>
  <c r="AI140" i="50"/>
  <c r="AJ140" i="50"/>
  <c r="AC140" i="50" s="1"/>
  <c r="AK140" i="50"/>
  <c r="AD140" i="50" s="1"/>
  <c r="AS140" i="50" s="1"/>
  <c r="AL140" i="50"/>
  <c r="AE140" i="50" s="1"/>
  <c r="AT140" i="50" s="1"/>
  <c r="BA140" i="50" s="1"/>
  <c r="AM140" i="50"/>
  <c r="AR140" i="50"/>
  <c r="BI140" i="50"/>
  <c r="BJ140" i="50"/>
  <c r="BK140" i="50"/>
  <c r="AE141" i="50"/>
  <c r="AT141" i="50" s="1"/>
  <c r="AF141" i="50"/>
  <c r="Y141" i="50" s="1"/>
  <c r="AN141" i="50" s="1"/>
  <c r="AG141" i="50"/>
  <c r="Z141" i="50" s="1"/>
  <c r="AO141" i="50" s="1"/>
  <c r="AH141" i="50"/>
  <c r="AA141" i="50" s="1"/>
  <c r="AP141" i="50" s="1"/>
  <c r="AI141" i="50"/>
  <c r="AB141" i="50" s="1"/>
  <c r="AJ141" i="50"/>
  <c r="AC141" i="50" s="1"/>
  <c r="AR141" i="50" s="1"/>
  <c r="AK141" i="50"/>
  <c r="AD141" i="50" s="1"/>
  <c r="AS141" i="50" s="1"/>
  <c r="AL141" i="50"/>
  <c r="AM141" i="50"/>
  <c r="AQ141" i="50"/>
  <c r="AC142" i="50"/>
  <c r="AR142" i="50" s="1"/>
  <c r="AE142" i="50"/>
  <c r="AT142" i="50" s="1"/>
  <c r="AF142" i="50"/>
  <c r="Y142" i="50" s="1"/>
  <c r="AN142" i="50" s="1"/>
  <c r="AG142" i="50"/>
  <c r="Z142" i="50" s="1"/>
  <c r="AO142" i="50" s="1"/>
  <c r="AH142" i="50"/>
  <c r="AA142" i="50" s="1"/>
  <c r="AP142" i="50" s="1"/>
  <c r="AI142" i="50"/>
  <c r="AB142" i="50" s="1"/>
  <c r="AJ142" i="50"/>
  <c r="AK142" i="50"/>
  <c r="AD142" i="50" s="1"/>
  <c r="AS142" i="50" s="1"/>
  <c r="AL142" i="50"/>
  <c r="AM142" i="50"/>
  <c r="AQ142" i="50"/>
  <c r="AB143" i="50"/>
  <c r="AQ143" i="50" s="1"/>
  <c r="AF143" i="50"/>
  <c r="Y143" i="50" s="1"/>
  <c r="AN143" i="50" s="1"/>
  <c r="AG143" i="50"/>
  <c r="Z143" i="50" s="1"/>
  <c r="AO143" i="50" s="1"/>
  <c r="AH143" i="50"/>
  <c r="AA143" i="50" s="1"/>
  <c r="AP143" i="50" s="1"/>
  <c r="AI143" i="50"/>
  <c r="AJ143" i="50"/>
  <c r="AC143" i="50" s="1"/>
  <c r="AR143" i="50" s="1"/>
  <c r="AK143" i="50"/>
  <c r="AD143" i="50" s="1"/>
  <c r="AS143" i="50" s="1"/>
  <c r="AL143" i="50"/>
  <c r="AE143" i="50" s="1"/>
  <c r="AT143" i="50" s="1"/>
  <c r="AM143" i="50"/>
  <c r="AA144" i="50"/>
  <c r="AP144" i="50" s="1"/>
  <c r="AF144" i="50"/>
  <c r="Y144" i="50" s="1"/>
  <c r="AN144" i="50" s="1"/>
  <c r="AG144" i="50"/>
  <c r="Z144" i="50" s="1"/>
  <c r="AO144" i="50" s="1"/>
  <c r="AH144" i="50"/>
  <c r="AI144" i="50"/>
  <c r="AB144" i="50" s="1"/>
  <c r="AQ144" i="50" s="1"/>
  <c r="AJ144" i="50"/>
  <c r="AC144" i="50" s="1"/>
  <c r="AR144" i="50" s="1"/>
  <c r="AK144" i="50"/>
  <c r="AD144" i="50" s="1"/>
  <c r="AS144" i="50" s="1"/>
  <c r="AL144" i="50"/>
  <c r="AE144" i="50" s="1"/>
  <c r="AT144" i="50" s="1"/>
  <c r="AM144" i="50"/>
  <c r="AD145" i="50"/>
  <c r="AS145" i="50" s="1"/>
  <c r="AE145" i="50"/>
  <c r="AT145" i="50" s="1"/>
  <c r="AF145" i="50"/>
  <c r="Y145" i="50" s="1"/>
  <c r="AN145" i="50" s="1"/>
  <c r="AG145" i="50"/>
  <c r="Z145" i="50" s="1"/>
  <c r="AO145" i="50" s="1"/>
  <c r="AH145" i="50"/>
  <c r="AA145" i="50" s="1"/>
  <c r="AP145" i="50" s="1"/>
  <c r="AI145" i="50"/>
  <c r="AB145" i="50" s="1"/>
  <c r="AQ145" i="50" s="1"/>
  <c r="AJ145" i="50"/>
  <c r="AC145" i="50" s="1"/>
  <c r="AK145" i="50"/>
  <c r="AL145" i="50"/>
  <c r="AM145" i="50"/>
  <c r="AR145" i="50"/>
  <c r="AB146" i="50"/>
  <c r="AF146" i="50"/>
  <c r="Y146" i="50" s="1"/>
  <c r="AN146" i="50" s="1"/>
  <c r="AG146" i="50"/>
  <c r="Z146" i="50" s="1"/>
  <c r="AO146" i="50" s="1"/>
  <c r="AH146" i="50"/>
  <c r="AA146" i="50" s="1"/>
  <c r="AP146" i="50" s="1"/>
  <c r="AI146" i="50"/>
  <c r="AJ146" i="50"/>
  <c r="AC146" i="50" s="1"/>
  <c r="AR146" i="50" s="1"/>
  <c r="AK146" i="50"/>
  <c r="AD146" i="50" s="1"/>
  <c r="AS146" i="50" s="1"/>
  <c r="AL146" i="50"/>
  <c r="AE146" i="50" s="1"/>
  <c r="AT146" i="50" s="1"/>
  <c r="AM146" i="50"/>
  <c r="AQ146" i="50"/>
  <c r="AB147" i="50"/>
  <c r="AQ147" i="50" s="1"/>
  <c r="AF147" i="50"/>
  <c r="Y147" i="50" s="1"/>
  <c r="AN147" i="50" s="1"/>
  <c r="AG147" i="50"/>
  <c r="Z147" i="50" s="1"/>
  <c r="AO147" i="50" s="1"/>
  <c r="AH147" i="50"/>
  <c r="AI147" i="50"/>
  <c r="AJ147" i="50"/>
  <c r="AC147" i="50" s="1"/>
  <c r="AR147" i="50" s="1"/>
  <c r="AK147" i="50"/>
  <c r="AD147" i="50" s="1"/>
  <c r="AS147" i="50" s="1"/>
  <c r="AL147" i="50"/>
  <c r="AE147" i="50" s="1"/>
  <c r="AT147" i="50" s="1"/>
  <c r="AM147" i="50"/>
  <c r="AA148" i="50"/>
  <c r="AP148" i="50" s="1"/>
  <c r="AE148" i="50"/>
  <c r="AT148" i="50" s="1"/>
  <c r="AF148" i="50"/>
  <c r="Y148" i="50" s="1"/>
  <c r="AN148" i="50" s="1"/>
  <c r="AG148" i="50"/>
  <c r="Z148" i="50" s="1"/>
  <c r="AO148" i="50" s="1"/>
  <c r="AH148" i="50"/>
  <c r="AI148" i="50"/>
  <c r="AB148" i="50" s="1"/>
  <c r="AQ148" i="50" s="1"/>
  <c r="AJ148" i="50"/>
  <c r="AC148" i="50" s="1"/>
  <c r="AR148" i="50" s="1"/>
  <c r="AK148" i="50"/>
  <c r="AD148" i="50" s="1"/>
  <c r="AL148" i="50"/>
  <c r="AM148" i="50"/>
  <c r="AS148" i="50"/>
  <c r="AB149" i="50"/>
  <c r="AQ149" i="50" s="1"/>
  <c r="AF149" i="50"/>
  <c r="Y149" i="50" s="1"/>
  <c r="AN149" i="50" s="1"/>
  <c r="AG149" i="50"/>
  <c r="Z149" i="50" s="1"/>
  <c r="AO149" i="50" s="1"/>
  <c r="AH149" i="50"/>
  <c r="AA149" i="50" s="1"/>
  <c r="AP149" i="50" s="1"/>
  <c r="AI149" i="50"/>
  <c r="AJ149" i="50"/>
  <c r="AC149" i="50" s="1"/>
  <c r="AR149" i="50" s="1"/>
  <c r="AK149" i="50"/>
  <c r="AD149" i="50" s="1"/>
  <c r="AS149" i="50" s="1"/>
  <c r="AL149" i="50"/>
  <c r="AE149" i="50" s="1"/>
  <c r="AT149" i="50" s="1"/>
  <c r="AM149" i="50"/>
  <c r="AA150" i="50"/>
  <c r="AP150" i="50" s="1"/>
  <c r="AE150" i="50"/>
  <c r="AF150" i="50"/>
  <c r="Y150" i="50" s="1"/>
  <c r="AN150" i="50" s="1"/>
  <c r="AG150" i="50"/>
  <c r="Z150" i="50" s="1"/>
  <c r="AO150" i="50" s="1"/>
  <c r="AH150" i="50"/>
  <c r="AI150" i="50"/>
  <c r="AB150" i="50" s="1"/>
  <c r="AJ150" i="50"/>
  <c r="AC150" i="50" s="1"/>
  <c r="AR150" i="50" s="1"/>
  <c r="AK150" i="50"/>
  <c r="AD150" i="50" s="1"/>
  <c r="AS150" i="50" s="1"/>
  <c r="AL150" i="50"/>
  <c r="AM150" i="50"/>
  <c r="AQ150" i="50"/>
  <c r="AT150" i="50"/>
  <c r="AC151" i="50"/>
  <c r="AR151" i="50" s="1"/>
  <c r="AD151" i="50"/>
  <c r="AS151" i="50" s="1"/>
  <c r="AF151" i="50"/>
  <c r="Y151" i="50" s="1"/>
  <c r="AN151" i="50" s="1"/>
  <c r="AU151" i="50" s="1"/>
  <c r="AG151" i="50"/>
  <c r="Z151" i="50" s="1"/>
  <c r="AH151" i="50"/>
  <c r="AA151" i="50" s="1"/>
  <c r="AP151" i="50" s="1"/>
  <c r="AW151" i="50" s="1"/>
  <c r="AI151" i="50"/>
  <c r="AB151" i="50" s="1"/>
  <c r="AQ151" i="50" s="1"/>
  <c r="AJ151" i="50"/>
  <c r="AK151" i="50"/>
  <c r="AL151" i="50"/>
  <c r="AE151" i="50" s="1"/>
  <c r="AT151" i="50" s="1"/>
  <c r="AM151" i="50"/>
  <c r="AO151" i="50"/>
  <c r="AV151" i="50" s="1"/>
  <c r="BI151" i="50"/>
  <c r="BJ151" i="50"/>
  <c r="BK151" i="50"/>
  <c r="Z152" i="50"/>
  <c r="AB152" i="50"/>
  <c r="AQ152" i="50" s="1"/>
  <c r="AX152" i="50" s="1"/>
  <c r="AD152" i="50"/>
  <c r="AS152" i="50" s="1"/>
  <c r="AF152" i="50"/>
  <c r="AG152" i="50"/>
  <c r="AH152" i="50"/>
  <c r="AI152" i="50"/>
  <c r="AJ152" i="50"/>
  <c r="AC152" i="50" s="1"/>
  <c r="AR152" i="50" s="1"/>
  <c r="AK152" i="50"/>
  <c r="AL152" i="50"/>
  <c r="AE152" i="50" s="1"/>
  <c r="AT152" i="50" s="1"/>
  <c r="AM152" i="50"/>
  <c r="AO152" i="50"/>
  <c r="BI152" i="50"/>
  <c r="BJ152" i="50"/>
  <c r="BK152" i="50"/>
  <c r="AA153" i="50"/>
  <c r="AP153" i="50" s="1"/>
  <c r="AW153" i="50" s="1"/>
  <c r="AB153" i="50"/>
  <c r="AQ153" i="50" s="1"/>
  <c r="AX153" i="50" s="1"/>
  <c r="AE153" i="50"/>
  <c r="AT153" i="50" s="1"/>
  <c r="BA153" i="50" s="1"/>
  <c r="AF153" i="50"/>
  <c r="Y153" i="50" s="1"/>
  <c r="AN153" i="50" s="1"/>
  <c r="AU153" i="50" s="1"/>
  <c r="AG153" i="50"/>
  <c r="Z153" i="50" s="1"/>
  <c r="AO153" i="50" s="1"/>
  <c r="AV153" i="50" s="1"/>
  <c r="AH153" i="50"/>
  <c r="AI153" i="50"/>
  <c r="AJ153" i="50"/>
  <c r="AC153" i="50" s="1"/>
  <c r="AR153" i="50" s="1"/>
  <c r="AK153" i="50"/>
  <c r="AD153" i="50" s="1"/>
  <c r="AS153" i="50" s="1"/>
  <c r="AL153" i="50"/>
  <c r="AM153" i="50"/>
  <c r="BI153" i="50"/>
  <c r="G23" i="21" s="1"/>
  <c r="BJ153" i="50"/>
  <c r="I23" i="21" s="1"/>
  <c r="BK153" i="50"/>
  <c r="AD154" i="50"/>
  <c r="AS154" i="50" s="1"/>
  <c r="AE154" i="50"/>
  <c r="AT154" i="50" s="1"/>
  <c r="AF154" i="50"/>
  <c r="Y154" i="50" s="1"/>
  <c r="AN154" i="50" s="1"/>
  <c r="AG154" i="50"/>
  <c r="Z154" i="50" s="1"/>
  <c r="AO154" i="50" s="1"/>
  <c r="AV154" i="50" s="1"/>
  <c r="AH154" i="50"/>
  <c r="AA154" i="50" s="1"/>
  <c r="AP154" i="50" s="1"/>
  <c r="AW154" i="50" s="1"/>
  <c r="AI154" i="50"/>
  <c r="AJ154" i="50"/>
  <c r="AC154" i="50" s="1"/>
  <c r="AR154" i="50" s="1"/>
  <c r="AY154" i="50" s="1"/>
  <c r="AK154" i="50"/>
  <c r="AL154" i="50"/>
  <c r="AM154" i="50"/>
  <c r="BI154" i="50"/>
  <c r="G24" i="21" s="1"/>
  <c r="BJ154" i="50"/>
  <c r="I24" i="21" s="1"/>
  <c r="BK154" i="50"/>
  <c r="AE155" i="50"/>
  <c r="AT155" i="50" s="1"/>
  <c r="BA155" i="50" s="1"/>
  <c r="AF155" i="50"/>
  <c r="Y155" i="50" s="1"/>
  <c r="AN155" i="50" s="1"/>
  <c r="AG155" i="50"/>
  <c r="Z155" i="50" s="1"/>
  <c r="AO155" i="50" s="1"/>
  <c r="AH155" i="50"/>
  <c r="AA155" i="50" s="1"/>
  <c r="AP155" i="50" s="1"/>
  <c r="AI155" i="50"/>
  <c r="AB155" i="50" s="1"/>
  <c r="AQ155" i="50" s="1"/>
  <c r="AJ155" i="50"/>
  <c r="AC155" i="50" s="1"/>
  <c r="AR155" i="50" s="1"/>
  <c r="AY155" i="50" s="1"/>
  <c r="AK155" i="50"/>
  <c r="AL155" i="50"/>
  <c r="AM155" i="50"/>
  <c r="BI155" i="50"/>
  <c r="BJ155" i="50"/>
  <c r="BK155" i="50"/>
  <c r="AE156" i="50"/>
  <c r="AT156" i="50" s="1"/>
  <c r="BA156" i="50" s="1"/>
  <c r="AF156" i="50"/>
  <c r="Y156" i="50" s="1"/>
  <c r="AN156" i="50" s="1"/>
  <c r="AU156" i="50" s="1"/>
  <c r="AG156" i="50"/>
  <c r="AH156" i="50"/>
  <c r="AA156" i="50" s="1"/>
  <c r="AP156" i="50" s="1"/>
  <c r="AW156" i="50" s="1"/>
  <c r="AI156" i="50"/>
  <c r="AB156" i="50" s="1"/>
  <c r="AQ156" i="50" s="1"/>
  <c r="AX156" i="50" s="1"/>
  <c r="AJ156" i="50"/>
  <c r="AC156" i="50" s="1"/>
  <c r="AK156" i="50"/>
  <c r="AL156" i="50"/>
  <c r="AM156" i="50"/>
  <c r="AR156" i="50"/>
  <c r="AY156" i="50" s="1"/>
  <c r="BI156" i="50"/>
  <c r="BJ156" i="50"/>
  <c r="BK156" i="50"/>
  <c r="AE157" i="50"/>
  <c r="AT157" i="50" s="1"/>
  <c r="AF157" i="50"/>
  <c r="AG157" i="50"/>
  <c r="Z157" i="50" s="1"/>
  <c r="AO157" i="50" s="1"/>
  <c r="AH157" i="50"/>
  <c r="AA157" i="50" s="1"/>
  <c r="AP157" i="50" s="1"/>
  <c r="AI157" i="50"/>
  <c r="AB157" i="50" s="1"/>
  <c r="AQ157" i="50" s="1"/>
  <c r="AX157" i="50" s="1"/>
  <c r="AJ157" i="50"/>
  <c r="AC157" i="50" s="1"/>
  <c r="AR157" i="50" s="1"/>
  <c r="AY157" i="50" s="1"/>
  <c r="AK157" i="50"/>
  <c r="AD157" i="50" s="1"/>
  <c r="AL157" i="50"/>
  <c r="AM157" i="50"/>
  <c r="AS157" i="50"/>
  <c r="BA157" i="50"/>
  <c r="BI157" i="50"/>
  <c r="BJ157" i="50"/>
  <c r="BK157" i="50"/>
  <c r="AC158" i="50"/>
  <c r="AR158" i="50" s="1"/>
  <c r="AY158" i="50" s="1"/>
  <c r="AE158" i="50"/>
  <c r="AT158" i="50" s="1"/>
  <c r="BA158" i="50" s="1"/>
  <c r="AF158" i="50"/>
  <c r="AG158" i="50"/>
  <c r="Z158" i="50" s="1"/>
  <c r="AO158" i="50" s="1"/>
  <c r="AH158" i="50"/>
  <c r="AA158" i="50" s="1"/>
  <c r="AP158" i="50" s="1"/>
  <c r="AI158" i="50"/>
  <c r="AB158" i="50" s="1"/>
  <c r="AQ158" i="50" s="1"/>
  <c r="AJ158" i="50"/>
  <c r="AK158" i="50"/>
  <c r="AD158" i="50" s="1"/>
  <c r="AS158" i="50" s="1"/>
  <c r="AL158" i="50"/>
  <c r="AM158" i="50"/>
  <c r="BI158" i="50"/>
  <c r="G25" i="21" s="1"/>
  <c r="BJ158" i="50"/>
  <c r="I25" i="21" s="1"/>
  <c r="BK158" i="50"/>
  <c r="J25" i="21" s="1"/>
  <c r="AA159" i="50"/>
  <c r="AP159" i="50" s="1"/>
  <c r="AW159" i="50" s="1"/>
  <c r="AD159" i="50"/>
  <c r="AF159" i="50"/>
  <c r="Y159" i="50" s="1"/>
  <c r="AN159" i="50" s="1"/>
  <c r="AU159" i="50" s="1"/>
  <c r="AG159" i="50"/>
  <c r="Z159" i="50" s="1"/>
  <c r="AO159" i="50" s="1"/>
  <c r="AH159" i="50"/>
  <c r="AI159" i="50"/>
  <c r="AB159" i="50" s="1"/>
  <c r="AQ159" i="50" s="1"/>
  <c r="AJ159" i="50"/>
  <c r="AC159" i="50" s="1"/>
  <c r="AR159" i="50" s="1"/>
  <c r="AK159" i="50"/>
  <c r="AL159" i="50"/>
  <c r="AE159" i="50" s="1"/>
  <c r="AT159" i="50" s="1"/>
  <c r="BA159" i="50" s="1"/>
  <c r="AM159" i="50"/>
  <c r="AS159" i="50"/>
  <c r="AZ159" i="50" s="1"/>
  <c r="BI159" i="50"/>
  <c r="BJ159" i="50"/>
  <c r="BK159" i="50"/>
  <c r="J26" i="21" s="1"/>
  <c r="Y160" i="50"/>
  <c r="AN160" i="50" s="1"/>
  <c r="AU160" i="50" s="1"/>
  <c r="AA160" i="50"/>
  <c r="AP160" i="50" s="1"/>
  <c r="AB160" i="50"/>
  <c r="AQ160" i="50" s="1"/>
  <c r="AD160" i="50"/>
  <c r="AS160" i="50" s="1"/>
  <c r="AZ160" i="50" s="1"/>
  <c r="AF160" i="50"/>
  <c r="AG160" i="50"/>
  <c r="Z160" i="50" s="1"/>
  <c r="AO160" i="50" s="1"/>
  <c r="AH160" i="50"/>
  <c r="AI160" i="50"/>
  <c r="AJ160" i="50"/>
  <c r="AC160" i="50" s="1"/>
  <c r="AR160" i="50" s="1"/>
  <c r="AK160" i="50"/>
  <c r="AL160" i="50"/>
  <c r="AE160" i="50" s="1"/>
  <c r="AT160" i="50" s="1"/>
  <c r="BA160" i="50" s="1"/>
  <c r="AM160" i="50"/>
  <c r="BI160" i="50"/>
  <c r="BJ160" i="50"/>
  <c r="BK160" i="50"/>
  <c r="Z161" i="50"/>
  <c r="AO161" i="50" s="1"/>
  <c r="AV161" i="50" s="1"/>
  <c r="AA161" i="50"/>
  <c r="AP161" i="50" s="1"/>
  <c r="AE161" i="50"/>
  <c r="AT161" i="50" s="1"/>
  <c r="BA161" i="50" s="1"/>
  <c r="AF161" i="50"/>
  <c r="Y161" i="50" s="1"/>
  <c r="AN161" i="50" s="1"/>
  <c r="AU161" i="50" s="1"/>
  <c r="AG161" i="50"/>
  <c r="AH161" i="50"/>
  <c r="AI161" i="50"/>
  <c r="AB161" i="50" s="1"/>
  <c r="AQ161" i="50" s="1"/>
  <c r="AJ161" i="50"/>
  <c r="AC161" i="50" s="1"/>
  <c r="AR161" i="50" s="1"/>
  <c r="AK161" i="50"/>
  <c r="AD161" i="50" s="1"/>
  <c r="AS161" i="50" s="1"/>
  <c r="AL161" i="50"/>
  <c r="AM161" i="50"/>
  <c r="BI161" i="50"/>
  <c r="BJ161" i="50"/>
  <c r="I27" i="21" s="1"/>
  <c r="BK161" i="50"/>
  <c r="AA162" i="50"/>
  <c r="AP162" i="50" s="1"/>
  <c r="AW162" i="50" s="1"/>
  <c r="AD162" i="50"/>
  <c r="AS162" i="50" s="1"/>
  <c r="AF162" i="50"/>
  <c r="Y162" i="50" s="1"/>
  <c r="AN162" i="50" s="1"/>
  <c r="AU162" i="50" s="1"/>
  <c r="AG162" i="50"/>
  <c r="Z162" i="50" s="1"/>
  <c r="AO162" i="50" s="1"/>
  <c r="AV162" i="50" s="1"/>
  <c r="AH162" i="50"/>
  <c r="AI162" i="50"/>
  <c r="AB162" i="50" s="1"/>
  <c r="AJ162" i="50"/>
  <c r="AC162" i="50" s="1"/>
  <c r="AR162" i="50" s="1"/>
  <c r="AY162" i="50" s="1"/>
  <c r="AK162" i="50"/>
  <c r="AL162" i="50"/>
  <c r="AE162" i="50" s="1"/>
  <c r="AT162" i="50" s="1"/>
  <c r="AM162" i="50"/>
  <c r="AQ162" i="50"/>
  <c r="BI162" i="50"/>
  <c r="BJ162" i="50"/>
  <c r="BK162" i="50"/>
  <c r="AA163" i="50"/>
  <c r="AP163" i="50" s="1"/>
  <c r="AW163" i="50" s="1"/>
  <c r="AE163" i="50"/>
  <c r="AT163" i="50" s="1"/>
  <c r="AF163" i="50"/>
  <c r="Y163" i="50" s="1"/>
  <c r="AN163" i="50" s="1"/>
  <c r="AU163" i="50" s="1"/>
  <c r="AG163" i="50"/>
  <c r="Z163" i="50" s="1"/>
  <c r="AO163" i="50" s="1"/>
  <c r="AH163" i="50"/>
  <c r="AI163" i="50"/>
  <c r="AB163" i="50" s="1"/>
  <c r="AQ163" i="50" s="1"/>
  <c r="AJ163" i="50"/>
  <c r="AC163" i="50" s="1"/>
  <c r="AR163" i="50" s="1"/>
  <c r="AY163" i="50" s="1"/>
  <c r="AK163" i="50"/>
  <c r="AD163" i="50" s="1"/>
  <c r="AS163" i="50" s="1"/>
  <c r="AL163" i="50"/>
  <c r="AM163" i="50"/>
  <c r="BI163" i="50"/>
  <c r="BJ163" i="50"/>
  <c r="BK163" i="50"/>
  <c r="AC164" i="50"/>
  <c r="AR164" i="50" s="1"/>
  <c r="AY164" i="50" s="1"/>
  <c r="AD164" i="50"/>
  <c r="AS164" i="50" s="1"/>
  <c r="AE164" i="50"/>
  <c r="AT164" i="50" s="1"/>
  <c r="AF164" i="50"/>
  <c r="AG164" i="50"/>
  <c r="Z164" i="50" s="1"/>
  <c r="AO164" i="50" s="1"/>
  <c r="AH164" i="50"/>
  <c r="AA164" i="50" s="1"/>
  <c r="AI164" i="50"/>
  <c r="AJ164" i="50"/>
  <c r="AK164" i="50"/>
  <c r="AL164" i="50"/>
  <c r="AM164" i="50"/>
  <c r="AP164" i="50"/>
  <c r="AW164" i="50" s="1"/>
  <c r="BI164" i="50"/>
  <c r="BJ164" i="50"/>
  <c r="BK164" i="50"/>
  <c r="AB165" i="50"/>
  <c r="AQ165" i="50" s="1"/>
  <c r="AX165" i="50" s="1"/>
  <c r="AC165" i="50"/>
  <c r="AR165" i="50" s="1"/>
  <c r="AY165" i="50" s="1"/>
  <c r="AE165" i="50"/>
  <c r="AT165" i="50" s="1"/>
  <c r="BA165" i="50" s="1"/>
  <c r="AF165" i="50"/>
  <c r="Y165" i="50" s="1"/>
  <c r="AN165" i="50" s="1"/>
  <c r="AG165" i="50"/>
  <c r="Z165" i="50" s="1"/>
  <c r="AO165" i="50" s="1"/>
  <c r="AV165" i="50" s="1"/>
  <c r="AH165" i="50"/>
  <c r="AA165" i="50" s="1"/>
  <c r="AP165" i="50" s="1"/>
  <c r="AW165" i="50" s="1"/>
  <c r="AI165" i="50"/>
  <c r="AJ165" i="50"/>
  <c r="AK165" i="50"/>
  <c r="AD165" i="50" s="1"/>
  <c r="AS165" i="50" s="1"/>
  <c r="AL165" i="50"/>
  <c r="AM165" i="50"/>
  <c r="BI165" i="50"/>
  <c r="G28" i="21" s="1"/>
  <c r="BJ165" i="50"/>
  <c r="I28" i="21" s="1"/>
  <c r="BK165" i="50"/>
  <c r="J28" i="21" s="1"/>
  <c r="AE166" i="50"/>
  <c r="AT166" i="50" s="1"/>
  <c r="BA166" i="50" s="1"/>
  <c r="AF166" i="50"/>
  <c r="Y166" i="50" s="1"/>
  <c r="AN166" i="50" s="1"/>
  <c r="AG166" i="50"/>
  <c r="Z166" i="50" s="1"/>
  <c r="AO166" i="50" s="1"/>
  <c r="AH166" i="50"/>
  <c r="AA166" i="50" s="1"/>
  <c r="AP166" i="50" s="1"/>
  <c r="AW166" i="50" s="1"/>
  <c r="AI166" i="50"/>
  <c r="AB166" i="50" s="1"/>
  <c r="AJ166" i="50"/>
  <c r="AC166" i="50" s="1"/>
  <c r="AR166" i="50" s="1"/>
  <c r="AY166" i="50" s="1"/>
  <c r="AK166" i="50"/>
  <c r="AD166" i="50" s="1"/>
  <c r="AS166" i="50" s="1"/>
  <c r="AL166" i="50"/>
  <c r="AM166" i="50"/>
  <c r="AQ166" i="50"/>
  <c r="AX166" i="50"/>
  <c r="BI166" i="50"/>
  <c r="BJ166" i="50"/>
  <c r="BK166" i="50"/>
  <c r="AA167" i="50"/>
  <c r="AP167" i="50" s="1"/>
  <c r="AW167" i="50" s="1"/>
  <c r="AD167" i="50"/>
  <c r="AF167" i="50"/>
  <c r="AG167" i="50"/>
  <c r="Z167" i="50" s="1"/>
  <c r="AO167" i="50" s="1"/>
  <c r="AH167" i="50"/>
  <c r="AI167" i="50"/>
  <c r="AB167" i="50" s="1"/>
  <c r="AQ167" i="50" s="1"/>
  <c r="AJ167" i="50"/>
  <c r="AC167" i="50" s="1"/>
  <c r="AR167" i="50" s="1"/>
  <c r="AY167" i="50" s="1"/>
  <c r="AK167" i="50"/>
  <c r="AZ167" i="50" s="1"/>
  <c r="AL167" i="50"/>
  <c r="AM167" i="50"/>
  <c r="AS167" i="50"/>
  <c r="BI167" i="50"/>
  <c r="G30" i="21" s="1"/>
  <c r="BJ167" i="50"/>
  <c r="I30" i="21" s="1"/>
  <c r="BK167" i="50"/>
  <c r="J30" i="21" s="1"/>
  <c r="D6" i="21"/>
  <c r="K7" i="21"/>
  <c r="K8" i="21"/>
  <c r="K9" i="21"/>
  <c r="K10" i="21"/>
  <c r="K13" i="21"/>
  <c r="K14" i="21"/>
  <c r="I15" i="21"/>
  <c r="K15" i="21"/>
  <c r="G16" i="21"/>
  <c r="J16" i="21"/>
  <c r="K16" i="21"/>
  <c r="K17" i="21"/>
  <c r="G18" i="21"/>
  <c r="I18" i="21"/>
  <c r="K18" i="21"/>
  <c r="K19" i="21"/>
  <c r="K20" i="21"/>
  <c r="K21" i="21"/>
  <c r="K22" i="21"/>
  <c r="J23" i="21"/>
  <c r="K23" i="21"/>
  <c r="K24" i="21"/>
  <c r="K25" i="21"/>
  <c r="G26" i="21"/>
  <c r="I26" i="21"/>
  <c r="K26" i="21"/>
  <c r="K27" i="21"/>
  <c r="K28" i="21"/>
  <c r="G29" i="21"/>
  <c r="I29" i="21"/>
  <c r="J29" i="21"/>
  <c r="K29" i="21"/>
  <c r="K30" i="21"/>
  <c r="H3" i="53"/>
  <c r="AF91" i="50" s="1"/>
  <c r="I3" i="53"/>
  <c r="J3" i="53"/>
  <c r="K3" i="53"/>
  <c r="H4" i="53"/>
  <c r="I4" i="53"/>
  <c r="J4" i="53"/>
  <c r="K4" i="53"/>
  <c r="H5" i="53"/>
  <c r="I5" i="53"/>
  <c r="J5" i="53"/>
  <c r="K5" i="53"/>
  <c r="H6" i="53"/>
  <c r="I6" i="53"/>
  <c r="J6" i="53"/>
  <c r="K6" i="53"/>
  <c r="H7" i="53"/>
  <c r="I7" i="53"/>
  <c r="J7" i="53"/>
  <c r="K7" i="53"/>
  <c r="H8" i="53"/>
  <c r="I8" i="53"/>
  <c r="J8" i="53"/>
  <c r="K8" i="53"/>
  <c r="H9" i="53"/>
  <c r="I9" i="53"/>
  <c r="J9" i="53"/>
  <c r="K9" i="53"/>
  <c r="H10" i="53"/>
  <c r="I10" i="53"/>
  <c r="J10" i="53"/>
  <c r="K10" i="53"/>
  <c r="H11" i="53"/>
  <c r="I11" i="53"/>
  <c r="J11" i="53"/>
  <c r="K11" i="53"/>
  <c r="H12" i="53"/>
  <c r="I12" i="53"/>
  <c r="J12" i="53"/>
  <c r="K12" i="53"/>
  <c r="H13" i="53"/>
  <c r="I13" i="53"/>
  <c r="J13" i="53"/>
  <c r="K13" i="53"/>
  <c r="H14" i="53"/>
  <c r="I14" i="53"/>
  <c r="J14" i="53"/>
  <c r="K14" i="53"/>
  <c r="H15" i="53"/>
  <c r="I15" i="53"/>
  <c r="J15" i="53"/>
  <c r="K15" i="53"/>
  <c r="H16" i="53"/>
  <c r="I16" i="53"/>
  <c r="J16" i="53"/>
  <c r="K16" i="53"/>
  <c r="H17" i="53"/>
  <c r="I17" i="53"/>
  <c r="J17" i="53"/>
  <c r="K17" i="53"/>
  <c r="H18" i="53"/>
  <c r="I18" i="53"/>
  <c r="J18" i="53"/>
  <c r="K18" i="53"/>
  <c r="H19" i="53"/>
  <c r="I19" i="53"/>
  <c r="J19" i="53"/>
  <c r="K19" i="53"/>
  <c r="H20" i="53"/>
  <c r="I20" i="53"/>
  <c r="J20" i="53"/>
  <c r="K20" i="53"/>
  <c r="H21" i="53"/>
  <c r="I21" i="53"/>
  <c r="J21" i="53"/>
  <c r="K21" i="53"/>
  <c r="H22" i="53"/>
  <c r="I22" i="53"/>
  <c r="J22" i="53"/>
  <c r="K22" i="53"/>
  <c r="H23" i="53"/>
  <c r="I23" i="53"/>
  <c r="J23" i="53"/>
  <c r="K23" i="53"/>
  <c r="H24" i="53"/>
  <c r="I24" i="53"/>
  <c r="J24" i="53"/>
  <c r="K24" i="53"/>
  <c r="H25" i="53"/>
  <c r="I25" i="53"/>
  <c r="J25" i="53"/>
  <c r="K25" i="53"/>
  <c r="D26" i="53"/>
  <c r="I26" i="53" s="1"/>
  <c r="H26" i="53"/>
  <c r="J26" i="53"/>
  <c r="K26" i="53"/>
  <c r="H27" i="53"/>
  <c r="I27" i="53"/>
  <c r="J27" i="53"/>
  <c r="K27" i="53"/>
  <c r="H28" i="53"/>
  <c r="I28" i="53"/>
  <c r="J28" i="53"/>
  <c r="K28" i="53"/>
  <c r="H29" i="53"/>
  <c r="I29" i="53"/>
  <c r="J29" i="53"/>
  <c r="K29" i="53"/>
  <c r="H30" i="53"/>
  <c r="I30" i="53"/>
  <c r="J30" i="53"/>
  <c r="K30" i="53"/>
  <c r="H31" i="53"/>
  <c r="I31" i="53"/>
  <c r="J31" i="53"/>
  <c r="K31" i="53"/>
  <c r="H32" i="53"/>
  <c r="I32" i="53"/>
  <c r="J32" i="53"/>
  <c r="K32" i="53"/>
  <c r="H33" i="53"/>
  <c r="I33" i="53"/>
  <c r="J33" i="53"/>
  <c r="K33" i="53"/>
  <c r="H34" i="53"/>
  <c r="I34" i="53"/>
  <c r="J34" i="53"/>
  <c r="K34" i="53"/>
  <c r="H35" i="53"/>
  <c r="I35" i="53"/>
  <c r="J35" i="53"/>
  <c r="K35" i="53"/>
  <c r="H36" i="53"/>
  <c r="I36" i="53"/>
  <c r="J36" i="53"/>
  <c r="K36" i="53"/>
  <c r="H37" i="53"/>
  <c r="I37" i="53"/>
  <c r="J37" i="53"/>
  <c r="K37" i="53"/>
  <c r="H38" i="53"/>
  <c r="I38" i="53"/>
  <c r="J38" i="53"/>
  <c r="K38" i="53"/>
  <c r="H39" i="53"/>
  <c r="I39" i="53"/>
  <c r="J39" i="53"/>
  <c r="K39" i="53"/>
  <c r="H40" i="53"/>
  <c r="I40" i="53"/>
  <c r="J40" i="53"/>
  <c r="K40" i="53"/>
  <c r="H41" i="53"/>
  <c r="I41" i="53"/>
  <c r="J41" i="53"/>
  <c r="K41" i="53"/>
  <c r="H42" i="53"/>
  <c r="I42" i="53"/>
  <c r="J42" i="53"/>
  <c r="K42" i="53"/>
  <c r="H43" i="53"/>
  <c r="I43" i="53"/>
  <c r="J43" i="53"/>
  <c r="K43" i="53"/>
  <c r="H44" i="53"/>
  <c r="I44" i="53"/>
  <c r="J44" i="53"/>
  <c r="K44" i="53"/>
  <c r="H45" i="53"/>
  <c r="I45" i="53"/>
  <c r="J45" i="53"/>
  <c r="K45" i="53"/>
  <c r="H46" i="53"/>
  <c r="I46" i="53"/>
  <c r="J46" i="53"/>
  <c r="K46" i="53"/>
  <c r="H47" i="53"/>
  <c r="I47" i="53"/>
  <c r="J47" i="53"/>
  <c r="K47" i="53"/>
  <c r="H48" i="53"/>
  <c r="I48" i="53"/>
  <c r="J48" i="53"/>
  <c r="K48" i="53"/>
  <c r="H49" i="53"/>
  <c r="I49" i="53"/>
  <c r="J49" i="53"/>
  <c r="K49" i="53"/>
  <c r="H50" i="53"/>
  <c r="I50" i="53"/>
  <c r="J50" i="53"/>
  <c r="K50" i="53"/>
  <c r="H51" i="53"/>
  <c r="I51" i="53"/>
  <c r="J51" i="53"/>
  <c r="K51" i="53"/>
  <c r="H52" i="53"/>
  <c r="I52" i="53"/>
  <c r="J52" i="53"/>
  <c r="K52" i="53"/>
  <c r="H53" i="53"/>
  <c r="I53" i="53"/>
  <c r="J53" i="53"/>
  <c r="K53" i="53"/>
  <c r="H54" i="53"/>
  <c r="I54" i="53"/>
  <c r="J54" i="53"/>
  <c r="K54" i="53"/>
  <c r="H55" i="53"/>
  <c r="I55" i="53"/>
  <c r="J55" i="53"/>
  <c r="K55" i="53"/>
  <c r="H56" i="53"/>
  <c r="I56" i="53"/>
  <c r="J56" i="53"/>
  <c r="K56" i="53"/>
  <c r="H57" i="53"/>
  <c r="I57" i="53"/>
  <c r="J57" i="53"/>
  <c r="K57" i="53"/>
  <c r="H58" i="53"/>
  <c r="I58" i="53"/>
  <c r="J58" i="53"/>
  <c r="K58" i="53"/>
  <c r="H59" i="53"/>
  <c r="I59" i="53"/>
  <c r="J59" i="53"/>
  <c r="K59" i="53"/>
  <c r="H60" i="53"/>
  <c r="I60" i="53"/>
  <c r="J60" i="53"/>
  <c r="K60" i="53"/>
  <c r="H61" i="53"/>
  <c r="I61" i="53"/>
  <c r="J61" i="53"/>
  <c r="K61" i="53"/>
  <c r="H62" i="53"/>
  <c r="I62" i="53"/>
  <c r="J62" i="53"/>
  <c r="K62" i="53"/>
  <c r="H63" i="53"/>
  <c r="I63" i="53"/>
  <c r="J63" i="53"/>
  <c r="K63" i="53"/>
  <c r="H64" i="53"/>
  <c r="I64" i="53"/>
  <c r="J64" i="53"/>
  <c r="K64" i="53"/>
  <c r="H65" i="53"/>
  <c r="I65" i="53"/>
  <c r="J65" i="53"/>
  <c r="K65" i="53"/>
  <c r="H66" i="53"/>
  <c r="I66" i="53"/>
  <c r="J66" i="53"/>
  <c r="K66" i="53"/>
  <c r="H67" i="53"/>
  <c r="I67" i="53"/>
  <c r="J67" i="53"/>
  <c r="K67" i="53"/>
  <c r="H68" i="53"/>
  <c r="I68" i="53"/>
  <c r="J68" i="53"/>
  <c r="K68" i="53"/>
  <c r="H69" i="53"/>
  <c r="I69" i="53"/>
  <c r="J69" i="53"/>
  <c r="K69" i="53"/>
  <c r="H70" i="53"/>
  <c r="I70" i="53"/>
  <c r="J70" i="53"/>
  <c r="K70" i="53"/>
  <c r="H71" i="53"/>
  <c r="I71" i="53"/>
  <c r="J71" i="53"/>
  <c r="K71" i="53"/>
  <c r="H72" i="53"/>
  <c r="I72" i="53"/>
  <c r="J72" i="53"/>
  <c r="K72" i="53"/>
  <c r="H73" i="53"/>
  <c r="I73" i="53"/>
  <c r="J73" i="53"/>
  <c r="K73" i="53"/>
  <c r="H74" i="53"/>
  <c r="I74" i="53"/>
  <c r="J74" i="53"/>
  <c r="K74" i="53"/>
  <c r="H75" i="53"/>
  <c r="I75" i="53"/>
  <c r="J75" i="53"/>
  <c r="K75" i="53"/>
  <c r="H76" i="53"/>
  <c r="I76" i="53"/>
  <c r="J76" i="53"/>
  <c r="K76" i="53"/>
  <c r="H77" i="53"/>
  <c r="I77" i="53"/>
  <c r="J77" i="53"/>
  <c r="K77" i="53"/>
  <c r="H78" i="53"/>
  <c r="I78" i="53"/>
  <c r="J78" i="53"/>
  <c r="K78" i="53"/>
  <c r="H79" i="53"/>
  <c r="I79" i="53"/>
  <c r="J79" i="53"/>
  <c r="K79" i="53"/>
  <c r="H80" i="53"/>
  <c r="I80" i="53"/>
  <c r="J80" i="53"/>
  <c r="K80" i="53"/>
  <c r="H81" i="53"/>
  <c r="I81" i="53"/>
  <c r="J81" i="53"/>
  <c r="K81" i="53"/>
  <c r="H82" i="53"/>
  <c r="I82" i="53"/>
  <c r="J82" i="53"/>
  <c r="K82" i="53"/>
  <c r="H83" i="53"/>
  <c r="I83" i="53"/>
  <c r="J83" i="53"/>
  <c r="K83" i="53"/>
  <c r="H84" i="53"/>
  <c r="I84" i="53"/>
  <c r="J84" i="53"/>
  <c r="K84" i="53"/>
  <c r="H85" i="53"/>
  <c r="I85" i="53"/>
  <c r="J85" i="53"/>
  <c r="K85" i="53"/>
  <c r="H86" i="53"/>
  <c r="I86" i="53"/>
  <c r="J86" i="53"/>
  <c r="K86" i="53"/>
  <c r="H87" i="53"/>
  <c r="I87" i="53"/>
  <c r="J87" i="53"/>
  <c r="K87" i="53"/>
  <c r="H88" i="53"/>
  <c r="I88" i="53"/>
  <c r="J88" i="53"/>
  <c r="K88" i="53"/>
  <c r="H89" i="53"/>
  <c r="I89" i="53"/>
  <c r="J89" i="53"/>
  <c r="K89" i="53"/>
  <c r="H90" i="53"/>
  <c r="I90" i="53"/>
  <c r="J90" i="53"/>
  <c r="K90" i="53"/>
  <c r="H91" i="53"/>
  <c r="I91" i="53"/>
  <c r="J91" i="53"/>
  <c r="K91" i="53"/>
  <c r="H92" i="53"/>
  <c r="I92" i="53"/>
  <c r="J92" i="53"/>
  <c r="K92" i="53"/>
  <c r="H93" i="53"/>
  <c r="I93" i="53"/>
  <c r="J93" i="53"/>
  <c r="K93" i="53"/>
  <c r="H94" i="53"/>
  <c r="I94" i="53"/>
  <c r="J94" i="53"/>
  <c r="K94" i="53"/>
  <c r="H95" i="53"/>
  <c r="I95" i="53"/>
  <c r="J95" i="53"/>
  <c r="K95" i="53"/>
  <c r="H96" i="53"/>
  <c r="I96" i="53"/>
  <c r="J96" i="53"/>
  <c r="K96" i="53"/>
  <c r="H97" i="53"/>
  <c r="I97" i="53"/>
  <c r="J97" i="53"/>
  <c r="K97" i="53"/>
  <c r="H98" i="53"/>
  <c r="I98" i="53"/>
  <c r="J98" i="53"/>
  <c r="K98" i="53"/>
  <c r="H99" i="53"/>
  <c r="I99" i="53"/>
  <c r="J99" i="53"/>
  <c r="K99" i="53"/>
  <c r="H100" i="53"/>
  <c r="I100" i="53"/>
  <c r="J100" i="53"/>
  <c r="K100" i="53"/>
  <c r="H101" i="53"/>
  <c r="I101" i="53"/>
  <c r="J101" i="53"/>
  <c r="K101" i="53"/>
  <c r="H102" i="53"/>
  <c r="I102" i="53"/>
  <c r="J102" i="53"/>
  <c r="K102" i="53"/>
  <c r="H103" i="53"/>
  <c r="I103" i="53"/>
  <c r="J103" i="53"/>
  <c r="K103" i="53"/>
  <c r="H104" i="53"/>
  <c r="I104" i="53"/>
  <c r="J104" i="53"/>
  <c r="K104" i="53"/>
  <c r="H105" i="53"/>
  <c r="I105" i="53"/>
  <c r="J105" i="53"/>
  <c r="K105" i="53"/>
  <c r="H106" i="53"/>
  <c r="I106" i="53"/>
  <c r="J106" i="53"/>
  <c r="K106" i="53"/>
  <c r="H107" i="53"/>
  <c r="I107" i="53"/>
  <c r="J107" i="53"/>
  <c r="K107" i="53"/>
  <c r="H108" i="53"/>
  <c r="I108" i="53"/>
  <c r="J108" i="53"/>
  <c r="K108" i="53"/>
  <c r="H109" i="53"/>
  <c r="I109" i="53"/>
  <c r="J109" i="53"/>
  <c r="K109" i="53"/>
  <c r="H110" i="53"/>
  <c r="I110" i="53"/>
  <c r="J110" i="53"/>
  <c r="K110" i="53"/>
  <c r="H111" i="53"/>
  <c r="I111" i="53"/>
  <c r="J111" i="53"/>
  <c r="K111" i="53"/>
  <c r="H112" i="53"/>
  <c r="I112" i="53"/>
  <c r="J112" i="53"/>
  <c r="K112" i="53"/>
  <c r="H113" i="53"/>
  <c r="I113" i="53"/>
  <c r="J113" i="53"/>
  <c r="K113" i="53"/>
  <c r="H114" i="53"/>
  <c r="I114" i="53"/>
  <c r="J114" i="53"/>
  <c r="K114" i="53"/>
  <c r="H115" i="53"/>
  <c r="I115" i="53"/>
  <c r="J115" i="53"/>
  <c r="K115" i="53"/>
  <c r="H116" i="53"/>
  <c r="I116" i="53"/>
  <c r="J116" i="53"/>
  <c r="K116" i="53"/>
  <c r="H117" i="53"/>
  <c r="I117" i="53"/>
  <c r="J117" i="53"/>
  <c r="K117" i="53"/>
  <c r="H118" i="53"/>
  <c r="I118" i="53"/>
  <c r="J118" i="53"/>
  <c r="K118" i="53"/>
  <c r="H119" i="53"/>
  <c r="I119" i="53"/>
  <c r="J119" i="53"/>
  <c r="K119" i="53"/>
  <c r="H120" i="53"/>
  <c r="I120" i="53"/>
  <c r="J120" i="53"/>
  <c r="K120" i="53"/>
  <c r="H121" i="53"/>
  <c r="I121" i="53"/>
  <c r="J121" i="53"/>
  <c r="K121" i="53"/>
  <c r="H122" i="53"/>
  <c r="I122" i="53"/>
  <c r="J122" i="53"/>
  <c r="K122" i="53"/>
  <c r="H123" i="53"/>
  <c r="I123" i="53"/>
  <c r="J123" i="53"/>
  <c r="K123" i="53"/>
  <c r="H124" i="53"/>
  <c r="I124" i="53"/>
  <c r="J124" i="53"/>
  <c r="K124" i="53"/>
  <c r="H125" i="53"/>
  <c r="I125" i="53"/>
  <c r="J125" i="53"/>
  <c r="K125" i="53"/>
  <c r="H126" i="53"/>
  <c r="I126" i="53"/>
  <c r="J126" i="53"/>
  <c r="K126" i="53"/>
  <c r="H127" i="53"/>
  <c r="I127" i="53"/>
  <c r="J127" i="53"/>
  <c r="K127" i="53"/>
  <c r="H128" i="53"/>
  <c r="I128" i="53"/>
  <c r="J128" i="53"/>
  <c r="K128" i="53"/>
  <c r="H129" i="53"/>
  <c r="I129" i="53"/>
  <c r="J129" i="53"/>
  <c r="K129" i="53"/>
  <c r="H130" i="53"/>
  <c r="I130" i="53"/>
  <c r="J130" i="53"/>
  <c r="K130" i="53"/>
  <c r="H131" i="53"/>
  <c r="I131" i="53"/>
  <c r="J131" i="53"/>
  <c r="K131" i="53"/>
  <c r="H132" i="53"/>
  <c r="I132" i="53"/>
  <c r="J132" i="53"/>
  <c r="K132" i="53"/>
  <c r="H133" i="53"/>
  <c r="I133" i="53"/>
  <c r="J133" i="53"/>
  <c r="K133" i="53"/>
  <c r="H134" i="53"/>
  <c r="I134" i="53"/>
  <c r="J134" i="53"/>
  <c r="K134" i="53"/>
  <c r="H135" i="53"/>
  <c r="I135" i="53"/>
  <c r="J135" i="53"/>
  <c r="K135" i="53"/>
  <c r="H136" i="53"/>
  <c r="I136" i="53"/>
  <c r="J136" i="53"/>
  <c r="K136" i="53"/>
  <c r="H137" i="53"/>
  <c r="I137" i="53"/>
  <c r="J137" i="53"/>
  <c r="K137" i="53"/>
  <c r="H138" i="53"/>
  <c r="I138" i="53"/>
  <c r="J138" i="53"/>
  <c r="K138" i="53"/>
  <c r="H139" i="53"/>
  <c r="I139" i="53"/>
  <c r="J139" i="53"/>
  <c r="K139" i="53"/>
  <c r="H140" i="53"/>
  <c r="I140" i="53"/>
  <c r="J140" i="53"/>
  <c r="K140" i="53"/>
  <c r="H141" i="53"/>
  <c r="I141" i="53"/>
  <c r="J141" i="53"/>
  <c r="K141" i="53"/>
  <c r="H142" i="53"/>
  <c r="I142" i="53"/>
  <c r="J142" i="53"/>
  <c r="K142" i="53"/>
  <c r="H143" i="53"/>
  <c r="I143" i="53"/>
  <c r="J143" i="53"/>
  <c r="K143" i="53"/>
  <c r="H144" i="53"/>
  <c r="I144" i="53"/>
  <c r="J144" i="53"/>
  <c r="K144" i="53"/>
  <c r="H145" i="53"/>
  <c r="I145" i="53"/>
  <c r="J145" i="53"/>
  <c r="K145" i="53"/>
  <c r="H146" i="53"/>
  <c r="I146" i="53"/>
  <c r="J146" i="53"/>
  <c r="K146" i="53"/>
  <c r="H147" i="53"/>
  <c r="I147" i="53"/>
  <c r="J147" i="53"/>
  <c r="K147" i="53"/>
  <c r="H148" i="53"/>
  <c r="I148" i="53"/>
  <c r="J148" i="53"/>
  <c r="K148" i="53"/>
  <c r="H149" i="53"/>
  <c r="I149" i="53"/>
  <c r="J149" i="53"/>
  <c r="K149" i="53"/>
  <c r="H150" i="53"/>
  <c r="I150" i="53"/>
  <c r="J150" i="53"/>
  <c r="K150" i="53"/>
  <c r="H151" i="53"/>
  <c r="I151" i="53"/>
  <c r="J151" i="53"/>
  <c r="K151" i="53"/>
  <c r="H152" i="53"/>
  <c r="I152" i="53"/>
  <c r="J152" i="53"/>
  <c r="K152" i="53"/>
  <c r="H153" i="53"/>
  <c r="I153" i="53"/>
  <c r="J153" i="53"/>
  <c r="K153" i="53"/>
  <c r="H154" i="53"/>
  <c r="I154" i="53"/>
  <c r="J154" i="53"/>
  <c r="K154" i="53"/>
  <c r="H155" i="53"/>
  <c r="I155" i="53"/>
  <c r="J155" i="53"/>
  <c r="K155" i="53"/>
  <c r="H156" i="53"/>
  <c r="I156" i="53"/>
  <c r="J156" i="53"/>
  <c r="K156" i="53"/>
  <c r="H157" i="53"/>
  <c r="I157" i="53"/>
  <c r="J157" i="53"/>
  <c r="K157" i="53"/>
  <c r="H158" i="53"/>
  <c r="I158" i="53"/>
  <c r="J158" i="53"/>
  <c r="K158" i="53"/>
  <c r="H159" i="53"/>
  <c r="I159" i="53"/>
  <c r="J159" i="53"/>
  <c r="K159" i="53"/>
  <c r="H160" i="53"/>
  <c r="I160" i="53"/>
  <c r="J160" i="53"/>
  <c r="K160" i="53"/>
  <c r="H161" i="53"/>
  <c r="I161" i="53"/>
  <c r="J161" i="53"/>
  <c r="K161" i="53"/>
  <c r="H162" i="53"/>
  <c r="I162" i="53"/>
  <c r="J162" i="53"/>
  <c r="K162" i="53"/>
  <c r="H163" i="53"/>
  <c r="I163" i="53"/>
  <c r="J163" i="53"/>
  <c r="K163" i="53"/>
  <c r="H164" i="53"/>
  <c r="I164" i="53"/>
  <c r="J164" i="53"/>
  <c r="K164" i="53"/>
  <c r="H165" i="53"/>
  <c r="I165" i="53"/>
  <c r="J165" i="53"/>
  <c r="K165" i="53"/>
  <c r="H166" i="53"/>
  <c r="I166" i="53"/>
  <c r="J166" i="53"/>
  <c r="K166" i="53"/>
  <c r="H167" i="53"/>
  <c r="I167" i="53"/>
  <c r="J167" i="53"/>
  <c r="K167" i="53"/>
  <c r="H168" i="53"/>
  <c r="I168" i="53"/>
  <c r="J168" i="53"/>
  <c r="K168" i="53"/>
  <c r="H169" i="53"/>
  <c r="I169" i="53"/>
  <c r="J169" i="53"/>
  <c r="K169" i="53"/>
  <c r="H170" i="53"/>
  <c r="I170" i="53"/>
  <c r="J170" i="53"/>
  <c r="K170" i="53"/>
  <c r="H171" i="53"/>
  <c r="I171" i="53"/>
  <c r="J171" i="53"/>
  <c r="K171" i="53"/>
  <c r="H172" i="53"/>
  <c r="I172" i="53"/>
  <c r="J172" i="53"/>
  <c r="K172" i="53"/>
  <c r="H173" i="53"/>
  <c r="I173" i="53"/>
  <c r="J173" i="53"/>
  <c r="K173" i="53"/>
  <c r="H174" i="53"/>
  <c r="I174" i="53"/>
  <c r="J174" i="53"/>
  <c r="K174" i="53"/>
  <c r="H175" i="53"/>
  <c r="I175" i="53"/>
  <c r="J175" i="53"/>
  <c r="K175" i="53"/>
  <c r="H176" i="53"/>
  <c r="I176" i="53"/>
  <c r="J176" i="53"/>
  <c r="K176" i="53"/>
  <c r="H177" i="53"/>
  <c r="I177" i="53"/>
  <c r="J177" i="53"/>
  <c r="K177" i="53"/>
  <c r="H178" i="53"/>
  <c r="I178" i="53"/>
  <c r="J178" i="53"/>
  <c r="K178" i="53"/>
  <c r="H179" i="53"/>
  <c r="I179" i="53"/>
  <c r="J179" i="53"/>
  <c r="K179" i="53"/>
  <c r="H180" i="53"/>
  <c r="I180" i="53"/>
  <c r="J180" i="53"/>
  <c r="K180" i="53"/>
  <c r="H181" i="53"/>
  <c r="I181" i="53"/>
  <c r="J181" i="53"/>
  <c r="K181" i="53"/>
  <c r="H182" i="53"/>
  <c r="I182" i="53"/>
  <c r="J182" i="53"/>
  <c r="K182" i="53"/>
  <c r="H183" i="53"/>
  <c r="I183" i="53"/>
  <c r="J183" i="53"/>
  <c r="K183" i="53"/>
  <c r="H184" i="53"/>
  <c r="I184" i="53"/>
  <c r="J184" i="53"/>
  <c r="K184" i="53"/>
  <c r="D185" i="53"/>
  <c r="H185" i="53"/>
  <c r="I185" i="53"/>
  <c r="J185" i="53"/>
  <c r="K185" i="53"/>
  <c r="H186" i="53"/>
  <c r="I186" i="53"/>
  <c r="J186" i="53"/>
  <c r="K186" i="53"/>
  <c r="H187" i="53"/>
  <c r="I187" i="53"/>
  <c r="J187" i="53"/>
  <c r="K187" i="53"/>
  <c r="H188" i="53"/>
  <c r="I188" i="53"/>
  <c r="J188" i="53"/>
  <c r="K188" i="53"/>
  <c r="H189" i="53"/>
  <c r="I189" i="53"/>
  <c r="J189" i="53"/>
  <c r="K189" i="53"/>
  <c r="H190" i="53"/>
  <c r="I190" i="53"/>
  <c r="J190" i="53"/>
  <c r="K190" i="53"/>
  <c r="H191" i="53"/>
  <c r="I191" i="53"/>
  <c r="J191" i="53"/>
  <c r="K191" i="53"/>
  <c r="H192" i="53"/>
  <c r="I192" i="53"/>
  <c r="J192" i="53"/>
  <c r="K192" i="53"/>
  <c r="H193" i="53"/>
  <c r="I193" i="53"/>
  <c r="J193" i="53"/>
  <c r="K193" i="53"/>
  <c r="H194" i="53"/>
  <c r="I194" i="53"/>
  <c r="J194" i="53"/>
  <c r="K194" i="53"/>
  <c r="H195" i="53"/>
  <c r="I195" i="53"/>
  <c r="J195" i="53"/>
  <c r="K195" i="53"/>
  <c r="H196" i="53"/>
  <c r="I196" i="53"/>
  <c r="J196" i="53"/>
  <c r="K196" i="53"/>
  <c r="H197" i="53"/>
  <c r="I197" i="53"/>
  <c r="J197" i="53"/>
  <c r="K197" i="53"/>
  <c r="H198" i="53"/>
  <c r="I198" i="53"/>
  <c r="J198" i="53"/>
  <c r="K198" i="53"/>
  <c r="H199" i="53"/>
  <c r="I199" i="53"/>
  <c r="J199" i="53"/>
  <c r="K199" i="53"/>
  <c r="H200" i="53"/>
  <c r="I200" i="53"/>
  <c r="J200" i="53"/>
  <c r="K200" i="53"/>
  <c r="H201" i="53"/>
  <c r="I201" i="53"/>
  <c r="J201" i="53"/>
  <c r="K201" i="53"/>
  <c r="H202" i="53"/>
  <c r="I202" i="53"/>
  <c r="J202" i="53"/>
  <c r="K202" i="53"/>
  <c r="H203" i="53"/>
  <c r="I203" i="53"/>
  <c r="J203" i="53"/>
  <c r="K203" i="53"/>
  <c r="H204" i="53"/>
  <c r="I204" i="53"/>
  <c r="J204" i="53"/>
  <c r="K204" i="53"/>
  <c r="H205" i="53"/>
  <c r="I205" i="53"/>
  <c r="J205" i="53"/>
  <c r="K205" i="53"/>
  <c r="H206" i="53"/>
  <c r="I206" i="53"/>
  <c r="J206" i="53"/>
  <c r="K206" i="53"/>
  <c r="H207" i="53"/>
  <c r="I207" i="53"/>
  <c r="J207" i="53"/>
  <c r="K207" i="53"/>
  <c r="H208" i="53"/>
  <c r="I208" i="53"/>
  <c r="J208" i="53"/>
  <c r="K208" i="53"/>
  <c r="H209" i="53"/>
  <c r="I209" i="53"/>
  <c r="J209" i="53"/>
  <c r="K209" i="53"/>
  <c r="H210" i="53"/>
  <c r="I210" i="53"/>
  <c r="J210" i="53"/>
  <c r="K210" i="53"/>
  <c r="H211" i="53"/>
  <c r="I211" i="53"/>
  <c r="J211" i="53"/>
  <c r="K211" i="53"/>
  <c r="H212" i="53"/>
  <c r="I212" i="53"/>
  <c r="J212" i="53"/>
  <c r="K212" i="53"/>
  <c r="H213" i="53"/>
  <c r="I213" i="53"/>
  <c r="J213" i="53"/>
  <c r="K213" i="53"/>
  <c r="H214" i="53"/>
  <c r="I214" i="53"/>
  <c r="J214" i="53"/>
  <c r="K214" i="53"/>
  <c r="H215" i="53"/>
  <c r="I215" i="53"/>
  <c r="J215" i="53"/>
  <c r="K215" i="53"/>
  <c r="H216" i="53"/>
  <c r="I216" i="53"/>
  <c r="J216" i="53"/>
  <c r="K216" i="53"/>
  <c r="H217" i="53"/>
  <c r="I217" i="53"/>
  <c r="J217" i="53"/>
  <c r="K217" i="53"/>
  <c r="H218" i="53"/>
  <c r="I218" i="53"/>
  <c r="J218" i="53"/>
  <c r="K218" i="53"/>
  <c r="H219" i="53"/>
  <c r="I219" i="53"/>
  <c r="J219" i="53"/>
  <c r="K219" i="53"/>
  <c r="H220" i="53"/>
  <c r="I220" i="53"/>
  <c r="J220" i="53"/>
  <c r="K220" i="53"/>
  <c r="H221" i="53"/>
  <c r="I221" i="53"/>
  <c r="J221" i="53"/>
  <c r="K221" i="53"/>
  <c r="H222" i="53"/>
  <c r="I222" i="53"/>
  <c r="J222" i="53"/>
  <c r="K222" i="53"/>
  <c r="H223" i="53"/>
  <c r="I223" i="53"/>
  <c r="J223" i="53"/>
  <c r="K223" i="53"/>
  <c r="H224" i="53"/>
  <c r="I224" i="53"/>
  <c r="J224" i="53"/>
  <c r="K224" i="53"/>
  <c r="H225" i="53"/>
  <c r="I225" i="53"/>
  <c r="J225" i="53"/>
  <c r="K225" i="53"/>
  <c r="H226" i="53"/>
  <c r="I226" i="53"/>
  <c r="J226" i="53"/>
  <c r="K226" i="53"/>
  <c r="H227" i="53"/>
  <c r="I227" i="53"/>
  <c r="J227" i="53"/>
  <c r="K227" i="53"/>
  <c r="H228" i="53"/>
  <c r="I228" i="53"/>
  <c r="J228" i="53"/>
  <c r="K228" i="53"/>
  <c r="H229" i="53"/>
  <c r="I229" i="53"/>
  <c r="J229" i="53"/>
  <c r="K229" i="53"/>
  <c r="H230" i="53"/>
  <c r="I230" i="53"/>
  <c r="J230" i="53"/>
  <c r="K230" i="53"/>
  <c r="H231" i="53"/>
  <c r="I231" i="53"/>
  <c r="J231" i="53"/>
  <c r="K231" i="53"/>
  <c r="H232" i="53"/>
  <c r="I232" i="53"/>
  <c r="J232" i="53"/>
  <c r="K232" i="53"/>
  <c r="H233" i="53"/>
  <c r="I233" i="53"/>
  <c r="J233" i="53"/>
  <c r="K233" i="53"/>
  <c r="H234" i="53"/>
  <c r="I234" i="53"/>
  <c r="J234" i="53"/>
  <c r="K234" i="53"/>
  <c r="H235" i="53"/>
  <c r="I235" i="53"/>
  <c r="J235" i="53"/>
  <c r="K235" i="53"/>
  <c r="H236" i="53"/>
  <c r="I236" i="53"/>
  <c r="J236" i="53"/>
  <c r="K236" i="53"/>
  <c r="H237" i="53"/>
  <c r="I237" i="53"/>
  <c r="J237" i="53"/>
  <c r="K237" i="53"/>
  <c r="H238" i="53"/>
  <c r="I238" i="53"/>
  <c r="J238" i="53"/>
  <c r="K238" i="53"/>
  <c r="H239" i="53"/>
  <c r="I239" i="53"/>
  <c r="J239" i="53"/>
  <c r="K239" i="53"/>
  <c r="H240" i="53"/>
  <c r="I240" i="53"/>
  <c r="J240" i="53"/>
  <c r="K240" i="53"/>
  <c r="H241" i="53"/>
  <c r="I241" i="53"/>
  <c r="J241" i="53"/>
  <c r="K241" i="53"/>
  <c r="H242" i="53"/>
  <c r="I242" i="53"/>
  <c r="J242" i="53"/>
  <c r="K242" i="53"/>
  <c r="H243" i="53"/>
  <c r="I243" i="53"/>
  <c r="J243" i="53"/>
  <c r="K243" i="53"/>
  <c r="H244" i="53"/>
  <c r="I244" i="53"/>
  <c r="J244" i="53"/>
  <c r="K244" i="53"/>
  <c r="H245" i="53"/>
  <c r="I245" i="53"/>
  <c r="J245" i="53"/>
  <c r="K245" i="53"/>
  <c r="BJ94" i="50" l="1"/>
  <c r="BI132" i="50"/>
  <c r="D36" i="62"/>
  <c r="BK132" i="50"/>
  <c r="BK147" i="50"/>
  <c r="L124" i="50"/>
  <c r="AF124" i="50" s="1"/>
  <c r="Y124" i="50" s="1"/>
  <c r="AN124" i="50" s="1"/>
  <c r="AY132" i="50"/>
  <c r="D43" i="62"/>
  <c r="D45" i="62"/>
  <c r="AX147" i="50"/>
  <c r="BJ143" i="50"/>
  <c r="D39" i="62"/>
  <c r="BI94" i="50"/>
  <c r="AX145" i="50"/>
  <c r="BK94" i="50"/>
  <c r="Y108" i="50"/>
  <c r="AN108" i="50" s="1"/>
  <c r="AU108" i="50" s="1"/>
  <c r="AU167" i="50"/>
  <c r="Y167" i="50"/>
  <c r="AN167" i="50" s="1"/>
  <c r="J17" i="21"/>
  <c r="BA164" i="50"/>
  <c r="AW117" i="50"/>
  <c r="AX103" i="50"/>
  <c r="AT96" i="50"/>
  <c r="AZ164" i="50"/>
  <c r="AU158" i="50"/>
  <c r="Y158" i="50"/>
  <c r="AN158" i="50" s="1"/>
  <c r="AZ157" i="50"/>
  <c r="AW155" i="50"/>
  <c r="AA123" i="50"/>
  <c r="AP123" i="50" s="1"/>
  <c r="AW123" i="50" s="1"/>
  <c r="AA120" i="50"/>
  <c r="AP120" i="50" s="1"/>
  <c r="AW120" i="50" s="1"/>
  <c r="AV119" i="50"/>
  <c r="AV114" i="50"/>
  <c r="AA113" i="50"/>
  <c r="AP113" i="50" s="1"/>
  <c r="AW113" i="50" s="1"/>
  <c r="AP96" i="50"/>
  <c r="AA147" i="50"/>
  <c r="AP147" i="50" s="1"/>
  <c r="AW147" i="50" s="1"/>
  <c r="Y110" i="50"/>
  <c r="AN110" i="50" s="1"/>
  <c r="AU110" i="50" s="1"/>
  <c r="Y164" i="50"/>
  <c r="AN164" i="50" s="1"/>
  <c r="AU164" i="50" s="1"/>
  <c r="Y49" i="50"/>
  <c r="AN49" i="50" s="1"/>
  <c r="AU49" i="50"/>
  <c r="J27" i="21"/>
  <c r="AW161" i="50"/>
  <c r="AW160" i="50"/>
  <c r="AY152" i="50"/>
  <c r="AA134" i="50"/>
  <c r="AP134" i="50" s="1"/>
  <c r="AW134" i="50" s="1"/>
  <c r="Y120" i="50"/>
  <c r="AN120" i="50" s="1"/>
  <c r="AU120" i="50" s="1"/>
  <c r="AV163" i="50"/>
  <c r="AB154" i="50"/>
  <c r="AQ154" i="50" s="1"/>
  <c r="AX154" i="50" s="1"/>
  <c r="BA135" i="50"/>
  <c r="AZ112" i="50"/>
  <c r="AE134" i="50"/>
  <c r="AT134" i="50" s="1"/>
  <c r="BA134" i="50" s="1"/>
  <c r="AB119" i="50"/>
  <c r="AQ119" i="50" s="1"/>
  <c r="AX119" i="50" s="1"/>
  <c r="AE111" i="50"/>
  <c r="AT111" i="50" s="1"/>
  <c r="BA111" i="50" s="1"/>
  <c r="Y102" i="50"/>
  <c r="AN102" i="50" s="1"/>
  <c r="AU102" i="50" s="1"/>
  <c r="Y152" i="50"/>
  <c r="AN152" i="50" s="1"/>
  <c r="AU152" i="50" s="1"/>
  <c r="AA139" i="50"/>
  <c r="AP139" i="50" s="1"/>
  <c r="AW139" i="50" s="1"/>
  <c r="AV136" i="50"/>
  <c r="J21" i="21"/>
  <c r="BJ97" i="50"/>
  <c r="BI97" i="50"/>
  <c r="AE49" i="50"/>
  <c r="AT49" i="50" s="1"/>
  <c r="BA49" i="50"/>
  <c r="AU157" i="50"/>
  <c r="Y157" i="50"/>
  <c r="AN157" i="50" s="1"/>
  <c r="I21" i="21"/>
  <c r="AP95" i="50"/>
  <c r="AT95" i="50"/>
  <c r="J24" i="21"/>
  <c r="AZ151" i="50"/>
  <c r="AU147" i="50"/>
  <c r="Y121" i="50"/>
  <c r="AN121" i="50" s="1"/>
  <c r="AU121" i="50" s="1"/>
  <c r="AV109" i="50"/>
  <c r="Z109" i="50"/>
  <c r="AO109" i="50" s="1"/>
  <c r="AS95" i="50"/>
  <c r="AY135" i="50"/>
  <c r="AV110" i="50"/>
  <c r="J15" i="21"/>
  <c r="AX135" i="50"/>
  <c r="AC106" i="50"/>
  <c r="AR106" i="50" s="1"/>
  <c r="AY106" i="50" s="1"/>
  <c r="AU105" i="50"/>
  <c r="I19" i="21"/>
  <c r="BK143" i="50"/>
  <c r="BA132" i="50"/>
  <c r="AZ146" i="50"/>
  <c r="AZ145" i="50"/>
  <c r="AZ132" i="50"/>
  <c r="AY145" i="50"/>
  <c r="AU132" i="50"/>
  <c r="BJ147" i="50"/>
  <c r="BI147" i="50"/>
  <c r="AV132" i="50"/>
  <c r="BA163" i="50"/>
  <c r="AY151" i="50"/>
  <c r="AZ163" i="50"/>
  <c r="AX161" i="50"/>
  <c r="AV158" i="50"/>
  <c r="BA154" i="50"/>
  <c r="AY153" i="50"/>
  <c r="AZ152" i="50"/>
  <c r="AX160" i="50"/>
  <c r="Y91" i="50"/>
  <c r="AN91" i="50" s="1"/>
  <c r="AZ162" i="50"/>
  <c r="AB133" i="50"/>
  <c r="AQ133" i="50" s="1"/>
  <c r="AX133" i="50" s="1"/>
  <c r="AE123" i="50"/>
  <c r="AT123" i="50" s="1"/>
  <c r="BA123" i="50" s="1"/>
  <c r="AD107" i="50"/>
  <c r="AS107" i="50" s="1"/>
  <c r="AZ107" i="50" s="1"/>
  <c r="AF98" i="50"/>
  <c r="AU98" i="50" s="1"/>
  <c r="BB98" i="50" s="1"/>
  <c r="AX159" i="50"/>
  <c r="AV166" i="50"/>
  <c r="AU165" i="50"/>
  <c r="AZ161" i="50"/>
  <c r="AX158" i="50"/>
  <c r="AW157" i="50"/>
  <c r="AV155" i="50"/>
  <c r="AU154" i="50"/>
  <c r="BA147" i="50"/>
  <c r="AY146" i="50"/>
  <c r="BA145" i="50"/>
  <c r="AU145" i="50"/>
  <c r="BI141" i="50"/>
  <c r="AY139" i="50"/>
  <c r="AD136" i="50"/>
  <c r="AS136" i="50" s="1"/>
  <c r="AZ136" i="50" s="1"/>
  <c r="BB136" i="50" s="1"/>
  <c r="Z135" i="50"/>
  <c r="AO135" i="50" s="1"/>
  <c r="AV135" i="50" s="1"/>
  <c r="AX132" i="50"/>
  <c r="AV123" i="50"/>
  <c r="AZ122" i="50"/>
  <c r="Z111" i="50"/>
  <c r="AO111" i="50" s="1"/>
  <c r="AV111" i="50" s="1"/>
  <c r="AC107" i="50"/>
  <c r="AR107" i="50" s="1"/>
  <c r="AY107" i="50" s="1"/>
  <c r="AA105" i="50"/>
  <c r="AP105" i="50" s="1"/>
  <c r="AW105" i="50" s="1"/>
  <c r="BA103" i="50"/>
  <c r="AF93" i="50"/>
  <c r="Y93" i="50" s="1"/>
  <c r="AN93" i="50" s="1"/>
  <c r="AF95" i="50"/>
  <c r="AF97" i="50"/>
  <c r="AU97" i="50" s="1"/>
  <c r="BB97" i="50" s="1"/>
  <c r="AF94" i="50"/>
  <c r="Y94" i="50" s="1"/>
  <c r="AN94" i="50" s="1"/>
  <c r="AF92" i="50"/>
  <c r="AV167" i="50"/>
  <c r="AE167" i="50"/>
  <c r="AT167" i="50" s="1"/>
  <c r="BA167" i="50" s="1"/>
  <c r="AU166" i="50"/>
  <c r="AB164" i="50"/>
  <c r="AQ164" i="50" s="1"/>
  <c r="AX164" i="50" s="1"/>
  <c r="BA162" i="50"/>
  <c r="AY161" i="50"/>
  <c r="AY160" i="50"/>
  <c r="AV160" i="50"/>
  <c r="AY159" i="50"/>
  <c r="AW158" i="50"/>
  <c r="AV157" i="50"/>
  <c r="BB157" i="50" s="1"/>
  <c r="AD156" i="50"/>
  <c r="AS156" i="50" s="1"/>
  <c r="AZ156" i="50" s="1"/>
  <c r="AU155" i="50"/>
  <c r="AD155" i="50"/>
  <c r="AS155" i="50" s="1"/>
  <c r="AZ155" i="50" s="1"/>
  <c r="AZ154" i="50"/>
  <c r="BA152" i="50"/>
  <c r="AA152" i="50"/>
  <c r="AP152" i="50" s="1"/>
  <c r="AW152" i="50" s="1"/>
  <c r="BA151" i="50"/>
  <c r="AX151" i="50"/>
  <c r="AZ147" i="50"/>
  <c r="AX146" i="50"/>
  <c r="AW145" i="50"/>
  <c r="AX139" i="50"/>
  <c r="AX137" i="50"/>
  <c r="AU134" i="50"/>
  <c r="AZ134" i="50"/>
  <c r="BA133" i="50"/>
  <c r="AF125" i="50"/>
  <c r="AY123" i="50"/>
  <c r="BA122" i="50"/>
  <c r="AW119" i="50"/>
  <c r="AC113" i="50"/>
  <c r="AR113" i="50" s="1"/>
  <c r="AY113" i="50" s="1"/>
  <c r="AV112" i="50"/>
  <c r="AU111" i="50"/>
  <c r="AX107" i="50"/>
  <c r="AV105" i="50"/>
  <c r="AT93" i="50"/>
  <c r="AS93" i="50"/>
  <c r="AZ166" i="50"/>
  <c r="AX163" i="50"/>
  <c r="BB163" i="50" s="1"/>
  <c r="AZ153" i="50"/>
  <c r="AW146" i="50"/>
  <c r="AV145" i="50"/>
  <c r="AX143" i="50"/>
  <c r="AZ140" i="50"/>
  <c r="AX138" i="50"/>
  <c r="AW137" i="50"/>
  <c r="AX116" i="50"/>
  <c r="BA112" i="50"/>
  <c r="AY111" i="50"/>
  <c r="AZ110" i="50"/>
  <c r="AD110" i="50"/>
  <c r="AS110" i="50" s="1"/>
  <c r="AE108" i="50"/>
  <c r="AT108" i="50" s="1"/>
  <c r="BA108" i="50" s="1"/>
  <c r="Z108" i="50"/>
  <c r="AO108" i="50" s="1"/>
  <c r="AV108" i="50" s="1"/>
  <c r="AA106" i="50"/>
  <c r="AP106" i="50" s="1"/>
  <c r="AW106" i="50" s="1"/>
  <c r="AE104" i="50"/>
  <c r="AT104" i="50" s="1"/>
  <c r="BA104" i="50" s="1"/>
  <c r="D44" i="62"/>
  <c r="AZ165" i="50"/>
  <c r="AX162" i="50"/>
  <c r="AV159" i="50"/>
  <c r="AV152" i="50"/>
  <c r="AV147" i="50"/>
  <c r="AU146" i="50"/>
  <c r="BA143" i="50"/>
  <c r="AY140" i="50"/>
  <c r="BA138" i="50"/>
  <c r="AV137" i="50"/>
  <c r="AX134" i="50"/>
  <c r="AW133" i="50"/>
  <c r="BB133" i="50" s="1"/>
  <c r="AU122" i="50"/>
  <c r="AY122" i="50"/>
  <c r="AW121" i="50"/>
  <c r="BA119" i="50"/>
  <c r="AU119" i="50"/>
  <c r="Y118" i="50"/>
  <c r="AN118" i="50" s="1"/>
  <c r="AU118" i="50" s="1"/>
  <c r="AA116" i="50"/>
  <c r="AP116" i="50" s="1"/>
  <c r="AW116" i="50" s="1"/>
  <c r="AV115" i="50"/>
  <c r="Z115" i="50"/>
  <c r="AO115" i="50" s="1"/>
  <c r="Y114" i="50"/>
  <c r="AN114" i="50" s="1"/>
  <c r="AU114" i="50" s="1"/>
  <c r="AW111" i="50"/>
  <c r="AX108" i="50"/>
  <c r="AV107" i="50"/>
  <c r="Z104" i="50"/>
  <c r="AO104" i="50" s="1"/>
  <c r="AV104" i="50" s="1"/>
  <c r="Y103" i="50"/>
  <c r="AN103" i="50" s="1"/>
  <c r="AU103" i="50" s="1"/>
  <c r="AV164" i="50"/>
  <c r="AZ158" i="50"/>
  <c r="AX155" i="50"/>
  <c r="AU140" i="50"/>
  <c r="AZ137" i="50"/>
  <c r="AZ135" i="50"/>
  <c r="AC121" i="50"/>
  <c r="AR121" i="50" s="1"/>
  <c r="AY121" i="50" s="1"/>
  <c r="Z121" i="50"/>
  <c r="AO121" i="50" s="1"/>
  <c r="AV121" i="50" s="1"/>
  <c r="BA120" i="50"/>
  <c r="AC119" i="50"/>
  <c r="AR119" i="50" s="1"/>
  <c r="AY119" i="50" s="1"/>
  <c r="AV116" i="50"/>
  <c r="AV113" i="50"/>
  <c r="AX110" i="50"/>
  <c r="AU109" i="50"/>
  <c r="Y106" i="50"/>
  <c r="AN106" i="50" s="1"/>
  <c r="AU106" i="50" s="1"/>
  <c r="AB102" i="50"/>
  <c r="AQ102" i="50" s="1"/>
  <c r="AX102" i="50" s="1"/>
  <c r="AT92" i="50"/>
  <c r="AS92" i="50"/>
  <c r="AX167" i="50"/>
  <c r="G27" i="21"/>
  <c r="Z156" i="50"/>
  <c r="AO156" i="50" s="1"/>
  <c r="AV156" i="50" s="1"/>
  <c r="BB156" i="50" s="1"/>
  <c r="Z139" i="50"/>
  <c r="AO139" i="50" s="1"/>
  <c r="AV139" i="50" s="1"/>
  <c r="AZ133" i="50"/>
  <c r="AW132" i="50"/>
  <c r="Y123" i="50"/>
  <c r="AN123" i="50" s="1"/>
  <c r="AU123" i="50" s="1"/>
  <c r="AA122" i="50"/>
  <c r="AP122" i="50" s="1"/>
  <c r="AW122" i="50" s="1"/>
  <c r="AY118" i="50"/>
  <c r="G19" i="21"/>
  <c r="BA113" i="50"/>
  <c r="AU113" i="50"/>
  <c r="AX104" i="50"/>
  <c r="AP92" i="50"/>
  <c r="AZ119" i="50"/>
  <c r="AD119" i="50"/>
  <c r="AS119" i="50" s="1"/>
  <c r="AZ117" i="50"/>
  <c r="AC117" i="50"/>
  <c r="AR117" i="50" s="1"/>
  <c r="AY117" i="50" s="1"/>
  <c r="AZ115" i="50"/>
  <c r="AE115" i="50"/>
  <c r="AT115" i="50" s="1"/>
  <c r="BA115" i="50" s="1"/>
  <c r="AD114" i="50"/>
  <c r="AS114" i="50" s="1"/>
  <c r="AZ114" i="50" s="1"/>
  <c r="AA108" i="50"/>
  <c r="AP108" i="50" s="1"/>
  <c r="AW108" i="50" s="1"/>
  <c r="AZ106" i="50"/>
  <c r="AC105" i="50"/>
  <c r="AR105" i="50" s="1"/>
  <c r="AY105" i="50" s="1"/>
  <c r="Z103" i="50"/>
  <c r="AO103" i="50" s="1"/>
  <c r="AV103" i="50" s="1"/>
  <c r="AZ118" i="50"/>
  <c r="AY109" i="50"/>
  <c r="AA104" i="50"/>
  <c r="AP104" i="50" s="1"/>
  <c r="AW104" i="50" s="1"/>
  <c r="AZ103" i="50"/>
  <c r="AF96" i="50"/>
  <c r="AU115" i="50"/>
  <c r="AW114" i="50"/>
  <c r="AZ111" i="50"/>
  <c r="AA109" i="50"/>
  <c r="AP109" i="50" s="1"/>
  <c r="AW109" i="50" s="1"/>
  <c r="AU107" i="50"/>
  <c r="AZ102" i="50"/>
  <c r="BI98" i="50"/>
  <c r="BJ98" i="50"/>
  <c r="AB49" i="50"/>
  <c r="AQ49" i="50" s="1"/>
  <c r="AX49" i="50" s="1"/>
  <c r="AX106" i="50"/>
  <c r="AY102" i="50"/>
  <c r="AP91" i="50"/>
  <c r="AT91" i="50"/>
  <c r="BK90" i="50"/>
  <c r="AF90" i="50"/>
  <c r="BA116" i="50"/>
  <c r="AY49" i="50"/>
  <c r="AW49" i="50"/>
  <c r="AW118" i="50"/>
  <c r="AW110" i="50"/>
  <c r="AW102" i="50"/>
  <c r="BB159" i="50" l="1"/>
  <c r="BB105" i="50"/>
  <c r="BB162" i="50"/>
  <c r="BB114" i="50"/>
  <c r="BB138" i="50"/>
  <c r="BB135" i="50"/>
  <c r="AW141" i="50"/>
  <c r="AZ143" i="50"/>
  <c r="AV143" i="50"/>
  <c r="AU141" i="50"/>
  <c r="BI143" i="50"/>
  <c r="BA93" i="50"/>
  <c r="AZ141" i="50"/>
  <c r="AY143" i="50"/>
  <c r="AW143" i="50"/>
  <c r="D31" i="62"/>
  <c r="BI96" i="50"/>
  <c r="AY147" i="50"/>
  <c r="BB147" i="50" s="1"/>
  <c r="AY141" i="50"/>
  <c r="D41" i="62"/>
  <c r="AU143" i="50"/>
  <c r="BB143" i="50" s="1"/>
  <c r="AZ93" i="50"/>
  <c r="BA141" i="50"/>
  <c r="AV141" i="50"/>
  <c r="BA146" i="50"/>
  <c r="AX141" i="50"/>
  <c r="D46" i="62"/>
  <c r="AV146" i="50"/>
  <c r="BB103" i="50"/>
  <c r="BB110" i="50"/>
  <c r="BB102" i="50"/>
  <c r="BB120" i="50"/>
  <c r="BB164" i="50"/>
  <c r="BB167" i="50"/>
  <c r="D30" i="21" s="1"/>
  <c r="BB153" i="50"/>
  <c r="D23" i="21" s="1"/>
  <c r="BB121" i="50"/>
  <c r="BB112" i="50"/>
  <c r="BB161" i="50"/>
  <c r="BB49" i="50"/>
  <c r="D11" i="21" s="1"/>
  <c r="BB123" i="50"/>
  <c r="BB118" i="50"/>
  <c r="BB137" i="50"/>
  <c r="BB134" i="50"/>
  <c r="BB117" i="50"/>
  <c r="BB116" i="50"/>
  <c r="BB151" i="50"/>
  <c r="BB132" i="50"/>
  <c r="BB139" i="50"/>
  <c r="BB158" i="50"/>
  <c r="D25" i="21" s="1"/>
  <c r="D25" i="62"/>
  <c r="BB145" i="50"/>
  <c r="BJ141" i="50"/>
  <c r="BK141" i="50"/>
  <c r="AU93" i="50"/>
  <c r="BB108" i="50"/>
  <c r="BB104" i="50"/>
  <c r="D15" i="21"/>
  <c r="BB152" i="50"/>
  <c r="D26" i="21"/>
  <c r="Y96" i="50"/>
  <c r="AN96" i="50" s="1"/>
  <c r="BB106" i="50"/>
  <c r="D18" i="21"/>
  <c r="BB119" i="50"/>
  <c r="BB155" i="50"/>
  <c r="Y90" i="50"/>
  <c r="AN90" i="50" s="1"/>
  <c r="AU90" i="50" s="1"/>
  <c r="BB109" i="50"/>
  <c r="BB166" i="50"/>
  <c r="BB113" i="50"/>
  <c r="BI145" i="50"/>
  <c r="BJ145" i="50"/>
  <c r="BK145" i="50"/>
  <c r="Y95" i="50"/>
  <c r="AN95" i="50" s="1"/>
  <c r="AU95" i="50" s="1"/>
  <c r="BB165" i="50"/>
  <c r="AU148" i="50"/>
  <c r="AZ148" i="50"/>
  <c r="BA148" i="50"/>
  <c r="BB115" i="50"/>
  <c r="BB122" i="50"/>
  <c r="BB140" i="50"/>
  <c r="BB111" i="50"/>
  <c r="Y125" i="50"/>
  <c r="AN125" i="50" s="1"/>
  <c r="BI146" i="50"/>
  <c r="BJ146" i="50"/>
  <c r="BK146" i="50"/>
  <c r="BB160" i="50"/>
  <c r="Y92" i="50"/>
  <c r="AN92" i="50" s="1"/>
  <c r="BB154" i="50"/>
  <c r="AZ150" i="50"/>
  <c r="D38" i="62"/>
  <c r="AU150" i="50"/>
  <c r="AV150" i="50"/>
  <c r="AW150" i="50"/>
  <c r="AX150" i="50"/>
  <c r="AY150" i="50"/>
  <c r="BA150" i="50"/>
  <c r="BB107" i="50"/>
  <c r="BB141" i="50" l="1"/>
  <c r="BA92" i="50"/>
  <c r="D27" i="62"/>
  <c r="AZ92" i="50"/>
  <c r="AW92" i="50"/>
  <c r="D37" i="62"/>
  <c r="BA149" i="50"/>
  <c r="AW149" i="50"/>
  <c r="AY149" i="50"/>
  <c r="AZ149" i="50"/>
  <c r="AU149" i="50"/>
  <c r="AV149" i="50"/>
  <c r="AX149" i="50"/>
  <c r="AU91" i="50"/>
  <c r="D26" i="62"/>
  <c r="BB146" i="50"/>
  <c r="AY148" i="50"/>
  <c r="BJ92" i="50"/>
  <c r="BI92" i="50"/>
  <c r="BK92" i="50"/>
  <c r="AX142" i="50"/>
  <c r="AZ142" i="50"/>
  <c r="AV142" i="50"/>
  <c r="AU142" i="50"/>
  <c r="BA142" i="50"/>
  <c r="D40" i="62"/>
  <c r="AY142" i="50"/>
  <c r="AW142" i="50"/>
  <c r="AX148" i="50"/>
  <c r="AU96" i="50"/>
  <c r="AU94" i="50"/>
  <c r="D29" i="62"/>
  <c r="BK91" i="50"/>
  <c r="BJ91" i="50"/>
  <c r="BI91" i="50"/>
  <c r="AY95" i="50"/>
  <c r="D30" i="62"/>
  <c r="AM95" i="50"/>
  <c r="AX95" i="50"/>
  <c r="AZ95" i="50"/>
  <c r="BA95" i="50"/>
  <c r="AW95" i="50"/>
  <c r="AV95" i="50"/>
  <c r="AU92" i="50"/>
  <c r="BI95" i="50"/>
  <c r="G13" i="21" s="1"/>
  <c r="BJ95" i="50"/>
  <c r="BK95" i="50"/>
  <c r="BK93" i="50"/>
  <c r="BJ93" i="50"/>
  <c r="BI93" i="50"/>
  <c r="AM93" i="50"/>
  <c r="D28" i="62"/>
  <c r="AX93" i="50"/>
  <c r="AY93" i="50"/>
  <c r="AW93" i="50"/>
  <c r="AV93" i="50"/>
  <c r="AW148" i="50"/>
  <c r="BA91" i="50"/>
  <c r="AV148" i="50"/>
  <c r="AW91" i="50"/>
  <c r="AY92" i="50"/>
  <c r="AM92" i="50"/>
  <c r="AV92" i="50"/>
  <c r="AX92" i="50"/>
  <c r="AX96" i="50"/>
  <c r="AZ96" i="50"/>
  <c r="AM96" i="50"/>
  <c r="AY96" i="50"/>
  <c r="AW96" i="50"/>
  <c r="AV96" i="50"/>
  <c r="BA96" i="50"/>
  <c r="AM91" i="50"/>
  <c r="AY91" i="50"/>
  <c r="AX91" i="50"/>
  <c r="AV91" i="50"/>
  <c r="AZ91" i="50"/>
  <c r="AV94" i="50"/>
  <c r="AZ94" i="50"/>
  <c r="AW94" i="50"/>
  <c r="AM94" i="50"/>
  <c r="AY94" i="50"/>
  <c r="AX94" i="50"/>
  <c r="BA94" i="50"/>
  <c r="BA90" i="50"/>
  <c r="AV90" i="50"/>
  <c r="AX90" i="50"/>
  <c r="AM90" i="50"/>
  <c r="AY90" i="50"/>
  <c r="AZ90" i="50"/>
  <c r="AW90" i="50"/>
  <c r="BI150" i="50"/>
  <c r="BJ150" i="50"/>
  <c r="BK150" i="50"/>
  <c r="D28" i="21"/>
  <c r="D27" i="21"/>
  <c r="D16" i="21"/>
  <c r="AX144" i="50"/>
  <c r="AV144" i="50"/>
  <c r="BA144" i="50"/>
  <c r="D42" i="62"/>
  <c r="AU144" i="50"/>
  <c r="AW144" i="50"/>
  <c r="AZ144" i="50"/>
  <c r="AY144" i="50"/>
  <c r="D24" i="21"/>
  <c r="D21" i="21"/>
  <c r="BB150" i="50"/>
  <c r="D19" i="21"/>
  <c r="BJ148" i="50"/>
  <c r="BK148" i="50"/>
  <c r="BI148" i="50"/>
  <c r="D17" i="21"/>
  <c r="D29" i="21"/>
  <c r="BB148" i="50" l="1"/>
  <c r="BB95" i="50"/>
  <c r="BB96" i="50"/>
  <c r="I13" i="21"/>
  <c r="D32" i="62"/>
  <c r="BB93" i="50"/>
  <c r="BK142" i="50"/>
  <c r="BI142" i="50"/>
  <c r="BJ142" i="50"/>
  <c r="BB142" i="50"/>
  <c r="BB149" i="50"/>
  <c r="BJ149" i="50"/>
  <c r="BK149" i="50"/>
  <c r="BI149" i="50"/>
  <c r="J13" i="21"/>
  <c r="BB91" i="50"/>
  <c r="BB92" i="50"/>
  <c r="BB94" i="50"/>
  <c r="BB90" i="50"/>
  <c r="D13" i="21" s="1"/>
  <c r="AY125" i="50"/>
  <c r="AV125" i="50"/>
  <c r="BA125" i="50"/>
  <c r="AX125" i="50"/>
  <c r="AW125" i="50"/>
  <c r="AZ125" i="50"/>
  <c r="AU125" i="50"/>
  <c r="BA124" i="50"/>
  <c r="AU124" i="50"/>
  <c r="AX124" i="50"/>
  <c r="AZ124" i="50"/>
  <c r="AW124" i="50"/>
  <c r="AV124" i="50"/>
  <c r="AY124" i="50"/>
  <c r="BK144" i="50"/>
  <c r="BJ144" i="50"/>
  <c r="BI144" i="50"/>
  <c r="BB144" i="50"/>
  <c r="G22" i="21" l="1"/>
  <c r="I22" i="21"/>
  <c r="J22" i="21"/>
  <c r="E13" i="21"/>
  <c r="BB125" i="50"/>
  <c r="BB124" i="50"/>
  <c r="BJ124" i="50"/>
  <c r="BK124" i="50"/>
  <c r="BI124" i="50"/>
  <c r="BK125" i="50"/>
  <c r="BJ125" i="50"/>
  <c r="BI125" i="50"/>
  <c r="D22" i="21"/>
  <c r="D35" i="62" s="1"/>
  <c r="J73" i="50" l="1"/>
  <c r="I80" i="50"/>
  <c r="H80" i="50" s="1"/>
  <c r="L85" i="50"/>
  <c r="J83" i="50"/>
  <c r="L87" i="50"/>
  <c r="K77" i="50"/>
  <c r="I74" i="50"/>
  <c r="H74" i="50" s="1"/>
  <c r="I82" i="50"/>
  <c r="H82" i="50" s="1"/>
  <c r="K80" i="50"/>
  <c r="K74" i="50"/>
  <c r="J82" i="50"/>
  <c r="K87" i="50"/>
  <c r="J84" i="50"/>
  <c r="I75" i="50"/>
  <c r="H75" i="50" s="1"/>
  <c r="K83" i="50"/>
  <c r="L76" i="50"/>
  <c r="I77" i="50"/>
  <c r="H77" i="50" s="1"/>
  <c r="L75" i="50"/>
  <c r="I87" i="50"/>
  <c r="H87" i="50" s="1"/>
  <c r="J77" i="50"/>
  <c r="I86" i="50"/>
  <c r="H86" i="50" s="1"/>
  <c r="L80" i="50"/>
  <c r="I83" i="50"/>
  <c r="H83" i="50" s="1"/>
  <c r="L83" i="50"/>
  <c r="K85" i="50"/>
  <c r="K75" i="50"/>
  <c r="J76" i="50"/>
  <c r="I81" i="50"/>
  <c r="H81" i="50" s="1"/>
  <c r="L73" i="50"/>
  <c r="I76" i="50"/>
  <c r="H76" i="50" s="1"/>
  <c r="K84" i="50"/>
  <c r="L79" i="50"/>
  <c r="J78" i="50"/>
  <c r="J79" i="50"/>
  <c r="AW127" i="50"/>
  <c r="AX127" i="50"/>
  <c r="AZ127" i="50"/>
  <c r="BA127" i="50"/>
  <c r="AY127" i="50"/>
  <c r="AV127" i="50"/>
  <c r="AU127" i="50"/>
  <c r="K82" i="50"/>
  <c r="I78" i="50"/>
  <c r="H78" i="50" s="1"/>
  <c r="K86" i="50"/>
  <c r="J86" i="50"/>
  <c r="K81" i="50"/>
  <c r="L78" i="50"/>
  <c r="K78" i="50"/>
  <c r="J85" i="50"/>
  <c r="J74" i="50"/>
  <c r="L77" i="50"/>
  <c r="I84" i="50"/>
  <c r="H84" i="50" s="1"/>
  <c r="I73" i="50"/>
  <c r="H73" i="50" s="1"/>
  <c r="I85" i="50"/>
  <c r="H85" i="50" s="1"/>
  <c r="K76" i="50"/>
  <c r="BI76" i="50" s="1"/>
  <c r="K79" i="50"/>
  <c r="L86" i="50"/>
  <c r="J75" i="50"/>
  <c r="I79" i="50"/>
  <c r="H79" i="50" s="1"/>
  <c r="K73" i="50"/>
  <c r="J81" i="50"/>
  <c r="L74" i="50"/>
  <c r="L82" i="50"/>
  <c r="L84" i="50"/>
  <c r="L81" i="50"/>
  <c r="J80" i="50"/>
  <c r="J87" i="50"/>
  <c r="BI78" i="50" l="1"/>
  <c r="AZ99" i="50"/>
  <c r="AX99" i="50"/>
  <c r="AV99" i="50"/>
  <c r="BA99" i="50"/>
  <c r="AY99" i="50"/>
  <c r="AW99" i="50"/>
  <c r="AU99" i="50"/>
  <c r="AM99" i="50"/>
  <c r="BI79" i="50"/>
  <c r="AM63" i="50"/>
  <c r="BK63" i="50" s="1"/>
  <c r="AI63" i="50"/>
  <c r="AB63" i="50" s="1"/>
  <c r="AQ63" i="50" s="1"/>
  <c r="AX63" i="50" s="1"/>
  <c r="AJ25" i="50"/>
  <c r="AF25" i="50"/>
  <c r="AL25" i="50"/>
  <c r="AG25" i="50"/>
  <c r="AK25" i="50"/>
  <c r="M25" i="50"/>
  <c r="AM25" i="50"/>
  <c r="AI25" i="50"/>
  <c r="AH25" i="50"/>
  <c r="AI62" i="50"/>
  <c r="AB62" i="50" s="1"/>
  <c r="AQ62" i="50" s="1"/>
  <c r="BI62" i="50"/>
  <c r="AM62" i="50"/>
  <c r="BK62" i="50" s="1"/>
  <c r="AI84" i="50"/>
  <c r="AB84" i="50" s="1"/>
  <c r="AQ84" i="50" s="1"/>
  <c r="AM84" i="50"/>
  <c r="BK84" i="50" s="1"/>
  <c r="BI84" i="50"/>
  <c r="P84" i="50"/>
  <c r="BI38" i="50"/>
  <c r="BK38" i="50"/>
  <c r="BJ38" i="50"/>
  <c r="AJ26" i="50"/>
  <c r="AI26" i="50"/>
  <c r="M26" i="50"/>
  <c r="AL26" i="50"/>
  <c r="AG26" i="50"/>
  <c r="Z26" i="50" s="1"/>
  <c r="AO26" i="50" s="1"/>
  <c r="AV26" i="50" s="1"/>
  <c r="AH26" i="50"/>
  <c r="AM26" i="50"/>
  <c r="AF26" i="50"/>
  <c r="Y26" i="50" s="1"/>
  <c r="AN26" i="50" s="1"/>
  <c r="AU26" i="50" s="1"/>
  <c r="AK26" i="50"/>
  <c r="AD26" i="50" s="1"/>
  <c r="AS26" i="50" s="1"/>
  <c r="AZ26" i="50" s="1"/>
  <c r="AJ52" i="50"/>
  <c r="AC52" i="50" s="1"/>
  <c r="AR52" i="50" s="1"/>
  <c r="AH52" i="50"/>
  <c r="AA52" i="50" s="1"/>
  <c r="AP52" i="50" s="1"/>
  <c r="AK52" i="50"/>
  <c r="AD52" i="50" s="1"/>
  <c r="AS52" i="50" s="1"/>
  <c r="AG52" i="50"/>
  <c r="Z52" i="50" s="1"/>
  <c r="AO52" i="50" s="1"/>
  <c r="AL52" i="50"/>
  <c r="AE52" i="50" s="1"/>
  <c r="AT52" i="50" s="1"/>
  <c r="AI52" i="50"/>
  <c r="AB52" i="50" s="1"/>
  <c r="AQ52" i="50" s="1"/>
  <c r="M52" i="50"/>
  <c r="AF52" i="50"/>
  <c r="Y52" i="50" s="1"/>
  <c r="AN52" i="50" s="1"/>
  <c r="AM52" i="50"/>
  <c r="BJ39" i="50"/>
  <c r="BI39" i="50"/>
  <c r="BK39" i="50"/>
  <c r="AY63" i="50"/>
  <c r="AW63" i="50"/>
  <c r="AV63" i="50"/>
  <c r="AZ63" i="50"/>
  <c r="AU63" i="50"/>
  <c r="BA63" i="50"/>
  <c r="M41" i="50"/>
  <c r="AF41" i="50"/>
  <c r="Y41" i="50" s="1"/>
  <c r="AN41" i="50" s="1"/>
  <c r="AK41" i="50"/>
  <c r="AD41" i="50" s="1"/>
  <c r="AS41" i="50" s="1"/>
  <c r="AG41" i="50"/>
  <c r="Z41" i="50" s="1"/>
  <c r="AO41" i="50" s="1"/>
  <c r="AJ41" i="50"/>
  <c r="AC41" i="50" s="1"/>
  <c r="AR41" i="50" s="1"/>
  <c r="AH41" i="50"/>
  <c r="AA41" i="50" s="1"/>
  <c r="AP41" i="50" s="1"/>
  <c r="AM41" i="50"/>
  <c r="AI41" i="50"/>
  <c r="AB41" i="50" s="1"/>
  <c r="AQ41" i="50" s="1"/>
  <c r="AL41" i="50"/>
  <c r="AE41" i="50" s="1"/>
  <c r="AT41" i="50" s="1"/>
  <c r="BJ28" i="50"/>
  <c r="BI28" i="50"/>
  <c r="AF17" i="50"/>
  <c r="AL17" i="50"/>
  <c r="AK17" i="50"/>
  <c r="AJ17" i="50"/>
  <c r="AG17" i="50"/>
  <c r="AI17" i="50"/>
  <c r="AH17" i="50"/>
  <c r="M17" i="50"/>
  <c r="AM17" i="50"/>
  <c r="BI50" i="50"/>
  <c r="BK50" i="50"/>
  <c r="BJ50" i="50"/>
  <c r="AU67" i="50"/>
  <c r="AZ67" i="50"/>
  <c r="BA67" i="50"/>
  <c r="AW67" i="50"/>
  <c r="AY67" i="50"/>
  <c r="AV67" i="50"/>
  <c r="AI60" i="50"/>
  <c r="AB60" i="50" s="1"/>
  <c r="AQ60" i="50" s="1"/>
  <c r="AM60" i="50"/>
  <c r="BK60" i="50" s="1"/>
  <c r="BI60" i="50"/>
  <c r="AG22" i="50"/>
  <c r="Z22" i="50" s="1"/>
  <c r="AO22" i="50" s="1"/>
  <c r="AM22" i="50"/>
  <c r="AK22" i="50"/>
  <c r="AF22" i="50"/>
  <c r="AJ22" i="50"/>
  <c r="AL22" i="50"/>
  <c r="M22" i="50"/>
  <c r="AH22" i="50"/>
  <c r="AI22" i="50"/>
  <c r="AB22" i="50" s="1"/>
  <c r="AQ22" i="50" s="1"/>
  <c r="AX22" i="50" s="1"/>
  <c r="BI21" i="50"/>
  <c r="BJ21" i="50"/>
  <c r="BK21" i="50"/>
  <c r="P74" i="50"/>
  <c r="BI74" i="50"/>
  <c r="AM74" i="50"/>
  <c r="BK74" i="50" s="1"/>
  <c r="AI74" i="50"/>
  <c r="AH36" i="50"/>
  <c r="AA36" i="50" s="1"/>
  <c r="AP36" i="50" s="1"/>
  <c r="M36" i="50"/>
  <c r="AL36" i="50"/>
  <c r="AE36" i="50" s="1"/>
  <c r="AT36" i="50" s="1"/>
  <c r="AG36" i="50"/>
  <c r="Z36" i="50" s="1"/>
  <c r="AO36" i="50" s="1"/>
  <c r="AJ36" i="50"/>
  <c r="AC36" i="50" s="1"/>
  <c r="AR36" i="50" s="1"/>
  <c r="AM36" i="50"/>
  <c r="AI36" i="50"/>
  <c r="AB36" i="50" s="1"/>
  <c r="AQ36" i="50" s="1"/>
  <c r="AK36" i="50"/>
  <c r="AD36" i="50" s="1"/>
  <c r="AS36" i="50" s="1"/>
  <c r="AF36" i="50"/>
  <c r="Y36" i="50" s="1"/>
  <c r="AN36" i="50" s="1"/>
  <c r="BJ30" i="50"/>
  <c r="BK30" i="50"/>
  <c r="BI30" i="50"/>
  <c r="AV84" i="50"/>
  <c r="AU84" i="50"/>
  <c r="AW84" i="50"/>
  <c r="AY84" i="50"/>
  <c r="AZ84" i="50"/>
  <c r="BA84" i="50"/>
  <c r="AZ74" i="50"/>
  <c r="AV74" i="50"/>
  <c r="BA74" i="50"/>
  <c r="AY74" i="50"/>
  <c r="AW74" i="50"/>
  <c r="AU74" i="50"/>
  <c r="AI79" i="50"/>
  <c r="AB79" i="50" s="1"/>
  <c r="AQ79" i="50" s="1"/>
  <c r="AX79" i="50" s="1"/>
  <c r="P79" i="50"/>
  <c r="AM79" i="50"/>
  <c r="BK79" i="50" s="1"/>
  <c r="AI85" i="50"/>
  <c r="AB85" i="50" s="1"/>
  <c r="AQ85" i="50" s="1"/>
  <c r="AX85" i="50" s="1"/>
  <c r="AM85" i="50"/>
  <c r="BK85" i="50" s="1"/>
  <c r="P85" i="50"/>
  <c r="BI85" i="50"/>
  <c r="AH38" i="50"/>
  <c r="AA38" i="50" s="1"/>
  <c r="AP38" i="50" s="1"/>
  <c r="AW38" i="50" s="1"/>
  <c r="M38" i="50"/>
  <c r="AJ38" i="50"/>
  <c r="AC38" i="50" s="1"/>
  <c r="AR38" i="50" s="1"/>
  <c r="AL38" i="50"/>
  <c r="AE38" i="50" s="1"/>
  <c r="AT38" i="50" s="1"/>
  <c r="BA38" i="50" s="1"/>
  <c r="AM38" i="50"/>
  <c r="AK38" i="50"/>
  <c r="AD38" i="50" s="1"/>
  <c r="AS38" i="50" s="1"/>
  <c r="AI38" i="50"/>
  <c r="AB38" i="50" s="1"/>
  <c r="AQ38" i="50" s="1"/>
  <c r="AX38" i="50" s="1"/>
  <c r="AF38" i="50"/>
  <c r="Y38" i="50" s="1"/>
  <c r="AN38" i="50" s="1"/>
  <c r="AG38" i="50"/>
  <c r="Z38" i="50" s="1"/>
  <c r="AO38" i="50" s="1"/>
  <c r="AV38" i="50" s="1"/>
  <c r="M23" i="50"/>
  <c r="AM23" i="50"/>
  <c r="AJ23" i="50"/>
  <c r="AC23" i="50" s="1"/>
  <c r="AR23" i="50" s="1"/>
  <c r="AG23" i="50"/>
  <c r="Z23" i="50" s="1"/>
  <c r="AO23" i="50" s="1"/>
  <c r="AV23" i="50" s="1"/>
  <c r="AI23" i="50"/>
  <c r="AB23" i="50" s="1"/>
  <c r="AQ23" i="50" s="1"/>
  <c r="AK23" i="50"/>
  <c r="AD23" i="50" s="1"/>
  <c r="AS23" i="50" s="1"/>
  <c r="AH23" i="50"/>
  <c r="AA23" i="50" s="1"/>
  <c r="AP23" i="50" s="1"/>
  <c r="AF23" i="50"/>
  <c r="Y23" i="50" s="1"/>
  <c r="AN23" i="50" s="1"/>
  <c r="AL23" i="50"/>
  <c r="AE23" i="50" s="1"/>
  <c r="AT23" i="50" s="1"/>
  <c r="BK37" i="50"/>
  <c r="BJ37" i="50"/>
  <c r="BI37" i="50"/>
  <c r="AK51" i="50"/>
  <c r="AJ51" i="50"/>
  <c r="AH51" i="50"/>
  <c r="AL51" i="50"/>
  <c r="AI51" i="50"/>
  <c r="AB51" i="50" s="1"/>
  <c r="AQ51" i="50" s="1"/>
  <c r="AF51" i="50"/>
  <c r="Y51" i="50" s="1"/>
  <c r="AN51" i="50" s="1"/>
  <c r="AG51" i="50"/>
  <c r="AM51" i="50"/>
  <c r="M51" i="50"/>
  <c r="AI66" i="50"/>
  <c r="BI66" i="50"/>
  <c r="P66" i="50"/>
  <c r="AM66" i="50"/>
  <c r="BK66" i="50" s="1"/>
  <c r="AI72" i="50"/>
  <c r="AB72" i="50" s="1"/>
  <c r="AQ72" i="50" s="1"/>
  <c r="AM72" i="50"/>
  <c r="BK72" i="50" s="1"/>
  <c r="P72" i="50"/>
  <c r="BI72" i="50"/>
  <c r="AI81" i="50"/>
  <c r="AB81" i="50" s="1"/>
  <c r="AQ81" i="50" s="1"/>
  <c r="P81" i="50"/>
  <c r="AM81" i="50"/>
  <c r="BK81" i="50" s="1"/>
  <c r="BI81" i="50"/>
  <c r="AH37" i="50"/>
  <c r="AI37" i="50"/>
  <c r="AJ37" i="50"/>
  <c r="AL37" i="50"/>
  <c r="AK37" i="50"/>
  <c r="M37" i="50"/>
  <c r="AG37" i="50"/>
  <c r="AF37" i="50"/>
  <c r="AM37" i="50"/>
  <c r="BJ46" i="50"/>
  <c r="BI46" i="50"/>
  <c r="BK46" i="50"/>
  <c r="BJ32" i="50"/>
  <c r="BI32" i="50"/>
  <c r="BK32" i="50"/>
  <c r="BJ40" i="50"/>
  <c r="BI40" i="50"/>
  <c r="BK40" i="50"/>
  <c r="AZ64" i="50"/>
  <c r="AW64" i="50"/>
  <c r="AU64" i="50"/>
  <c r="AY64" i="50"/>
  <c r="AV64" i="50"/>
  <c r="BA64" i="50"/>
  <c r="AZ85" i="50"/>
  <c r="BA85" i="50"/>
  <c r="AY85" i="50"/>
  <c r="AV85" i="50"/>
  <c r="AU85" i="50"/>
  <c r="AW85" i="50"/>
  <c r="AY38" i="50"/>
  <c r="AU38" i="50"/>
  <c r="AM54" i="50"/>
  <c r="AH54" i="50"/>
  <c r="AA54" i="50" s="1"/>
  <c r="AP54" i="50" s="1"/>
  <c r="AJ54" i="50"/>
  <c r="AC54" i="50" s="1"/>
  <c r="AR54" i="50" s="1"/>
  <c r="AL54" i="50"/>
  <c r="AE54" i="50" s="1"/>
  <c r="AT54" i="50" s="1"/>
  <c r="AK54" i="50"/>
  <c r="AD54" i="50" s="1"/>
  <c r="AS54" i="50" s="1"/>
  <c r="AG54" i="50"/>
  <c r="Z54" i="50" s="1"/>
  <c r="AO54" i="50" s="1"/>
  <c r="AI54" i="50"/>
  <c r="AB54" i="50" s="1"/>
  <c r="AQ54" i="50" s="1"/>
  <c r="M54" i="50"/>
  <c r="AF54" i="50"/>
  <c r="Y54" i="50" s="1"/>
  <c r="AN54" i="50" s="1"/>
  <c r="AZ77" i="50"/>
  <c r="AV77" i="50"/>
  <c r="AY77" i="50"/>
  <c r="AW77" i="50"/>
  <c r="AU77" i="50"/>
  <c r="BA77" i="50"/>
  <c r="AZ69" i="50"/>
  <c r="BA69" i="50"/>
  <c r="AY69" i="50"/>
  <c r="AU69" i="50"/>
  <c r="AW69" i="50"/>
  <c r="AV69" i="50"/>
  <c r="AZ78" i="50"/>
  <c r="AU78" i="50"/>
  <c r="AW78" i="50"/>
  <c r="AY78" i="50"/>
  <c r="AV78" i="50"/>
  <c r="BA78" i="50"/>
  <c r="BK26" i="50"/>
  <c r="BI26" i="50"/>
  <c r="BJ26" i="50"/>
  <c r="BB127" i="50"/>
  <c r="BJ51" i="50"/>
  <c r="BI51" i="50"/>
  <c r="BK51" i="50"/>
  <c r="AW79" i="50"/>
  <c r="AV79" i="50"/>
  <c r="AU79" i="50"/>
  <c r="AY79" i="50"/>
  <c r="AZ79" i="50"/>
  <c r="BA79" i="50"/>
  <c r="M56" i="50"/>
  <c r="AM56" i="50"/>
  <c r="AI56" i="50"/>
  <c r="AB56" i="50" s="1"/>
  <c r="AQ56" i="50" s="1"/>
  <c r="AF56" i="50"/>
  <c r="Y56" i="50" s="1"/>
  <c r="AN56" i="50" s="1"/>
  <c r="AU56" i="50" s="1"/>
  <c r="AH56" i="50"/>
  <c r="AA56" i="50" s="1"/>
  <c r="AP56" i="50" s="1"/>
  <c r="AL56" i="50"/>
  <c r="AE56" i="50" s="1"/>
  <c r="AT56" i="50" s="1"/>
  <c r="AJ56" i="50"/>
  <c r="AC56" i="50" s="1"/>
  <c r="AR56" i="50" s="1"/>
  <c r="AY56" i="50" s="1"/>
  <c r="AG56" i="50"/>
  <c r="Z56" i="50" s="1"/>
  <c r="AO56" i="50" s="1"/>
  <c r="AV56" i="50" s="1"/>
  <c r="AK56" i="50"/>
  <c r="AD56" i="50" s="1"/>
  <c r="AS56" i="50" s="1"/>
  <c r="BI33" i="50"/>
  <c r="BJ33" i="50"/>
  <c r="BK33" i="50"/>
  <c r="AV130" i="50"/>
  <c r="AU130" i="50"/>
  <c r="AX130" i="50"/>
  <c r="AW130" i="50"/>
  <c r="AZ130" i="50"/>
  <c r="AY130" i="50"/>
  <c r="BA130" i="50"/>
  <c r="BK55" i="50"/>
  <c r="BI55" i="50"/>
  <c r="BJ55" i="50"/>
  <c r="AW80" i="50"/>
  <c r="BA80" i="50"/>
  <c r="AY80" i="50"/>
  <c r="AZ80" i="50"/>
  <c r="AV80" i="50"/>
  <c r="AU80" i="50"/>
  <c r="M27" i="50"/>
  <c r="AM27" i="50"/>
  <c r="AJ27" i="50"/>
  <c r="AC27" i="50" s="1"/>
  <c r="AR27" i="50" s="1"/>
  <c r="AL27" i="50"/>
  <c r="AE27" i="50" s="1"/>
  <c r="AT27" i="50" s="1"/>
  <c r="AH27" i="50"/>
  <c r="AA27" i="50" s="1"/>
  <c r="AP27" i="50" s="1"/>
  <c r="AI27" i="50"/>
  <c r="AB27" i="50" s="1"/>
  <c r="AQ27" i="50" s="1"/>
  <c r="AG27" i="50"/>
  <c r="Z27" i="50" s="1"/>
  <c r="AO27" i="50" s="1"/>
  <c r="AK27" i="50"/>
  <c r="AD27" i="50" s="1"/>
  <c r="AS27" i="50" s="1"/>
  <c r="AF27" i="50"/>
  <c r="Y27" i="50" s="1"/>
  <c r="AN27" i="50" s="1"/>
  <c r="AH44" i="50"/>
  <c r="AA44" i="50" s="1"/>
  <c r="AP44" i="50" s="1"/>
  <c r="AF44" i="50"/>
  <c r="Y44" i="50" s="1"/>
  <c r="AN44" i="50" s="1"/>
  <c r="AM44" i="50"/>
  <c r="M44" i="50"/>
  <c r="AK44" i="50"/>
  <c r="AD44" i="50" s="1"/>
  <c r="AS44" i="50" s="1"/>
  <c r="AL44" i="50"/>
  <c r="AE44" i="50" s="1"/>
  <c r="AT44" i="50" s="1"/>
  <c r="AG44" i="50"/>
  <c r="AI44" i="50"/>
  <c r="AJ44" i="50"/>
  <c r="M43" i="50"/>
  <c r="AI43" i="50"/>
  <c r="AF43" i="50"/>
  <c r="Y43" i="50" s="1"/>
  <c r="AN43" i="50" s="1"/>
  <c r="AM43" i="50"/>
  <c r="AJ43" i="50"/>
  <c r="AL43" i="50"/>
  <c r="AG43" i="50"/>
  <c r="AH43" i="50"/>
  <c r="AA43" i="50" s="1"/>
  <c r="AP43" i="50" s="1"/>
  <c r="AK43" i="50"/>
  <c r="AD43" i="50" s="1"/>
  <c r="AS43" i="50" s="1"/>
  <c r="AJ40" i="50"/>
  <c r="AC40" i="50" s="1"/>
  <c r="AR40" i="50" s="1"/>
  <c r="AY40" i="50" s="1"/>
  <c r="AK40" i="50"/>
  <c r="AL40" i="50"/>
  <c r="AE40" i="50" s="1"/>
  <c r="AT40" i="50" s="1"/>
  <c r="BA40" i="50" s="1"/>
  <c r="AG40" i="50"/>
  <c r="AF40" i="50"/>
  <c r="Y40" i="50" s="1"/>
  <c r="AN40" i="50" s="1"/>
  <c r="AM40" i="50"/>
  <c r="AH40" i="50"/>
  <c r="M40" i="50"/>
  <c r="AI40" i="50"/>
  <c r="AB40" i="50" s="1"/>
  <c r="AQ40" i="50" s="1"/>
  <c r="AX40" i="50" s="1"/>
  <c r="BI43" i="50"/>
  <c r="BK43" i="50"/>
  <c r="BJ43" i="50"/>
  <c r="BK20" i="50"/>
  <c r="BI20" i="50"/>
  <c r="BJ20" i="50"/>
  <c r="BI80" i="50"/>
  <c r="AI80" i="50"/>
  <c r="AB80" i="50" s="1"/>
  <c r="AQ80" i="50" s="1"/>
  <c r="AM80" i="50"/>
  <c r="BK80" i="50" s="1"/>
  <c r="P80" i="50"/>
  <c r="BA41" i="50"/>
  <c r="AX41" i="50"/>
  <c r="AV41" i="50"/>
  <c r="AU41" i="50"/>
  <c r="AW41" i="50"/>
  <c r="AL50" i="50"/>
  <c r="M50" i="50"/>
  <c r="AH50" i="50"/>
  <c r="AF50" i="50"/>
  <c r="AJ50" i="50"/>
  <c r="AG50" i="50"/>
  <c r="AK50" i="50"/>
  <c r="AM50" i="50"/>
  <c r="AI50" i="50"/>
  <c r="BJ29" i="50"/>
  <c r="BI29" i="50"/>
  <c r="BI52" i="50"/>
  <c r="BK52" i="50"/>
  <c r="BJ52" i="50"/>
  <c r="AM73" i="50"/>
  <c r="BK73" i="50" s="1"/>
  <c r="BI73" i="50"/>
  <c r="P73" i="50"/>
  <c r="AI73" i="50"/>
  <c r="AB73" i="50" s="1"/>
  <c r="AQ73" i="50" s="1"/>
  <c r="AX73" i="50" s="1"/>
  <c r="AK31" i="50"/>
  <c r="AI31" i="50"/>
  <c r="AL31" i="50"/>
  <c r="AG31" i="50"/>
  <c r="M31" i="50"/>
  <c r="AM31" i="50"/>
  <c r="AF31" i="50"/>
  <c r="AH31" i="50"/>
  <c r="AJ31" i="50"/>
  <c r="AM69" i="50"/>
  <c r="BK69" i="50" s="1"/>
  <c r="AI69" i="50"/>
  <c r="BI69" i="50"/>
  <c r="P69" i="50"/>
  <c r="BJ47" i="50"/>
  <c r="BI47" i="50"/>
  <c r="BK47" i="50"/>
  <c r="BK24" i="50"/>
  <c r="BI24" i="50"/>
  <c r="BJ24" i="50"/>
  <c r="AM76" i="50"/>
  <c r="BK76" i="50" s="1"/>
  <c r="P76" i="50"/>
  <c r="AI76" i="50"/>
  <c r="AB76" i="50" s="1"/>
  <c r="AQ76" i="50" s="1"/>
  <c r="AU59" i="50"/>
  <c r="AV59" i="50"/>
  <c r="AY59" i="50"/>
  <c r="AW59" i="50"/>
  <c r="AH46" i="50"/>
  <c r="AA46" i="50" s="1"/>
  <c r="AP46" i="50" s="1"/>
  <c r="AI46" i="50"/>
  <c r="AB46" i="50" s="1"/>
  <c r="AQ46" i="50" s="1"/>
  <c r="AF46" i="50"/>
  <c r="Y46" i="50" s="1"/>
  <c r="AN46" i="50" s="1"/>
  <c r="AL46" i="50"/>
  <c r="AE46" i="50" s="1"/>
  <c r="AT46" i="50" s="1"/>
  <c r="M46" i="50"/>
  <c r="AM46" i="50"/>
  <c r="AK46" i="50"/>
  <c r="AD46" i="50" s="1"/>
  <c r="AS46" i="50" s="1"/>
  <c r="AJ46" i="50"/>
  <c r="AC46" i="50" s="1"/>
  <c r="AR46" i="50" s="1"/>
  <c r="AG46" i="50"/>
  <c r="Z46" i="50" s="1"/>
  <c r="AO46" i="50" s="1"/>
  <c r="AV22" i="50"/>
  <c r="BI87" i="50"/>
  <c r="P87" i="50"/>
  <c r="M87" i="50"/>
  <c r="AM87" i="50"/>
  <c r="BK87" i="50" s="1"/>
  <c r="AI87" i="50"/>
  <c r="AB87" i="50" s="1"/>
  <c r="AQ87" i="50" s="1"/>
  <c r="AJ21" i="50"/>
  <c r="AM21" i="50"/>
  <c r="AH21" i="50"/>
  <c r="AG21" i="50"/>
  <c r="AF21" i="50"/>
  <c r="AI21" i="50"/>
  <c r="AK21" i="50"/>
  <c r="M21" i="50"/>
  <c r="AL21" i="50"/>
  <c r="BA72" i="50"/>
  <c r="AU72" i="50"/>
  <c r="AV72" i="50"/>
  <c r="AX72" i="50"/>
  <c r="AY72" i="50"/>
  <c r="AW72" i="50"/>
  <c r="AZ72" i="50"/>
  <c r="AW46" i="50"/>
  <c r="AG19" i="50"/>
  <c r="Z19" i="50" s="1"/>
  <c r="AO19" i="50" s="1"/>
  <c r="AI19" i="50"/>
  <c r="AB19" i="50" s="1"/>
  <c r="AQ19" i="50" s="1"/>
  <c r="AJ19" i="50"/>
  <c r="AC19" i="50" s="1"/>
  <c r="AR19" i="50" s="1"/>
  <c r="AK19" i="50"/>
  <c r="AD19" i="50" s="1"/>
  <c r="AS19" i="50" s="1"/>
  <c r="M19" i="50"/>
  <c r="AM19" i="50"/>
  <c r="AL19" i="50"/>
  <c r="AE19" i="50" s="1"/>
  <c r="AT19" i="50" s="1"/>
  <c r="BA19" i="50" s="1"/>
  <c r="AH19" i="50"/>
  <c r="AA19" i="50" s="1"/>
  <c r="AP19" i="50" s="1"/>
  <c r="AF19" i="50"/>
  <c r="Y19" i="50" s="1"/>
  <c r="AN19" i="50" s="1"/>
  <c r="AW82" i="50"/>
  <c r="AV82" i="50"/>
  <c r="AZ82" i="50"/>
  <c r="BA82" i="50"/>
  <c r="AU82" i="50"/>
  <c r="AY82" i="50"/>
  <c r="BJ18" i="50"/>
  <c r="BI18" i="50"/>
  <c r="BK18" i="50"/>
  <c r="BI34" i="50"/>
  <c r="BK34" i="50"/>
  <c r="BJ34" i="50"/>
  <c r="AU36" i="50"/>
  <c r="BA36" i="50"/>
  <c r="AY36" i="50"/>
  <c r="AW36" i="50"/>
  <c r="AX36" i="50"/>
  <c r="BI61" i="50"/>
  <c r="AM61" i="50"/>
  <c r="BK61" i="50" s="1"/>
  <c r="AI61" i="50"/>
  <c r="BI17" i="50"/>
  <c r="BK17" i="50"/>
  <c r="BJ17" i="50"/>
  <c r="AK55" i="50"/>
  <c r="AD55" i="50" s="1"/>
  <c r="AS55" i="50" s="1"/>
  <c r="AJ55" i="50"/>
  <c r="AC55" i="50" s="1"/>
  <c r="AR55" i="50" s="1"/>
  <c r="AI55" i="50"/>
  <c r="AB55" i="50" s="1"/>
  <c r="AQ55" i="50" s="1"/>
  <c r="M55" i="50"/>
  <c r="AM55" i="50"/>
  <c r="AH55" i="50"/>
  <c r="AA55" i="50" s="1"/>
  <c r="AP55" i="50" s="1"/>
  <c r="AG55" i="50"/>
  <c r="Z55" i="50" s="1"/>
  <c r="AO55" i="50" s="1"/>
  <c r="AL55" i="50"/>
  <c r="AE55" i="50" s="1"/>
  <c r="AT55" i="50" s="1"/>
  <c r="AF55" i="50"/>
  <c r="Y55" i="50" s="1"/>
  <c r="AN55" i="50" s="1"/>
  <c r="BK45" i="50"/>
  <c r="BJ45" i="50"/>
  <c r="BI45" i="50"/>
  <c r="BI48" i="50"/>
  <c r="BK48" i="50"/>
  <c r="BJ48" i="50"/>
  <c r="AS59" i="50"/>
  <c r="AZ59" i="50" s="1"/>
  <c r="AT59" i="50"/>
  <c r="BA59" i="50" s="1"/>
  <c r="AJ16" i="50"/>
  <c r="AM16" i="50"/>
  <c r="AK16" i="50"/>
  <c r="AL16" i="50"/>
  <c r="AI16" i="50"/>
  <c r="AF16" i="50"/>
  <c r="AH16" i="50"/>
  <c r="AG16" i="50"/>
  <c r="M16" i="50"/>
  <c r="BI70" i="50"/>
  <c r="AI70" i="50"/>
  <c r="AB70" i="50" s="1"/>
  <c r="AQ70" i="50" s="1"/>
  <c r="AM70" i="50"/>
  <c r="BK70" i="50" s="1"/>
  <c r="P70" i="50"/>
  <c r="BI27" i="50"/>
  <c r="BK27" i="50"/>
  <c r="BJ27" i="50"/>
  <c r="BK25" i="50"/>
  <c r="BI25" i="50"/>
  <c r="BJ25" i="50"/>
  <c r="AU61" i="50"/>
  <c r="AV61" i="50"/>
  <c r="BA61" i="50"/>
  <c r="AY61" i="50"/>
  <c r="AW61" i="50"/>
  <c r="AZ61" i="50"/>
  <c r="AU40" i="50"/>
  <c r="AZ71" i="50"/>
  <c r="AV71" i="50"/>
  <c r="AY71" i="50"/>
  <c r="BA71" i="50"/>
  <c r="AW71" i="50"/>
  <c r="AU71" i="50"/>
  <c r="AW23" i="50"/>
  <c r="AX23" i="50"/>
  <c r="AU23" i="50"/>
  <c r="AY23" i="50"/>
  <c r="BA56" i="50"/>
  <c r="AX56" i="50"/>
  <c r="AW56" i="50"/>
  <c r="AZ56" i="50"/>
  <c r="BJ54" i="50"/>
  <c r="BK54" i="50"/>
  <c r="BI54" i="50"/>
  <c r="BK56" i="50"/>
  <c r="BJ56" i="50"/>
  <c r="BI56" i="50"/>
  <c r="AK48" i="50"/>
  <c r="AD48" i="50" s="1"/>
  <c r="AS48" i="50" s="1"/>
  <c r="M48" i="50"/>
  <c r="AG48" i="50"/>
  <c r="Z48" i="50" s="1"/>
  <c r="AO48" i="50" s="1"/>
  <c r="AF48" i="50"/>
  <c r="Y48" i="50" s="1"/>
  <c r="AN48" i="50" s="1"/>
  <c r="AH48" i="50"/>
  <c r="AA48" i="50" s="1"/>
  <c r="AP48" i="50" s="1"/>
  <c r="AL48" i="50"/>
  <c r="AE48" i="50" s="1"/>
  <c r="AT48" i="50" s="1"/>
  <c r="AI48" i="50"/>
  <c r="AB48" i="50" s="1"/>
  <c r="AQ48" i="50" s="1"/>
  <c r="AJ48" i="50"/>
  <c r="AC48" i="50" s="1"/>
  <c r="AR48" i="50" s="1"/>
  <c r="AM48" i="50"/>
  <c r="AY81" i="50"/>
  <c r="AV81" i="50"/>
  <c r="AU81" i="50"/>
  <c r="AZ81" i="50"/>
  <c r="BA81" i="50"/>
  <c r="AW81" i="50"/>
  <c r="BI63" i="50"/>
  <c r="AZ70" i="50"/>
  <c r="AW70" i="50"/>
  <c r="AU70" i="50"/>
  <c r="AY70" i="50"/>
  <c r="BA70" i="50"/>
  <c r="AV70" i="50"/>
  <c r="AI78" i="50"/>
  <c r="AB78" i="50" s="1"/>
  <c r="AQ78" i="50" s="1"/>
  <c r="AM78" i="50"/>
  <c r="BK78" i="50" s="1"/>
  <c r="P78" i="50"/>
  <c r="AW19" i="50"/>
  <c r="AX19" i="50"/>
  <c r="AV19" i="50"/>
  <c r="AU19" i="50"/>
  <c r="AU62" i="50"/>
  <c r="AZ62" i="50"/>
  <c r="AY62" i="50"/>
  <c r="AV62" i="50"/>
  <c r="AW62" i="50"/>
  <c r="BA62" i="50"/>
  <c r="AY73" i="50"/>
  <c r="AW73" i="50"/>
  <c r="AV73" i="50"/>
  <c r="AU73" i="50"/>
  <c r="AZ73" i="50"/>
  <c r="BA73" i="50"/>
  <c r="AZ83" i="50"/>
  <c r="AU83" i="50"/>
  <c r="AV83" i="50"/>
  <c r="AY83" i="50"/>
  <c r="BA83" i="50"/>
  <c r="AW83" i="50"/>
  <c r="AM86" i="50"/>
  <c r="BK86" i="50" s="1"/>
  <c r="P86" i="50"/>
  <c r="BI86" i="50"/>
  <c r="AI86" i="50"/>
  <c r="AB86" i="50" s="1"/>
  <c r="AQ86" i="50" s="1"/>
  <c r="BA75" i="50"/>
  <c r="AW75" i="50"/>
  <c r="AY75" i="50"/>
  <c r="AV75" i="50"/>
  <c r="AZ75" i="50"/>
  <c r="AU75" i="50"/>
  <c r="AI77" i="50"/>
  <c r="AB77" i="50" s="1"/>
  <c r="AQ77" i="50" s="1"/>
  <c r="P77" i="50"/>
  <c r="BI77" i="50"/>
  <c r="AM77" i="50"/>
  <c r="BK77" i="50" s="1"/>
  <c r="BK42" i="50"/>
  <c r="BI42" i="50"/>
  <c r="BJ42" i="50"/>
  <c r="AZ43" i="50"/>
  <c r="BJ22" i="50"/>
  <c r="BK22" i="50"/>
  <c r="BI22" i="50"/>
  <c r="AU87" i="50"/>
  <c r="AY87" i="50"/>
  <c r="AZ87" i="50"/>
  <c r="AW87" i="50"/>
  <c r="AV87" i="50"/>
  <c r="BA87" i="50"/>
  <c r="BK41" i="50"/>
  <c r="BJ41" i="50"/>
  <c r="BI41" i="50"/>
  <c r="AF20" i="50"/>
  <c r="Y20" i="50" s="1"/>
  <c r="AN20" i="50" s="1"/>
  <c r="AU20" i="50" s="1"/>
  <c r="AM20" i="50"/>
  <c r="M20" i="50"/>
  <c r="AI20" i="50"/>
  <c r="AL20" i="50"/>
  <c r="AE20" i="50" s="1"/>
  <c r="AT20" i="50" s="1"/>
  <c r="BA20" i="50" s="1"/>
  <c r="AJ20" i="50"/>
  <c r="AG20" i="50"/>
  <c r="Z20" i="50" s="1"/>
  <c r="AO20" i="50" s="1"/>
  <c r="AV20" i="50" s="1"/>
  <c r="AK20" i="50"/>
  <c r="AH20" i="50"/>
  <c r="AU86" i="50"/>
  <c r="AZ86" i="50"/>
  <c r="AY86" i="50"/>
  <c r="AW86" i="50"/>
  <c r="AV86" i="50"/>
  <c r="BA86" i="50"/>
  <c r="AX51" i="50"/>
  <c r="BI71" i="50"/>
  <c r="AI71" i="50"/>
  <c r="AB71" i="50" s="1"/>
  <c r="AQ71" i="50" s="1"/>
  <c r="AM71" i="50"/>
  <c r="BK71" i="50" s="1"/>
  <c r="P71" i="50"/>
  <c r="AK34" i="50"/>
  <c r="AH34" i="50"/>
  <c r="M34" i="50"/>
  <c r="AL34" i="50"/>
  <c r="AF34" i="50"/>
  <c r="AG34" i="50"/>
  <c r="AM34" i="50"/>
  <c r="AI34" i="50"/>
  <c r="AJ34" i="50"/>
  <c r="BJ36" i="50"/>
  <c r="BK36" i="50"/>
  <c r="BI36" i="50"/>
  <c r="AH24" i="50"/>
  <c r="AG24" i="50"/>
  <c r="AL24" i="50"/>
  <c r="AJ24" i="50"/>
  <c r="M24" i="50"/>
  <c r="AI24" i="50"/>
  <c r="AF24" i="50"/>
  <c r="AM24" i="50"/>
  <c r="AK24" i="50"/>
  <c r="AI65" i="50"/>
  <c r="P65" i="50"/>
  <c r="BI65" i="50"/>
  <c r="AM65" i="50"/>
  <c r="BK65" i="50" s="1"/>
  <c r="BI44" i="50"/>
  <c r="BK44" i="50"/>
  <c r="BJ44" i="50"/>
  <c r="M33" i="50"/>
  <c r="AI33" i="50"/>
  <c r="AB33" i="50" s="1"/>
  <c r="AQ33" i="50" s="1"/>
  <c r="AX33" i="50" s="1"/>
  <c r="AJ33" i="50"/>
  <c r="AC33" i="50" s="1"/>
  <c r="AR33" i="50" s="1"/>
  <c r="AY33" i="50" s="1"/>
  <c r="AM33" i="50"/>
  <c r="AK33" i="50"/>
  <c r="AF33" i="50"/>
  <c r="AL33" i="50"/>
  <c r="AE33" i="50" s="1"/>
  <c r="AT33" i="50" s="1"/>
  <c r="BA33" i="50" s="1"/>
  <c r="AG33" i="50"/>
  <c r="Z33" i="50" s="1"/>
  <c r="AO33" i="50" s="1"/>
  <c r="AV33" i="50" s="1"/>
  <c r="AH33" i="50"/>
  <c r="BI35" i="50"/>
  <c r="BK35" i="50"/>
  <c r="BJ35" i="50"/>
  <c r="AJ39" i="50"/>
  <c r="AI39" i="50"/>
  <c r="AH39" i="50"/>
  <c r="AG39" i="50"/>
  <c r="M39" i="50"/>
  <c r="AK39" i="50"/>
  <c r="AF39" i="50"/>
  <c r="AM39" i="50"/>
  <c r="AL39" i="50"/>
  <c r="BJ127" i="50"/>
  <c r="BK127" i="50"/>
  <c r="BI127" i="50"/>
  <c r="AJ42" i="50"/>
  <c r="AC42" i="50" s="1"/>
  <c r="AR42" i="50" s="1"/>
  <c r="AG42" i="50"/>
  <c r="Z42" i="50" s="1"/>
  <c r="AO42" i="50" s="1"/>
  <c r="AF42" i="50"/>
  <c r="Y42" i="50" s="1"/>
  <c r="AN42" i="50" s="1"/>
  <c r="AH42" i="50"/>
  <c r="AA42" i="50" s="1"/>
  <c r="AP42" i="50" s="1"/>
  <c r="AI42" i="50"/>
  <c r="AB42" i="50" s="1"/>
  <c r="AQ42" i="50" s="1"/>
  <c r="AK42" i="50"/>
  <c r="AD42" i="50" s="1"/>
  <c r="AS42" i="50" s="1"/>
  <c r="AM42" i="50"/>
  <c r="AL42" i="50"/>
  <c r="AE42" i="50" s="1"/>
  <c r="AT42" i="50" s="1"/>
  <c r="M42" i="50"/>
  <c r="BK23" i="50"/>
  <c r="BJ23" i="50"/>
  <c r="BI23" i="50"/>
  <c r="AJ29" i="50"/>
  <c r="AC29" i="50" s="1"/>
  <c r="AR29" i="50" s="1"/>
  <c r="AF29" i="50"/>
  <c r="Y29" i="50" s="1"/>
  <c r="AN29" i="50" s="1"/>
  <c r="AI29" i="50"/>
  <c r="AB29" i="50" s="1"/>
  <c r="AQ29" i="50" s="1"/>
  <c r="AK29" i="50"/>
  <c r="AD29" i="50" s="1"/>
  <c r="AS29" i="50" s="1"/>
  <c r="AG29" i="50"/>
  <c r="Z29" i="50" s="1"/>
  <c r="AO29" i="50" s="1"/>
  <c r="AH29" i="50"/>
  <c r="AA29" i="50" s="1"/>
  <c r="AP29" i="50" s="1"/>
  <c r="M29" i="50"/>
  <c r="AL29" i="50"/>
  <c r="AE29" i="50" s="1"/>
  <c r="AT29" i="50" s="1"/>
  <c r="AM29" i="50"/>
  <c r="BK29" i="50" s="1"/>
  <c r="BJ31" i="50"/>
  <c r="BK31" i="50"/>
  <c r="BI31" i="50"/>
  <c r="AI83" i="50"/>
  <c r="AB83" i="50" s="1"/>
  <c r="AQ83" i="50" s="1"/>
  <c r="P83" i="50"/>
  <c r="AM83" i="50"/>
  <c r="BK83" i="50" s="1"/>
  <c r="AK45" i="50"/>
  <c r="AI45" i="50"/>
  <c r="AG45" i="50"/>
  <c r="AF45" i="50"/>
  <c r="M45" i="50"/>
  <c r="AH45" i="50"/>
  <c r="AJ45" i="50"/>
  <c r="AM45" i="50"/>
  <c r="AL45" i="50"/>
  <c r="AY76" i="50"/>
  <c r="AU76" i="50"/>
  <c r="AZ76" i="50"/>
  <c r="AW76" i="50"/>
  <c r="AV76" i="50"/>
  <c r="BA76" i="50"/>
  <c r="AI75" i="50"/>
  <c r="AM75" i="50"/>
  <c r="BK75" i="50" s="1"/>
  <c r="BI75" i="50"/>
  <c r="P75" i="50"/>
  <c r="AM68" i="50"/>
  <c r="BK68" i="50" s="1"/>
  <c r="BI68" i="50"/>
  <c r="AI68" i="50"/>
  <c r="P68" i="50"/>
  <c r="AF18" i="50"/>
  <c r="Y18" i="50" s="1"/>
  <c r="AN18" i="50" s="1"/>
  <c r="AM18" i="50"/>
  <c r="AK18" i="50"/>
  <c r="AD18" i="50" s="1"/>
  <c r="AS18" i="50" s="1"/>
  <c r="M18" i="50"/>
  <c r="AH18" i="50"/>
  <c r="AA18" i="50" s="1"/>
  <c r="AP18" i="50" s="1"/>
  <c r="AL18" i="50"/>
  <c r="AE18" i="50" s="1"/>
  <c r="AT18" i="50" s="1"/>
  <c r="AJ18" i="50"/>
  <c r="AC18" i="50" s="1"/>
  <c r="AR18" i="50" s="1"/>
  <c r="AG18" i="50"/>
  <c r="Z18" i="50" s="1"/>
  <c r="AO18" i="50" s="1"/>
  <c r="AI18" i="50"/>
  <c r="AB18" i="50" s="1"/>
  <c r="AQ18" i="50" s="1"/>
  <c r="P82" i="50"/>
  <c r="AI82" i="50"/>
  <c r="AB82" i="50" s="1"/>
  <c r="AQ82" i="50" s="1"/>
  <c r="BI82" i="50"/>
  <c r="AM82" i="50"/>
  <c r="BK82" i="50" s="1"/>
  <c r="AF28" i="50"/>
  <c r="Y28" i="50" s="1"/>
  <c r="AN28" i="50" s="1"/>
  <c r="AL28" i="50"/>
  <c r="AE28" i="50" s="1"/>
  <c r="AT28" i="50" s="1"/>
  <c r="M28" i="50"/>
  <c r="AM28" i="50"/>
  <c r="BK28" i="50" s="1"/>
  <c r="AI28" i="50"/>
  <c r="AB28" i="50" s="1"/>
  <c r="AQ28" i="50" s="1"/>
  <c r="AK28" i="50"/>
  <c r="AD28" i="50" s="1"/>
  <c r="AS28" i="50" s="1"/>
  <c r="AG28" i="50"/>
  <c r="Z28" i="50" s="1"/>
  <c r="AO28" i="50" s="1"/>
  <c r="AH28" i="50"/>
  <c r="AA28" i="50" s="1"/>
  <c r="AP28" i="50" s="1"/>
  <c r="AJ28" i="50"/>
  <c r="AC28" i="50" s="1"/>
  <c r="AR28" i="50" s="1"/>
  <c r="AY52" i="50"/>
  <c r="AW52" i="50"/>
  <c r="AZ52" i="50"/>
  <c r="AV52" i="50"/>
  <c r="AU52" i="50"/>
  <c r="BA52" i="50"/>
  <c r="AI64" i="50"/>
  <c r="AB64" i="50" s="1"/>
  <c r="AQ64" i="50" s="1"/>
  <c r="P64" i="50"/>
  <c r="BI64" i="50"/>
  <c r="AM64" i="50"/>
  <c r="BK64" i="50" s="1"/>
  <c r="BA68" i="50"/>
  <c r="AV68" i="50"/>
  <c r="AU68" i="50"/>
  <c r="AW68" i="50"/>
  <c r="AY68" i="50"/>
  <c r="AZ68" i="50"/>
  <c r="BA66" i="50"/>
  <c r="AV66" i="50"/>
  <c r="AZ66" i="50"/>
  <c r="AW66" i="50"/>
  <c r="AU66" i="50"/>
  <c r="AY66" i="50"/>
  <c r="AM53" i="50"/>
  <c r="AI53" i="50"/>
  <c r="AB53" i="50" s="1"/>
  <c r="AQ53" i="50" s="1"/>
  <c r="AK53" i="50"/>
  <c r="AD53" i="50" s="1"/>
  <c r="AS53" i="50" s="1"/>
  <c r="M53" i="50"/>
  <c r="AJ53" i="50"/>
  <c r="AC53" i="50" s="1"/>
  <c r="AR53" i="50" s="1"/>
  <c r="AF53" i="50"/>
  <c r="Y53" i="50" s="1"/>
  <c r="AN53" i="50" s="1"/>
  <c r="AH53" i="50"/>
  <c r="AA53" i="50" s="1"/>
  <c r="AP53" i="50" s="1"/>
  <c r="AL53" i="50"/>
  <c r="AE53" i="50" s="1"/>
  <c r="AT53" i="50" s="1"/>
  <c r="AG53" i="50"/>
  <c r="Z53" i="50" s="1"/>
  <c r="AO53" i="50" s="1"/>
  <c r="AI32" i="50"/>
  <c r="AB32" i="50" s="1"/>
  <c r="AQ32" i="50" s="1"/>
  <c r="AF32" i="50"/>
  <c r="Y32" i="50" s="1"/>
  <c r="AN32" i="50" s="1"/>
  <c r="AG32" i="50"/>
  <c r="Z32" i="50" s="1"/>
  <c r="AO32" i="50" s="1"/>
  <c r="AM32" i="50"/>
  <c r="M32" i="50"/>
  <c r="AJ32" i="50"/>
  <c r="AC32" i="50" s="1"/>
  <c r="AR32" i="50" s="1"/>
  <c r="AL32" i="50"/>
  <c r="AE32" i="50" s="1"/>
  <c r="AT32" i="50" s="1"/>
  <c r="AK32" i="50"/>
  <c r="AD32" i="50" s="1"/>
  <c r="AS32" i="50" s="1"/>
  <c r="AH32" i="50"/>
  <c r="AA32" i="50" s="1"/>
  <c r="AP32" i="50" s="1"/>
  <c r="BJ53" i="50"/>
  <c r="BI53" i="50"/>
  <c r="BK53" i="50"/>
  <c r="AY65" i="50"/>
  <c r="AW65" i="50"/>
  <c r="AZ65" i="50"/>
  <c r="AU65" i="50"/>
  <c r="BA65" i="50"/>
  <c r="AV65" i="50"/>
  <c r="AF30" i="50"/>
  <c r="M30" i="50"/>
  <c r="AM30" i="50"/>
  <c r="AL30" i="50"/>
  <c r="AG30" i="50"/>
  <c r="AJ30" i="50"/>
  <c r="AI30" i="50"/>
  <c r="AH30" i="50"/>
  <c r="AK30" i="50"/>
  <c r="AL35" i="50"/>
  <c r="AK35" i="50"/>
  <c r="AM35" i="50"/>
  <c r="M35" i="50"/>
  <c r="AG35" i="50"/>
  <c r="AI35" i="50"/>
  <c r="AF35" i="50"/>
  <c r="AJ35" i="50"/>
  <c r="AH35" i="50"/>
  <c r="AK47" i="50"/>
  <c r="AD47" i="50" s="1"/>
  <c r="AS47" i="50" s="1"/>
  <c r="M47" i="50"/>
  <c r="AJ47" i="50"/>
  <c r="AC47" i="50" s="1"/>
  <c r="AR47" i="50" s="1"/>
  <c r="AL47" i="50"/>
  <c r="AE47" i="50" s="1"/>
  <c r="AT47" i="50" s="1"/>
  <c r="AG47" i="50"/>
  <c r="Z47" i="50" s="1"/>
  <c r="AO47" i="50" s="1"/>
  <c r="AH47" i="50"/>
  <c r="AA47" i="50" s="1"/>
  <c r="AP47" i="50" s="1"/>
  <c r="AM47" i="50"/>
  <c r="AF47" i="50"/>
  <c r="Y47" i="50" s="1"/>
  <c r="AN47" i="50" s="1"/>
  <c r="AI47" i="50"/>
  <c r="AB47" i="50" s="1"/>
  <c r="AQ47" i="50" s="1"/>
  <c r="AU44" i="50"/>
  <c r="AZ44" i="50"/>
  <c r="BA44" i="50"/>
  <c r="AM67" i="50"/>
  <c r="BK67" i="50" s="1"/>
  <c r="BI67" i="50"/>
  <c r="AI67" i="50"/>
  <c r="P67" i="50"/>
  <c r="BI83" i="50"/>
  <c r="BJ19" i="50"/>
  <c r="BI19" i="50"/>
  <c r="BK19" i="50"/>
  <c r="BK16" i="50"/>
  <c r="BI16" i="50"/>
  <c r="BJ16" i="50"/>
  <c r="AX87" i="50" l="1"/>
  <c r="AX84" i="50"/>
  <c r="AX76" i="50"/>
  <c r="AV36" i="50"/>
  <c r="AY41" i="50"/>
  <c r="G9" i="21"/>
  <c r="H9" i="21" s="1"/>
  <c r="AU43" i="50"/>
  <c r="BA23" i="50"/>
  <c r="AZ19" i="50"/>
  <c r="I7" i="21"/>
  <c r="AY19" i="50"/>
  <c r="AX70" i="50"/>
  <c r="BB70" i="50" s="1"/>
  <c r="AV18" i="50"/>
  <c r="AY46" i="50"/>
  <c r="AU46" i="50"/>
  <c r="G7" i="21"/>
  <c r="AW18" i="50"/>
  <c r="BB99" i="50"/>
  <c r="AU51" i="50"/>
  <c r="AV28" i="50"/>
  <c r="AX18" i="50"/>
  <c r="AX80" i="50"/>
  <c r="BB80" i="50" s="1"/>
  <c r="BB63" i="50"/>
  <c r="BI99" i="50"/>
  <c r="G14" i="21" s="1"/>
  <c r="BJ99" i="50"/>
  <c r="BK99" i="50"/>
  <c r="J14" i="21" s="1"/>
  <c r="BA46" i="50"/>
  <c r="AV27" i="50"/>
  <c r="AX82" i="50"/>
  <c r="BB82" i="50" s="1"/>
  <c r="AW55" i="50"/>
  <c r="AU18" i="50"/>
  <c r="AZ46" i="50"/>
  <c r="AU54" i="50"/>
  <c r="AV126" i="50"/>
  <c r="AX126" i="50"/>
  <c r="BA126" i="50"/>
  <c r="AU126" i="50"/>
  <c r="AW126" i="50"/>
  <c r="AZ126" i="50"/>
  <c r="AY126" i="50"/>
  <c r="AA24" i="50"/>
  <c r="AP24" i="50" s="1"/>
  <c r="AW24" i="50" s="1"/>
  <c r="AX83" i="50"/>
  <c r="BB83" i="50" s="1"/>
  <c r="AV29" i="50"/>
  <c r="Y21" i="50"/>
  <c r="AN21" i="50" s="1"/>
  <c r="AU21" i="50" s="1"/>
  <c r="AA40" i="50"/>
  <c r="AP40" i="50" s="1"/>
  <c r="AW40" i="50" s="1"/>
  <c r="BA53" i="50"/>
  <c r="AE25" i="50"/>
  <c r="AT25" i="50" s="1"/>
  <c r="BA25" i="50" s="1"/>
  <c r="AW44" i="50"/>
  <c r="AE30" i="50"/>
  <c r="AT30" i="50" s="1"/>
  <c r="BA30" i="50" s="1"/>
  <c r="AZ18" i="50"/>
  <c r="AW47" i="50"/>
  <c r="Z39" i="50"/>
  <c r="AO39" i="50" s="1"/>
  <c r="AV39" i="50" s="1"/>
  <c r="AE34" i="50"/>
  <c r="AT34" i="50" s="1"/>
  <c r="BA34" i="50" s="1"/>
  <c r="AA20" i="50"/>
  <c r="AP20" i="50" s="1"/>
  <c r="AW20" i="50" s="1"/>
  <c r="AY29" i="50"/>
  <c r="AY32" i="50"/>
  <c r="AE16" i="50"/>
  <c r="AT16" i="50" s="1"/>
  <c r="BA16" i="50" s="1"/>
  <c r="AV46" i="50"/>
  <c r="Z21" i="50"/>
  <c r="AO21" i="50" s="1"/>
  <c r="AV21" i="50" s="1"/>
  <c r="AA31" i="50"/>
  <c r="AP31" i="50" s="1"/>
  <c r="AW31" i="50" s="1"/>
  <c r="BB73" i="50"/>
  <c r="AA50" i="50"/>
  <c r="AP50" i="50" s="1"/>
  <c r="AW50" i="50" s="1"/>
  <c r="Z43" i="50"/>
  <c r="AO43" i="50" s="1"/>
  <c r="AV43" i="50" s="1"/>
  <c r="AW53" i="50"/>
  <c r="AB44" i="50"/>
  <c r="AQ44" i="50" s="1"/>
  <c r="AX44" i="50" s="1"/>
  <c r="BB130" i="50"/>
  <c r="AW42" i="50"/>
  <c r="AW48" i="50"/>
  <c r="AZ55" i="50"/>
  <c r="AE37" i="50"/>
  <c r="AT37" i="50" s="1"/>
  <c r="BA37" i="50" s="1"/>
  <c r="AD51" i="50"/>
  <c r="AS51" i="50" s="1"/>
  <c r="AZ51" i="50" s="1"/>
  <c r="I10" i="21"/>
  <c r="AC17" i="50"/>
  <c r="AR17" i="50" s="1"/>
  <c r="AY17" i="50" s="1"/>
  <c r="I8" i="21"/>
  <c r="AY28" i="50"/>
  <c r="AA26" i="50"/>
  <c r="AP26" i="50" s="1"/>
  <c r="AW26" i="50" s="1"/>
  <c r="BA27" i="50"/>
  <c r="Y25" i="50"/>
  <c r="AN25" i="50" s="1"/>
  <c r="AU25" i="50" s="1"/>
  <c r="Z30" i="50"/>
  <c r="AO30" i="50" s="1"/>
  <c r="AV30" i="50" s="1"/>
  <c r="AA45" i="50"/>
  <c r="AP45" i="50" s="1"/>
  <c r="AW45" i="50" s="1"/>
  <c r="AB16" i="50"/>
  <c r="AQ16" i="50" s="1"/>
  <c r="AX16" i="50" s="1"/>
  <c r="AD31" i="50"/>
  <c r="AS31" i="50" s="1"/>
  <c r="AZ31" i="50" s="1"/>
  <c r="AB74" i="50"/>
  <c r="AQ74" i="50" s="1"/>
  <c r="AX74" i="50" s="1"/>
  <c r="BB74" i="50" s="1"/>
  <c r="J8" i="21"/>
  <c r="AB67" i="50"/>
  <c r="AQ67" i="50" s="1"/>
  <c r="AX67" i="50" s="1"/>
  <c r="BB67" i="50" s="1"/>
  <c r="AD35" i="50"/>
  <c r="AS35" i="50" s="1"/>
  <c r="AZ35" i="50" s="1"/>
  <c r="Y45" i="50"/>
  <c r="AN45" i="50" s="1"/>
  <c r="AU45" i="50" s="1"/>
  <c r="AX47" i="50"/>
  <c r="AA39" i="50"/>
  <c r="AP39" i="50" s="1"/>
  <c r="AW39" i="50" s="1"/>
  <c r="Y24" i="50"/>
  <c r="AN24" i="50" s="1"/>
  <c r="AU24" i="50" s="1"/>
  <c r="AD20" i="50"/>
  <c r="AS20" i="50" s="1"/>
  <c r="AZ20" i="50" s="1"/>
  <c r="AW43" i="50"/>
  <c r="AZ32" i="50"/>
  <c r="AD16" i="50"/>
  <c r="AS16" i="50" s="1"/>
  <c r="AZ16" i="50" s="1"/>
  <c r="AB61" i="50"/>
  <c r="AQ61" i="50" s="1"/>
  <c r="AX61" i="50" s="1"/>
  <c r="BB61" i="50" s="1"/>
  <c r="AZ36" i="50"/>
  <c r="BB36" i="50" s="1"/>
  <c r="BB72" i="50"/>
  <c r="AA21" i="50"/>
  <c r="AP21" i="50" s="1"/>
  <c r="AW21" i="50" s="1"/>
  <c r="Y31" i="50"/>
  <c r="AN31" i="50" s="1"/>
  <c r="AU31" i="50" s="1"/>
  <c r="AE43" i="50"/>
  <c r="AT43" i="50" s="1"/>
  <c r="BA43" i="50" s="1"/>
  <c r="AZ53" i="50"/>
  <c r="Z44" i="50"/>
  <c r="AO44" i="50" s="1"/>
  <c r="AV44" i="50" s="1"/>
  <c r="BI130" i="50"/>
  <c r="BJ130" i="50"/>
  <c r="BK130" i="50"/>
  <c r="AU42" i="50"/>
  <c r="AY48" i="50"/>
  <c r="AY55" i="50"/>
  <c r="AC37" i="50"/>
  <c r="AR37" i="50" s="1"/>
  <c r="AY37" i="50" s="1"/>
  <c r="AW54" i="50"/>
  <c r="AE22" i="50"/>
  <c r="AT22" i="50" s="1"/>
  <c r="BA22" i="50" s="1"/>
  <c r="AD17" i="50"/>
  <c r="AS17" i="50" s="1"/>
  <c r="AZ17" i="50" s="1"/>
  <c r="BA28" i="50"/>
  <c r="AA25" i="50"/>
  <c r="AP25" i="50" s="1"/>
  <c r="AW25" i="50" s="1"/>
  <c r="AC25" i="50"/>
  <c r="AR25" i="50" s="1"/>
  <c r="AY25" i="50" s="1"/>
  <c r="Y50" i="50"/>
  <c r="AN50" i="50" s="1"/>
  <c r="AU50" i="50" s="1"/>
  <c r="AD37" i="50"/>
  <c r="AS37" i="50" s="1"/>
  <c r="AZ37" i="50" s="1"/>
  <c r="Z17" i="50"/>
  <c r="AO17" i="50" s="1"/>
  <c r="AV17" i="50" s="1"/>
  <c r="BB76" i="50"/>
  <c r="Z45" i="50"/>
  <c r="AO45" i="50" s="1"/>
  <c r="AV45" i="50" s="1"/>
  <c r="BA47" i="50"/>
  <c r="AB39" i="50"/>
  <c r="AQ39" i="50" s="1"/>
  <c r="AX39" i="50" s="1"/>
  <c r="Y33" i="50"/>
  <c r="AN33" i="50" s="1"/>
  <c r="AU33" i="50" s="1"/>
  <c r="AB24" i="50"/>
  <c r="AQ24" i="50" s="1"/>
  <c r="AX24" i="50" s="1"/>
  <c r="AA34" i="50"/>
  <c r="AP34" i="50" s="1"/>
  <c r="AW34" i="50" s="1"/>
  <c r="BB87" i="50"/>
  <c r="BB19" i="50"/>
  <c r="AW29" i="50"/>
  <c r="AU32" i="50"/>
  <c r="AZ23" i="50"/>
  <c r="AB50" i="50"/>
  <c r="AQ50" i="50" s="1"/>
  <c r="AX50" i="50" s="1"/>
  <c r="AE50" i="50"/>
  <c r="AT50" i="50" s="1"/>
  <c r="BA50" i="50" s="1"/>
  <c r="Z40" i="50"/>
  <c r="AO40" i="50" s="1"/>
  <c r="AV40" i="50" s="1"/>
  <c r="AC43" i="50"/>
  <c r="AR43" i="50" s="1"/>
  <c r="AY43" i="50" s="1"/>
  <c r="AU48" i="50"/>
  <c r="AB37" i="50"/>
  <c r="AQ37" i="50" s="1"/>
  <c r="AX37" i="50" s="1"/>
  <c r="Z51" i="50"/>
  <c r="AO51" i="50" s="1"/>
  <c r="AV51" i="50" s="1"/>
  <c r="AZ54" i="50"/>
  <c r="AC22" i="50"/>
  <c r="AR22" i="50" s="1"/>
  <c r="AY22" i="50" s="1"/>
  <c r="AE17" i="50"/>
  <c r="AT17" i="50" s="1"/>
  <c r="BA17" i="50" s="1"/>
  <c r="AZ28" i="50"/>
  <c r="BA26" i="50"/>
  <c r="AE26" i="50"/>
  <c r="AT26" i="50" s="1"/>
  <c r="AY27" i="50"/>
  <c r="AB25" i="50"/>
  <c r="AQ25" i="50" s="1"/>
  <c r="AX25" i="50" s="1"/>
  <c r="AD24" i="50"/>
  <c r="AS24" i="50" s="1"/>
  <c r="AZ24" i="50" s="1"/>
  <c r="AC31" i="50"/>
  <c r="AR31" i="50" s="1"/>
  <c r="AY31" i="50" s="1"/>
  <c r="AB66" i="50"/>
  <c r="AQ66" i="50" s="1"/>
  <c r="AX66" i="50" s="1"/>
  <c r="BB66" i="50" s="1"/>
  <c r="AA22" i="50"/>
  <c r="AP22" i="50" s="1"/>
  <c r="AW22" i="50" s="1"/>
  <c r="AB45" i="50"/>
  <c r="AQ45" i="50" s="1"/>
  <c r="AX45" i="50" s="1"/>
  <c r="AU47" i="50"/>
  <c r="AE39" i="50"/>
  <c r="AT39" i="50" s="1"/>
  <c r="BA39" i="50" s="1"/>
  <c r="AC39" i="50"/>
  <c r="AR39" i="50" s="1"/>
  <c r="AY39" i="50" s="1"/>
  <c r="AD33" i="50"/>
  <c r="AS33" i="50" s="1"/>
  <c r="AZ33" i="50" s="1"/>
  <c r="AC34" i="50"/>
  <c r="AR34" i="50" s="1"/>
  <c r="AY34" i="50" s="1"/>
  <c r="AD34" i="50"/>
  <c r="AS34" i="50" s="1"/>
  <c r="AZ34" i="50" s="1"/>
  <c r="AC20" i="50"/>
  <c r="AR20" i="50" s="1"/>
  <c r="AY20" i="50" s="1"/>
  <c r="AZ60" i="50"/>
  <c r="AW60" i="50"/>
  <c r="AV60" i="50"/>
  <c r="BA60" i="50"/>
  <c r="AU60" i="50"/>
  <c r="AY60" i="50"/>
  <c r="AX60" i="50"/>
  <c r="AZ29" i="50"/>
  <c r="AX32" i="50"/>
  <c r="AC16" i="50"/>
  <c r="AR16" i="50" s="1"/>
  <c r="AY16" i="50"/>
  <c r="AE21" i="50"/>
  <c r="AT21" i="50" s="1"/>
  <c r="BA21" i="50" s="1"/>
  <c r="AC21" i="50"/>
  <c r="AR21" i="50" s="1"/>
  <c r="AY21" i="50" s="1"/>
  <c r="AY53" i="50"/>
  <c r="BB56" i="50"/>
  <c r="BB79" i="50"/>
  <c r="AX78" i="50"/>
  <c r="BB78" i="50" s="1"/>
  <c r="BA42" i="50"/>
  <c r="AX48" i="50"/>
  <c r="AV55" i="50"/>
  <c r="AA37" i="50"/>
  <c r="AP37" i="50" s="1"/>
  <c r="AW37" i="50" s="1"/>
  <c r="AX54" i="50"/>
  <c r="BB84" i="50"/>
  <c r="Y22" i="50"/>
  <c r="AN22" i="50" s="1"/>
  <c r="AU22" i="50" s="1"/>
  <c r="Y17" i="50"/>
  <c r="AN17" i="50" s="1"/>
  <c r="AU17" i="50" s="1"/>
  <c r="AW28" i="50"/>
  <c r="AX27" i="50"/>
  <c r="Y34" i="50"/>
  <c r="AN34" i="50" s="1"/>
  <c r="AU34" i="50"/>
  <c r="AC51" i="50"/>
  <c r="AR51" i="50" s="1"/>
  <c r="AY51" i="50" s="1"/>
  <c r="AC35" i="50"/>
  <c r="AR35" i="50" s="1"/>
  <c r="AY35" i="50" s="1"/>
  <c r="Y30" i="50"/>
  <c r="AN30" i="50" s="1"/>
  <c r="AU30" i="50" s="1"/>
  <c r="Y35" i="50"/>
  <c r="AN35" i="50" s="1"/>
  <c r="AU35" i="50" s="1"/>
  <c r="AA30" i="50"/>
  <c r="AP30" i="50" s="1"/>
  <c r="AW30" i="50" s="1"/>
  <c r="AB75" i="50"/>
  <c r="AQ75" i="50" s="1"/>
  <c r="AX75" i="50" s="1"/>
  <c r="BB75" i="50" s="1"/>
  <c r="AE45" i="50"/>
  <c r="AT45" i="50" s="1"/>
  <c r="BA45" i="50" s="1"/>
  <c r="AD45" i="50"/>
  <c r="AS45" i="50" s="1"/>
  <c r="AZ45" i="50" s="1"/>
  <c r="AV47" i="50"/>
  <c r="I9" i="21"/>
  <c r="AC24" i="50"/>
  <c r="AR24" i="50" s="1"/>
  <c r="AY24" i="50" s="1"/>
  <c r="AB34" i="50"/>
  <c r="AQ34" i="50" s="1"/>
  <c r="AX34" i="50" s="1"/>
  <c r="BA29" i="50"/>
  <c r="AX81" i="50"/>
  <c r="BB81" i="50" s="1"/>
  <c r="BA32" i="50"/>
  <c r="AX71" i="50"/>
  <c r="BB71" i="50" s="1"/>
  <c r="Z16" i="50"/>
  <c r="AO16" i="50" s="1"/>
  <c r="AV16" i="50" s="1"/>
  <c r="Z31" i="50"/>
  <c r="AO31" i="50" s="1"/>
  <c r="AV31" i="50" s="1"/>
  <c r="AD50" i="50"/>
  <c r="AS50" i="50" s="1"/>
  <c r="AZ50" i="50" s="1"/>
  <c r="AD40" i="50"/>
  <c r="AS40" i="50" s="1"/>
  <c r="AZ40" i="50" s="1"/>
  <c r="AU53" i="50"/>
  <c r="AX77" i="50"/>
  <c r="BB77" i="50" s="1"/>
  <c r="AV42" i="50"/>
  <c r="BA48" i="50"/>
  <c r="AU55" i="50"/>
  <c r="Y37" i="50"/>
  <c r="AN37" i="50" s="1"/>
  <c r="AU37" i="50" s="1"/>
  <c r="AV54" i="50"/>
  <c r="AD22" i="50"/>
  <c r="AS22" i="50" s="1"/>
  <c r="AZ22" i="50" s="1"/>
  <c r="BA131" i="50"/>
  <c r="AX131" i="50"/>
  <c r="AY131" i="50"/>
  <c r="AU131" i="50"/>
  <c r="AW131" i="50"/>
  <c r="AZ131" i="50"/>
  <c r="AV131" i="50"/>
  <c r="AX28" i="50"/>
  <c r="AB26" i="50"/>
  <c r="AQ26" i="50" s="1"/>
  <c r="AX26" i="50" s="1"/>
  <c r="AZ27" i="50"/>
  <c r="AA33" i="50"/>
  <c r="AP33" i="50" s="1"/>
  <c r="AW33" i="50" s="1"/>
  <c r="AY42" i="50"/>
  <c r="AA35" i="50"/>
  <c r="AP35" i="50" s="1"/>
  <c r="AW35" i="50" s="1"/>
  <c r="AD30" i="50"/>
  <c r="AS30" i="50" s="1"/>
  <c r="AZ30" i="50" s="1"/>
  <c r="AX52" i="50"/>
  <c r="BB52" i="50" s="1"/>
  <c r="AB35" i="50"/>
  <c r="AQ35" i="50" s="1"/>
  <c r="AX35" i="50" s="1"/>
  <c r="AB30" i="50"/>
  <c r="AQ30" i="50" s="1"/>
  <c r="AX30" i="50" s="1"/>
  <c r="AY18" i="50"/>
  <c r="AZ47" i="50"/>
  <c r="Y39" i="50"/>
  <c r="AN39" i="50" s="1"/>
  <c r="AU39" i="50" s="1"/>
  <c r="AE24" i="50"/>
  <c r="AT24" i="50" s="1"/>
  <c r="BA24" i="50" s="1"/>
  <c r="AX86" i="50"/>
  <c r="BB86" i="50" s="1"/>
  <c r="AB20" i="50"/>
  <c r="AQ20" i="50" s="1"/>
  <c r="AX20" i="50" s="1"/>
  <c r="AU29" i="50"/>
  <c r="AW32" i="50"/>
  <c r="AA16" i="50"/>
  <c r="AP16" i="50" s="1"/>
  <c r="AW16" i="50" s="1"/>
  <c r="AD21" i="50"/>
  <c r="AS21" i="50" s="1"/>
  <c r="AZ21" i="50" s="1"/>
  <c r="AU128" i="50"/>
  <c r="AV128" i="50"/>
  <c r="AZ128" i="50"/>
  <c r="AW128" i="50"/>
  <c r="AX128" i="50"/>
  <c r="AY128" i="50"/>
  <c r="BA128" i="50"/>
  <c r="AB69" i="50"/>
  <c r="AQ69" i="50" s="1"/>
  <c r="AX69" i="50" s="1"/>
  <c r="BB69" i="50" s="1"/>
  <c r="AE31" i="50"/>
  <c r="AT31" i="50" s="1"/>
  <c r="BA31" i="50" s="1"/>
  <c r="Z50" i="50"/>
  <c r="AO50" i="50" s="1"/>
  <c r="AV50" i="50" s="1"/>
  <c r="AZ41" i="50"/>
  <c r="BB41" i="50" s="1"/>
  <c r="AB43" i="50"/>
  <c r="AQ43" i="50" s="1"/>
  <c r="AX43" i="50" s="1"/>
  <c r="AV53" i="50"/>
  <c r="AX42" i="50"/>
  <c r="AV48" i="50"/>
  <c r="AX64" i="50"/>
  <c r="BB64" i="50" s="1"/>
  <c r="BA55" i="50"/>
  <c r="Z37" i="50"/>
  <c r="AO37" i="50" s="1"/>
  <c r="AV37" i="50" s="1"/>
  <c r="AE51" i="50"/>
  <c r="AT51" i="50" s="1"/>
  <c r="BA51" i="50" s="1"/>
  <c r="BA54" i="50"/>
  <c r="AA17" i="50"/>
  <c r="AP17" i="50" s="1"/>
  <c r="AW17" i="50" s="1"/>
  <c r="AU28" i="50"/>
  <c r="AC26" i="50"/>
  <c r="AR26" i="50" s="1"/>
  <c r="AY26" i="50" s="1"/>
  <c r="AW27" i="50"/>
  <c r="AD25" i="50"/>
  <c r="AS25" i="50" s="1"/>
  <c r="AZ25" i="50" s="1"/>
  <c r="AZ38" i="50"/>
  <c r="BB38" i="50" s="1"/>
  <c r="AC44" i="50"/>
  <c r="AR44" i="50" s="1"/>
  <c r="AY44" i="50" s="1"/>
  <c r="AE35" i="50"/>
  <c r="AT35" i="50" s="1"/>
  <c r="BA35" i="50" s="1"/>
  <c r="J7" i="21"/>
  <c r="Z35" i="50"/>
  <c r="AO35" i="50" s="1"/>
  <c r="AV35" i="50" s="1"/>
  <c r="AC30" i="50"/>
  <c r="AR30" i="50" s="1"/>
  <c r="AY30" i="50" s="1"/>
  <c r="BA18" i="50"/>
  <c r="AB68" i="50"/>
  <c r="AQ68" i="50" s="1"/>
  <c r="AX68" i="50" s="1"/>
  <c r="BB68" i="50" s="1"/>
  <c r="AC45" i="50"/>
  <c r="AR45" i="50" s="1"/>
  <c r="AY45" i="50" s="1"/>
  <c r="AY47" i="50"/>
  <c r="AD39" i="50"/>
  <c r="AS39" i="50" s="1"/>
  <c r="AZ39" i="50" s="1"/>
  <c r="AB65" i="50"/>
  <c r="AQ65" i="50" s="1"/>
  <c r="AX65" i="50" s="1"/>
  <c r="BB65" i="50" s="1"/>
  <c r="Z24" i="50"/>
  <c r="AO24" i="50" s="1"/>
  <c r="AV24" i="50" s="1"/>
  <c r="Z34" i="50"/>
  <c r="AO34" i="50" s="1"/>
  <c r="AV34" i="50" s="1"/>
  <c r="AX62" i="50"/>
  <c r="BB62" i="50" s="1"/>
  <c r="AX29" i="50"/>
  <c r="AV32" i="50"/>
  <c r="Y16" i="50"/>
  <c r="AN16" i="50" s="1"/>
  <c r="AU16" i="50" s="1"/>
  <c r="BI59" i="50"/>
  <c r="G10" i="21" s="1"/>
  <c r="AI59" i="50"/>
  <c r="AB59" i="50" s="1"/>
  <c r="AQ59" i="50" s="1"/>
  <c r="AX59" i="50" s="1"/>
  <c r="BB59" i="50" s="1"/>
  <c r="AM59" i="50"/>
  <c r="BK59" i="50" s="1"/>
  <c r="J10" i="21" s="1"/>
  <c r="AX46" i="50"/>
  <c r="AB21" i="50"/>
  <c r="AQ21" i="50" s="1"/>
  <c r="AX21" i="50" s="1"/>
  <c r="AB31" i="50"/>
  <c r="AQ31" i="50" s="1"/>
  <c r="AX31" i="50" s="1"/>
  <c r="AC50" i="50"/>
  <c r="AR50" i="50" s="1"/>
  <c r="AY50" i="50" s="1"/>
  <c r="AX53" i="50"/>
  <c r="AZ42" i="50"/>
  <c r="AZ48" i="50"/>
  <c r="BB85" i="50"/>
  <c r="AX55" i="50"/>
  <c r="AA51" i="50"/>
  <c r="AP51" i="50" s="1"/>
  <c r="AW51" i="50" s="1"/>
  <c r="AY54" i="50"/>
  <c r="AB17" i="50"/>
  <c r="AQ17" i="50" s="1"/>
  <c r="AX17" i="50" s="1"/>
  <c r="G8" i="21"/>
  <c r="AU27" i="50"/>
  <c r="Z25" i="50"/>
  <c r="AO25" i="50" s="1"/>
  <c r="AV25" i="50" s="1"/>
  <c r="BB23" i="50" l="1"/>
  <c r="BB27" i="50"/>
  <c r="BB18" i="50"/>
  <c r="BB54" i="50"/>
  <c r="BB131" i="50"/>
  <c r="BB46" i="50"/>
  <c r="D24" i="62"/>
  <c r="D14" i="21"/>
  <c r="BB31" i="50"/>
  <c r="BB33" i="50"/>
  <c r="BB35" i="50"/>
  <c r="BB39" i="50"/>
  <c r="D51" i="62"/>
  <c r="E36" i="21"/>
  <c r="E34" i="21"/>
  <c r="BB22" i="50"/>
  <c r="BB44" i="50"/>
  <c r="G36" i="21"/>
  <c r="D53" i="62"/>
  <c r="BB45" i="50"/>
  <c r="BB20" i="50"/>
  <c r="C36" i="21"/>
  <c r="D49" i="62"/>
  <c r="BB51" i="50"/>
  <c r="BB25" i="50"/>
  <c r="BB50" i="50"/>
  <c r="D54" i="62"/>
  <c r="H36" i="21"/>
  <c r="BB42" i="50"/>
  <c r="BB21" i="50"/>
  <c r="D36" i="21"/>
  <c r="D50" i="62"/>
  <c r="BB17" i="50"/>
  <c r="BB55" i="50"/>
  <c r="BB60" i="50"/>
  <c r="BB48" i="50"/>
  <c r="BB24" i="50"/>
  <c r="BA129" i="50"/>
  <c r="H34" i="21" s="1"/>
  <c r="AZ129" i="50"/>
  <c r="G34" i="21" s="1"/>
  <c r="AW129" i="50"/>
  <c r="D34" i="21" s="1"/>
  <c r="AX129" i="50"/>
  <c r="AY129" i="50"/>
  <c r="F34" i="21" s="1"/>
  <c r="AU129" i="50"/>
  <c r="AV129" i="50"/>
  <c r="C34" i="21" s="1"/>
  <c r="BB37" i="50"/>
  <c r="BB29" i="50"/>
  <c r="BB126" i="50"/>
  <c r="BB128" i="50"/>
  <c r="BJ131" i="50"/>
  <c r="BK131" i="50"/>
  <c r="BI131" i="50"/>
  <c r="BB34" i="50"/>
  <c r="BB32" i="50"/>
  <c r="BB26" i="50"/>
  <c r="B34" i="21"/>
  <c r="BB16" i="50"/>
  <c r="D47" i="62"/>
  <c r="B36" i="21"/>
  <c r="BI128" i="50"/>
  <c r="BJ128" i="50"/>
  <c r="BK128" i="50"/>
  <c r="BB30" i="50"/>
  <c r="F36" i="21"/>
  <c r="D52" i="62"/>
  <c r="BB47" i="50"/>
  <c r="BB40" i="50"/>
  <c r="BI126" i="50"/>
  <c r="BJ126" i="50"/>
  <c r="BK126" i="50"/>
  <c r="BB53" i="50"/>
  <c r="BB43" i="50"/>
  <c r="BB28" i="50"/>
  <c r="D23" i="62" l="1"/>
  <c r="D48" i="62" s="1"/>
  <c r="D22" i="62"/>
  <c r="BC60" i="50"/>
  <c r="BC59" i="50"/>
  <c r="I36" i="21"/>
  <c r="BC47" i="50"/>
  <c r="BC23" i="50"/>
  <c r="BC32" i="50"/>
  <c r="BJ129" i="50"/>
  <c r="I20" i="21" s="1"/>
  <c r="BK129" i="50"/>
  <c r="J20" i="21" s="1"/>
  <c r="BI129" i="50"/>
  <c r="BC19" i="50"/>
  <c r="BC25" i="50"/>
  <c r="BC65" i="50"/>
  <c r="BC75" i="50"/>
  <c r="BC34" i="50"/>
  <c r="BC24" i="50"/>
  <c r="BC21" i="50"/>
  <c r="BC51" i="50"/>
  <c r="BC38" i="50"/>
  <c r="BC45" i="50"/>
  <c r="D8" i="21"/>
  <c r="BC33" i="50"/>
  <c r="BC40" i="50"/>
  <c r="G20" i="21"/>
  <c r="BB129" i="50"/>
  <c r="D20" i="21" s="1"/>
  <c r="BC48" i="50"/>
  <c r="BC42" i="50"/>
  <c r="BC85" i="50"/>
  <c r="BC46" i="50"/>
  <c r="BC20" i="50"/>
  <c r="BC61" i="50"/>
  <c r="BC77" i="50"/>
  <c r="BC81" i="50"/>
  <c r="BC27" i="50"/>
  <c r="BC43" i="50"/>
  <c r="BC73" i="50"/>
  <c r="BC64" i="50"/>
  <c r="D9" i="62"/>
  <c r="BC70" i="50"/>
  <c r="BC82" i="50"/>
  <c r="BC87" i="50"/>
  <c r="BC91" i="50"/>
  <c r="BC49" i="50"/>
  <c r="BC83" i="50"/>
  <c r="BC99" i="50"/>
  <c r="BC76" i="50"/>
  <c r="BC56" i="50"/>
  <c r="BC16" i="50"/>
  <c r="BC96" i="50"/>
  <c r="BC36" i="50"/>
  <c r="BC80" i="50"/>
  <c r="BC86" i="50"/>
  <c r="BC97" i="50"/>
  <c r="BC84" i="50"/>
  <c r="BC95" i="50"/>
  <c r="BC52" i="50"/>
  <c r="BC93" i="50"/>
  <c r="BC92" i="50"/>
  <c r="BC94" i="50"/>
  <c r="BC63" i="50"/>
  <c r="BC98" i="50"/>
  <c r="BB169" i="50"/>
  <c r="BD47" i="50" s="1"/>
  <c r="BC79" i="50"/>
  <c r="BC68" i="50"/>
  <c r="D7" i="21"/>
  <c r="BC90" i="50"/>
  <c r="BC17" i="50"/>
  <c r="BC54" i="50"/>
  <c r="BC44" i="50"/>
  <c r="BC74" i="50"/>
  <c r="BC67" i="50"/>
  <c r="BC28" i="50"/>
  <c r="D10" i="62"/>
  <c r="BC39" i="50"/>
  <c r="BC53" i="50"/>
  <c r="I34" i="21"/>
  <c r="D12" i="62"/>
  <c r="BC50" i="50"/>
  <c r="D10" i="21"/>
  <c r="BC18" i="50"/>
  <c r="BC22" i="50"/>
  <c r="BC72" i="50"/>
  <c r="BC31" i="50"/>
  <c r="BC78" i="50"/>
  <c r="BC69" i="50"/>
  <c r="BC55" i="50"/>
  <c r="BC30" i="50"/>
  <c r="BC26" i="50"/>
  <c r="BC29" i="50"/>
  <c r="BC62" i="50"/>
  <c r="BC71" i="50"/>
  <c r="BC41" i="50"/>
  <c r="D9" i="21"/>
  <c r="D11" i="62"/>
  <c r="BC35" i="50"/>
  <c r="BC66" i="50"/>
  <c r="BC37" i="50"/>
  <c r="BD35" i="50" l="1"/>
  <c r="BD28" i="50"/>
  <c r="BD20" i="50"/>
  <c r="BD26" i="50"/>
  <c r="BD50" i="50"/>
  <c r="BD30" i="50"/>
  <c r="BD97" i="50"/>
  <c r="BD31" i="50"/>
  <c r="BD87" i="50"/>
  <c r="BD91" i="50"/>
  <c r="BD148" i="50"/>
  <c r="BD154" i="50"/>
  <c r="BD23" i="50"/>
  <c r="BD78" i="50"/>
  <c r="BD66" i="50"/>
  <c r="BD157" i="50"/>
  <c r="BD79" i="50"/>
  <c r="BD134" i="50"/>
  <c r="BD84" i="50"/>
  <c r="BD164" i="50"/>
  <c r="BD85" i="50"/>
  <c r="BD147" i="50"/>
  <c r="BD41" i="50"/>
  <c r="BD51" i="50"/>
  <c r="BD56" i="50"/>
  <c r="BD73" i="50"/>
  <c r="BD39" i="50"/>
  <c r="BD136" i="50"/>
  <c r="BD27" i="50"/>
  <c r="BD153" i="50"/>
  <c r="BD119" i="50"/>
  <c r="BD124" i="50"/>
  <c r="BD82" i="50"/>
  <c r="BD96" i="50"/>
  <c r="BD24" i="50"/>
  <c r="BD19" i="50"/>
  <c r="BD102" i="50"/>
  <c r="BD70" i="50"/>
  <c r="BD36" i="50"/>
  <c r="BD122" i="50"/>
  <c r="BD71" i="50"/>
  <c r="BD103" i="50"/>
  <c r="BD118" i="50"/>
  <c r="BD163" i="50"/>
  <c r="BD142" i="50"/>
  <c r="BD69" i="50"/>
  <c r="BD115" i="50"/>
  <c r="BD137" i="50"/>
  <c r="BD158" i="50"/>
  <c r="BD40" i="50"/>
  <c r="BD33" i="50"/>
  <c r="BD83" i="50"/>
  <c r="BD165" i="50"/>
  <c r="BD111" i="50"/>
  <c r="BD131" i="50"/>
  <c r="BD74" i="50"/>
  <c r="BD65" i="50"/>
  <c r="BD166" i="50"/>
  <c r="BD112" i="50"/>
  <c r="BD42" i="50"/>
  <c r="BD80" i="50"/>
  <c r="BD61" i="50"/>
  <c r="BD48" i="50"/>
  <c r="BD62" i="50"/>
  <c r="BD117" i="50"/>
  <c r="BD141" i="50"/>
  <c r="BD114" i="50"/>
  <c r="BD52" i="50"/>
  <c r="BD49" i="50"/>
  <c r="BD161" i="50"/>
  <c r="BD104" i="50"/>
  <c r="BD140" i="50"/>
  <c r="BD86" i="50"/>
  <c r="BD162" i="50"/>
  <c r="BD132" i="50"/>
  <c r="BD37" i="50"/>
  <c r="BD16" i="50"/>
  <c r="BD99" i="50"/>
  <c r="BD139" i="50"/>
  <c r="BD60" i="50"/>
  <c r="BD108" i="50"/>
  <c r="BD138" i="50"/>
  <c r="BD59" i="50"/>
  <c r="BD128" i="50"/>
  <c r="BD113" i="50"/>
  <c r="BD135" i="50"/>
  <c r="BD159" i="50"/>
  <c r="BD145" i="50"/>
  <c r="BD123" i="50"/>
  <c r="BD106" i="50"/>
  <c r="BD46" i="50"/>
  <c r="BD109" i="50"/>
  <c r="BD110" i="50"/>
  <c r="BD107" i="50"/>
  <c r="BD98" i="50"/>
  <c r="BD75" i="50"/>
  <c r="BD77" i="50"/>
  <c r="BD17" i="50"/>
  <c r="BD21" i="50"/>
  <c r="BD116" i="50"/>
  <c r="BD90" i="50"/>
  <c r="BD125" i="50"/>
  <c r="BD144" i="50"/>
  <c r="BD150" i="50"/>
  <c r="BD94" i="50"/>
  <c r="BD146" i="50"/>
  <c r="BD18" i="50"/>
  <c r="BD72" i="50"/>
  <c r="BD156" i="50"/>
  <c r="BD81" i="50"/>
  <c r="BD120" i="50"/>
  <c r="BD64" i="50"/>
  <c r="BD126" i="50"/>
  <c r="BD29" i="50"/>
  <c r="BD68" i="50"/>
  <c r="BD63" i="50"/>
  <c r="BD152" i="50"/>
  <c r="BD167" i="50"/>
  <c r="BD160" i="50"/>
  <c r="BD92" i="50"/>
  <c r="BD95" i="50"/>
  <c r="BD149" i="50"/>
  <c r="BD67" i="50"/>
  <c r="BD105" i="50"/>
  <c r="BD76" i="50"/>
  <c r="BD54" i="50"/>
  <c r="BD93" i="50"/>
  <c r="BD133" i="50"/>
  <c r="BD127" i="50"/>
  <c r="BD22" i="50"/>
  <c r="BD130" i="50"/>
  <c r="BD44" i="50"/>
  <c r="BD43" i="50"/>
  <c r="BD38" i="50"/>
  <c r="BD143" i="50"/>
  <c r="BD151" i="50"/>
  <c r="BD121" i="50"/>
  <c r="BD53" i="50"/>
  <c r="BD155" i="50"/>
  <c r="BD45" i="50"/>
  <c r="BD129" i="50"/>
  <c r="BD34" i="50"/>
  <c r="D34" i="62"/>
  <c r="D33" i="62"/>
  <c r="BD25" i="50"/>
  <c r="D8" i="62"/>
  <c r="E32" i="21"/>
  <c r="D32" i="21"/>
  <c r="BD32" i="50"/>
  <c r="BD55" i="50"/>
</calcChain>
</file>

<file path=xl/sharedStrings.xml><?xml version="1.0" encoding="utf-8"?>
<sst xmlns="http://schemas.openxmlformats.org/spreadsheetml/2006/main" count="2753" uniqueCount="1102">
  <si>
    <t>Taiwan</t>
  </si>
  <si>
    <t>United Kingdom</t>
  </si>
  <si>
    <t>Finland</t>
  </si>
  <si>
    <t>Turkey</t>
  </si>
  <si>
    <t>Croatia</t>
  </si>
  <si>
    <t>Spain</t>
  </si>
  <si>
    <t>United Arab Emirates</t>
  </si>
  <si>
    <t>R-134a</t>
  </si>
  <si>
    <t>Norway</t>
  </si>
  <si>
    <t>Poland</t>
  </si>
  <si>
    <t>France</t>
  </si>
  <si>
    <t>R-600a</t>
  </si>
  <si>
    <t>Sweden</t>
  </si>
  <si>
    <t>Netherlands</t>
  </si>
  <si>
    <t>Slovakia</t>
  </si>
  <si>
    <t>天然氣 Natural Gas</t>
  </si>
  <si>
    <t>Egypt</t>
  </si>
  <si>
    <t>China</t>
  </si>
  <si>
    <t>Italy</t>
  </si>
  <si>
    <t>Czech Republic</t>
  </si>
  <si>
    <t>Switzerland</t>
  </si>
  <si>
    <t>車輛 vehicle</t>
  </si>
  <si>
    <t>柴油 Diesel Oil</t>
  </si>
  <si>
    <t>R-404A</t>
  </si>
  <si>
    <t>其他 Others</t>
  </si>
  <si>
    <t>R-23</t>
  </si>
  <si>
    <t>Germany</t>
  </si>
  <si>
    <t>Soest, DE00</t>
  </si>
  <si>
    <t>汽油 Gasoline</t>
  </si>
  <si>
    <t>緊急發電機 emergency generator</t>
  </si>
  <si>
    <t>Thailand</t>
  </si>
  <si>
    <t>Americas</t>
  </si>
  <si>
    <t>Iceland</t>
  </si>
  <si>
    <t>Japan</t>
  </si>
  <si>
    <t>Brazil</t>
  </si>
  <si>
    <t>R-410A</t>
  </si>
  <si>
    <t>R-227ea</t>
  </si>
  <si>
    <t>R-407C</t>
  </si>
  <si>
    <t>R-449A</t>
  </si>
  <si>
    <t>R-22</t>
  </si>
  <si>
    <t>Myanmar</t>
  </si>
  <si>
    <t>Vietnam</t>
  </si>
  <si>
    <t>Singapore</t>
  </si>
  <si>
    <t>United States of America</t>
  </si>
  <si>
    <t>Argentina</t>
  </si>
  <si>
    <t>Colombia</t>
  </si>
  <si>
    <t>Mexico</t>
  </si>
  <si>
    <t>Peru</t>
  </si>
  <si>
    <t>Canada</t>
  </si>
  <si>
    <t>R-142b</t>
  </si>
  <si>
    <t>Romania</t>
  </si>
  <si>
    <t>Republic of Korea</t>
  </si>
  <si>
    <t>Oceania</t>
  </si>
  <si>
    <t>Australia</t>
  </si>
  <si>
    <t>Philippines</t>
  </si>
  <si>
    <t>Malaysia</t>
  </si>
  <si>
    <t>R-290</t>
  </si>
  <si>
    <t>R-32</t>
  </si>
  <si>
    <t>R-452B</t>
  </si>
  <si>
    <t>onside inventory</t>
  </si>
  <si>
    <t>R-513A</t>
  </si>
  <si>
    <t>ambient chamber</t>
  </si>
  <si>
    <t>R-452A</t>
  </si>
  <si>
    <t>R-508A</t>
  </si>
  <si>
    <t>R-448A</t>
  </si>
  <si>
    <t>R-508B</t>
  </si>
  <si>
    <t>R-407A</t>
  </si>
  <si>
    <t>鍋爐-發電機 Boiler-Generator</t>
  </si>
  <si>
    <t>R-12</t>
  </si>
  <si>
    <t>南方</t>
  </si>
  <si>
    <t>華中</t>
  </si>
  <si>
    <t>華東</t>
  </si>
  <si>
    <t>西北</t>
  </si>
  <si>
    <t>華北</t>
  </si>
  <si>
    <t>東北</t>
  </si>
  <si>
    <t>India</t>
  </si>
  <si>
    <t>Coesterweg 45,  D-59494 Soest, Germany</t>
  </si>
  <si>
    <t>Jan Birkenfeld</t>
  </si>
  <si>
    <t>Jan.birkenfeld@deltaww.com</t>
  </si>
  <si>
    <t>South Korea</t>
  </si>
  <si>
    <t>ton</t>
  </si>
  <si>
    <t>m3</t>
  </si>
  <si>
    <t>MWh</t>
  </si>
  <si>
    <t>KL</t>
  </si>
  <si>
    <t>KM3</t>
  </si>
  <si>
    <t>生質柴油 Biodiesel</t>
  </si>
  <si>
    <t>生質酒精汽油 Biomass alcohol fuels</t>
  </si>
  <si>
    <t>乙炔 Acetylene</t>
  </si>
  <si>
    <t>液化石油氣 LPG</t>
  </si>
  <si>
    <t>液化石油氣(體積)Liquefied Petroleum Gases (LPG)(Volume)</t>
  </si>
  <si>
    <t>天然氣Natural Gas</t>
  </si>
  <si>
    <t>車用汽油Motor Gasoline</t>
  </si>
  <si>
    <t>柴油(移動源)Diesel Oil(Mobile combustion emissions)</t>
  </si>
  <si>
    <t>車用汽油(移動源)Motor Gasoline(Mobile combustion emissions)</t>
  </si>
  <si>
    <t>化糞池-CH4Septic tank-CH4</t>
  </si>
  <si>
    <t>FM200滅火器 FM200 fire extinguisher</t>
  </si>
  <si>
    <t>氣體絕緣斷器-SF6Gas insulated switchgear-SF6</t>
  </si>
  <si>
    <t>PFC14</t>
  </si>
  <si>
    <t>家用冷凍、冷藏裝備(如冰箱、飲水機、冷凍櫃)Domestic Refrigeration</t>
  </si>
  <si>
    <t>PFC116</t>
  </si>
  <si>
    <t>PFC218</t>
  </si>
  <si>
    <t>PFC318</t>
  </si>
  <si>
    <t>C4F10</t>
  </si>
  <si>
    <t>C5F8</t>
  </si>
  <si>
    <t>C5F12</t>
  </si>
  <si>
    <t>C6F14</t>
  </si>
  <si>
    <t>R-10</t>
  </si>
  <si>
    <t>R-11</t>
  </si>
  <si>
    <t>R-13</t>
  </si>
  <si>
    <t>R-14</t>
  </si>
  <si>
    <t>R-21</t>
  </si>
  <si>
    <t>R-30</t>
  </si>
  <si>
    <t>R-40</t>
  </si>
  <si>
    <t>R-41</t>
  </si>
  <si>
    <t>R-43</t>
  </si>
  <si>
    <t>R-50</t>
  </si>
  <si>
    <t>R-51-14</t>
  </si>
  <si>
    <t>R-113</t>
  </si>
  <si>
    <t>R-114</t>
  </si>
  <si>
    <t>R-115</t>
  </si>
  <si>
    <t>R-116</t>
  </si>
  <si>
    <t>R-122</t>
  </si>
  <si>
    <t>R-122a</t>
  </si>
  <si>
    <t>R-123</t>
  </si>
  <si>
    <t>R-123a</t>
  </si>
  <si>
    <t>R-124</t>
  </si>
  <si>
    <t>R-125</t>
  </si>
  <si>
    <t>R-12B1</t>
  </si>
  <si>
    <t>R-12B2</t>
  </si>
  <si>
    <t>R-132c</t>
  </si>
  <si>
    <t>R-134</t>
  </si>
  <si>
    <t>R-141b</t>
  </si>
  <si>
    <t>R-143</t>
  </si>
  <si>
    <t>R-143a</t>
  </si>
  <si>
    <t>R-152</t>
  </si>
  <si>
    <t>R-152a</t>
  </si>
  <si>
    <t>R-161</t>
  </si>
  <si>
    <t>R-218</t>
  </si>
  <si>
    <t>R-225ca</t>
  </si>
  <si>
    <t>R-225cb</t>
  </si>
  <si>
    <t>R-227ca</t>
  </si>
  <si>
    <t>R-22B1</t>
  </si>
  <si>
    <t>R-236cb</t>
  </si>
  <si>
    <t>R-236ea</t>
  </si>
  <si>
    <t>R-236fa</t>
  </si>
  <si>
    <t>R-245ca</t>
  </si>
  <si>
    <t>R-245cb</t>
  </si>
  <si>
    <t>R-245ea</t>
  </si>
  <si>
    <t>R-245eb</t>
  </si>
  <si>
    <t>R-245fa</t>
  </si>
  <si>
    <t>R-263fb</t>
  </si>
  <si>
    <t>R-272ca</t>
  </si>
  <si>
    <t>R-329p</t>
  </si>
  <si>
    <t>R-365mfc</t>
  </si>
  <si>
    <t>R-3110</t>
  </si>
  <si>
    <t>R-401A</t>
  </si>
  <si>
    <t>R-401B</t>
  </si>
  <si>
    <t>R-401C</t>
  </si>
  <si>
    <t>R-402A</t>
  </si>
  <si>
    <t>R-402B</t>
  </si>
  <si>
    <t>R-403A</t>
  </si>
  <si>
    <t>R-403B</t>
  </si>
  <si>
    <t>R-405A</t>
  </si>
  <si>
    <t>R-406A</t>
  </si>
  <si>
    <t>R-407B</t>
  </si>
  <si>
    <t>R-407D</t>
  </si>
  <si>
    <t>R-407E</t>
  </si>
  <si>
    <t>R-408A</t>
  </si>
  <si>
    <t>R-409A</t>
  </si>
  <si>
    <t>R-409B</t>
  </si>
  <si>
    <t>R-410B</t>
  </si>
  <si>
    <t>R-411A</t>
  </si>
  <si>
    <t>R-411B</t>
  </si>
  <si>
    <t>R-411C</t>
  </si>
  <si>
    <t>R-412A</t>
  </si>
  <si>
    <t>R-413A</t>
  </si>
  <si>
    <t>R-414A</t>
  </si>
  <si>
    <t>R-414B</t>
  </si>
  <si>
    <t>R-415A</t>
  </si>
  <si>
    <t>R-415B</t>
  </si>
  <si>
    <t>R-416A</t>
  </si>
  <si>
    <t>R-417A</t>
  </si>
  <si>
    <t>R-418A</t>
  </si>
  <si>
    <t>R-419A</t>
  </si>
  <si>
    <t>R-420A</t>
  </si>
  <si>
    <t>R-421A</t>
  </si>
  <si>
    <t>R-421B</t>
  </si>
  <si>
    <t>R-422A</t>
  </si>
  <si>
    <t>R-422B</t>
  </si>
  <si>
    <t>R-422C</t>
  </si>
  <si>
    <t>R-422D</t>
  </si>
  <si>
    <t>R-423A</t>
  </si>
  <si>
    <t>R-424A</t>
  </si>
  <si>
    <t>R-426A</t>
  </si>
  <si>
    <t>R-427A</t>
  </si>
  <si>
    <t>R-428A</t>
  </si>
  <si>
    <t>R-434A</t>
  </si>
  <si>
    <t>R-437A</t>
  </si>
  <si>
    <t>R-438A</t>
  </si>
  <si>
    <t>R-442A</t>
  </si>
  <si>
    <t>R-450A</t>
  </si>
  <si>
    <t>R-453A</t>
  </si>
  <si>
    <t>R-454B</t>
  </si>
  <si>
    <t>R-458A</t>
  </si>
  <si>
    <t>R-466A</t>
  </si>
  <si>
    <t>R-4310mee</t>
  </si>
  <si>
    <t>R-500</t>
  </si>
  <si>
    <t>R-501</t>
  </si>
  <si>
    <t>R-502</t>
  </si>
  <si>
    <t>R-503</t>
  </si>
  <si>
    <t>R-504</t>
  </si>
  <si>
    <t>R-505</t>
  </si>
  <si>
    <t>R-506</t>
  </si>
  <si>
    <t>R-507</t>
  </si>
  <si>
    <t>R-507A</t>
  </si>
  <si>
    <t>R-509A</t>
  </si>
  <si>
    <t>R-514A</t>
  </si>
  <si>
    <t>R-600</t>
  </si>
  <si>
    <t>R-601</t>
  </si>
  <si>
    <t>R-601a</t>
  </si>
  <si>
    <t>R-717</t>
  </si>
  <si>
    <t>R-744</t>
  </si>
  <si>
    <t>R-744A</t>
  </si>
  <si>
    <t>R-C318</t>
  </si>
  <si>
    <t>R-E 347mcc1</t>
  </si>
  <si>
    <t>Free Zone</t>
  </si>
  <si>
    <t>Freeze 12</t>
  </si>
  <si>
    <t>G2018C</t>
  </si>
  <si>
    <t>GHG-HP</t>
  </si>
  <si>
    <t>GHG-X5</t>
  </si>
  <si>
    <t>Isceon MO89</t>
  </si>
  <si>
    <t>NARM-502</t>
  </si>
  <si>
    <t>交通用冷凍、冷藏裝備(如公司車冷媒)Transport Refrigeration</t>
  </si>
  <si>
    <t>冰水機(冷水主機)Chillers</t>
  </si>
  <si>
    <t>住宅及商業建築冷氣機(分離式、窗型、立式)Residential and Commercial A/C, including Heat Pumps</t>
  </si>
  <si>
    <t>移動式空氣清靜機(空氣清淨機)Mobile A/C</t>
  </si>
  <si>
    <t>獨立商用冷凍、冷藏裝備Stand-alone Commercial Applications</t>
  </si>
  <si>
    <t>中、大型冷凍、冷藏裝備Medium &amp; Large Commercial Refrigeration</t>
  </si>
  <si>
    <t>工業冷凍、冷藏裝備，包括食品加工及冷藏Industrial Refrigeration including Food Processing and Cold Storage</t>
  </si>
  <si>
    <t>IPCC AR6 Report(2021)</t>
  </si>
  <si>
    <t/>
  </si>
  <si>
    <t>外購電力(灰電)
Unspecified non-renewable electricity purchase from grid</t>
  </si>
  <si>
    <t>直供-再生能源電力
Specified renewable electricity purchase through direct access from generator</t>
  </si>
  <si>
    <t>購買之REC or I-REC(非自發自用申請之憑證)
Unbundled EAC purchase (REC or I-REC)</t>
  </si>
  <si>
    <r>
      <rPr>
        <b/>
        <sz val="18"/>
        <color theme="1"/>
        <rFont val="微軟正黑體"/>
        <family val="2"/>
      </rPr>
      <t>組織及盤查概況Organization  Overview</t>
    </r>
    <phoneticPr fontId="0" type="noConversion"/>
  </si>
  <si>
    <r>
      <rPr>
        <b/>
        <sz val="12"/>
        <color rgb="FF000000"/>
        <rFont val="微軟正黑體"/>
        <family val="2"/>
      </rPr>
      <t>填表日期
Date of Form</t>
    </r>
    <phoneticPr fontId="0" type="noConversion"/>
  </si>
  <si>
    <r>
      <rPr>
        <b/>
        <sz val="12"/>
        <color rgb="FF000000"/>
        <rFont val="微軟正黑體"/>
        <family val="2"/>
      </rPr>
      <t>區域
Region</t>
    </r>
    <phoneticPr fontId="0" type="noConversion"/>
  </si>
  <si>
    <r>
      <rPr>
        <b/>
        <sz val="12"/>
        <color rgb="FF000000"/>
        <rFont val="微軟正黑體"/>
        <family val="2"/>
      </rPr>
      <t>公司名稱：
Company Name</t>
    </r>
    <phoneticPr fontId="0" type="noConversion"/>
  </si>
  <si>
    <r>
      <rPr>
        <b/>
        <sz val="12"/>
        <color rgb="FF000000"/>
        <rFont val="微軟正黑體"/>
        <family val="2"/>
      </rPr>
      <t>國家/市場：
Country or Market</t>
    </r>
    <phoneticPr fontId="0" type="noConversion"/>
  </si>
  <si>
    <r>
      <rPr>
        <b/>
        <sz val="12"/>
        <color rgb="FF000000"/>
        <rFont val="微軟正黑體"/>
        <family val="2"/>
      </rPr>
      <t>廠區名稱：
Site Name</t>
    </r>
    <phoneticPr fontId="0" type="noConversion"/>
  </si>
  <si>
    <t>盤查年份（西元）：
Inventory Year</t>
  </si>
  <si>
    <r>
      <rPr>
        <b/>
        <sz val="12"/>
        <color rgb="FF000000"/>
        <rFont val="微軟正黑體"/>
        <family val="2"/>
      </rPr>
      <t>盤查單位：
Inventory Dept.</t>
    </r>
    <phoneticPr fontId="0" type="noConversion"/>
  </si>
  <si>
    <t>IPCC選擇年度
IPCC Report Year</t>
  </si>
  <si>
    <t>填表人：
Form Filler</t>
  </si>
  <si>
    <t>電話：
Phone Number</t>
  </si>
  <si>
    <r>
      <rPr>
        <b/>
        <sz val="12"/>
        <color rgb="FF000000"/>
        <rFont val="微軟正黑體"/>
        <family val="2"/>
      </rPr>
      <t>郵箱：
Email</t>
    </r>
    <phoneticPr fontId="0" type="noConversion"/>
  </si>
  <si>
    <r>
      <rPr>
        <b/>
        <sz val="12"/>
        <color indexed="8"/>
        <rFont val="微軟正黑體"/>
        <family val="2"/>
      </rPr>
      <t>填表人地址 / 盤查地址
Filler/site Address</t>
    </r>
    <phoneticPr fontId="0" type="noConversion"/>
  </si>
  <si>
    <r>
      <rPr>
        <b/>
        <sz val="12"/>
        <color indexed="8"/>
        <rFont val="微軟正黑體"/>
        <family val="2"/>
      </rPr>
      <t>廠區內排除：
Excluded Areas</t>
    </r>
    <phoneticPr fontId="0" type="noConversion"/>
  </si>
  <si>
    <r>
      <rPr>
        <b/>
        <sz val="18"/>
        <color theme="1"/>
        <rFont val="微軟正黑體"/>
        <family val="2"/>
      </rPr>
      <t>報告邊界 Reporting boundaries</t>
    </r>
    <phoneticPr fontId="0" type="noConversion"/>
  </si>
  <si>
    <r>
      <rPr>
        <b/>
        <sz val="14"/>
        <color theme="1"/>
        <rFont val="微軟正黑體"/>
        <family val="2"/>
      </rPr>
      <t>類別 1: 直接溫室氣體排放和移除 Category1: Direct GHG emissions and removals</t>
    </r>
    <phoneticPr fontId="0" type="noConversion"/>
  </si>
  <si>
    <r>
      <rPr>
        <b/>
        <sz val="12"/>
        <color rgb="FF000000"/>
        <rFont val="微軟正黑體"/>
        <family val="2"/>
      </rPr>
      <t>主類別
Category</t>
    </r>
    <phoneticPr fontId="0" type="noConversion"/>
  </si>
  <si>
    <r>
      <rPr>
        <b/>
        <sz val="12"/>
        <color rgb="FF000000"/>
        <rFont val="微軟正黑體"/>
        <family val="2"/>
      </rPr>
      <t>子類別
Sub-Category</t>
    </r>
    <phoneticPr fontId="0" type="noConversion"/>
  </si>
  <si>
    <t>項目名稱
 Emission Source Type</t>
  </si>
  <si>
    <r>
      <rPr>
        <b/>
        <sz val="12"/>
        <color rgb="FF000000"/>
        <rFont val="微軟正黑體"/>
        <family val="2"/>
      </rPr>
      <t>活動數據Activity Data</t>
    </r>
    <phoneticPr fontId="0" type="noConversion"/>
  </si>
  <si>
    <t>自訂溫室氣體排放係數 Custom GHG Emission Factors</t>
  </si>
  <si>
    <t>可能產生之溫室氣體種類 (GHG Species)</t>
  </si>
  <si>
    <t>排放係數 Default Emission Factors</t>
  </si>
  <si>
    <t>Global Warming Potentials (GWP)</t>
  </si>
  <si>
    <r>
      <rPr>
        <b/>
        <sz val="12"/>
        <color rgb="FF000000"/>
        <rFont val="微軟正黑體"/>
        <family val="2"/>
      </rPr>
      <t>溫室氣體排放量 (Individual GHG Emissions)</t>
    </r>
    <phoneticPr fontId="0" type="noConversion"/>
  </si>
  <si>
    <r>
      <rPr>
        <b/>
        <sz val="12"/>
        <color rgb="FF000000"/>
        <rFont val="微軟正黑體"/>
        <family val="2"/>
      </rPr>
      <t>合計Sum
(t-CO2e)</t>
    </r>
    <phoneticPr fontId="0" type="noConversion"/>
  </si>
  <si>
    <r>
      <rPr>
        <b/>
        <sz val="12"/>
        <color rgb="FF000000"/>
        <rFont val="微軟正黑體"/>
        <family val="2"/>
      </rPr>
      <t>類別1、2佔比
Percentage of Category 1, 2</t>
    </r>
    <phoneticPr fontId="0" type="noConversion"/>
  </si>
  <si>
    <r>
      <rPr>
        <b/>
        <sz val="12"/>
        <color rgb="FF000000"/>
        <rFont val="微軟正黑體"/>
        <family val="2"/>
      </rPr>
      <t>總碳排放量佔比
Percentage of Total Emissions</t>
    </r>
    <phoneticPr fontId="0" type="noConversion"/>
  </si>
  <si>
    <t>是否有此排放源
Applicability (Yes/No)</t>
  </si>
  <si>
    <r>
      <rPr>
        <b/>
        <sz val="12"/>
        <color rgb="FF000000"/>
        <rFont val="微軟正黑體"/>
        <family val="2"/>
      </rPr>
      <t>設備
Emission Source (Operation or Process)</t>
    </r>
    <phoneticPr fontId="0" type="noConversion"/>
  </si>
  <si>
    <r>
      <rPr>
        <b/>
        <sz val="12"/>
        <color rgb="FF000000"/>
        <rFont val="微軟正黑體"/>
        <family val="2"/>
      </rPr>
      <t>自訂/預設係數
Custom/Default Emission Factor</t>
    </r>
    <phoneticPr fontId="0" type="noConversion"/>
  </si>
  <si>
    <t>預設排放源名稱
Default Fuel (Combustion Emissions), or
Greenhouse Gas (Process Direct Emissions or Fugitive Emissions)</t>
  </si>
  <si>
    <t>自訂排放源名稱
Custom Fuel (Combustion Emissions), or
Greenhouse Gas (Process Direct Emissions or Fugitive Emissions)</t>
  </si>
  <si>
    <t>活動數據(使用量/填充量)
Usage or Consumption</t>
  </si>
  <si>
    <t>活動數據單位
Unit</t>
  </si>
  <si>
    <t>自訂活動數據單位
Custom Unit (if different from default)</t>
  </si>
  <si>
    <t>活動數據佐證
Data Evidence / Reference</t>
  </si>
  <si>
    <t>CO2</t>
  </si>
  <si>
    <t>CH4</t>
  </si>
  <si>
    <t>N2O</t>
  </si>
  <si>
    <t>HFCs</t>
  </si>
  <si>
    <t>PFCs</t>
  </si>
  <si>
    <t>SF6</t>
  </si>
  <si>
    <t>NF3</t>
  </si>
  <si>
    <r>
      <rPr>
        <b/>
        <sz val="12"/>
        <color rgb="FF000000"/>
        <rFont val="微軟正黑體"/>
        <family val="2"/>
      </rPr>
      <t>係數單位
Emission Factor Unit</t>
    </r>
    <phoneticPr fontId="0" type="noConversion"/>
  </si>
  <si>
    <r>
      <rPr>
        <b/>
        <sz val="12"/>
        <color rgb="FF000000"/>
        <rFont val="微軟正黑體"/>
        <family val="2"/>
      </rPr>
      <t>係數來源
Emission Factor Reference</t>
    </r>
    <phoneticPr fontId="0" type="noConversion"/>
  </si>
  <si>
    <r>
      <rPr>
        <b/>
        <sz val="12"/>
        <color rgb="FF000000"/>
        <rFont val="微軟正黑體"/>
        <family val="2"/>
      </rPr>
      <t>CO</t>
    </r>
    <r>
      <rPr>
        <b/>
        <vertAlign val="subscript"/>
        <sz val="12"/>
        <color rgb="FF000000"/>
        <rFont val="微軟正黑體"/>
        <family val="2"/>
      </rPr>
      <t>2</t>
    </r>
    <phoneticPr fontId="0" type="noConversion"/>
  </si>
  <si>
    <r>
      <rPr>
        <b/>
        <sz val="12"/>
        <color rgb="FF000000"/>
        <rFont val="微軟正黑體"/>
        <family val="2"/>
      </rPr>
      <t>CH</t>
    </r>
    <r>
      <rPr>
        <b/>
        <vertAlign val="subscript"/>
        <sz val="12"/>
        <color rgb="FF000000"/>
        <rFont val="微軟正黑體"/>
        <family val="2"/>
      </rPr>
      <t>4</t>
    </r>
    <phoneticPr fontId="0" type="noConversion"/>
  </si>
  <si>
    <r>
      <rPr>
        <b/>
        <sz val="12"/>
        <color rgb="FF000000"/>
        <rFont val="微軟正黑體"/>
        <family val="2"/>
      </rPr>
      <t>N</t>
    </r>
    <r>
      <rPr>
        <b/>
        <vertAlign val="subscript"/>
        <sz val="12"/>
        <color rgb="FF000000"/>
        <rFont val="微軟正黑體"/>
        <family val="2"/>
      </rPr>
      <t>2</t>
    </r>
    <r>
      <rPr>
        <b/>
        <sz val="12"/>
        <color rgb="FF000000"/>
        <rFont val="微軟正黑體"/>
        <family val="2"/>
      </rPr>
      <t>O</t>
    </r>
    <phoneticPr fontId="0" type="noConversion"/>
  </si>
  <si>
    <r>
      <rPr>
        <b/>
        <sz val="12"/>
        <color rgb="FF000000"/>
        <rFont val="微軟正黑體"/>
        <family val="2"/>
      </rPr>
      <t>HFCs</t>
    </r>
    <phoneticPr fontId="0" type="noConversion"/>
  </si>
  <si>
    <r>
      <rPr>
        <b/>
        <sz val="12"/>
        <color rgb="FF000000"/>
        <rFont val="微軟正黑體"/>
        <family val="2"/>
      </rPr>
      <t>PFCs</t>
    </r>
    <phoneticPr fontId="0" type="noConversion"/>
  </si>
  <si>
    <r>
      <rPr>
        <b/>
        <sz val="12"/>
        <color rgb="FF000000"/>
        <rFont val="微軟正黑體"/>
        <family val="2"/>
      </rPr>
      <t>SF</t>
    </r>
    <r>
      <rPr>
        <b/>
        <vertAlign val="subscript"/>
        <sz val="12"/>
        <color rgb="FF000000"/>
        <rFont val="微軟正黑體"/>
        <family val="2"/>
      </rPr>
      <t>6</t>
    </r>
    <phoneticPr fontId="0" type="noConversion"/>
  </si>
  <si>
    <r>
      <rPr>
        <b/>
        <sz val="12"/>
        <color rgb="FF000000"/>
        <rFont val="微軟正黑體"/>
        <family val="2"/>
      </rPr>
      <t>NF</t>
    </r>
    <r>
      <rPr>
        <b/>
        <vertAlign val="subscript"/>
        <sz val="12"/>
        <color rgb="FF000000"/>
        <rFont val="微軟正黑體"/>
        <family val="2"/>
      </rPr>
      <t>3</t>
    </r>
    <phoneticPr fontId="0" type="noConversion"/>
  </si>
  <si>
    <r>
      <rPr>
        <b/>
        <sz val="12"/>
        <color rgb="FF000000"/>
        <rFont val="微軟正黑體"/>
        <family val="2"/>
      </rPr>
      <t>CO</t>
    </r>
    <r>
      <rPr>
        <b/>
        <vertAlign val="subscript"/>
        <sz val="12"/>
        <color rgb="FF000000"/>
        <rFont val="微軟正黑體"/>
        <family val="2"/>
      </rPr>
      <t>2</t>
    </r>
    <phoneticPr fontId="0" type="noConversion"/>
  </si>
  <si>
    <r>
      <rPr>
        <b/>
        <sz val="12"/>
        <color rgb="FF000000"/>
        <rFont val="微軟正黑體"/>
        <family val="2"/>
      </rPr>
      <t>CH</t>
    </r>
    <r>
      <rPr>
        <b/>
        <vertAlign val="subscript"/>
        <sz val="12"/>
        <color rgb="FF000000"/>
        <rFont val="微軟正黑體"/>
        <family val="2"/>
      </rPr>
      <t>4</t>
    </r>
    <phoneticPr fontId="0" type="noConversion"/>
  </si>
  <si>
    <r>
      <rPr>
        <b/>
        <sz val="12"/>
        <color rgb="FF000000"/>
        <rFont val="微軟正黑體"/>
        <family val="2"/>
      </rPr>
      <t>N</t>
    </r>
    <r>
      <rPr>
        <b/>
        <vertAlign val="subscript"/>
        <sz val="12"/>
        <color rgb="FF000000"/>
        <rFont val="微軟正黑體"/>
        <family val="2"/>
      </rPr>
      <t>2</t>
    </r>
    <r>
      <rPr>
        <b/>
        <sz val="12"/>
        <color rgb="FF000000"/>
        <rFont val="微軟正黑體"/>
        <family val="2"/>
      </rPr>
      <t>O</t>
    </r>
    <phoneticPr fontId="0" type="noConversion"/>
  </si>
  <si>
    <r>
      <rPr>
        <b/>
        <sz val="12"/>
        <color rgb="FF000000"/>
        <rFont val="微軟正黑體"/>
        <family val="2"/>
      </rPr>
      <t>HFCs</t>
    </r>
    <phoneticPr fontId="0" type="noConversion"/>
  </si>
  <si>
    <r>
      <rPr>
        <b/>
        <sz val="12"/>
        <color rgb="FF000000"/>
        <rFont val="微軟正黑體"/>
        <family val="2"/>
      </rPr>
      <t>PFCs</t>
    </r>
    <phoneticPr fontId="0" type="noConversion"/>
  </si>
  <si>
    <r>
      <rPr>
        <b/>
        <sz val="12"/>
        <color rgb="FF000000"/>
        <rFont val="微軟正黑體"/>
        <family val="2"/>
      </rPr>
      <t>SF</t>
    </r>
    <r>
      <rPr>
        <b/>
        <vertAlign val="subscript"/>
        <sz val="12"/>
        <color rgb="FF000000"/>
        <rFont val="微軟正黑體"/>
        <family val="2"/>
      </rPr>
      <t>6</t>
    </r>
    <phoneticPr fontId="0" type="noConversion"/>
  </si>
  <si>
    <r>
      <rPr>
        <b/>
        <sz val="12"/>
        <color rgb="FF000000"/>
        <rFont val="微軟正黑體"/>
        <family val="2"/>
      </rPr>
      <t>NF</t>
    </r>
    <r>
      <rPr>
        <b/>
        <vertAlign val="subscript"/>
        <sz val="12"/>
        <color rgb="FF000000"/>
        <rFont val="微軟正黑體"/>
        <family val="2"/>
      </rPr>
      <t>3</t>
    </r>
    <phoneticPr fontId="0" type="noConversion"/>
  </si>
  <si>
    <t>排放係數來源
Emission Factor Reference</t>
  </si>
  <si>
    <r>
      <rPr>
        <b/>
        <sz val="12"/>
        <color rgb="FF000000"/>
        <rFont val="微軟正黑體"/>
        <family val="2"/>
      </rPr>
      <t>CO</t>
    </r>
    <r>
      <rPr>
        <b/>
        <vertAlign val="subscript"/>
        <sz val="12"/>
        <color rgb="FF000000"/>
        <rFont val="微軟正黑體"/>
        <family val="2"/>
      </rPr>
      <t>2</t>
    </r>
    <phoneticPr fontId="0" type="noConversion"/>
  </si>
  <si>
    <r>
      <rPr>
        <b/>
        <sz val="12"/>
        <color rgb="FF000000"/>
        <rFont val="微軟正黑體"/>
        <family val="2"/>
      </rPr>
      <t>CH</t>
    </r>
    <r>
      <rPr>
        <b/>
        <vertAlign val="subscript"/>
        <sz val="12"/>
        <color rgb="FF000000"/>
        <rFont val="微軟正黑體"/>
        <family val="2"/>
      </rPr>
      <t>4</t>
    </r>
    <phoneticPr fontId="0" type="noConversion"/>
  </si>
  <si>
    <r>
      <rPr>
        <b/>
        <sz val="12"/>
        <color rgb="FF000000"/>
        <rFont val="微軟正黑體"/>
        <family val="2"/>
      </rPr>
      <t>N</t>
    </r>
    <r>
      <rPr>
        <b/>
        <vertAlign val="subscript"/>
        <sz val="12"/>
        <color rgb="FF000000"/>
        <rFont val="微軟正黑體"/>
        <family val="2"/>
      </rPr>
      <t>2</t>
    </r>
    <r>
      <rPr>
        <b/>
        <sz val="12"/>
        <color rgb="FF000000"/>
        <rFont val="微軟正黑體"/>
        <family val="2"/>
      </rPr>
      <t>O</t>
    </r>
    <phoneticPr fontId="0" type="noConversion"/>
  </si>
  <si>
    <r>
      <rPr>
        <b/>
        <sz val="12"/>
        <color rgb="FF000000"/>
        <rFont val="微軟正黑體"/>
        <family val="2"/>
      </rPr>
      <t>HFCs</t>
    </r>
    <phoneticPr fontId="0" type="noConversion"/>
  </si>
  <si>
    <r>
      <rPr>
        <b/>
        <sz val="12"/>
        <color rgb="FF000000"/>
        <rFont val="微軟正黑體"/>
        <family val="2"/>
      </rPr>
      <t>PFCs</t>
    </r>
    <phoneticPr fontId="0" type="noConversion"/>
  </si>
  <si>
    <r>
      <rPr>
        <b/>
        <sz val="12"/>
        <color rgb="FF000000"/>
        <rFont val="微軟正黑體"/>
        <family val="2"/>
      </rPr>
      <t>SF</t>
    </r>
    <r>
      <rPr>
        <b/>
        <vertAlign val="subscript"/>
        <sz val="12"/>
        <color rgb="FF000000"/>
        <rFont val="微軟正黑體"/>
        <family val="2"/>
      </rPr>
      <t>6</t>
    </r>
    <phoneticPr fontId="0" type="noConversion"/>
  </si>
  <si>
    <r>
      <rPr>
        <b/>
        <sz val="12"/>
        <color rgb="FF000000"/>
        <rFont val="微軟正黑體"/>
        <family val="2"/>
      </rPr>
      <t>NF</t>
    </r>
    <r>
      <rPr>
        <b/>
        <vertAlign val="subscript"/>
        <sz val="12"/>
        <color rgb="FF000000"/>
        <rFont val="微軟正黑體"/>
        <family val="2"/>
      </rPr>
      <t>3</t>
    </r>
    <phoneticPr fontId="0" type="noConversion"/>
  </si>
  <si>
    <r>
      <rPr>
        <b/>
        <sz val="12"/>
        <color rgb="FF000000"/>
        <rFont val="微軟正黑體"/>
        <family val="2"/>
      </rPr>
      <t>CO</t>
    </r>
    <r>
      <rPr>
        <b/>
        <vertAlign val="subscript"/>
        <sz val="12"/>
        <color rgb="FF000000"/>
        <rFont val="微軟正黑體"/>
        <family val="2"/>
      </rPr>
      <t>2</t>
    </r>
    <phoneticPr fontId="0" type="noConversion"/>
  </si>
  <si>
    <r>
      <rPr>
        <b/>
        <sz val="12"/>
        <color rgb="FF000000"/>
        <rFont val="微軟正黑體"/>
        <family val="2"/>
      </rPr>
      <t>CH</t>
    </r>
    <r>
      <rPr>
        <b/>
        <vertAlign val="subscript"/>
        <sz val="12"/>
        <color rgb="FF000000"/>
        <rFont val="微軟正黑體"/>
        <family val="2"/>
      </rPr>
      <t>4</t>
    </r>
    <phoneticPr fontId="0" type="noConversion"/>
  </si>
  <si>
    <r>
      <rPr>
        <b/>
        <sz val="12"/>
        <color rgb="FF000000"/>
        <rFont val="微軟正黑體"/>
        <family val="2"/>
      </rPr>
      <t>N</t>
    </r>
    <r>
      <rPr>
        <b/>
        <vertAlign val="subscript"/>
        <sz val="12"/>
        <color rgb="FF000000"/>
        <rFont val="微軟正黑體"/>
        <family val="2"/>
      </rPr>
      <t>2</t>
    </r>
    <r>
      <rPr>
        <b/>
        <sz val="12"/>
        <color rgb="FF000000"/>
        <rFont val="微軟正黑體"/>
        <family val="2"/>
      </rPr>
      <t>O</t>
    </r>
    <phoneticPr fontId="0" type="noConversion"/>
  </si>
  <si>
    <r>
      <rPr>
        <b/>
        <sz val="12"/>
        <color rgb="FF000000"/>
        <rFont val="微軟正黑體"/>
        <family val="2"/>
      </rPr>
      <t>HFCs</t>
    </r>
    <phoneticPr fontId="0" type="noConversion"/>
  </si>
  <si>
    <r>
      <rPr>
        <b/>
        <sz val="12"/>
        <color rgb="FF000000"/>
        <rFont val="微軟正黑體"/>
        <family val="2"/>
      </rPr>
      <t>PFCs</t>
    </r>
    <phoneticPr fontId="0" type="noConversion"/>
  </si>
  <si>
    <r>
      <rPr>
        <b/>
        <sz val="12"/>
        <color rgb="FF000000"/>
        <rFont val="微軟正黑體"/>
        <family val="2"/>
      </rPr>
      <t>SF</t>
    </r>
    <r>
      <rPr>
        <b/>
        <vertAlign val="subscript"/>
        <sz val="12"/>
        <color rgb="FF000000"/>
        <rFont val="微軟正黑體"/>
        <family val="2"/>
      </rPr>
      <t>6</t>
    </r>
    <phoneticPr fontId="0" type="noConversion"/>
  </si>
  <si>
    <r>
      <rPr>
        <b/>
        <sz val="12"/>
        <color rgb="FF000000"/>
        <rFont val="微軟正黑體"/>
        <family val="2"/>
      </rPr>
      <t>NF</t>
    </r>
    <r>
      <rPr>
        <b/>
        <vertAlign val="subscript"/>
        <sz val="12"/>
        <color rgb="FF000000"/>
        <rFont val="微軟正黑體"/>
        <family val="2"/>
      </rPr>
      <t>3</t>
    </r>
    <phoneticPr fontId="0" type="noConversion"/>
  </si>
  <si>
    <r>
      <rPr>
        <b/>
        <sz val="12"/>
        <color rgb="FF000000"/>
        <rFont val="微軟正黑體"/>
        <family val="2"/>
      </rPr>
      <t>排放源名稱</t>
    </r>
    <phoneticPr fontId="0" type="noConversion"/>
  </si>
  <si>
    <r>
      <rPr>
        <b/>
        <sz val="12"/>
        <color rgb="FF000000"/>
        <rFont val="微軟正黑體"/>
        <family val="2"/>
      </rPr>
      <t>活動數據來源</t>
    </r>
    <phoneticPr fontId="0" type="noConversion"/>
  </si>
  <si>
    <r>
      <rPr>
        <b/>
        <sz val="12"/>
        <color rgb="FF000000"/>
        <rFont val="微軟正黑體"/>
        <family val="2"/>
      </rPr>
      <t>排放係數來源</t>
    </r>
    <phoneticPr fontId="0" type="noConversion"/>
  </si>
  <si>
    <r>
      <rPr>
        <sz val="12"/>
        <color rgb="FF000000"/>
        <rFont val="微軟正黑體"/>
        <family val="2"/>
      </rPr>
      <t>類別1
Category 1</t>
    </r>
    <phoneticPr fontId="0" type="noConversion"/>
  </si>
  <si>
    <r>
      <rPr>
        <sz val="12"/>
        <color rgb="FF000000"/>
        <rFont val="微軟正黑體"/>
        <family val="2"/>
      </rPr>
      <t>固定燃燒直接排放
Stationary Combustion</t>
    </r>
    <phoneticPr fontId="0" type="noConversion"/>
  </si>
  <si>
    <r>
      <rPr>
        <sz val="12"/>
        <color theme="1"/>
        <rFont val="微軟正黑體"/>
        <family val="2"/>
      </rPr>
      <t>預設值Default</t>
    </r>
    <phoneticPr fontId="0" type="noConversion"/>
  </si>
  <si>
    <t>預設值Default</t>
  </si>
  <si>
    <r>
      <rPr>
        <sz val="12"/>
        <color rgb="FF000000"/>
        <rFont val="微軟正黑體"/>
        <family val="2"/>
      </rPr>
      <t>移動燃燒直接排放
Mobile Combustion</t>
    </r>
    <phoneticPr fontId="0" type="noConversion"/>
  </si>
  <si>
    <r>
      <rPr>
        <sz val="12"/>
        <color rgb="FF000000"/>
        <rFont val="微軟正黑體"/>
        <family val="2"/>
      </rPr>
      <t>工業製程之直接製程排放及移除
Industrial Processes</t>
    </r>
    <phoneticPr fontId="0" type="noConversion"/>
  </si>
  <si>
    <r>
      <rPr>
        <sz val="12"/>
        <color rgb="FF000000"/>
        <rFont val="微軟正黑體"/>
        <family val="2"/>
      </rPr>
      <t>土地利用變更和森林 (LULUCF) 的直接排放和移除
Land use, Land use change and forestry (LULUCF)</t>
    </r>
    <phoneticPr fontId="0" type="noConversion"/>
  </si>
  <si>
    <r>
      <rPr>
        <sz val="12"/>
        <color rgb="FF000000"/>
        <rFont val="微軟正黑體"/>
        <family val="2"/>
      </rPr>
      <t>人為系統中溫室氣體釋放產生的直接逸散排放
Fugitive emissions from anthropogenic systems</t>
    </r>
    <phoneticPr fontId="0" type="noConversion"/>
  </si>
  <si>
    <r>
      <rPr>
        <sz val="12"/>
        <color rgb="FF000000"/>
        <rFont val="微軟正黑體"/>
        <family val="2"/>
      </rPr>
      <t>其它逸散源
Other Fugitive Sources</t>
    </r>
    <phoneticPr fontId="0" type="noConversion"/>
  </si>
  <si>
    <r>
      <rPr>
        <sz val="12"/>
        <color rgb="FF000000"/>
        <rFont val="微軟正黑體"/>
        <family val="2"/>
      </rPr>
      <t>冷媒設備 Equipment that use Refrigerant</t>
    </r>
    <phoneticPr fontId="0" type="noConversion"/>
  </si>
  <si>
    <r>
      <rPr>
        <b/>
        <sz val="12"/>
        <color theme="1"/>
        <rFont val="微軟正黑體"/>
        <family val="2"/>
      </rPr>
      <t>計算方法
Calculation Method</t>
    </r>
    <phoneticPr fontId="0" type="noConversion"/>
  </si>
  <si>
    <r>
      <rPr>
        <b/>
        <sz val="12"/>
        <color rgb="FF000000"/>
        <rFont val="微軟正黑體"/>
        <family val="2"/>
      </rPr>
      <t>預設/自訂逸散率值
Custom/Default Manufacturer Supplied Loss Factor</t>
    </r>
    <phoneticPr fontId="0" type="noConversion"/>
  </si>
  <si>
    <t>預設設備名稱
Equipment / Process</t>
  </si>
  <si>
    <t>自訂排放源名稱
Custom Refrigerant Name</t>
  </si>
  <si>
    <t>冷媒種類
Default Refrigerant Name</t>
  </si>
  <si>
    <t>活動數據
(維修填充量/原始填充量)
Charge or Recharge Quantity</t>
  </si>
  <si>
    <t>自訂冷媒逸散率
Custom Refrigerant Loss Factor</t>
  </si>
  <si>
    <t>自訂冷媒逸散率來源
Loss Factor Reference</t>
  </si>
  <si>
    <r>
      <rPr>
        <b/>
        <sz val="12"/>
        <color rgb="FF000000"/>
        <rFont val="微軟正黑體"/>
        <family val="2"/>
      </rPr>
      <t>合計Sum
(t-CO2e)</t>
    </r>
    <phoneticPr fontId="0" type="noConversion"/>
  </si>
  <si>
    <r>
      <rPr>
        <b/>
        <sz val="12"/>
        <color rgb="FF000000"/>
        <rFont val="微軟正黑體"/>
        <family val="2"/>
      </rPr>
      <t>類別1、2佔比
Percentage of Category 1, 2</t>
    </r>
    <phoneticPr fontId="0" type="noConversion"/>
  </si>
  <si>
    <r>
      <rPr>
        <b/>
        <sz val="12"/>
        <color rgb="FF000000"/>
        <rFont val="微軟正黑體"/>
        <family val="2"/>
      </rPr>
      <t>總碳排放量佔比
Percentage of Total Emissions</t>
    </r>
    <phoneticPr fontId="0" type="noConversion"/>
  </si>
  <si>
    <r>
      <rPr>
        <sz val="12"/>
        <color theme="1"/>
        <rFont val="微軟正黑體"/>
        <family val="2"/>
      </rPr>
      <t>排放係數來源</t>
    </r>
    <phoneticPr fontId="0" type="noConversion"/>
  </si>
  <si>
    <t>逸散率推估 Manufacturer Supplied Loss Factor</t>
  </si>
  <si>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</si>
  <si>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</si>
  <si>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</si>
  <si>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</si>
  <si>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</si>
  <si>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</si>
  <si>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</si>
  <si>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</si>
  <si>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</si>
  <si>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</si>
  <si>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</si>
  <si>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</si>
  <si>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</si>
  <si>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</si>
  <si>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</si>
  <si>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</si>
  <si>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</si>
  <si>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</si>
  <si>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</si>
  <si>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</si>
  <si>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</si>
  <si>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</si>
  <si>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</si>
  <si>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</si>
  <si>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</si>
  <si>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</si>
  <si>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</si>
  <si>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</si>
  <si>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b/>
        <sz val="14"/>
        <color theme="1"/>
        <rFont val="微軟正黑體"/>
        <family val="2"/>
      </rPr>
      <t>類別2~6：間接溫室氣體排放 Category2-6: Indirect GHG emissions</t>
    </r>
    <phoneticPr fontId="0" type="noConversion"/>
  </si>
  <si>
    <r>
      <rPr>
        <b/>
        <sz val="12"/>
        <color rgb="FF000000"/>
        <rFont val="微軟正黑體"/>
        <family val="2"/>
      </rPr>
      <t>主類別
Category</t>
    </r>
    <phoneticPr fontId="0" type="noConversion"/>
  </si>
  <si>
    <t>子類別
Sub-Category</t>
  </si>
  <si>
    <t>項目名稱
Emission Source type</t>
  </si>
  <si>
    <t>電力來源
Origin of Electricity</t>
  </si>
  <si>
    <r>
      <rPr>
        <b/>
        <sz val="12"/>
        <color rgb="FF000000"/>
        <rFont val="微軟正黑體"/>
        <family val="2"/>
      </rPr>
      <t>活動數據
Usage or Consumption</t>
    </r>
    <phoneticPr fontId="0" type="noConversion"/>
  </si>
  <si>
    <t>電力所在區域及年度
Electricity Grid Location and Data Year</t>
  </si>
  <si>
    <r>
      <rPr>
        <b/>
        <sz val="12"/>
        <color rgb="FF000000"/>
        <rFont val="微軟正黑體"/>
        <family val="2"/>
      </rPr>
      <t>排放係數來源</t>
    </r>
    <phoneticPr fontId="0" type="noConversion"/>
  </si>
  <si>
    <r>
      <rPr>
        <b/>
        <sz val="12"/>
        <color rgb="FF000000"/>
        <rFont val="微軟正黑體"/>
        <family val="2"/>
      </rPr>
      <t>合計Sum
(t-CO2e)</t>
    </r>
    <phoneticPr fontId="0" type="noConversion"/>
  </si>
  <si>
    <r>
      <rPr>
        <b/>
        <sz val="12"/>
        <color rgb="FF000000"/>
        <rFont val="微軟正黑體"/>
        <family val="2"/>
      </rPr>
      <t>類別1、2佔比
Percentage of Category 1, 2</t>
    </r>
    <phoneticPr fontId="0" type="noConversion"/>
  </si>
  <si>
    <r>
      <rPr>
        <b/>
        <sz val="12"/>
        <color rgb="FF000000"/>
        <rFont val="微軟正黑體"/>
        <family val="2"/>
      </rPr>
      <t>總碳排放量佔比
Percentage of Total Emissions</t>
    </r>
    <phoneticPr fontId="0" type="noConversion"/>
  </si>
  <si>
    <r>
      <rPr>
        <sz val="12"/>
        <color rgb="FF000000"/>
        <rFont val="微軟正黑體"/>
        <family val="2"/>
      </rPr>
      <t>類別2
Category 2</t>
    </r>
    <phoneticPr fontId="0" type="noConversion"/>
  </si>
  <si>
    <r>
      <rPr>
        <sz val="12"/>
        <color theme="1"/>
        <rFont val="微軟正黑體"/>
        <family val="2"/>
      </rPr>
      <t>輸入電力的間接排放
Imported Electricity</t>
    </r>
    <phoneticPr fontId="0" type="noConversion"/>
  </si>
  <si>
    <t>Y</t>
  </si>
  <si>
    <r>
      <rPr>
        <sz val="12"/>
        <color rgb="FF000000"/>
        <rFont val="微軟正黑體"/>
        <family val="2"/>
      </rPr>
      <t>自發自用-再生能源電力
Self-generated and consumed Renewable electricity</t>
    </r>
    <phoneticPr fontId="0" type="noConversion"/>
  </si>
  <si>
    <t>Renewable electricity2022</t>
  </si>
  <si>
    <r>
      <rPr>
        <sz val="12"/>
        <color rgb="FF000000"/>
        <rFont val="微軟正黑體"/>
        <family val="2"/>
      </rPr>
      <t>自發再生電力並售出
Self generated but sold renewable electricity</t>
    </r>
    <phoneticPr fontId="0" type="noConversion"/>
  </si>
  <si>
    <r>
      <rPr>
        <sz val="12"/>
        <color rgb="FF000000"/>
        <rFont val="微軟正黑體"/>
        <family val="2"/>
      </rPr>
      <t>轉供-再生能源電力
Specified renewable electricity purchase through power procurement agreement (PPA) from grid</t>
    </r>
    <phoneticPr fontId="0" type="noConversion"/>
  </si>
  <si>
    <r>
      <rPr>
        <sz val="12"/>
        <color rgb="FF000000"/>
        <rFont val="微軟正黑體"/>
        <family val="2"/>
      </rPr>
      <t>轉供-綠色電力產品
Green Electricity Products</t>
    </r>
    <phoneticPr fontId="0" type="noConversion"/>
  </si>
  <si>
    <t>Renewable electricity2021</t>
  </si>
  <si>
    <r>
      <rPr>
        <sz val="12"/>
        <color theme="1"/>
        <rFont val="微軟正黑體"/>
        <family val="2"/>
      </rPr>
      <t>輸入能源的間接排放
Imported Energy</t>
    </r>
    <phoneticPr fontId="0" type="noConversion"/>
  </si>
  <si>
    <t>Heat, central or small-scale, natural gas {GLO}| market group for | APOS, U</t>
  </si>
  <si>
    <r>
      <rPr>
        <b/>
        <sz val="12"/>
        <color rgb="FF000000"/>
        <rFont val="微軟正黑體"/>
        <family val="2"/>
      </rPr>
      <t>主類別
Category</t>
    </r>
    <phoneticPr fontId="0" type="noConversion"/>
  </si>
  <si>
    <t>來源
GHG Sources</t>
  </si>
  <si>
    <t>活動數據
Usage or Consumption</t>
  </si>
  <si>
    <r>
      <rPr>
        <b/>
        <sz val="12"/>
        <color rgb="FF000000"/>
        <rFont val="微軟正黑體"/>
        <family val="2"/>
      </rPr>
      <t>自訂/預設係數
Custom/Default Emission Factor</t>
    </r>
    <phoneticPr fontId="0" type="noConversion"/>
  </si>
  <si>
    <r>
      <rPr>
        <b/>
        <sz val="12"/>
        <color rgb="FF000000"/>
        <rFont val="微軟正黑體"/>
        <family val="2"/>
      </rPr>
      <t>預設排放係數
Default Emission Factor</t>
    </r>
    <phoneticPr fontId="0" type="noConversion"/>
  </si>
  <si>
    <r>
      <rPr>
        <b/>
        <sz val="12"/>
        <color rgb="FF000000"/>
        <rFont val="微軟正黑體"/>
        <family val="2"/>
      </rPr>
      <t>預設排放係數單位
Default Emission Factor Unit</t>
    </r>
    <phoneticPr fontId="0" type="noConversion"/>
  </si>
  <si>
    <r>
      <rPr>
        <b/>
        <sz val="12"/>
        <color rgb="FF000000"/>
        <rFont val="微軟正黑體"/>
        <family val="2"/>
      </rPr>
      <t>預設排放係數來源
Default Emission Factor Reference</t>
    </r>
    <phoneticPr fontId="0" type="noConversion"/>
  </si>
  <si>
    <r>
      <rPr>
        <b/>
        <sz val="12"/>
        <color rgb="FF000000"/>
        <rFont val="微軟正黑體"/>
        <family val="2"/>
      </rPr>
      <t>自訂排放係數
Custom Emission Factor</t>
    </r>
    <phoneticPr fontId="0" type="noConversion"/>
  </si>
  <si>
    <r>
      <rPr>
        <b/>
        <sz val="12"/>
        <color rgb="FF000000"/>
        <rFont val="微軟正黑體"/>
        <family val="2"/>
      </rPr>
      <t>自訂排放係數單位
Custom Emission Factor Unit</t>
    </r>
    <phoneticPr fontId="0" type="noConversion"/>
  </si>
  <si>
    <r>
      <rPr>
        <b/>
        <sz val="12"/>
        <color rgb="FF000000"/>
        <rFont val="微軟正黑體"/>
        <family val="2"/>
      </rPr>
      <t>自訂排放係數來源
Custom Emission Factor Reference</t>
    </r>
    <phoneticPr fontId="0" type="noConversion"/>
  </si>
  <si>
    <r>
      <rPr>
        <b/>
        <sz val="12"/>
        <color rgb="FF000000"/>
        <rFont val="微軟正黑體"/>
        <family val="2"/>
      </rPr>
      <t>合計Sum
(t-CO2e)</t>
    </r>
    <phoneticPr fontId="0" type="noConversion"/>
  </si>
  <si>
    <r>
      <rPr>
        <b/>
        <sz val="12"/>
        <color rgb="FF000000"/>
        <rFont val="微軟正黑體"/>
        <family val="2"/>
      </rPr>
      <t>類別1、2佔比
Percentage of Category 1, 2</t>
    </r>
    <phoneticPr fontId="0" type="noConversion"/>
  </si>
  <si>
    <r>
      <rPr>
        <b/>
        <sz val="12"/>
        <color rgb="FF000000"/>
        <rFont val="微軟正黑體"/>
        <family val="2"/>
      </rPr>
      <t>總碳排放量佔比
Percentage of Total Emissions</t>
    </r>
    <phoneticPr fontId="0" type="noConversion"/>
  </si>
  <si>
    <r>
      <rPr>
        <sz val="12"/>
        <color rgb="FF000000"/>
        <rFont val="微軟正黑體"/>
        <family val="2"/>
      </rPr>
      <t>類別3
Category 3</t>
    </r>
    <phoneticPr fontId="0" type="noConversion"/>
  </si>
  <si>
    <r>
      <rPr>
        <sz val="12"/>
        <color theme="1"/>
        <rFont val="微軟正黑體"/>
        <family val="2"/>
      </rPr>
      <t>上游運輸和貨物配送產生的排放
Emissions from upstream transport and distribution for goods</t>
    </r>
    <phoneticPr fontId="0" type="noConversion"/>
  </si>
  <si>
    <t>直接材料運輸</t>
  </si>
  <si>
    <t>輔助材料運輸</t>
  </si>
  <si>
    <t>資材運輸</t>
  </si>
  <si>
    <t>包材運輸</t>
  </si>
  <si>
    <r>
      <rPr>
        <sz val="12"/>
        <color theme="1"/>
        <rFont val="微軟正黑體"/>
        <family val="2"/>
      </rPr>
      <t>下游運輸和貨物配送產生的排放
Emissions from downstream transport and distribution for goods are emissions from freight services</t>
    </r>
    <phoneticPr fontId="0" type="noConversion"/>
  </si>
  <si>
    <t>產品配送運輸</t>
  </si>
  <si>
    <r>
      <rPr>
        <sz val="12"/>
        <color theme="1"/>
        <rFont val="微軟正黑體"/>
        <family val="2"/>
      </rPr>
      <t>員工通勤產生的排放
Emissions from employee commuting</t>
    </r>
    <phoneticPr fontId="0" type="noConversion"/>
  </si>
  <si>
    <t>捷運</t>
  </si>
  <si>
    <t>高鐵</t>
  </si>
  <si>
    <t>台鐵</t>
  </si>
  <si>
    <t>客運</t>
  </si>
  <si>
    <t>公車</t>
  </si>
  <si>
    <t>汽車</t>
  </si>
  <si>
    <t>機車</t>
  </si>
  <si>
    <r>
      <rPr>
        <sz val="12"/>
        <color theme="1"/>
        <rFont val="微軟正黑體"/>
        <family val="2"/>
      </rPr>
      <t>客戶和訪客運輸產生的排放
Emissions from client and visitor transport</t>
    </r>
    <phoneticPr fontId="0" type="noConversion"/>
  </si>
  <si>
    <t>客戶服務訪客交通</t>
  </si>
  <si>
    <r>
      <rPr>
        <sz val="12"/>
        <color theme="1"/>
        <rFont val="微軟正黑體"/>
        <family val="2"/>
      </rPr>
      <t>商務旅行產生的排放
Emissions from business travel</t>
    </r>
    <phoneticPr fontId="0" type="noConversion"/>
  </si>
  <si>
    <t>國際航空差旅運輸</t>
  </si>
  <si>
    <t>高鐵差旅運輸</t>
  </si>
  <si>
    <t>客運差旅運輸</t>
  </si>
  <si>
    <t>台鐵差旅運輸</t>
  </si>
  <si>
    <t>汽車差旅運輸</t>
  </si>
  <si>
    <t>住宿服務</t>
  </si>
  <si>
    <r>
      <rPr>
        <sz val="12"/>
        <color rgb="FF000000"/>
        <rFont val="微軟正黑體"/>
        <family val="2"/>
      </rPr>
      <t>類別4
Category 4</t>
    </r>
    <phoneticPr fontId="0" type="noConversion"/>
  </si>
  <si>
    <r>
      <rPr>
        <sz val="12"/>
        <color theme="1"/>
        <rFont val="微軟正黑體"/>
        <family val="2"/>
      </rPr>
      <t>源自採購商品的排放
Emissions from purchased goods</t>
    </r>
    <phoneticPr fontId="0" type="noConversion"/>
  </si>
  <si>
    <t>直接材料上游排放</t>
  </si>
  <si>
    <t>輔助材料上游排放</t>
  </si>
  <si>
    <t>包材上游排放</t>
  </si>
  <si>
    <r>
      <rPr>
        <sz val="12"/>
        <color rgb="FF000000"/>
        <rFont val="微軟正黑體"/>
        <family val="2"/>
      </rPr>
      <t>外購電力上游排放(含運輸)
Upstream emissions of purchased electricity (including transportation)</t>
    </r>
    <phoneticPr fontId="0" type="noConversion"/>
  </si>
  <si>
    <r>
      <rPr>
        <sz val="12"/>
        <color rgb="FF000000"/>
        <rFont val="微軟正黑體"/>
        <family val="2"/>
      </rPr>
      <t>MWh</t>
    </r>
    <phoneticPr fontId="0" type="noConversion"/>
  </si>
  <si>
    <r>
      <rPr>
        <sz val="12"/>
        <color theme="1"/>
        <rFont val="微軟正黑體"/>
        <family val="2"/>
      </rPr>
      <t>tonCO2e /MWh</t>
    </r>
    <phoneticPr fontId="0" type="noConversion"/>
  </si>
  <si>
    <r>
      <rPr>
        <sz val="12"/>
        <color rgb="FF000000"/>
        <rFont val="微軟正黑體"/>
        <family val="2"/>
      </rPr>
      <t>綠電電力上游排放(含運輸)
Upstream emissions of purchased renewable electricity (including transportation)</t>
    </r>
    <phoneticPr fontId="0" type="noConversion"/>
  </si>
  <si>
    <r>
      <rPr>
        <sz val="12"/>
        <color rgb="FF000000"/>
        <rFont val="微軟正黑體"/>
        <family val="2"/>
      </rPr>
      <t>MWh</t>
    </r>
    <phoneticPr fontId="0" type="noConversion"/>
  </si>
  <si>
    <r>
      <rPr>
        <sz val="12"/>
        <color theme="1"/>
        <rFont val="微軟正黑體"/>
        <family val="2"/>
      </rPr>
      <t>tonCO2e /MWh</t>
    </r>
    <phoneticPr fontId="0" type="noConversion"/>
  </si>
  <si>
    <r>
      <rPr>
        <sz val="12"/>
        <color rgb="FF000000"/>
        <rFont val="微軟正黑體"/>
        <family val="2"/>
      </rPr>
      <t>固定源天然氣上游排放(包含運輸)
Stationary natural gas upstream emissions (including transportation)</t>
    </r>
    <phoneticPr fontId="0" type="noConversion"/>
  </si>
  <si>
    <r>
      <rPr>
        <sz val="12"/>
        <color rgb="FF000000"/>
        <rFont val="微軟正黑體"/>
        <family val="2"/>
      </rPr>
      <t>km3</t>
    </r>
    <phoneticPr fontId="0" type="noConversion"/>
  </si>
  <si>
    <r>
      <rPr>
        <sz val="12"/>
        <color theme="1"/>
        <rFont val="微軟正黑體"/>
        <family val="2"/>
      </rPr>
      <t>tonCO2e /km3</t>
    </r>
    <phoneticPr fontId="0" type="noConversion"/>
  </si>
  <si>
    <r>
      <rPr>
        <u/>
        <sz val="12"/>
        <color theme="10"/>
        <rFont val="新細明體"/>
        <family val="1"/>
      </rPr>
      <t>Natural gas, high pressure {GLO}| market group for | APOS, U</t>
    </r>
    <phoneticPr fontId="0" type="noConversion"/>
  </si>
  <si>
    <r>
      <rPr>
        <sz val="12"/>
        <color rgb="FF000000"/>
        <rFont val="微軟正黑體"/>
        <family val="2"/>
      </rPr>
      <t>固定源源液化石油氣上游排放(包含運輸)
Stationary LPG upstream emissions (including transport)</t>
    </r>
    <phoneticPr fontId="0" type="noConversion"/>
  </si>
  <si>
    <r>
      <rPr>
        <sz val="12"/>
        <color rgb="FF000000"/>
        <rFont val="微軟正黑體"/>
        <family val="2"/>
      </rPr>
      <t>ton</t>
    </r>
    <phoneticPr fontId="0" type="noConversion"/>
  </si>
  <si>
    <r>
      <rPr>
        <sz val="12"/>
        <color theme="1"/>
        <rFont val="微軟正黑體"/>
        <family val="2"/>
      </rPr>
      <t>tonCO2e /ton</t>
    </r>
    <phoneticPr fontId="0" type="noConversion"/>
  </si>
  <si>
    <r>
      <rPr>
        <u/>
        <sz val="12"/>
        <color theme="10"/>
        <rFont val="新細明體"/>
        <family val="1"/>
      </rPr>
      <t>Simapro9.4.0.2-Liquefied petroleum gas {GLO}| market group for liquefied petroleum gas | Cut-off, U</t>
    </r>
    <phoneticPr fontId="0" type="noConversion"/>
  </si>
  <si>
    <r>
      <rPr>
        <sz val="12"/>
        <color rgb="FF000000"/>
        <rFont val="微軟正黑體"/>
        <family val="2"/>
      </rPr>
      <t>固定源柴油上游排放(包含運輸)
Stationary diesel upstream emissions (including transport)</t>
    </r>
    <phoneticPr fontId="0" type="noConversion"/>
  </si>
  <si>
    <r>
      <rPr>
        <sz val="12"/>
        <color rgb="FF000000"/>
        <rFont val="微軟正黑體"/>
        <family val="2"/>
      </rPr>
      <t>ton</t>
    </r>
    <phoneticPr fontId="0" type="noConversion"/>
  </si>
  <si>
    <r>
      <rPr>
        <u/>
        <sz val="12"/>
        <color theme="10"/>
        <rFont val="新細明體"/>
        <family val="1"/>
      </rPr>
      <t>密度density</t>
    </r>
    <phoneticPr fontId="0" type="noConversion"/>
  </si>
  <si>
    <r>
      <rPr>
        <sz val="12"/>
        <color theme="1"/>
        <rFont val="微軟正黑體"/>
        <family val="2"/>
      </rPr>
      <t>tonCO2e /ton</t>
    </r>
    <phoneticPr fontId="0" type="noConversion"/>
  </si>
  <si>
    <t>Diesel  {GLO}| market group for | APOS, U</t>
  </si>
  <si>
    <r>
      <rPr>
        <sz val="12"/>
        <color rgb="FF000000"/>
        <rFont val="微軟正黑體"/>
        <family val="2"/>
      </rPr>
      <t>固定源汽油上游排放(包含運輸)
Stationary gasoline upstream emissions (including transport)</t>
    </r>
    <phoneticPr fontId="0" type="noConversion"/>
  </si>
  <si>
    <r>
      <rPr>
        <sz val="12"/>
        <color rgb="FF000000"/>
        <rFont val="微軟正黑體"/>
        <family val="2"/>
      </rPr>
      <t>ton</t>
    </r>
    <phoneticPr fontId="0" type="noConversion"/>
  </si>
  <si>
    <r>
      <rPr>
        <u/>
        <sz val="12"/>
        <color theme="10"/>
        <rFont val="新細明體"/>
        <family val="1"/>
      </rPr>
      <t>密度density</t>
    </r>
    <phoneticPr fontId="0" type="noConversion"/>
  </si>
  <si>
    <r>
      <rPr>
        <sz val="12"/>
        <color theme="1"/>
        <rFont val="微軟正黑體"/>
        <family val="2"/>
      </rPr>
      <t>tonCO2e /ton</t>
    </r>
    <phoneticPr fontId="0" type="noConversion"/>
  </si>
  <si>
    <t>Petrol, unleaded {RoW}| market for | APOS, U</t>
  </si>
  <si>
    <r>
      <rPr>
        <sz val="12"/>
        <color rgb="FF000000"/>
        <rFont val="微軟正黑體"/>
        <family val="2"/>
      </rPr>
      <t>移動源柴油上游排放(包含運輸)
Mobile diesel upstream emissions (including transport)</t>
    </r>
    <phoneticPr fontId="0" type="noConversion"/>
  </si>
  <si>
    <r>
      <rPr>
        <sz val="12"/>
        <color rgb="FF000000"/>
        <rFont val="微軟正黑體"/>
        <family val="2"/>
      </rPr>
      <t>ton</t>
    </r>
    <phoneticPr fontId="0" type="noConversion"/>
  </si>
  <si>
    <r>
      <rPr>
        <u/>
        <sz val="12"/>
        <color theme="10"/>
        <rFont val="新細明體"/>
        <family val="1"/>
      </rPr>
      <t>密度density</t>
    </r>
    <phoneticPr fontId="0" type="noConversion"/>
  </si>
  <si>
    <r>
      <rPr>
        <sz val="12"/>
        <color theme="1"/>
        <rFont val="微軟正黑體"/>
        <family val="2"/>
      </rPr>
      <t>tonCO2e /ton</t>
    </r>
    <phoneticPr fontId="0" type="noConversion"/>
  </si>
  <si>
    <r>
      <rPr>
        <sz val="12"/>
        <color rgb="FF000000"/>
        <rFont val="微軟正黑體"/>
        <family val="2"/>
      </rPr>
      <t>移動源汽油上游排放(包含運輸)
Gasoline upstream emissions from mobile equipment (including transport)</t>
    </r>
    <phoneticPr fontId="0" type="noConversion"/>
  </si>
  <si>
    <r>
      <rPr>
        <sz val="12"/>
        <color rgb="FF000000"/>
        <rFont val="微軟正黑體"/>
        <family val="2"/>
      </rPr>
      <t>ton</t>
    </r>
    <phoneticPr fontId="0" type="noConversion"/>
  </si>
  <si>
    <r>
      <rPr>
        <u/>
        <sz val="12"/>
        <color theme="10"/>
        <rFont val="新細明體"/>
        <family val="1"/>
      </rPr>
      <t>密度density</t>
    </r>
    <phoneticPr fontId="0" type="noConversion"/>
  </si>
  <si>
    <r>
      <rPr>
        <sz val="12"/>
        <color theme="1"/>
        <rFont val="微軟正黑體"/>
        <family val="2"/>
      </rPr>
      <t>tonCO2e /ton</t>
    </r>
    <phoneticPr fontId="0" type="noConversion"/>
  </si>
  <si>
    <r>
      <rPr>
        <sz val="12"/>
        <color theme="1"/>
        <rFont val="微軟正黑體"/>
        <family val="2"/>
      </rPr>
      <t>自來水
tap water</t>
    </r>
    <phoneticPr fontId="0" type="noConversion"/>
  </si>
  <si>
    <r>
      <rPr>
        <sz val="12"/>
        <color theme="1"/>
        <rFont val="微軟正黑體"/>
        <family val="2"/>
      </rPr>
      <t>tonCO</t>
    </r>
    <r>
      <rPr>
        <vertAlign val="subscript"/>
        <sz val="12"/>
        <color theme="1"/>
        <rFont val="微軟正黑體"/>
        <family val="2"/>
      </rPr>
      <t>2</t>
    </r>
    <r>
      <rPr>
        <sz val="12"/>
        <color theme="1"/>
        <rFont val="微軟正黑體"/>
        <family val="2"/>
      </rPr>
      <t>e/ton</t>
    </r>
    <phoneticPr fontId="0" type="noConversion"/>
  </si>
  <si>
    <r>
      <rPr>
        <u/>
        <sz val="12"/>
        <color theme="10"/>
        <rFont val="新細明體"/>
        <family val="1"/>
      </rPr>
      <t>Simapro9.4.0.2-Tap water {GLO}| market group for | Cut-off, U</t>
    </r>
    <phoneticPr fontId="0" type="noConversion"/>
  </si>
  <si>
    <r>
      <rPr>
        <sz val="12"/>
        <color theme="1"/>
        <rFont val="微軟正黑體"/>
        <family val="2"/>
      </rPr>
      <t>資本商品的排放
Emissions from capital goods</t>
    </r>
    <phoneticPr fontId="0" type="noConversion"/>
  </si>
  <si>
    <t>辦公家具</t>
  </si>
  <si>
    <t>生產設備</t>
  </si>
  <si>
    <t>資訊電腦相關設備</t>
  </si>
  <si>
    <t>事務機</t>
  </si>
  <si>
    <t>空調冷藏設備</t>
  </si>
  <si>
    <t>燈具</t>
  </si>
  <si>
    <t>滅火器</t>
  </si>
  <si>
    <t>建物</t>
  </si>
  <si>
    <r>
      <rPr>
        <sz val="12"/>
        <color theme="1"/>
        <rFont val="微軟正黑體"/>
        <family val="2"/>
      </rPr>
      <t>固體和液體廢棄物處理產生的排放
Emissions from the disposal of solid and liquid waste</t>
    </r>
    <phoneticPr fontId="0" type="noConversion"/>
  </si>
  <si>
    <r>
      <rPr>
        <sz val="12"/>
        <color theme="1"/>
        <rFont val="微軟正黑體"/>
        <family val="2"/>
      </rPr>
      <t>一般事業廢棄物-焚化發電
Emissions from the disposal of solid and liquid waste - electricity from incinerator (General Waste)</t>
    </r>
    <phoneticPr fontId="0" type="noConversion"/>
  </si>
  <si>
    <r>
      <rPr>
        <sz val="12"/>
        <color rgb="FF000000"/>
        <rFont val="微軟正黑體"/>
        <family val="2"/>
      </rPr>
      <t>tonCO</t>
    </r>
    <r>
      <rPr>
        <vertAlign val="subscript"/>
        <sz val="12"/>
        <color rgb="FF000000"/>
        <rFont val="微軟正黑體"/>
        <family val="2"/>
      </rPr>
      <t>2</t>
    </r>
    <r>
      <rPr>
        <sz val="12"/>
        <color rgb="FF000000"/>
        <rFont val="微軟正黑體"/>
        <family val="2"/>
      </rPr>
      <t>e/ton</t>
    </r>
    <phoneticPr fontId="0" type="noConversion"/>
  </si>
  <si>
    <r>
      <rPr>
        <u/>
        <sz val="12"/>
        <color theme="10"/>
        <rFont val="新細明體"/>
        <family val="1"/>
      </rPr>
      <t>Simapro 9.4.0.2-Municipal solid waste {RoW}| treatment of, incineration</t>
    </r>
    <phoneticPr fontId="0" type="noConversion"/>
  </si>
  <si>
    <r>
      <rPr>
        <sz val="12"/>
        <color theme="1"/>
        <rFont val="微軟正黑體"/>
        <family val="2"/>
      </rPr>
      <t>一般事業廢棄物-焚化
Emissions from the disposal of solid and liquid waste - from the incinerator  (General Waste)</t>
    </r>
    <phoneticPr fontId="0" type="noConversion"/>
  </si>
  <si>
    <r>
      <rPr>
        <sz val="12"/>
        <color rgb="FF000000"/>
        <rFont val="微軟正黑體"/>
        <family val="2"/>
      </rPr>
      <t>tonCO</t>
    </r>
    <r>
      <rPr>
        <vertAlign val="subscript"/>
        <sz val="12"/>
        <color rgb="FF000000"/>
        <rFont val="微軟正黑體"/>
        <family val="2"/>
      </rPr>
      <t>2</t>
    </r>
    <r>
      <rPr>
        <sz val="12"/>
        <color rgb="FF000000"/>
        <rFont val="微軟正黑體"/>
        <family val="2"/>
      </rPr>
      <t>e/ton</t>
    </r>
    <phoneticPr fontId="0" type="noConversion"/>
  </si>
  <si>
    <r>
      <rPr>
        <u/>
        <sz val="12"/>
        <color theme="10"/>
        <rFont val="新細明體"/>
        <family val="1"/>
      </rPr>
      <t>Simapro 9.4.0.2-Municipal solid waste {RoW}| treatment of, incineration</t>
    </r>
    <phoneticPr fontId="0" type="noConversion"/>
  </si>
  <si>
    <r>
      <rPr>
        <sz val="12"/>
        <color theme="1"/>
        <rFont val="微軟正黑體"/>
        <family val="2"/>
      </rPr>
      <t>一般事業廢棄物-掩埋
Emissions from the disposal of solid and liquid waste - from the Landfill  (General Waste)</t>
    </r>
    <phoneticPr fontId="0" type="noConversion"/>
  </si>
  <si>
    <r>
      <rPr>
        <sz val="12"/>
        <color theme="1"/>
        <rFont val="微軟正黑體"/>
        <family val="2"/>
      </rPr>
      <t>tonCO</t>
    </r>
    <r>
      <rPr>
        <vertAlign val="subscript"/>
        <sz val="12"/>
        <color theme="1"/>
        <rFont val="微軟正黑體"/>
        <family val="2"/>
      </rPr>
      <t>2</t>
    </r>
    <r>
      <rPr>
        <sz val="12"/>
        <color theme="1"/>
        <rFont val="微軟正黑體"/>
        <family val="2"/>
      </rPr>
      <t>e/ton</t>
    </r>
    <phoneticPr fontId="0" type="noConversion"/>
  </si>
  <si>
    <r>
      <rPr>
        <u/>
        <sz val="12"/>
        <color theme="10"/>
        <rFont val="新細明體"/>
        <family val="1"/>
      </rPr>
      <t>Simapro 9.4.0.2-Municipal solid waste {RoW}| treatment of, sanitary landfill | Cut-off, U</t>
    </r>
    <phoneticPr fontId="0" type="noConversion"/>
  </si>
  <si>
    <r>
      <rPr>
        <sz val="12"/>
        <color theme="1"/>
        <rFont val="微軟正黑體"/>
        <family val="2"/>
      </rPr>
      <t>一般事業廢棄物-再利用
Emissions from the disposal of solid and liquid waste - from the Reuse (General Waste)</t>
    </r>
    <phoneticPr fontId="0" type="noConversion"/>
  </si>
  <si>
    <r>
      <rPr>
        <sz val="12"/>
        <color theme="1"/>
        <rFont val="微軟正黑體"/>
        <family val="2"/>
      </rPr>
      <t>tonCO</t>
    </r>
    <r>
      <rPr>
        <vertAlign val="subscript"/>
        <sz val="12"/>
        <color theme="1"/>
        <rFont val="微軟正黑體"/>
        <family val="2"/>
      </rPr>
      <t>2</t>
    </r>
    <r>
      <rPr>
        <sz val="12"/>
        <color theme="1"/>
        <rFont val="微軟正黑體"/>
        <family val="2"/>
      </rPr>
      <t>e/ton</t>
    </r>
    <phoneticPr fontId="0" type="noConversion"/>
  </si>
  <si>
    <r>
      <rPr>
        <sz val="12"/>
        <color theme="1"/>
        <rFont val="微軟正黑體"/>
        <family val="2"/>
      </rPr>
      <t>有害事業廢棄物-焚化發電
Emissions from the disposal of solid and liquid waste - electricity from incinerator (Hazardous waste)</t>
    </r>
    <phoneticPr fontId="0" type="noConversion"/>
  </si>
  <si>
    <r>
      <rPr>
        <sz val="12"/>
        <color theme="1"/>
        <rFont val="微軟正黑體"/>
        <family val="2"/>
      </rPr>
      <t>tonCO</t>
    </r>
    <r>
      <rPr>
        <vertAlign val="subscript"/>
        <sz val="12"/>
        <color theme="1"/>
        <rFont val="微軟正黑體"/>
        <family val="2"/>
      </rPr>
      <t>2</t>
    </r>
    <r>
      <rPr>
        <sz val="12"/>
        <color theme="1"/>
        <rFont val="微軟正黑體"/>
        <family val="2"/>
      </rPr>
      <t>e/ton</t>
    </r>
    <phoneticPr fontId="0" type="noConversion"/>
  </si>
  <si>
    <r>
      <rPr>
        <u/>
        <sz val="12"/>
        <color theme="10"/>
        <rFont val="新細明體"/>
        <family val="1"/>
      </rPr>
      <t xml:space="preserve">Simapro 9.4.0.2-Hazardous waste, for incineration {Europe without Switzerland}| market for hazardous waste, for incineration </t>
    </r>
    <phoneticPr fontId="0" type="noConversion"/>
  </si>
  <si>
    <r>
      <rPr>
        <sz val="12"/>
        <color theme="1"/>
        <rFont val="微軟正黑體"/>
        <family val="2"/>
      </rPr>
      <t>有害事業廢棄物-焚化
Emissions from the disposal of solid and liquid waste - from the incinerator  (Hazardous waste)</t>
    </r>
    <phoneticPr fontId="0" type="noConversion"/>
  </si>
  <si>
    <r>
      <rPr>
        <sz val="12"/>
        <color theme="1"/>
        <rFont val="微軟正黑體"/>
        <family val="2"/>
      </rPr>
      <t>tonCO</t>
    </r>
    <r>
      <rPr>
        <vertAlign val="subscript"/>
        <sz val="12"/>
        <color theme="1"/>
        <rFont val="微軟正黑體"/>
        <family val="2"/>
      </rPr>
      <t>2</t>
    </r>
    <r>
      <rPr>
        <sz val="12"/>
        <color theme="1"/>
        <rFont val="微軟正黑體"/>
        <family val="2"/>
      </rPr>
      <t>e/ton</t>
    </r>
    <phoneticPr fontId="0" type="noConversion"/>
  </si>
  <si>
    <r>
      <rPr>
        <u/>
        <sz val="12"/>
        <color theme="10"/>
        <rFont val="新細明體"/>
        <family val="1"/>
      </rPr>
      <t xml:space="preserve">Simapro 9.4.0.2-Hazardous waste, for incineration {Europe without Switzerland}| market for hazardous waste, for incineration </t>
    </r>
    <phoneticPr fontId="0" type="noConversion"/>
  </si>
  <si>
    <r>
      <rPr>
        <sz val="12"/>
        <color theme="1"/>
        <rFont val="微軟正黑體"/>
        <family val="2"/>
      </rPr>
      <t>有害事業廢棄物-掩埋
Emissions from the disposal of solid and liquid waste - from the Landfill  (Hazardous waste)</t>
    </r>
    <phoneticPr fontId="0" type="noConversion"/>
  </si>
  <si>
    <r>
      <rPr>
        <sz val="12"/>
        <color theme="1"/>
        <rFont val="微軟正黑體"/>
        <family val="2"/>
      </rPr>
      <t>tonCO</t>
    </r>
    <r>
      <rPr>
        <vertAlign val="subscript"/>
        <sz val="12"/>
        <color theme="1"/>
        <rFont val="微軟正黑體"/>
        <family val="2"/>
      </rPr>
      <t>2</t>
    </r>
    <r>
      <rPr>
        <sz val="12"/>
        <color theme="1"/>
        <rFont val="微軟正黑體"/>
        <family val="2"/>
      </rPr>
      <t>e/ton</t>
    </r>
    <phoneticPr fontId="0" type="noConversion"/>
  </si>
  <si>
    <r>
      <rPr>
        <u/>
        <sz val="12"/>
        <color theme="10"/>
        <rFont val="新細明體"/>
        <family val="1"/>
      </rPr>
      <t>Simapro 9.4.0.2-Municipal solid waste {RoW}| treatment of, sanitary landfill | Cut-off, U</t>
    </r>
    <phoneticPr fontId="0" type="noConversion"/>
  </si>
  <si>
    <r>
      <rPr>
        <sz val="12"/>
        <color theme="1"/>
        <rFont val="微軟正黑體"/>
        <family val="2"/>
      </rPr>
      <t>有害事業廢棄物-再利用
Emissions from the disposal of solid and liquid waste - from the Reuse (Hazardous waste)</t>
    </r>
    <phoneticPr fontId="0" type="noConversion"/>
  </si>
  <si>
    <r>
      <rPr>
        <sz val="12"/>
        <color theme="1"/>
        <rFont val="微軟正黑體"/>
        <family val="2"/>
      </rPr>
      <t>tonCO</t>
    </r>
    <r>
      <rPr>
        <vertAlign val="subscript"/>
        <sz val="12"/>
        <color theme="1"/>
        <rFont val="微軟正黑體"/>
        <family val="2"/>
      </rPr>
      <t>2</t>
    </r>
    <r>
      <rPr>
        <sz val="12"/>
        <color theme="1"/>
        <rFont val="微軟正黑體"/>
        <family val="2"/>
      </rPr>
      <t>e/ton</t>
    </r>
    <phoneticPr fontId="0" type="noConversion"/>
  </si>
  <si>
    <r>
      <rPr>
        <sz val="12"/>
        <color theme="1"/>
        <rFont val="微軟正黑體"/>
        <family val="2"/>
      </rPr>
      <t>工業廢水處理
Emissions from the disposal of solid and liquid waste -from Industrial Wastewater</t>
    </r>
    <phoneticPr fontId="0" type="noConversion"/>
  </si>
  <si>
    <r>
      <rPr>
        <sz val="12"/>
        <color theme="1"/>
        <rFont val="微軟正黑體"/>
        <family val="2"/>
      </rPr>
      <t>tonCO</t>
    </r>
    <r>
      <rPr>
        <sz val="12"/>
        <color theme="1"/>
        <rFont val="Times New Roman"/>
        <family val="1"/>
      </rPr>
      <t>₂</t>
    </r>
    <r>
      <rPr>
        <sz val="12"/>
        <color theme="1"/>
        <rFont val="微軟正黑體"/>
        <family val="2"/>
      </rPr>
      <t>e/m3</t>
    </r>
    <phoneticPr fontId="0" type="noConversion"/>
  </si>
  <si>
    <r>
      <rPr>
        <u/>
        <sz val="12"/>
        <color theme="10"/>
        <rFont val="新細明體"/>
        <family val="1"/>
      </rPr>
      <t>Simapro-Wastewater, average {RoW} market for wastewater, average</t>
    </r>
    <phoneticPr fontId="0" type="noConversion"/>
  </si>
  <si>
    <r>
      <rPr>
        <sz val="12"/>
        <color theme="1"/>
        <rFont val="微軟正黑體"/>
        <family val="2"/>
      </rPr>
      <t>生活污水廢理
Emissions from the disposal of solid and liquid waste -from sewage</t>
    </r>
    <phoneticPr fontId="0" type="noConversion"/>
  </si>
  <si>
    <r>
      <rPr>
        <sz val="12"/>
        <color rgb="FF000000"/>
        <rFont val="微軟正黑體"/>
        <family val="2"/>
      </rPr>
      <t>tonCO</t>
    </r>
    <r>
      <rPr>
        <sz val="12"/>
        <color rgb="FF000000"/>
        <rFont val="Times New Roman"/>
        <family val="1"/>
      </rPr>
      <t>₂</t>
    </r>
    <r>
      <rPr>
        <sz val="12"/>
        <color rgb="FF000000"/>
        <rFont val="微軟正黑體"/>
        <family val="2"/>
      </rPr>
      <t>e/m3</t>
    </r>
    <phoneticPr fontId="0" type="noConversion"/>
  </si>
  <si>
    <r>
      <rPr>
        <u/>
        <sz val="12"/>
        <color theme="10"/>
        <rFont val="新細明體"/>
        <family val="1"/>
      </rPr>
      <t>Simapro9.4.02-Wastewater, unpolluted, from residence {GLO}</t>
    </r>
    <phoneticPr fontId="0" type="noConversion"/>
  </si>
  <si>
    <t>廢棄物-清除運輸</t>
  </si>
  <si>
    <t>回收物運輸</t>
  </si>
  <si>
    <r>
      <rPr>
        <sz val="12"/>
        <color theme="1"/>
        <rFont val="微軟正黑體"/>
        <family val="2"/>
      </rPr>
      <t>租賃設備資產使用造成之排放
Emissions from the use of assets are generated through equipment leased by the reporting organization in the reporting year.</t>
    </r>
    <phoneticPr fontId="0" type="noConversion"/>
  </si>
  <si>
    <t>建物租賃相關排放(組織為承租人-房客)</t>
  </si>
  <si>
    <r>
      <rPr>
        <sz val="12"/>
        <color theme="1"/>
        <rFont val="微軟正黑體"/>
        <family val="2"/>
      </rPr>
      <t>上述子類別中未描述使用服務而產生的排放
Emissions from the use of services that are not described in the above subcategories</t>
    </r>
    <phoneticPr fontId="0" type="noConversion"/>
  </si>
  <si>
    <t>顧問諮詢(運輸)</t>
  </si>
  <si>
    <t>清潔服務</t>
  </si>
  <si>
    <t>機電設備維修服務</t>
  </si>
  <si>
    <t>室內裝修</t>
  </si>
  <si>
    <r>
      <rPr>
        <sz val="12"/>
        <color rgb="FF000000"/>
        <rFont val="微軟正黑體"/>
        <family val="2"/>
      </rPr>
      <t>類別5
Category 5</t>
    </r>
    <phoneticPr fontId="0" type="noConversion"/>
  </si>
  <si>
    <r>
      <rPr>
        <sz val="12"/>
        <color theme="1"/>
        <rFont val="微軟正黑體"/>
        <family val="2"/>
      </rPr>
      <t>產品使用階段的排放或移除
Emissions or removals from the use stage of the product</t>
    </r>
    <phoneticPr fontId="0" type="noConversion"/>
  </si>
  <si>
    <t>產品使用電力耗用</t>
  </si>
  <si>
    <r>
      <rPr>
        <sz val="12"/>
        <color theme="1"/>
        <rFont val="微軟正黑體"/>
        <family val="2"/>
      </rPr>
      <t>下游租賃資產的排放
Emissions from downstream leased assets</t>
    </r>
    <phoneticPr fontId="0" type="noConversion"/>
  </si>
  <si>
    <t>建物租賃相關排放(組織為出租人-房東)</t>
  </si>
  <si>
    <r>
      <rPr>
        <sz val="12"/>
        <color theme="1"/>
        <rFont val="微軟正黑體"/>
        <family val="2"/>
      </rPr>
      <t>產品生命終期階段的排放
Emissions from end of life stage of the product</t>
    </r>
    <phoneticPr fontId="0" type="noConversion"/>
  </si>
  <si>
    <t>產品最終處置(焚化)</t>
  </si>
  <si>
    <t>產品最終處置(掩埋)</t>
  </si>
  <si>
    <t>產品最終處置(物化處理)</t>
  </si>
  <si>
    <t>耗材最終處置</t>
  </si>
  <si>
    <t>資材最終處置</t>
  </si>
  <si>
    <r>
      <rPr>
        <sz val="12"/>
        <color theme="1"/>
        <rFont val="微軟正黑體"/>
        <family val="2"/>
      </rPr>
      <t>投資產生的排放
Emissions from investments</t>
    </r>
    <phoneticPr fontId="0" type="noConversion"/>
  </si>
  <si>
    <t>股權債務/投資債務/專案融資相關排放</t>
  </si>
  <si>
    <r>
      <rPr>
        <sz val="12"/>
        <color rgb="FF000000"/>
        <rFont val="微軟正黑體"/>
        <family val="2"/>
      </rPr>
      <t>類別6
Category 6</t>
    </r>
    <phoneticPr fontId="0" type="noConversion"/>
  </si>
  <si>
    <r>
      <rPr>
        <sz val="12"/>
        <color theme="1"/>
        <rFont val="微軟正黑體"/>
        <family val="2"/>
      </rPr>
      <t>售出產品之加工
Processing of sold products</t>
    </r>
    <phoneticPr fontId="0" type="noConversion"/>
  </si>
  <si>
    <r>
      <rPr>
        <sz val="12"/>
        <color theme="1"/>
        <rFont val="微軟正黑體"/>
        <family val="2"/>
      </rPr>
      <t>售出中間產品的加工</t>
    </r>
    <phoneticPr fontId="0" type="noConversion"/>
  </si>
  <si>
    <r>
      <rPr>
        <sz val="12"/>
        <color theme="1"/>
        <rFont val="微軟正黑體"/>
        <family val="2"/>
      </rPr>
      <t>連鎖/特許 經銷
Franchises</t>
    </r>
    <phoneticPr fontId="0" type="noConversion"/>
  </si>
  <si>
    <r>
      <rPr>
        <sz val="12"/>
        <color theme="1"/>
        <rFont val="微軟正黑體"/>
        <family val="2"/>
      </rPr>
      <t>加盟/特許經營</t>
    </r>
    <phoneticPr fontId="0" type="noConversion"/>
  </si>
  <si>
    <r>
      <rPr>
        <sz val="12"/>
        <color theme="1"/>
        <rFont val="微軟正黑體"/>
        <family val="2"/>
      </rPr>
      <t>排放量合計</t>
    </r>
    <phoneticPr fontId="0" type="noConversion"/>
  </si>
  <si>
    <r>
      <rPr>
        <b/>
        <sz val="18"/>
        <color rgb="FF000000"/>
        <rFont val="Microsoft JhengHei Light"/>
        <family val="2"/>
      </rPr>
      <t>盤查結果 Results</t>
    </r>
    <phoneticPr fontId="0" type="noConversion"/>
  </si>
  <si>
    <r>
      <rPr>
        <b/>
        <sz val="10"/>
        <color indexed="8"/>
        <rFont val="Microsoft JhengHei Light"/>
        <family val="2"/>
      </rPr>
      <t>盤查與驗證概況
Overview of Quantification and Verification by Emissions</t>
    </r>
    <phoneticPr fontId="0" type="noConversion"/>
  </si>
  <si>
    <r>
      <rPr>
        <b/>
        <sz val="10"/>
        <color indexed="8"/>
        <rFont val="Microsoft JhengHei Light"/>
        <family val="2"/>
      </rPr>
      <t>盤查與驗證概況
Overview of Quantification and Verification by Emissions</t>
    </r>
    <phoneticPr fontId="0" type="noConversion"/>
  </si>
  <si>
    <r>
      <rPr>
        <b/>
        <sz val="10"/>
        <color rgb="FF000000"/>
        <rFont val="Microsoft JhengHei Light"/>
        <family val="2"/>
      </rPr>
      <t xml:space="preserve">盤查內容說明
General Information of Quantification </t>
    </r>
    <phoneticPr fontId="0" type="noConversion"/>
  </si>
  <si>
    <t>定義</t>
  </si>
  <si>
    <r>
      <rPr>
        <b/>
        <sz val="10"/>
        <color rgb="FF000000"/>
        <rFont val="Microsoft JhengHei Light"/>
        <family val="2"/>
      </rPr>
      <t>排放源
GHG Sources</t>
    </r>
    <phoneticPr fontId="0" type="noConversion"/>
  </si>
  <si>
    <r>
      <rPr>
        <b/>
        <sz val="10"/>
        <color rgb="FF000000"/>
        <rFont val="Microsoft JhengHei Light"/>
        <family val="2"/>
      </rPr>
      <t>計算方法
Calculation method</t>
    </r>
    <phoneticPr fontId="0" type="noConversion"/>
  </si>
  <si>
    <r>
      <rPr>
        <b/>
        <sz val="10"/>
        <color rgb="FF000000"/>
        <rFont val="Microsoft JhengHei Light"/>
        <family val="2"/>
      </rPr>
      <t>活動數據來源
Activity Data Reference</t>
    </r>
    <phoneticPr fontId="0" type="noConversion"/>
  </si>
  <si>
    <r>
      <rPr>
        <b/>
        <sz val="10"/>
        <color rgb="FF000000"/>
        <rFont val="Microsoft JhengHei Light"/>
        <family val="2"/>
      </rPr>
      <t>排放係數來源
Emission Factor Reference</t>
    </r>
    <phoneticPr fontId="0" type="noConversion"/>
  </si>
  <si>
    <r>
      <rPr>
        <b/>
        <sz val="10"/>
        <color rgb="FF000000"/>
        <rFont val="Microsoft JhengHei Light"/>
        <family val="2"/>
      </rPr>
      <t>數據保管單位
Data source Department</t>
    </r>
    <phoneticPr fontId="0" type="noConversion"/>
  </si>
  <si>
    <r>
      <rPr>
        <sz val="10"/>
        <color rgb="FF000000"/>
        <rFont val="Microsoft JhengHei Light"/>
        <family val="2"/>
      </rPr>
      <t>類別1：直接GHG排放與移除
Category 1：Direct GHG emissions and removals</t>
    </r>
    <phoneticPr fontId="0" type="noConversion"/>
  </si>
  <si>
    <r>
      <rPr>
        <sz val="10"/>
        <color rgb="FF000000"/>
        <rFont val="Microsoft JhengHei Light"/>
        <family val="2"/>
      </rPr>
      <t>固定燃燒直接排放
Stationary combustion emissions</t>
    </r>
    <phoneticPr fontId="0" type="noConversion"/>
  </si>
  <si>
    <r>
      <rPr>
        <sz val="10"/>
        <color rgb="FF000000"/>
        <rFont val="Microsoft JhengHei Light"/>
        <family val="2"/>
      </rPr>
      <t xml:space="preserve">係任何類型燃料(化石燃料或生質燃料)在固 定式設備(例:加熱器、燃氣渦輪、鍋爐)中燃燒之結果，可藉以產生熱、機 械功及蒸汽。Emissions resulting from combustion of fuels at a facility to generate electricity, heat, or steam (e.g., boilers, turbines, furnaces, incinerators, etc.). </t>
    </r>
    <phoneticPr fontId="0" type="noConversion"/>
  </si>
  <si>
    <r>
      <rPr>
        <sz val="10"/>
        <color rgb="FF000000"/>
        <rFont val="Microsoft JhengHei Light"/>
        <family val="2"/>
      </rPr>
      <t>活動數據用量Activity Data × 排放係數Emission Factor × GWP</t>
    </r>
    <phoneticPr fontId="0" type="noConversion"/>
  </si>
  <si>
    <r>
      <rPr>
        <sz val="10"/>
        <color rgb="FF000000"/>
        <rFont val="Microsoft JhengHei Light"/>
        <family val="2"/>
      </rPr>
      <t>移動燃燒直接排放
Mobile combustion emissions</t>
    </r>
    <phoneticPr fontId="0" type="noConversion"/>
  </si>
  <si>
    <r>
      <rPr>
        <sz val="10"/>
        <color rgb="FF000000"/>
        <rFont val="Microsoft JhengHei Light"/>
        <family val="2"/>
      </rPr>
      <t xml:space="preserve">係燃料在運輸設備(例:機動車輛、貨車、 船舶、飛機、機動堆高機)內燃燒之結果Emissions resulting from combustion of fuels in company-owned or controlled mobile sources (e.g., trucks, ships, cars, airplanes, mobile machinery, etc.). </t>
    </r>
    <phoneticPr fontId="0" type="noConversion"/>
  </si>
  <si>
    <r>
      <rPr>
        <sz val="10"/>
        <color rgb="FF000000"/>
        <rFont val="Microsoft JhengHei Light"/>
        <family val="2"/>
      </rPr>
      <t>活動數據用量Activity Data × 排放係數Emission Factor × GWP</t>
    </r>
    <phoneticPr fontId="0" type="noConversion"/>
  </si>
  <si>
    <r>
      <rPr>
        <sz val="10"/>
        <color rgb="FF000000"/>
        <rFont val="Microsoft JhengHei Light"/>
        <family val="2"/>
      </rPr>
      <t>工業製程之直接製程排放及移除
Indutrial processes emissions</t>
    </r>
    <phoneticPr fontId="0" type="noConversion"/>
  </si>
  <si>
    <r>
      <rPr>
        <sz val="10"/>
        <color rgb="FF000000"/>
        <rFont val="Microsoft JhengHei Light"/>
        <family val="2"/>
      </rPr>
      <t>產業過程之直接過程排放與移除。Emissions that are released during the manufacture or processing of materials or chemicals.</t>
    </r>
    <phoneticPr fontId="0" type="noConversion"/>
  </si>
  <si>
    <r>
      <rPr>
        <sz val="10"/>
        <color rgb="FF000000"/>
        <rFont val="Microsoft JhengHei Light"/>
        <family val="2"/>
      </rPr>
      <t>人為系統中溫室氣體釋放產生的直接逸散排放
Fugitive emissions from the release of GHGs in anthropogenic systems</t>
    </r>
    <phoneticPr fontId="0" type="noConversion"/>
  </si>
  <si>
    <r>
      <rPr>
        <sz val="10"/>
        <color rgb="FF000000"/>
        <rFont val="Microsoft JhengHei Light"/>
        <family val="2"/>
      </rPr>
      <t>由人為系統所釋放的溫室氣體產生的直接逸散性排放。Intentional or unintentional GHG releases over the lifetime of equipment operation.</t>
    </r>
    <phoneticPr fontId="0" type="noConversion"/>
  </si>
  <si>
    <r>
      <rPr>
        <sz val="10"/>
        <color rgb="FF000000"/>
        <rFont val="Microsoft JhengHei Light"/>
        <family val="2"/>
      </rPr>
      <t>活動數據用量Activity Data × 排放係數Emission Factor × GWP
設備原始填充量Filling volume×設備逸散率(Emission Factor) × GWP</t>
    </r>
    <phoneticPr fontId="0" type="noConversion"/>
  </si>
  <si>
    <r>
      <rPr>
        <sz val="10"/>
        <color rgb="FF000000"/>
        <rFont val="Microsoft JhengHei Light"/>
        <family val="2"/>
      </rPr>
      <t>土地利用變更和森林 (LULUCF) 的直接排放和移除
Land use, Land use change and forestry(LULUCF) emissions</t>
    </r>
    <phoneticPr fontId="0" type="noConversion"/>
  </si>
  <si>
    <r>
      <rPr>
        <sz val="10"/>
        <color rgb="FF000000"/>
        <rFont val="Microsoft JhengHei Light"/>
        <family val="2"/>
      </rPr>
      <t>涵蓋由 活生質體至土壤內有機物質之所有溫室氣體。依據IPCC，可依據 6 個主要的土地使用類別(林地、農地、牧草地、濕地、居留地、其他土地)，及數個碳儲存庫(地上活生質、地下活生質、 枯木、落葉、土壤有機物質)評估其排放量。Direct emissions and removals from Land use, Land use change and forestry(LULUCF), which covers all GHGs, from living biomass to organic matter in soils. According to IPCC guidelines, emissions can be assessed in six main land-use categories( forest land, cropland, grassland, wetland, settlement, other land) and several carbon reservoirs( living above-ground biomass, living underground biomass, deadwood, leaf litter, soil organic matter).</t>
    </r>
    <phoneticPr fontId="0" type="noConversion"/>
  </si>
  <si>
    <r>
      <rPr>
        <sz val="10"/>
        <color rgb="FF000000"/>
        <rFont val="Microsoft JhengHei Light"/>
        <family val="2"/>
      </rPr>
      <t>類別2：輸入能源之間接GHG排放
Category 2：Indirect GHG emissions from imported energy</t>
    </r>
    <phoneticPr fontId="0" type="noConversion"/>
  </si>
  <si>
    <r>
      <rPr>
        <sz val="10"/>
        <color rgb="FF000000"/>
        <rFont val="Microsoft JhengHei Light"/>
        <family val="2"/>
      </rPr>
      <t>輸入電力的間接排放
Imported Electricity</t>
    </r>
    <phoneticPr fontId="0" type="noConversion"/>
  </si>
  <si>
    <r>
      <rPr>
        <sz val="10"/>
        <color rgb="FF000000"/>
        <rFont val="Microsoft JhengHei Light"/>
        <family val="2"/>
      </rPr>
      <t>所在地基準 Location-based</t>
    </r>
    <phoneticPr fontId="0" type="noConversion"/>
  </si>
  <si>
    <r>
      <rPr>
        <sz val="10"/>
        <color rgb="FF000000"/>
        <rFont val="Microsoft JhengHei Light"/>
        <family val="2"/>
      </rPr>
      <t>市場基準 Market-based</t>
    </r>
    <phoneticPr fontId="0" type="noConversion"/>
  </si>
  <si>
    <r>
      <rPr>
        <sz val="10"/>
        <color rgb="FF000000"/>
        <rFont val="Microsoft JhengHei Light"/>
        <family val="2"/>
      </rPr>
      <t>包含有關組織生產與消耗輸入電力之溫室氣體排放。 Indirect emissions from imported electricity, including GHG emissions related to the production and consumption of electricity imported by the organization.</t>
    </r>
    <phoneticPr fontId="0" type="noConversion"/>
  </si>
  <si>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</si>
  <si>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輸入能源的間接排放
Imported Energy</t>
    </r>
    <phoneticPr fontId="0" type="noConversion"/>
  </si>
  <si>
    <r>
      <rPr>
        <sz val="10"/>
        <color rgb="FF000000"/>
        <rFont val="Microsoft JhengHei Light"/>
        <family val="2"/>
      </rPr>
      <t>包含有關組織透過實體聯網生產所消耗能源(蒸汽、熱能、冷卻及壓縮空氣)之溫室氣體排放，電力之排放除外。 Indirect emissions from imported energy, including GHG emissions related to the production of energy consumed by the organization through a physical network (steam, heating, cooling and compressed air), excluding electricity.
organization.</t>
    </r>
    <phoneticPr fontId="0" type="noConversion"/>
  </si>
  <si>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</si>
  <si>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類別3：運輸造成之間接排放
Category 3：indirect GHG emissions from transportation</t>
    </r>
    <phoneticPr fontId="0" type="noConversion"/>
  </si>
  <si>
    <r>
      <rPr>
        <sz val="10"/>
        <color rgb="FF000000"/>
        <rFont val="Microsoft JhengHei Light"/>
        <family val="2"/>
      </rPr>
      <t>上游運輸和貨物配送產生的排放
Emissions from upstream transport and distribution for goods</t>
    </r>
    <phoneticPr fontId="0" type="noConversion"/>
  </si>
  <si>
    <t>1階供應商至營運據點的產品運輸及配送</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</si>
  <si>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</si>
  <si>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下游運輸和貨物配送產生的排放
Emissions from downstream transport and distribution for goods are emissions from freight services</t>
    </r>
    <phoneticPr fontId="0" type="noConversion"/>
  </si>
  <si>
    <t>銷售產品從公司到終端消費者的運輸及配送</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</si>
  <si>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</si>
  <si>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員工通勤產生的排放
Emissions from employee commuting</t>
    </r>
    <phoneticPr fontId="0" type="noConversion"/>
  </si>
  <si>
    <t>員工從居住點到工作點的運輸</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</si>
  <si>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</si>
  <si>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客戶和訪客運輸產生的排放
Emissions from client and visitor transport</t>
    </r>
    <phoneticPr fontId="0" type="noConversion"/>
  </si>
  <si>
    <r>
      <rPr>
        <sz val="10"/>
        <color rgb="FF000000"/>
        <rFont val="Microsoft JhengHei Light"/>
        <family val="2"/>
      </rPr>
      <t>包括客戶與訪客前往報告公司的工廠，與旅 行相關連的排放。</t>
    </r>
    <phoneticPr fontId="0" type="noConversion"/>
  </si>
  <si>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</si>
  <si>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商務旅行產生的排放
Emissions from business travel</t>
    </r>
    <phoneticPr fontId="0" type="noConversion"/>
  </si>
  <si>
    <t>員工商務相關的運輸</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</si>
  <si>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</si>
  <si>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類別4：組織使用產品造成之間接排放
Category 4：indirect GHG emissions from products used by organization</t>
    </r>
    <phoneticPr fontId="0" type="noConversion"/>
  </si>
  <si>
    <r>
      <rPr>
        <sz val="10"/>
        <color rgb="FF000000"/>
        <rFont val="Microsoft JhengHei Light"/>
        <family val="2"/>
      </rPr>
      <t>源自採購商品的排放
Emissions from purchased goods</t>
    </r>
    <phoneticPr fontId="0" type="noConversion"/>
  </si>
  <si>
    <r>
      <rPr>
        <sz val="10"/>
        <color rgb="FF000000"/>
        <rFont val="Microsoft JhengHei Light"/>
        <family val="2"/>
      </rPr>
      <t>產品和服務的開採、生產及運輸。 Emissions associated with the fabrication of the products.</t>
    </r>
    <phoneticPr fontId="0" type="noConversion"/>
  </si>
  <si>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</si>
  <si>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資本商品的排放
Emissions from capital goods</t>
    </r>
    <phoneticPr fontId="0" type="noConversion"/>
  </si>
  <si>
    <t>資本貨物的開採、生產及運輸</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</si>
  <si>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</si>
  <si>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固體和液體廢棄物處理產生的排放
Emissions from the disposal of solid and liquid waste</t>
    </r>
    <phoneticPr fontId="0" type="noConversion"/>
  </si>
  <si>
    <r>
      <rPr>
        <sz val="10"/>
        <color rgb="FF000000"/>
        <rFont val="Microsoft JhengHei Light"/>
        <family val="2"/>
      </rPr>
      <t>非公司擁有的設施廢棄物處置與處理。 Emissions from the disposal of solid and liquid waste.</t>
    </r>
    <phoneticPr fontId="0" type="noConversion"/>
  </si>
  <si>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</si>
  <si>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租賃設備資產使用造成之排放
Emissions from the use of assets are generated through equipment leased by the reporting organization in the reporting year.</t>
    </r>
    <phoneticPr fontId="0" type="noConversion"/>
  </si>
  <si>
    <t>租賃資產(不屬於scope1及scope2)</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</si>
  <si>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</si>
  <si>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上述子類別中未描述使用服務而產生的排放
Emissions from the use of services that are not described in the above subcategories</t>
    </r>
    <phoneticPr fontId="0" type="noConversion"/>
  </si>
  <si>
    <r>
      <rPr>
        <sz val="10"/>
        <color rgb="FF000000"/>
        <rFont val="Microsoft JhengHei Light"/>
        <family val="2"/>
      </rPr>
      <t>如顧問諮詢、清潔服務…等</t>
    </r>
    <phoneticPr fontId="0" type="noConversion"/>
  </si>
  <si>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</si>
  <si>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類別5：使用來自組織之產品造成的間接排放
Category 5：indirect GHG emissions associated with the use of products from the organization</t>
    </r>
    <phoneticPr fontId="0" type="noConversion"/>
  </si>
  <si>
    <r>
      <rPr>
        <sz val="10"/>
        <color rgb="FF000000"/>
        <rFont val="Microsoft JhengHei Light"/>
        <family val="2"/>
      </rPr>
      <t>產品使用階段的排放或移除
Emissions or removals from the use stage of the product</t>
    </r>
    <phoneticPr fontId="0" type="noConversion"/>
  </si>
  <si>
    <t>賣出產品的使用</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</si>
  <si>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</si>
  <si>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下游租賃資產的排放
Emissions from downstream leased assets</t>
    </r>
    <phoneticPr fontId="0" type="noConversion"/>
  </si>
  <si>
    <t>公司擁有的資產租賃(不屬於scope1及scope2)</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</si>
  <si>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</si>
  <si>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產品生命終期階段的排放
Emissions from end of life stage of the product</t>
    </r>
    <phoneticPr fontId="0" type="noConversion"/>
  </si>
  <si>
    <t>賣出產品的廢棄物處置與處理</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</si>
  <si>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</si>
  <si>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投資產生的排放
Emissions from investments</t>
    </r>
    <phoneticPr fontId="0" type="noConversion"/>
  </si>
  <si>
    <t>投資(不屬於scope1及scope2)</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</si>
  <si>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</si>
  <si>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類別6：其他
Category 6：indirect GHG emissions from other sources</t>
    </r>
    <phoneticPr fontId="0" type="noConversion"/>
  </si>
  <si>
    <r>
      <rPr>
        <sz val="10"/>
        <color rgb="FF000000"/>
        <rFont val="Microsoft JhengHei Light"/>
        <family val="2"/>
      </rPr>
      <t>售出產品之加工
Processing of sold products</t>
    </r>
    <phoneticPr fontId="0" type="noConversion"/>
  </si>
  <si>
    <t>中間產品的製程</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</si>
  <si>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</si>
  <si>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連鎖/特許 經銷
Franchises</t>
    </r>
    <phoneticPr fontId="0" type="noConversion"/>
  </si>
  <si>
    <t>特許經銷商(不屬於scope1及scope2)</t>
  </si>
  <si>
    <r>
      <rPr>
        <sz val="10"/>
        <color rgb="FF000000"/>
        <rFont val="Microsoft JhengHei Light"/>
        <family val="2"/>
      </rPr>
      <t>活動數據用量Activity Data × 排放係數Emission Factor</t>
    </r>
    <phoneticPr fontId="0" type="noConversion"/>
  </si>
  <si>
    <r>
      <rPr>
        <b/>
        <sz val="10"/>
        <color rgb="FF000000"/>
        <rFont val="Microsoft JhengHei Light"/>
        <family val="2"/>
      </rPr>
      <t>合計排放量 Total Emissions (tCO2e)</t>
    </r>
    <phoneticPr fontId="0" type="noConversion"/>
  </si>
  <si>
    <r>
      <rPr>
        <b/>
        <sz val="10"/>
        <color rgb="FF000000"/>
        <rFont val="Microsoft JhengHei Light"/>
        <family val="2"/>
      </rPr>
      <t>所在地基準 Location-based</t>
    </r>
    <phoneticPr fontId="0" type="noConversion"/>
  </si>
  <si>
    <r>
      <rPr>
        <b/>
        <sz val="10"/>
        <color rgb="FF000000"/>
        <rFont val="Microsoft JhengHei Light"/>
        <family val="2"/>
      </rPr>
      <t>市場基準 Market-based</t>
    </r>
    <phoneticPr fontId="0" type="noConversion"/>
  </si>
  <si>
    <r>
      <rPr>
        <b/>
        <sz val="10"/>
        <color rgb="FF000000"/>
        <rFont val="Microsoft JhengHei Light"/>
        <family val="2"/>
      </rPr>
      <t>tCO2e</t>
    </r>
    <phoneticPr fontId="0" type="noConversion"/>
  </si>
  <si>
    <r>
      <rPr>
        <b/>
        <sz val="10"/>
        <color rgb="FF000000"/>
        <rFont val="Microsoft JhengHei Light"/>
        <family val="2"/>
      </rPr>
      <t>七大溫室氣體
Individual Greenhouse Gas Emissions (tCO2e)
Market-based</t>
    </r>
    <phoneticPr fontId="0" type="noConversion"/>
  </si>
  <si>
    <r>
      <rPr>
        <b/>
        <sz val="10"/>
        <color rgb="FF000000"/>
        <rFont val="Microsoft JhengHei Light"/>
        <family val="2"/>
      </rPr>
      <t>CO2</t>
    </r>
    <phoneticPr fontId="0" type="noConversion"/>
  </si>
  <si>
    <r>
      <rPr>
        <b/>
        <sz val="10"/>
        <color rgb="FF000000"/>
        <rFont val="Microsoft JhengHei Light"/>
        <family val="2"/>
      </rPr>
      <t>CH4</t>
    </r>
    <phoneticPr fontId="0" type="noConversion"/>
  </si>
  <si>
    <r>
      <rPr>
        <b/>
        <sz val="10"/>
        <color rgb="FF000000"/>
        <rFont val="Microsoft JhengHei Light"/>
        <family val="2"/>
      </rPr>
      <t>N2O</t>
    </r>
    <phoneticPr fontId="0" type="noConversion"/>
  </si>
  <si>
    <r>
      <rPr>
        <b/>
        <sz val="10"/>
        <color rgb="FF000000"/>
        <rFont val="Microsoft JhengHei Light"/>
        <family val="2"/>
      </rPr>
      <t>合計Sum(t-CO2e)</t>
    </r>
    <phoneticPr fontId="0" type="noConversion"/>
  </si>
  <si>
    <r>
      <rPr>
        <b/>
        <sz val="10"/>
        <color rgb="FF000000"/>
        <rFont val="Microsoft JhengHei Light"/>
        <family val="2"/>
      </rPr>
      <t>類別1七大溫室氣體
Category 1  Greenhouse Gas Emissions (tCO2e)</t>
    </r>
    <phoneticPr fontId="0" type="noConversion"/>
  </si>
  <si>
    <r>
      <rPr>
        <b/>
        <sz val="10"/>
        <color rgb="FF000000"/>
        <rFont val="Microsoft JhengHei Light"/>
        <family val="2"/>
      </rPr>
      <t>CO2</t>
    </r>
    <phoneticPr fontId="0" type="noConversion"/>
  </si>
  <si>
    <r>
      <rPr>
        <b/>
        <sz val="10"/>
        <color rgb="FF000000"/>
        <rFont val="Microsoft JhengHei Light"/>
        <family val="2"/>
      </rPr>
      <t>CH4</t>
    </r>
    <phoneticPr fontId="0" type="noConversion"/>
  </si>
  <si>
    <r>
      <rPr>
        <b/>
        <sz val="10"/>
        <color rgb="FF000000"/>
        <rFont val="Microsoft JhengHei Light"/>
        <family val="2"/>
      </rPr>
      <t>N2O</t>
    </r>
    <phoneticPr fontId="0" type="noConversion"/>
  </si>
  <si>
    <r>
      <rPr>
        <b/>
        <sz val="10"/>
        <color rgb="FF000000"/>
        <rFont val="Microsoft JhengHei Light"/>
        <family val="2"/>
      </rPr>
      <t>合計Sum(t-CO2e)</t>
    </r>
    <phoneticPr fontId="0" type="noConversion"/>
  </si>
  <si>
    <r>
      <rPr>
        <sz val="10"/>
        <color rgb="FF000000"/>
        <rFont val="Microsoft JhengHei Light"/>
        <family val="2"/>
      </rPr>
      <t>陸運距離參考：Land Transportation
  (1)Google map：https://www.google.com.tw/maps/
  (2)百度地圖：https://map.baidu.com/
海運距離參考：Sea Transportation
  (1)http://ports.com/sea-route/
空運距離參考：Air Transportation
  (1)https://www.icao.int/environmental-protection/Carbonoffset/Pages/default.aspx</t>
    </r>
    <phoneticPr fontId="0" type="noConversion"/>
  </si>
  <si>
    <r>
      <rPr>
        <b/>
        <sz val="16"/>
        <color theme="1"/>
        <rFont val="Microsoft JhengHei Light"/>
        <family val="2"/>
      </rPr>
      <t>Summary</t>
    </r>
    <phoneticPr fontId="0" type="noConversion"/>
  </si>
  <si>
    <r>
      <rPr>
        <b/>
        <sz val="10"/>
        <color rgb="FF000000"/>
        <rFont val="Microsoft JhengHei Light"/>
        <family val="2"/>
      </rPr>
      <t>盤查年份（西元）：
Inventory Year</t>
    </r>
    <phoneticPr fontId="0" type="noConversion"/>
  </si>
  <si>
    <r>
      <rPr>
        <b/>
        <sz val="10"/>
        <color rgb="FF000000"/>
        <rFont val="Microsoft JhengHei Light"/>
        <family val="2"/>
      </rPr>
      <t>郵箱：
Email</t>
    </r>
    <phoneticPr fontId="0" type="noConversion"/>
  </si>
  <si>
    <r>
      <rPr>
        <b/>
        <sz val="10"/>
        <color theme="1"/>
        <rFont val="Microsoft JhengHei Light"/>
        <family val="2"/>
      </rPr>
      <t>項目名稱  Emission Sources Type</t>
    </r>
    <phoneticPr fontId="0" type="noConversion"/>
  </si>
  <si>
    <r>
      <rPr>
        <b/>
        <sz val="10"/>
        <color theme="1"/>
        <rFont val="Microsoft JhengHei Light"/>
        <family val="2"/>
      </rPr>
      <t>單位 Unit</t>
    </r>
    <phoneticPr fontId="0" type="noConversion"/>
  </si>
  <si>
    <r>
      <rPr>
        <b/>
        <sz val="10"/>
        <color theme="1"/>
        <rFont val="Microsoft JhengHei Light"/>
        <family val="2"/>
      </rPr>
      <t>From GHG Inventory Form</t>
    </r>
    <phoneticPr fontId="0" type="noConversion"/>
  </si>
  <si>
    <r>
      <rPr>
        <b/>
        <sz val="10"/>
        <color indexed="8"/>
        <rFont val="Microsoft JhengHei Light"/>
        <family val="2"/>
      </rPr>
      <t xml:space="preserve">類別1 Category 1 </t>
    </r>
    <phoneticPr fontId="0" type="noConversion"/>
  </si>
  <si>
    <r>
      <rPr>
        <b/>
        <sz val="10"/>
        <color indexed="8"/>
        <rFont val="Microsoft JhengHei Light"/>
        <family val="2"/>
      </rPr>
      <t>tons CO2e</t>
    </r>
    <phoneticPr fontId="0" type="noConversion"/>
  </si>
  <si>
    <r>
      <rPr>
        <b/>
        <sz val="10"/>
        <color indexed="8"/>
        <rFont val="Microsoft JhengHei Light"/>
        <family val="2"/>
      </rPr>
      <t>固定燃燒直接排放
Stationary Combustion</t>
    </r>
    <phoneticPr fontId="0" type="noConversion"/>
  </si>
  <si>
    <t>tons CO2e</t>
  </si>
  <si>
    <r>
      <rPr>
        <b/>
        <sz val="10"/>
        <color indexed="8"/>
        <rFont val="Microsoft JhengHei Light"/>
        <family val="2"/>
      </rPr>
      <t>移動燃燒直接排放
Mobile Combustion</t>
    </r>
    <phoneticPr fontId="0" type="noConversion"/>
  </si>
  <si>
    <r>
      <rPr>
        <b/>
        <sz val="10"/>
        <color indexed="8"/>
        <rFont val="Microsoft JhengHei Light"/>
        <family val="2"/>
      </rPr>
      <t>工業製程之直接製程排放及移除
Industrial Processes</t>
    </r>
    <phoneticPr fontId="0" type="noConversion"/>
  </si>
  <si>
    <r>
      <rPr>
        <b/>
        <sz val="10"/>
        <color indexed="8"/>
        <rFont val="Microsoft JhengHei Light"/>
        <family val="2"/>
      </rPr>
      <t>逸散排放
Fugitive emission</t>
    </r>
    <phoneticPr fontId="0" type="noConversion"/>
  </si>
  <si>
    <r>
      <rPr>
        <b/>
        <sz val="10"/>
        <color theme="1"/>
        <rFont val="Microsoft JhengHei Light"/>
        <family val="2"/>
      </rPr>
      <t>活動數據
Activity Data</t>
    </r>
    <phoneticPr fontId="0" type="noConversion"/>
  </si>
  <si>
    <r>
      <rPr>
        <b/>
        <sz val="10"/>
        <color rgb="FF000000"/>
        <rFont val="Microsoft JhengHei Light"/>
        <family val="2"/>
      </rPr>
      <t>用於發電的天然氣使用量</t>
    </r>
    <r>
      <rPr>
        <b/>
        <sz val="10"/>
        <color indexed="8"/>
        <rFont val="Microsoft JhengHei Light"/>
        <family val="2"/>
      </rPr>
      <t xml:space="preserve">
</t>
    </r>
    <r>
      <rPr>
        <b/>
        <sz val="10"/>
        <color rgb="FF000000"/>
        <rFont val="Microsoft JhengHei Light"/>
        <family val="2"/>
      </rPr>
      <t>Natural gas-Stationary (Generator)</t>
    </r>
    <phoneticPr fontId="0" type="noConversion"/>
  </si>
  <si>
    <r>
      <rPr>
        <b/>
        <sz val="10"/>
        <color rgb="FF000000"/>
        <rFont val="Microsoft JhengHei Light"/>
        <family val="2"/>
      </rPr>
      <t>用於供熱的天然氣使用量</t>
    </r>
    <r>
      <rPr>
        <b/>
        <sz val="10"/>
        <color indexed="8"/>
        <rFont val="Microsoft JhengHei Light"/>
        <family val="2"/>
      </rPr>
      <t xml:space="preserve">
</t>
    </r>
    <r>
      <rPr>
        <b/>
        <sz val="10"/>
        <color rgb="FF000000"/>
        <rFont val="Microsoft JhengHei Light"/>
        <family val="2"/>
      </rPr>
      <t>Natural gas-Stationary (Heating)</t>
    </r>
    <phoneticPr fontId="0" type="noConversion"/>
  </si>
  <si>
    <r>
      <rPr>
        <b/>
        <sz val="10"/>
        <color rgb="FF000000"/>
        <rFont val="Microsoft JhengHei Light"/>
        <family val="2"/>
      </rPr>
      <t>用於交通工具的天然氣使用量</t>
    </r>
    <r>
      <rPr>
        <b/>
        <sz val="10"/>
        <color indexed="8"/>
        <rFont val="Microsoft JhengHei Light"/>
        <family val="2"/>
      </rPr>
      <t xml:space="preserve">
</t>
    </r>
    <r>
      <rPr>
        <b/>
        <sz val="10"/>
        <color rgb="FF000000"/>
        <rFont val="Microsoft JhengHei Light"/>
        <family val="2"/>
      </rPr>
      <t>Natural gas (Mobile)</t>
    </r>
    <phoneticPr fontId="0" type="noConversion"/>
  </si>
  <si>
    <r>
      <rPr>
        <b/>
        <sz val="10"/>
        <color rgb="FF000000"/>
        <rFont val="Microsoft JhengHei Light"/>
        <family val="2"/>
      </rPr>
      <t>柴油</t>
    </r>
    <r>
      <rPr>
        <b/>
        <sz val="10"/>
        <color indexed="8"/>
        <rFont val="Microsoft JhengHei Light"/>
        <family val="2"/>
      </rPr>
      <t>-</t>
    </r>
    <r>
      <rPr>
        <b/>
        <sz val="10"/>
        <color rgb="FF000000"/>
        <rFont val="Microsoft JhengHei Light"/>
        <family val="2"/>
      </rPr>
      <t xml:space="preserve">固定
</t>
    </r>
    <r>
      <rPr>
        <b/>
        <sz val="10"/>
        <color indexed="8"/>
        <rFont val="Microsoft JhengHei Light"/>
        <family val="2"/>
      </rPr>
      <t>Diesel Stationary</t>
    </r>
    <phoneticPr fontId="0" type="noConversion"/>
  </si>
  <si>
    <r>
      <rPr>
        <b/>
        <sz val="10"/>
        <color indexed="8"/>
        <rFont val="Microsoft JhengHei Light"/>
        <family val="2"/>
      </rPr>
      <t>kL</t>
    </r>
    <phoneticPr fontId="0" type="noConversion"/>
  </si>
  <si>
    <r>
      <rPr>
        <b/>
        <sz val="10"/>
        <color indexed="8"/>
        <rFont val="Microsoft JhengHei Light"/>
        <family val="2"/>
      </rPr>
      <t xml:space="preserve">柴油-移動
</t>
    </r>
    <r>
      <rPr>
        <b/>
        <sz val="10"/>
        <color rgb="FF000000"/>
        <rFont val="Microsoft JhengHei Light"/>
        <family val="2"/>
      </rPr>
      <t>Diesel Mobile</t>
    </r>
    <phoneticPr fontId="0" type="noConversion"/>
  </si>
  <si>
    <r>
      <rPr>
        <b/>
        <sz val="10"/>
        <color indexed="8"/>
        <rFont val="Microsoft JhengHei Light"/>
        <family val="2"/>
      </rPr>
      <t>kL</t>
    </r>
    <phoneticPr fontId="0" type="noConversion"/>
  </si>
  <si>
    <r>
      <rPr>
        <b/>
        <sz val="10"/>
        <color indexed="8"/>
        <rFont val="Microsoft JhengHei Light"/>
        <family val="2"/>
      </rPr>
      <t xml:space="preserve">汽油-固定
</t>
    </r>
    <r>
      <rPr>
        <b/>
        <sz val="10"/>
        <color rgb="FF000000"/>
        <rFont val="Microsoft JhengHei Light"/>
        <family val="2"/>
      </rPr>
      <t>Gasoline</t>
    </r>
    <r>
      <rPr>
        <b/>
        <sz val="10"/>
        <color indexed="8"/>
        <rFont val="Microsoft JhengHei Light"/>
        <family val="2"/>
      </rPr>
      <t xml:space="preserve"> Stationary</t>
    </r>
    <phoneticPr fontId="0" type="noConversion"/>
  </si>
  <si>
    <r>
      <rPr>
        <b/>
        <sz val="10"/>
        <color indexed="8"/>
        <rFont val="Microsoft JhengHei Light"/>
        <family val="2"/>
      </rPr>
      <t>kL</t>
    </r>
    <phoneticPr fontId="0" type="noConversion"/>
  </si>
  <si>
    <r>
      <rPr>
        <b/>
        <sz val="10"/>
        <color indexed="8"/>
        <rFont val="Microsoft JhengHei Light"/>
        <family val="2"/>
      </rPr>
      <t xml:space="preserve">汽油-移動
</t>
    </r>
    <r>
      <rPr>
        <b/>
        <sz val="10"/>
        <color rgb="FF000000"/>
        <rFont val="Microsoft JhengHei Light"/>
        <family val="2"/>
      </rPr>
      <t>Gasoline Mobile</t>
    </r>
    <phoneticPr fontId="0" type="noConversion"/>
  </si>
  <si>
    <r>
      <rPr>
        <b/>
        <sz val="10"/>
        <color indexed="8"/>
        <rFont val="Microsoft JhengHei Light"/>
        <family val="2"/>
      </rPr>
      <t>kL</t>
    </r>
    <phoneticPr fontId="0" type="noConversion"/>
  </si>
  <si>
    <r>
      <rPr>
        <b/>
        <sz val="10"/>
        <color indexed="8"/>
        <rFont val="Microsoft JhengHei Light"/>
        <family val="2"/>
      </rPr>
      <t xml:space="preserve"> 液化石油-供熱
</t>
    </r>
    <r>
      <rPr>
        <b/>
        <sz val="10"/>
        <color rgb="FF000000"/>
        <rFont val="Microsoft JhengHei Light"/>
        <family val="2"/>
      </rPr>
      <t>Liquid Petroleum Gas(Heating)</t>
    </r>
    <phoneticPr fontId="0" type="noConversion"/>
  </si>
  <si>
    <r>
      <rPr>
        <b/>
        <sz val="10"/>
        <color indexed="8"/>
        <rFont val="Microsoft JhengHei Light"/>
        <family val="2"/>
      </rPr>
      <t>kL</t>
    </r>
    <phoneticPr fontId="0" type="noConversion"/>
  </si>
  <si>
    <r>
      <rPr>
        <b/>
        <sz val="10"/>
        <color indexed="8"/>
        <rFont val="Microsoft JhengHei Light"/>
        <family val="2"/>
      </rPr>
      <t xml:space="preserve">液化石油-移動
</t>
    </r>
    <r>
      <rPr>
        <b/>
        <sz val="10"/>
        <color rgb="FF000000"/>
        <rFont val="Microsoft JhengHei Light"/>
        <family val="2"/>
      </rPr>
      <t>Liquid Petroleum Gas (Mobile)</t>
    </r>
    <phoneticPr fontId="0" type="noConversion"/>
  </si>
  <si>
    <r>
      <rPr>
        <b/>
        <sz val="10"/>
        <color indexed="8"/>
        <rFont val="Microsoft JhengHei Light"/>
        <family val="2"/>
      </rPr>
      <t>kL</t>
    </r>
    <phoneticPr fontId="0" type="noConversion"/>
  </si>
  <si>
    <r>
      <rPr>
        <b/>
        <sz val="10"/>
        <color indexed="8"/>
        <rFont val="Microsoft JhengHei Light"/>
        <family val="2"/>
      </rPr>
      <t>類別2 Category 2 (Location-based)</t>
    </r>
    <phoneticPr fontId="0" type="noConversion"/>
  </si>
  <si>
    <r>
      <rPr>
        <b/>
        <sz val="10"/>
        <color indexed="8"/>
        <rFont val="Microsoft JhengHei Light"/>
        <family val="2"/>
      </rPr>
      <t>tons CO2e</t>
    </r>
    <phoneticPr fontId="0" type="noConversion"/>
  </si>
  <si>
    <r>
      <rPr>
        <b/>
        <sz val="10"/>
        <color indexed="8"/>
        <rFont val="Microsoft JhengHei Light"/>
        <family val="2"/>
      </rPr>
      <t>類別2 Category 2 (Market-based)</t>
    </r>
    <phoneticPr fontId="0" type="noConversion"/>
  </si>
  <si>
    <r>
      <rPr>
        <b/>
        <sz val="10"/>
        <color indexed="8"/>
        <rFont val="Microsoft JhengHei Light"/>
        <family val="2"/>
      </rPr>
      <t>tons CO2e</t>
    </r>
    <phoneticPr fontId="0" type="noConversion"/>
  </si>
  <si>
    <r>
      <rPr>
        <b/>
        <sz val="10"/>
        <color theme="1"/>
        <rFont val="Microsoft JhengHei Light"/>
        <family val="2"/>
      </rPr>
      <t>輸入能源的間接排放
Imported Energy</t>
    </r>
    <phoneticPr fontId="0" type="noConversion"/>
  </si>
  <si>
    <r>
      <rPr>
        <b/>
        <sz val="10"/>
        <color indexed="8"/>
        <rFont val="Microsoft JhengHei Light"/>
        <family val="2"/>
      </rPr>
      <t>tons CO2e</t>
    </r>
    <phoneticPr fontId="0" type="noConversion"/>
  </si>
  <si>
    <r>
      <rPr>
        <b/>
        <sz val="12"/>
        <color theme="1"/>
        <rFont val="Microsoft JhengHei Light"/>
        <family val="2"/>
      </rPr>
      <t>活動數據
Activity Data</t>
    </r>
    <phoneticPr fontId="0" type="noConversion"/>
  </si>
  <si>
    <r>
      <rPr>
        <b/>
        <sz val="10"/>
        <color rgb="FF000000"/>
        <rFont val="Microsoft JhengHei Light"/>
        <family val="2"/>
      </rPr>
      <t>外購電力(灰電)
Unspecified purchase from grid</t>
    </r>
    <phoneticPr fontId="0" type="noConversion"/>
  </si>
  <si>
    <r>
      <rPr>
        <b/>
        <sz val="10"/>
        <color indexed="8"/>
        <rFont val="Microsoft JhengHei Light"/>
        <family val="2"/>
      </rPr>
      <t>MWh</t>
    </r>
    <phoneticPr fontId="0" type="noConversion"/>
  </si>
  <si>
    <r>
      <rPr>
        <b/>
        <sz val="10"/>
        <color indexed="8"/>
        <rFont val="Microsoft JhengHei Light"/>
        <family val="2"/>
      </rPr>
      <t>自發自用</t>
    </r>
    <r>
      <rPr>
        <b/>
        <sz val="10"/>
        <color rgb="FF000000"/>
        <rFont val="Microsoft JhengHei Light"/>
        <family val="2"/>
      </rPr>
      <t>-</t>
    </r>
    <r>
      <rPr>
        <b/>
        <sz val="10"/>
        <color indexed="8"/>
        <rFont val="Microsoft JhengHei Light"/>
        <family val="2"/>
      </rPr>
      <t>再生能源電力</t>
    </r>
    <r>
      <rPr>
        <b/>
        <sz val="10"/>
        <color rgb="FF000000"/>
        <rFont val="Microsoft JhengHei Light"/>
        <family val="2"/>
      </rPr>
      <t xml:space="preserve">
Self-generated and consumed Renewable electricity </t>
    </r>
    <phoneticPr fontId="0" type="noConversion"/>
  </si>
  <si>
    <r>
      <rPr>
        <b/>
        <sz val="10"/>
        <color indexed="8"/>
        <rFont val="Microsoft JhengHei Light"/>
        <family val="2"/>
      </rPr>
      <t>MWh</t>
    </r>
    <phoneticPr fontId="0" type="noConversion"/>
  </si>
  <si>
    <r>
      <rPr>
        <b/>
        <sz val="10"/>
        <color indexed="8"/>
        <rFont val="Microsoft JhengHei Light"/>
        <family val="2"/>
      </rPr>
      <t>自發他用</t>
    </r>
    <r>
      <rPr>
        <b/>
        <sz val="10"/>
        <color rgb="FF000000"/>
        <rFont val="Microsoft JhengHei Light"/>
        <family val="2"/>
      </rPr>
      <t>-</t>
    </r>
    <r>
      <rPr>
        <b/>
        <sz val="10"/>
        <color indexed="8"/>
        <rFont val="Microsoft JhengHei Light"/>
        <family val="2"/>
      </rPr>
      <t>自發再生電力並售出</t>
    </r>
    <r>
      <rPr>
        <b/>
        <sz val="10"/>
        <color rgb="FF000000"/>
        <rFont val="Microsoft JhengHei Light"/>
        <family val="2"/>
      </rPr>
      <t xml:space="preserve">
Self generated but sold renewable electricity</t>
    </r>
    <phoneticPr fontId="0" type="noConversion"/>
  </si>
  <si>
    <r>
      <rPr>
        <b/>
        <sz val="10"/>
        <color rgb="FF000000"/>
        <rFont val="Microsoft JhengHei Light"/>
        <family val="2"/>
      </rPr>
      <t>MWh</t>
    </r>
    <phoneticPr fontId="0" type="noConversion"/>
  </si>
  <si>
    <r>
      <rPr>
        <b/>
        <sz val="10"/>
        <color indexed="8"/>
        <rFont val="Microsoft JhengHei Light"/>
        <family val="2"/>
      </rPr>
      <t>轉供</t>
    </r>
    <r>
      <rPr>
        <b/>
        <sz val="10"/>
        <color rgb="FF000000"/>
        <rFont val="Microsoft JhengHei Light"/>
        <family val="2"/>
      </rPr>
      <t>-</t>
    </r>
    <r>
      <rPr>
        <b/>
        <sz val="10"/>
        <color indexed="8"/>
        <rFont val="Microsoft JhengHei Light"/>
        <family val="2"/>
      </rPr>
      <t>再生能源電力</t>
    </r>
    <r>
      <rPr>
        <b/>
        <sz val="10"/>
        <color rgb="FF000000"/>
        <rFont val="Microsoft JhengHei Light"/>
        <family val="2"/>
      </rPr>
      <t xml:space="preserve">
Specified renewable electricity purchase through power procurement agreement (PPA) from grid</t>
    </r>
    <phoneticPr fontId="0" type="noConversion"/>
  </si>
  <si>
    <r>
      <rPr>
        <b/>
        <sz val="10"/>
        <color rgb="FF000000"/>
        <rFont val="Microsoft JhengHei Light"/>
        <family val="2"/>
      </rPr>
      <t>MWh</t>
    </r>
    <phoneticPr fontId="0" type="noConversion"/>
  </si>
  <si>
    <r>
      <rPr>
        <b/>
        <sz val="10"/>
        <color indexed="8"/>
        <rFont val="Microsoft JhengHei Light"/>
        <family val="2"/>
      </rPr>
      <t>轉供</t>
    </r>
    <r>
      <rPr>
        <b/>
        <sz val="10"/>
        <color rgb="FF000000"/>
        <rFont val="Microsoft JhengHei Light"/>
        <family val="2"/>
      </rPr>
      <t>-</t>
    </r>
    <r>
      <rPr>
        <b/>
        <sz val="10"/>
        <color indexed="8"/>
        <rFont val="Microsoft JhengHei Light"/>
        <family val="2"/>
      </rPr>
      <t>綠色電力產品</t>
    </r>
    <r>
      <rPr>
        <b/>
        <sz val="10"/>
        <color rgb="FF000000"/>
        <rFont val="Microsoft JhengHei Light"/>
        <family val="2"/>
      </rPr>
      <t xml:space="preserve">
Green Electricity Products</t>
    </r>
    <phoneticPr fontId="0" type="noConversion"/>
  </si>
  <si>
    <r>
      <rPr>
        <b/>
        <sz val="10"/>
        <color rgb="FF000000"/>
        <rFont val="Microsoft JhengHei Light"/>
        <family val="2"/>
      </rPr>
      <t>MWh</t>
    </r>
    <phoneticPr fontId="0" type="noConversion"/>
  </si>
  <si>
    <r>
      <rPr>
        <b/>
        <sz val="10"/>
        <color rgb="FF000000"/>
        <rFont val="Microsoft JhengHei Light"/>
        <family val="2"/>
      </rPr>
      <t>直供</t>
    </r>
    <r>
      <rPr>
        <b/>
        <sz val="10"/>
        <color indexed="8"/>
        <rFont val="Microsoft JhengHei Light"/>
        <family val="2"/>
      </rPr>
      <t>-</t>
    </r>
    <r>
      <rPr>
        <b/>
        <sz val="10"/>
        <color rgb="FF000000"/>
        <rFont val="Microsoft JhengHei Light"/>
        <family val="2"/>
      </rPr>
      <t>再生能源電力</t>
    </r>
    <r>
      <rPr>
        <b/>
        <sz val="10"/>
        <color indexed="8"/>
        <rFont val="Microsoft JhengHei Light"/>
        <family val="2"/>
      </rPr>
      <t xml:space="preserve">
Specified renewable electricity purchase through direct access from generator</t>
    </r>
    <phoneticPr fontId="0" type="noConversion"/>
  </si>
  <si>
    <r>
      <rPr>
        <b/>
        <sz val="10"/>
        <color rgb="FF000000"/>
        <rFont val="Microsoft JhengHei Light"/>
        <family val="2"/>
      </rPr>
      <t>MWh</t>
    </r>
    <phoneticPr fontId="0" type="noConversion"/>
  </si>
  <si>
    <r>
      <rPr>
        <b/>
        <sz val="10"/>
        <color indexed="8"/>
        <rFont val="Microsoft JhengHei Light"/>
        <family val="2"/>
      </rPr>
      <t>購買之REC or I-REC(非自發自用申請之憑證)
Unbundled EAC purchase (REC or I-REC)</t>
    </r>
    <phoneticPr fontId="0" type="noConversion"/>
  </si>
  <si>
    <r>
      <rPr>
        <b/>
        <sz val="10"/>
        <color rgb="FF000000"/>
        <rFont val="Microsoft JhengHei Light"/>
        <family val="2"/>
      </rPr>
      <t>MWh</t>
    </r>
    <phoneticPr fontId="0" type="noConversion"/>
  </si>
  <si>
    <r>
      <rPr>
        <b/>
        <sz val="10"/>
        <color indexed="8"/>
        <rFont val="Microsoft JhengHei Light"/>
        <family val="2"/>
      </rPr>
      <t>總用電量
Total consumption electricity</t>
    </r>
    <phoneticPr fontId="0" type="noConversion"/>
  </si>
  <si>
    <r>
      <rPr>
        <b/>
        <sz val="10"/>
        <color indexed="8"/>
        <rFont val="Microsoft JhengHei Light"/>
        <family val="2"/>
      </rPr>
      <t>MWh</t>
    </r>
    <phoneticPr fontId="0" type="noConversion"/>
  </si>
  <si>
    <r>
      <rPr>
        <b/>
        <sz val="10"/>
        <color indexed="8"/>
        <rFont val="Microsoft JhengHei Light"/>
        <family val="2"/>
      </rPr>
      <t>類別4 Category 4</t>
    </r>
    <phoneticPr fontId="0" type="noConversion"/>
  </si>
  <si>
    <r>
      <rPr>
        <b/>
        <sz val="10"/>
        <color indexed="8"/>
        <rFont val="Microsoft JhengHei Light"/>
        <family val="2"/>
      </rPr>
      <t>tons CO2e</t>
    </r>
    <phoneticPr fontId="0" type="noConversion"/>
  </si>
  <si>
    <r>
      <rPr>
        <b/>
        <sz val="10"/>
        <color theme="1"/>
        <rFont val="微軟正黑體"/>
        <family val="2"/>
      </rPr>
      <t>源自採購商品的排放</t>
    </r>
    <r>
      <rPr>
        <b/>
        <sz val="10"/>
        <color theme="1"/>
        <rFont val="Arial"/>
        <family val="2"/>
      </rPr>
      <t xml:space="preserve">
Emissions from purchased goods</t>
    </r>
    <phoneticPr fontId="0" type="noConversion"/>
  </si>
  <si>
    <r>
      <rPr>
        <b/>
        <sz val="10"/>
        <color indexed="8"/>
        <rFont val="Microsoft JhengHei Light"/>
        <family val="2"/>
      </rPr>
      <t>tons CO2e</t>
    </r>
    <phoneticPr fontId="0" type="noConversion"/>
  </si>
  <si>
    <r>
      <rPr>
        <b/>
        <sz val="10"/>
        <color theme="1"/>
        <rFont val="Microsoft JhengHei Light"/>
        <family val="2"/>
      </rPr>
      <t>固體和液體廢棄物處理產生的排放
Emissions from the disposal of solid and liquid waste</t>
    </r>
    <phoneticPr fontId="0" type="noConversion"/>
  </si>
  <si>
    <r>
      <rPr>
        <b/>
        <sz val="10"/>
        <color indexed="8"/>
        <rFont val="Microsoft JhengHei Light"/>
        <family val="2"/>
      </rPr>
      <t>tons CO2e</t>
    </r>
    <phoneticPr fontId="0" type="noConversion"/>
  </si>
  <si>
    <r>
      <rPr>
        <b/>
        <sz val="10"/>
        <color theme="1"/>
        <rFont val="Microsoft JhengHei Light"/>
        <family val="2"/>
      </rPr>
      <t>活動數據
Activity Data</t>
    </r>
    <phoneticPr fontId="0" type="noConversion"/>
  </si>
  <si>
    <r>
      <rPr>
        <b/>
        <sz val="10"/>
        <color theme="1"/>
        <rFont val="Microsoft JhengHei Light"/>
        <family val="2"/>
      </rPr>
      <t>取水量
Tap water</t>
    </r>
    <phoneticPr fontId="0" type="noConversion"/>
  </si>
  <si>
    <r>
      <rPr>
        <b/>
        <sz val="10"/>
        <color theme="1"/>
        <rFont val="Microsoft JhengHei Light"/>
        <family val="2"/>
      </rPr>
      <t>工業廢水處理
Emissions from the disposal of solid and liquid waste -from Industrial Wastewater</t>
    </r>
    <phoneticPr fontId="0" type="noConversion"/>
  </si>
  <si>
    <r>
      <rPr>
        <b/>
        <sz val="10"/>
        <color theme="1"/>
        <rFont val="Microsoft JhengHei Light"/>
        <family val="2"/>
      </rPr>
      <t>生活污水廢理
Emissions from the disposal of solid and liquid waste -from sewage</t>
    </r>
    <phoneticPr fontId="0" type="noConversion"/>
  </si>
  <si>
    <r>
      <rPr>
        <b/>
        <sz val="10"/>
        <color theme="1"/>
        <rFont val="Microsoft JhengHei Light"/>
        <family val="2"/>
      </rPr>
      <t>一般事業廢棄物-焚化發電
Emissions from the disposal of solid and liquid waste - electricity from incinerator (General Waste)</t>
    </r>
    <phoneticPr fontId="0" type="noConversion"/>
  </si>
  <si>
    <r>
      <rPr>
        <b/>
        <sz val="10"/>
        <color theme="1"/>
        <rFont val="Microsoft JhengHei Light"/>
        <family val="2"/>
      </rPr>
      <t>一般事業廢棄物-焚化
Emissions from the disposal of solid and liquid waste - from the incinerator  (General Waste)</t>
    </r>
    <phoneticPr fontId="0" type="noConversion"/>
  </si>
  <si>
    <r>
      <rPr>
        <b/>
        <sz val="10"/>
        <color theme="1"/>
        <rFont val="Microsoft JhengHei Light"/>
        <family val="2"/>
      </rPr>
      <t>一般事業廢棄物-掩埋
Emissions from the disposal of solid and liquid waste - from the Landfill  (General Waste)</t>
    </r>
    <phoneticPr fontId="0" type="noConversion"/>
  </si>
  <si>
    <r>
      <rPr>
        <b/>
        <sz val="10"/>
        <color theme="1"/>
        <rFont val="Microsoft JhengHei Light"/>
        <family val="2"/>
      </rPr>
      <t>一般事業廢棄物-再利用
Emissions from the disposal of solid and liquid waste - from the Reuse (General Waste)</t>
    </r>
    <phoneticPr fontId="0" type="noConversion"/>
  </si>
  <si>
    <r>
      <rPr>
        <b/>
        <sz val="10"/>
        <color theme="1"/>
        <rFont val="Microsoft JhengHei Light"/>
        <family val="2"/>
      </rPr>
      <t>有害事業廢棄物-焚化發電
Emissions from the disposal of solid and liquid waste - electricity from incinerator (Hazardous waste)</t>
    </r>
    <phoneticPr fontId="0" type="noConversion"/>
  </si>
  <si>
    <r>
      <rPr>
        <b/>
        <sz val="10"/>
        <color theme="1"/>
        <rFont val="Microsoft JhengHei Light"/>
        <family val="2"/>
      </rPr>
      <t>有害事業廢棄物-焚化
Emissions from the disposal of solid and liquid waste - from the incinerator  (Hazardous waste)</t>
    </r>
    <phoneticPr fontId="0" type="noConversion"/>
  </si>
  <si>
    <r>
      <rPr>
        <b/>
        <sz val="10"/>
        <color theme="1"/>
        <rFont val="Microsoft JhengHei Light"/>
        <family val="2"/>
      </rPr>
      <t>有害事業廢棄物-掩埋
Emissions from the disposal of solid and liquid waste - from the Landfill  (Hazardous waste)</t>
    </r>
    <phoneticPr fontId="0" type="noConversion"/>
  </si>
  <si>
    <r>
      <rPr>
        <b/>
        <sz val="10"/>
        <color theme="1"/>
        <rFont val="Microsoft JhengHei Light"/>
        <family val="2"/>
      </rPr>
      <t>有害事業廢棄物-再利用
Emissions from the disposal of solid and liquid waste - from the Reuse (Hazardous waste)</t>
    </r>
    <phoneticPr fontId="0" type="noConversion"/>
  </si>
  <si>
    <r>
      <rPr>
        <b/>
        <sz val="10"/>
        <color theme="1"/>
        <rFont val="Microsoft JhengHei Light"/>
        <family val="2"/>
      </rPr>
      <t>溫室氣體排放量 
Individual GHG Emissions</t>
    </r>
    <phoneticPr fontId="0" type="noConversion"/>
  </si>
  <si>
    <r>
      <rPr>
        <b/>
        <sz val="10"/>
        <color indexed="8"/>
        <rFont val="Microsoft JhengHei Light"/>
        <family val="2"/>
      </rPr>
      <t>CO2-scope1</t>
    </r>
    <phoneticPr fontId="0" type="noConversion"/>
  </si>
  <si>
    <r>
      <rPr>
        <b/>
        <sz val="10"/>
        <color indexed="8"/>
        <rFont val="Microsoft JhengHei Light"/>
        <family val="2"/>
      </rPr>
      <t>CO2-scope2 market-based</t>
    </r>
    <phoneticPr fontId="0" type="noConversion"/>
  </si>
  <si>
    <r>
      <rPr>
        <b/>
        <sz val="10"/>
        <color indexed="8"/>
        <rFont val="Microsoft JhengHei Light"/>
        <family val="2"/>
      </rPr>
      <t>CH4-scope1</t>
    </r>
    <phoneticPr fontId="0" type="noConversion"/>
  </si>
  <si>
    <r>
      <rPr>
        <b/>
        <sz val="10"/>
        <color indexed="8"/>
        <rFont val="Microsoft JhengHei Light"/>
        <family val="2"/>
      </rPr>
      <t>N2O-scope1</t>
    </r>
    <phoneticPr fontId="0" type="noConversion"/>
  </si>
  <si>
    <r>
      <rPr>
        <b/>
        <sz val="10"/>
        <color indexed="8"/>
        <rFont val="Microsoft JhengHei Light"/>
        <family val="2"/>
      </rPr>
      <t>HFCs-scope1</t>
    </r>
    <phoneticPr fontId="0" type="noConversion"/>
  </si>
  <si>
    <r>
      <rPr>
        <b/>
        <sz val="10"/>
        <color indexed="8"/>
        <rFont val="Microsoft JhengHei Light"/>
        <family val="2"/>
      </rPr>
      <t>PFCs-scope1</t>
    </r>
    <phoneticPr fontId="0" type="noConversion"/>
  </si>
  <si>
    <r>
      <rPr>
        <b/>
        <sz val="10"/>
        <color indexed="8"/>
        <rFont val="Microsoft JhengHei Light"/>
        <family val="2"/>
      </rPr>
      <t>SF6-scope1</t>
    </r>
    <phoneticPr fontId="0" type="noConversion"/>
  </si>
  <si>
    <r>
      <rPr>
        <b/>
        <sz val="10"/>
        <color indexed="8"/>
        <rFont val="Microsoft JhengHei Light"/>
        <family val="2"/>
      </rPr>
      <t>NF3-scope1</t>
    </r>
    <phoneticPr fontId="0" type="noConversion"/>
  </si>
  <si>
    <t>-</t>
  </si>
  <si>
    <r>
      <rPr>
        <sz val="10"/>
        <color rgb="FF000000"/>
        <rFont val="Microsoft JhengHei Light"/>
        <family val="2"/>
      </rPr>
      <t>區域Region</t>
    </r>
    <phoneticPr fontId="0" type="noConversion"/>
  </si>
  <si>
    <r>
      <rPr>
        <sz val="10"/>
        <color rgb="FF000000"/>
        <rFont val="Microsoft JhengHei Light"/>
        <family val="2"/>
      </rPr>
      <t>國家別Country</t>
    </r>
    <phoneticPr fontId="0" type="noConversion"/>
  </si>
  <si>
    <r>
      <rPr>
        <sz val="10"/>
        <color rgb="FF000000"/>
        <rFont val="Microsoft JhengHei Light"/>
        <family val="2"/>
      </rPr>
      <t>排放源名稱Emission Source</t>
    </r>
    <phoneticPr fontId="0" type="noConversion"/>
  </si>
  <si>
    <r>
      <rPr>
        <sz val="10"/>
        <color rgb="FF000000"/>
        <rFont val="Microsoft JhengHei Light"/>
        <family val="2"/>
      </rPr>
      <t>CO2係數</t>
    </r>
    <phoneticPr fontId="0" type="noConversion"/>
  </si>
  <si>
    <r>
      <rPr>
        <sz val="10"/>
        <color rgb="FF000000"/>
        <rFont val="Microsoft JhengHei Light"/>
        <family val="2"/>
      </rPr>
      <t>CO2係數單位</t>
    </r>
    <phoneticPr fontId="0" type="noConversion"/>
  </si>
  <si>
    <r>
      <rPr>
        <sz val="10"/>
        <color rgb="FF000000"/>
        <rFont val="Microsoft JhengHei Light"/>
        <family val="2"/>
      </rPr>
      <t>CH4係數</t>
    </r>
    <phoneticPr fontId="0" type="noConversion"/>
  </si>
  <si>
    <r>
      <rPr>
        <sz val="10"/>
        <color rgb="FF000000"/>
        <rFont val="Microsoft JhengHei Light"/>
        <family val="2"/>
      </rPr>
      <t>CH4係數單位</t>
    </r>
    <phoneticPr fontId="0" type="noConversion"/>
  </si>
  <si>
    <r>
      <rPr>
        <sz val="10"/>
        <color rgb="FF000000"/>
        <rFont val="Microsoft JhengHei Light"/>
        <family val="2"/>
      </rPr>
      <t>N2O係數</t>
    </r>
    <phoneticPr fontId="0" type="noConversion"/>
  </si>
  <si>
    <r>
      <rPr>
        <sz val="10"/>
        <color rgb="FF000000"/>
        <rFont val="Microsoft JhengHei Light"/>
        <family val="2"/>
      </rPr>
      <t>N2O係數單位</t>
    </r>
    <phoneticPr fontId="0" type="noConversion"/>
  </si>
  <si>
    <r>
      <rPr>
        <sz val="10"/>
        <color rgb="FF000000"/>
        <rFont val="Microsoft JhengHei Light"/>
        <family val="2"/>
      </rPr>
      <t>HFCs係數</t>
    </r>
    <phoneticPr fontId="0" type="noConversion"/>
  </si>
  <si>
    <r>
      <rPr>
        <sz val="10"/>
        <color rgb="FF000000"/>
        <rFont val="Microsoft JhengHei Light"/>
        <family val="2"/>
      </rPr>
      <t>HFCs係數單位</t>
    </r>
    <phoneticPr fontId="0" type="noConversion"/>
  </si>
  <si>
    <r>
      <rPr>
        <sz val="10"/>
        <color rgb="FF000000"/>
        <rFont val="Microsoft JhengHei Light"/>
        <family val="2"/>
      </rPr>
      <t>PFCs係數</t>
    </r>
    <phoneticPr fontId="0" type="noConversion"/>
  </si>
  <si>
    <r>
      <rPr>
        <sz val="10"/>
        <color rgb="FF000000"/>
        <rFont val="Microsoft JhengHei Light"/>
        <family val="2"/>
      </rPr>
      <t>PFCs係數單位</t>
    </r>
    <phoneticPr fontId="0" type="noConversion"/>
  </si>
  <si>
    <r>
      <rPr>
        <sz val="10"/>
        <color rgb="FF000000"/>
        <rFont val="Microsoft JhengHei Light"/>
        <family val="2"/>
      </rPr>
      <t>SF6係數</t>
    </r>
    <phoneticPr fontId="0" type="noConversion"/>
  </si>
  <si>
    <r>
      <rPr>
        <sz val="10"/>
        <color rgb="FF000000"/>
        <rFont val="Microsoft JhengHei Light"/>
        <family val="2"/>
      </rPr>
      <t>SF6係數單位Factor Unit</t>
    </r>
    <phoneticPr fontId="0" type="noConversion"/>
  </si>
  <si>
    <r>
      <rPr>
        <sz val="10"/>
        <color rgb="FF000000"/>
        <rFont val="Microsoft JhengHei Light"/>
        <family val="2"/>
      </rPr>
      <t>NF3係數Factor Unit</t>
    </r>
    <phoneticPr fontId="0" type="noConversion"/>
  </si>
  <si>
    <r>
      <rPr>
        <sz val="10"/>
        <color rgb="FF000000"/>
        <rFont val="Microsoft JhengHei Light"/>
        <family val="2"/>
      </rPr>
      <t>NF3係數單位</t>
    </r>
    <phoneticPr fontId="0" type="noConversion"/>
  </si>
  <si>
    <r>
      <rPr>
        <sz val="10"/>
        <color rgb="FF000000"/>
        <rFont val="Microsoft JhengHei Light"/>
        <family val="2"/>
      </rPr>
      <t>預設活數數據單位</t>
    </r>
    <phoneticPr fontId="0" type="noConversion"/>
  </si>
  <si>
    <r>
      <rPr>
        <sz val="10"/>
        <color rgb="FF000000"/>
        <rFont val="Microsoft JhengHei Light"/>
        <family val="2"/>
      </rPr>
      <t>係數來源Reference</t>
    </r>
    <phoneticPr fontId="0" type="noConversion"/>
  </si>
  <si>
    <r>
      <rPr>
        <sz val="10"/>
        <color rgb="FF000000"/>
        <rFont val="Microsoft JhengHei Light"/>
        <family val="2"/>
      </rPr>
      <t>係數年份Year</t>
    </r>
    <phoneticPr fontId="0" type="noConversion"/>
  </si>
  <si>
    <r>
      <rPr>
        <sz val="10"/>
        <color rgb="FF000000"/>
        <rFont val="Microsoft JhengHei Light"/>
        <family val="2"/>
      </rPr>
      <t>熱值Caloric Value</t>
    </r>
    <phoneticPr fontId="0" type="noConversion"/>
  </si>
  <si>
    <t>Asia</t>
  </si>
  <si>
    <r>
      <rPr>
        <sz val="12"/>
        <color rgb="FF000000"/>
        <rFont val="Microsoft JhengHei Light"/>
        <family val="2"/>
      </rPr>
      <t>柴油Diesel Oil</t>
    </r>
    <phoneticPr fontId="0" type="noConversion"/>
  </si>
  <si>
    <t>KgCO2/L</t>
  </si>
  <si>
    <t>KgCH4/L</t>
  </si>
  <si>
    <t>KgN2O/L</t>
  </si>
  <si>
    <r>
      <rPr>
        <sz val="12"/>
        <color rgb="FF000000"/>
        <rFont val="Microsoft JhengHei Light"/>
        <family val="2"/>
      </rPr>
      <t>環保署排放係管理表6.0.4Taiwan EPA GHG coefficient table 6.0.4</t>
    </r>
    <phoneticPr fontId="0" type="noConversion"/>
  </si>
  <si>
    <r>
      <rPr>
        <sz val="12"/>
        <color rgb="FF000000"/>
        <rFont val="Microsoft JhengHei Light"/>
        <family val="2"/>
      </rPr>
      <t>環保署排放係管理表6.0.4Taiwan EPA GHG coefficient table 6.0.4</t>
    </r>
    <phoneticPr fontId="0" type="noConversion"/>
  </si>
  <si>
    <t>蒸餘油 (燃料油)Residual Fuel Oil</t>
  </si>
  <si>
    <r>
      <rPr>
        <sz val="12"/>
        <color rgb="FF000000"/>
        <rFont val="Microsoft JhengHei Light"/>
        <family val="2"/>
      </rPr>
      <t>環保署排放係管理表6.0.4Taiwan EPA GHG coefficient table 6.0.4</t>
    </r>
    <phoneticPr fontId="0" type="noConversion"/>
  </si>
  <si>
    <r>
      <rPr>
        <sz val="12"/>
        <color rgb="FF000000"/>
        <rFont val="Microsoft JhengHei Light"/>
        <family val="2"/>
      </rPr>
      <t>環保署排放係管理表6.0.4Taiwan EPA GHG coefficient table 6.0.4</t>
    </r>
    <phoneticPr fontId="0" type="noConversion"/>
  </si>
  <si>
    <t>液化石油氣(重量)Liquefied Petroleum Gases (LPG)(Weight)</t>
  </si>
  <si>
    <t>KgCO2/Kg</t>
  </si>
  <si>
    <t>KgCH4/kg</t>
  </si>
  <si>
    <t>KgN2O/kg</t>
  </si>
  <si>
    <t>Ton</t>
  </si>
  <si>
    <r>
      <rPr>
        <sz val="12"/>
        <color rgb="FF000000"/>
        <rFont val="Microsoft JhengHei Light"/>
        <family val="2"/>
      </rPr>
      <t>環保署排放係管理表6.0.4+密度換算Taiwan EPA GHG coefficient table 6.0.4&amp;Density conversion</t>
    </r>
    <phoneticPr fontId="0" type="noConversion"/>
  </si>
  <si>
    <t>乙烷Ethane</t>
  </si>
  <si>
    <r>
      <rPr>
        <sz val="12"/>
        <color rgb="FF000000"/>
        <rFont val="Microsoft JhengHei Light"/>
        <family val="2"/>
      </rPr>
      <t>環保署排放係管理表6.0.4Taiwan EPA GHG coefficient table 6.0.4</t>
    </r>
    <phoneticPr fontId="0" type="noConversion"/>
  </si>
  <si>
    <t>KgCO2/M3</t>
  </si>
  <si>
    <t>KgCH4/M3</t>
  </si>
  <si>
    <t>KgN2O/M3</t>
  </si>
  <si>
    <r>
      <rPr>
        <sz val="12"/>
        <color rgb="FF000000"/>
        <rFont val="Microsoft JhengHei Light"/>
        <family val="2"/>
      </rPr>
      <t>環保署排放係管理表6.0.4Taiwan EPA GHG coefficient table 6.0.4</t>
    </r>
    <phoneticPr fontId="0" type="noConversion"/>
  </si>
  <si>
    <t>航空汽油(移動源)Aviation Gasoline (Jet Gasoline)(Mobile combustion emissions)</t>
  </si>
  <si>
    <r>
      <rPr>
        <sz val="12"/>
        <color rgb="FF000000"/>
        <rFont val="Microsoft JhengHei Light"/>
        <family val="2"/>
      </rPr>
      <t>環保署排放係管理表6.0.4Taiwan EPA GHG coefficient table 6.0.4</t>
    </r>
    <phoneticPr fontId="0" type="noConversion"/>
  </si>
  <si>
    <t>航空燃油(移動源)Jet Kerosene(Mobile combustion emissions)</t>
  </si>
  <si>
    <r>
      <rPr>
        <sz val="12"/>
        <color rgb="FF000000"/>
        <rFont val="Microsoft JhengHei Light"/>
        <family val="2"/>
      </rPr>
      <t>環保署排放係管理表6.0.4Taiwan EPA GHG coefficient table 6.0.4</t>
    </r>
    <phoneticPr fontId="0" type="noConversion"/>
  </si>
  <si>
    <r>
      <rPr>
        <sz val="12"/>
        <color rgb="FF000000"/>
        <rFont val="Microsoft JhengHei Light"/>
        <family val="2"/>
      </rPr>
      <t>環保署排放係管理表6.0.4Taiwan EPA GHG coefficient table 6.0.4</t>
    </r>
    <phoneticPr fontId="0" type="noConversion"/>
  </si>
  <si>
    <r>
      <rPr>
        <sz val="12"/>
        <color rgb="FF000000"/>
        <rFont val="Microsoft JhengHei Light"/>
        <family val="2"/>
      </rPr>
      <t>柴油(移動源)Diesel Oil(Mobile combustion emissions)</t>
    </r>
    <phoneticPr fontId="0" type="noConversion"/>
  </si>
  <si>
    <r>
      <rPr>
        <sz val="12"/>
        <color rgb="FF000000"/>
        <rFont val="Microsoft JhengHei Light"/>
        <family val="2"/>
      </rPr>
      <t>環保署排放係管理表6.0.4Taiwan EPA GHG coefficient table 6.0.4</t>
    </r>
    <phoneticPr fontId="0" type="noConversion"/>
  </si>
  <si>
    <t>煤油(移動源)Kerosene(Mobile combustion emissions)</t>
  </si>
  <si>
    <r>
      <rPr>
        <sz val="12"/>
        <color rgb="FF000000"/>
        <rFont val="Microsoft JhengHei Light"/>
        <family val="2"/>
      </rPr>
      <t>環保署排放係管理表6.0.4Taiwan EPA GHG coefficient table 6.0.4</t>
    </r>
    <phoneticPr fontId="0" type="noConversion"/>
  </si>
  <si>
    <t>潤滑油(移動源)Lubricants(Mobile combustion emissions)</t>
  </si>
  <si>
    <r>
      <rPr>
        <sz val="12"/>
        <color rgb="FF000000"/>
        <rFont val="Microsoft JhengHei Light"/>
        <family val="2"/>
      </rPr>
      <t>環保署排放係管理表6.0.4Taiwan EPA GHG coefficient table 6.0.4</t>
    </r>
    <phoneticPr fontId="0" type="noConversion"/>
  </si>
  <si>
    <t>液化石油氣(移動源)Liquefied Petroleum Gases (LPG)(Mobile combustion emissions)</t>
  </si>
  <si>
    <r>
      <rPr>
        <sz val="12"/>
        <color rgb="FF000000"/>
        <rFont val="Microsoft JhengHei Light"/>
        <family val="2"/>
      </rPr>
      <t>環保署排放係管理表6.0.4Taiwan EPA GHG coefficient table 6.0.4</t>
    </r>
    <phoneticPr fontId="0" type="noConversion"/>
  </si>
  <si>
    <t>液化天然氣(移動源)Liquefied Natural Gas (LNG)(Mobile combustion emissions)</t>
  </si>
  <si>
    <r>
      <rPr>
        <sz val="12"/>
        <color rgb="FF000000"/>
        <rFont val="Microsoft JhengHei Light"/>
        <family val="2"/>
      </rPr>
      <t>環保署排放係管理表6.0.4Taiwan EPA GHG coefficient table 6.0.4</t>
    </r>
    <phoneticPr fontId="0" type="noConversion"/>
  </si>
  <si>
    <t>自產煤Other Bituminous Coal</t>
  </si>
  <si>
    <t>KgCH4/Kg</t>
  </si>
  <si>
    <t>KgN2O/Kg</t>
  </si>
  <si>
    <r>
      <rPr>
        <sz val="12"/>
        <color rgb="FF000000"/>
        <rFont val="Microsoft JhengHei Light"/>
        <family val="2"/>
      </rPr>
      <t>環保署排放係管理表6.0.4Taiwan EPA GHG coefficient table 6.0.4</t>
    </r>
    <phoneticPr fontId="0" type="noConversion"/>
  </si>
  <si>
    <t>原料煤Other Bituminous Coal</t>
  </si>
  <si>
    <r>
      <rPr>
        <sz val="12"/>
        <color rgb="FF000000"/>
        <rFont val="Microsoft JhengHei Light"/>
        <family val="2"/>
      </rPr>
      <t>環保署排放係管理表6.0.4Taiwan EPA GHG coefficient table 6.0.4</t>
    </r>
    <phoneticPr fontId="0" type="noConversion"/>
  </si>
  <si>
    <t>燃料煤Other Bituminous Coal</t>
  </si>
  <si>
    <r>
      <rPr>
        <sz val="12"/>
        <color rgb="FF000000"/>
        <rFont val="Microsoft JhengHei Light"/>
        <family val="2"/>
      </rPr>
      <t>環保署排放係管理表6.0.4Taiwan EPA GHG coefficient table 6.0.4</t>
    </r>
    <phoneticPr fontId="0" type="noConversion"/>
  </si>
  <si>
    <t>無煙煤Anthracite</t>
  </si>
  <si>
    <r>
      <rPr>
        <sz val="12"/>
        <color rgb="FF000000"/>
        <rFont val="Microsoft JhengHei Light"/>
        <family val="2"/>
      </rPr>
      <t>環保署排放係管理表6.0.4Taiwan EPA GHG coefficient table 6.0.4</t>
    </r>
    <phoneticPr fontId="0" type="noConversion"/>
  </si>
  <si>
    <t>焦煤Coking Coal</t>
  </si>
  <si>
    <r>
      <rPr>
        <sz val="12"/>
        <color rgb="FF000000"/>
        <rFont val="Microsoft JhengHei Light"/>
        <family val="2"/>
      </rPr>
      <t>環保署排放係管理表6.0.4Taiwan EPA GHG coefficient table 6.0.4</t>
    </r>
    <phoneticPr fontId="0" type="noConversion"/>
  </si>
  <si>
    <t>煙煤Other Bituminous Coal</t>
  </si>
  <si>
    <r>
      <rPr>
        <sz val="12"/>
        <color rgb="FF000000"/>
        <rFont val="Microsoft JhengHei Light"/>
        <family val="2"/>
      </rPr>
      <t>環保署排放係管理表6.0.4Taiwan EPA GHG coefficient table 6.0.4</t>
    </r>
    <phoneticPr fontId="0" type="noConversion"/>
  </si>
  <si>
    <t>亞煙煤(發電)Sub-Bituminous Coal</t>
  </si>
  <si>
    <r>
      <rPr>
        <sz val="12"/>
        <color rgb="FF000000"/>
        <rFont val="Microsoft JhengHei Light"/>
        <family val="2"/>
      </rPr>
      <t>環保署排放係管理表6.0.4Taiwan EPA GHG coefficient table 6.0.4</t>
    </r>
    <phoneticPr fontId="0" type="noConversion"/>
  </si>
  <si>
    <t>亞煙煤(其他)Sub-Bituminous Coal</t>
  </si>
  <si>
    <r>
      <rPr>
        <sz val="12"/>
        <color rgb="FF000000"/>
        <rFont val="Microsoft JhengHei Light"/>
        <family val="2"/>
      </rPr>
      <t>環保署排放係管理表6.0.4Taiwan EPA GHG coefficient table 6.0.4</t>
    </r>
    <phoneticPr fontId="0" type="noConversion"/>
  </si>
  <si>
    <t>褐煤Lignite</t>
  </si>
  <si>
    <r>
      <rPr>
        <sz val="12"/>
        <color rgb="FF000000"/>
        <rFont val="Microsoft JhengHei Light"/>
        <family val="2"/>
      </rPr>
      <t>環保署排放係管理表6.0.4Taiwan EPA GHG coefficient table 6.0.4</t>
    </r>
    <phoneticPr fontId="0" type="noConversion"/>
  </si>
  <si>
    <t>油頁岩Oil Shale and Tar Sands</t>
  </si>
  <si>
    <r>
      <rPr>
        <sz val="12"/>
        <color rgb="FF000000"/>
        <rFont val="Microsoft JhengHei Light"/>
        <family val="2"/>
      </rPr>
      <t>環保署排放係管理表6.0.4Taiwan EPA GHG coefficient table 6.0.4</t>
    </r>
    <phoneticPr fontId="0" type="noConversion"/>
  </si>
  <si>
    <t>泥煤Peat</t>
  </si>
  <si>
    <r>
      <rPr>
        <sz val="12"/>
        <color rgb="FF000000"/>
        <rFont val="Microsoft JhengHei Light"/>
        <family val="2"/>
      </rPr>
      <t>環保署排放係管理表6.0.4Taiwan EPA GHG coefficient table 6.0.4</t>
    </r>
    <phoneticPr fontId="0" type="noConversion"/>
  </si>
  <si>
    <t>煤球Patent Fuel</t>
  </si>
  <si>
    <r>
      <rPr>
        <sz val="12"/>
        <color rgb="FF000000"/>
        <rFont val="Microsoft JhengHei Light"/>
        <family val="2"/>
      </rPr>
      <t>環保署排放係管理表6.0.4Taiwan EPA GHG coefficient table 6.0.4</t>
    </r>
    <phoneticPr fontId="0" type="noConversion"/>
  </si>
  <si>
    <t>焦炭Coke Oven Coke and Lignite Coke</t>
  </si>
  <si>
    <r>
      <rPr>
        <sz val="12"/>
        <color rgb="FF000000"/>
        <rFont val="Microsoft JhengHei Light"/>
        <family val="2"/>
      </rPr>
      <t>環保署排放係管理表6.0.4Taiwan EPA GHG coefficient table 6.0.4</t>
    </r>
    <phoneticPr fontId="0" type="noConversion"/>
  </si>
  <si>
    <t>石油焦Petroleum Coke</t>
  </si>
  <si>
    <r>
      <rPr>
        <sz val="12"/>
        <color rgb="FF000000"/>
        <rFont val="Microsoft JhengHei Light"/>
        <family val="2"/>
      </rPr>
      <t>環保署排放係管理表6.0.4Taiwan EPA GHG coefficient table 6.0.4</t>
    </r>
    <phoneticPr fontId="0" type="noConversion"/>
  </si>
  <si>
    <t>航空汽油Aviation Gasoline
(Jet Gasoline)</t>
  </si>
  <si>
    <r>
      <rPr>
        <sz val="12"/>
        <color rgb="FF000000"/>
        <rFont val="Microsoft JhengHei Light"/>
        <family val="2"/>
      </rPr>
      <t>環保署排放係管理表6.0.4Taiwan EPA GHG coefficient table 6.0.4</t>
    </r>
    <phoneticPr fontId="0" type="noConversion"/>
  </si>
  <si>
    <t>航空燃油Jet Kerosene</t>
  </si>
  <si>
    <r>
      <rPr>
        <sz val="12"/>
        <color rgb="FF000000"/>
        <rFont val="Microsoft JhengHei Light"/>
        <family val="2"/>
      </rPr>
      <t>環保署排放係管理表6.0.4Taiwan EPA GHG coefficient table 6.0.4</t>
    </r>
    <phoneticPr fontId="0" type="noConversion"/>
  </si>
  <si>
    <t>原油Crude Oil</t>
  </si>
  <si>
    <r>
      <rPr>
        <sz val="12"/>
        <color rgb="FF000000"/>
        <rFont val="Microsoft JhengHei Light"/>
        <family val="2"/>
      </rPr>
      <t>環保署排放係管理表6.0.4Taiwan EPA GHG coefficient table 6.0.4</t>
    </r>
    <phoneticPr fontId="0" type="noConversion"/>
  </si>
  <si>
    <t>奧里油Orimulsion</t>
  </si>
  <si>
    <r>
      <rPr>
        <sz val="12"/>
        <color rgb="FF000000"/>
        <rFont val="Microsoft JhengHei Light"/>
        <family val="2"/>
      </rPr>
      <t>環保署排放係管理表6.0.4Taiwan EPA GHG coefficient table 6.0.4</t>
    </r>
    <phoneticPr fontId="0" type="noConversion"/>
  </si>
  <si>
    <t>天然氣凝結油Natural Gas Liquids (NGLs)</t>
  </si>
  <si>
    <r>
      <rPr>
        <sz val="12"/>
        <color rgb="FF000000"/>
        <rFont val="Microsoft JhengHei Light"/>
        <family val="2"/>
      </rPr>
      <t>環保署排放係管理表6.0.4Taiwan EPA GHG coefficient table 6.0.4</t>
    </r>
    <phoneticPr fontId="0" type="noConversion"/>
  </si>
  <si>
    <t>煤油Other Kerosene</t>
  </si>
  <si>
    <r>
      <rPr>
        <sz val="12"/>
        <color rgb="FF000000"/>
        <rFont val="Microsoft JhengHei Light"/>
        <family val="2"/>
      </rPr>
      <t>環保署排放係管理表6.0.4Taiwan EPA GHG coefficient table 6.0.4</t>
    </r>
    <phoneticPr fontId="0" type="noConversion"/>
  </si>
  <si>
    <t>頁岩油Shale Oil</t>
  </si>
  <si>
    <r>
      <rPr>
        <sz val="12"/>
        <color rgb="FF000000"/>
        <rFont val="Microsoft JhengHei Light"/>
        <family val="2"/>
      </rPr>
      <t>環保署排放係管理表6.0.4Taiwan EPA GHG coefficient table 6.0.4</t>
    </r>
    <phoneticPr fontId="0" type="noConversion"/>
  </si>
  <si>
    <t>石油腦Naphtha</t>
  </si>
  <si>
    <r>
      <rPr>
        <sz val="12"/>
        <color rgb="FF000000"/>
        <rFont val="Microsoft JhengHei Light"/>
        <family val="2"/>
      </rPr>
      <t>環保署排放係管理表6.0.4Taiwan EPA GHG coefficient table 6.0.4</t>
    </r>
    <phoneticPr fontId="0" type="noConversion"/>
  </si>
  <si>
    <t>柏油Bitumen</t>
  </si>
  <si>
    <r>
      <rPr>
        <sz val="12"/>
        <color rgb="FF000000"/>
        <rFont val="Microsoft JhengHei Light"/>
        <family val="2"/>
      </rPr>
      <t>環保署排放係管理表6.0.4Taiwan EPA GHG coefficient table 6.0.4</t>
    </r>
    <phoneticPr fontId="0" type="noConversion"/>
  </si>
  <si>
    <t>潤滑油Lubricants</t>
  </si>
  <si>
    <r>
      <rPr>
        <sz val="12"/>
        <color rgb="FF000000"/>
        <rFont val="Microsoft JhengHei Light"/>
        <family val="2"/>
      </rPr>
      <t>環保署排放係管理表6.0.4Taiwan EPA GHG coefficient table 6.0.4</t>
    </r>
    <phoneticPr fontId="0" type="noConversion"/>
  </si>
  <si>
    <t>其他油品Other Petroleum Products</t>
  </si>
  <si>
    <r>
      <rPr>
        <sz val="12"/>
        <color rgb="FF000000"/>
        <rFont val="Microsoft JhengHei Light"/>
        <family val="2"/>
      </rPr>
      <t>環保署排放係管理表6.0.4Taiwan EPA GHG coefficient table 6.0.4</t>
    </r>
    <phoneticPr fontId="0" type="noConversion"/>
  </si>
  <si>
    <t>煉油氣Refinery Gas</t>
  </si>
  <si>
    <r>
      <rPr>
        <sz val="12"/>
        <color rgb="FF000000"/>
        <rFont val="Microsoft JhengHei Light"/>
        <family val="2"/>
      </rPr>
      <t>環保署排放係管理表6.0.4Taiwan EPA GHG coefficient table 6.0.4</t>
    </r>
    <phoneticPr fontId="0" type="noConversion"/>
  </si>
  <si>
    <t>焦爐氣Coke Oven Gas</t>
  </si>
  <si>
    <r>
      <rPr>
        <sz val="12"/>
        <color rgb="FF000000"/>
        <rFont val="Microsoft JhengHei Light"/>
        <family val="2"/>
      </rPr>
      <t>環保署排放係管理表6.0.4Taiwan EPA GHG coefficient table 6.0.4</t>
    </r>
    <phoneticPr fontId="0" type="noConversion"/>
  </si>
  <si>
    <t>高爐氣Blast Furnace Gas</t>
  </si>
  <si>
    <r>
      <rPr>
        <sz val="12"/>
        <color rgb="FF000000"/>
        <rFont val="Microsoft JhengHei Light"/>
        <family val="2"/>
      </rPr>
      <t>環保署排放係管理表6.0.4Taiwan EPA GHG coefficient table 6.0.4</t>
    </r>
    <phoneticPr fontId="0" type="noConversion"/>
  </si>
  <si>
    <t>一般廢棄物Municipal Wastes</t>
  </si>
  <si>
    <r>
      <rPr>
        <sz val="12"/>
        <color rgb="FF000000"/>
        <rFont val="Microsoft JhengHei Light"/>
        <family val="2"/>
      </rPr>
      <t>環保署排放係管理表6.0.4Taiwan EPA GHG coefficient table 6.0.4</t>
    </r>
    <phoneticPr fontId="0" type="noConversion"/>
  </si>
  <si>
    <t>木頭－固態Wood/Wood Waste</t>
  </si>
  <si>
    <r>
      <rPr>
        <sz val="12"/>
        <color rgb="FF000000"/>
        <rFont val="Microsoft JhengHei Light"/>
        <family val="2"/>
      </rPr>
      <t>環保署排放係管理表6.0.4Taiwan EPA GHG coefficient table 6.0.4</t>
    </r>
    <phoneticPr fontId="0" type="noConversion"/>
  </si>
  <si>
    <t>黑液Sulphite lyes (Black liquor)</t>
  </si>
  <si>
    <r>
      <rPr>
        <sz val="12"/>
        <color rgb="FF000000"/>
        <rFont val="Microsoft JhengHei Light"/>
        <family val="2"/>
      </rPr>
      <t>環保署排放係管理表6.0.4Taiwan EPA GHG coefficient table 6.0.4</t>
    </r>
    <phoneticPr fontId="0" type="noConversion"/>
  </si>
  <si>
    <t>木炭Charcoal</t>
  </si>
  <si>
    <r>
      <rPr>
        <sz val="12"/>
        <color rgb="FF000000"/>
        <rFont val="Microsoft JhengHei Light"/>
        <family val="2"/>
      </rPr>
      <t>環保署排放係管理表6.0.4Taiwan EPA GHG coefficient table 6.0.4</t>
    </r>
    <phoneticPr fontId="0" type="noConversion"/>
  </si>
  <si>
    <t>掩埋場沼氣Landfill Gas</t>
  </si>
  <si>
    <r>
      <rPr>
        <sz val="12"/>
        <color rgb="FF000000"/>
        <rFont val="Microsoft JhengHei Light"/>
        <family val="2"/>
      </rPr>
      <t>環保署排放係管理表6.0.4Taiwan EPA GHG coefficient table 6.0.4</t>
    </r>
    <phoneticPr fontId="0" type="noConversion"/>
  </si>
  <si>
    <t>污泥沼氣Sludge Gas</t>
  </si>
  <si>
    <r>
      <rPr>
        <sz val="12"/>
        <color rgb="FF000000"/>
        <rFont val="Microsoft JhengHei Light"/>
        <family val="2"/>
      </rPr>
      <t>環保署排放係管理表6.0.4Taiwan EPA GHG coefficient table 6.0.4</t>
    </r>
    <phoneticPr fontId="0" type="noConversion"/>
  </si>
  <si>
    <t>其他氣態生質燃料Other Biogas</t>
  </si>
  <si>
    <r>
      <rPr>
        <sz val="12"/>
        <color rgb="FF000000"/>
        <rFont val="Microsoft JhengHei Light"/>
        <family val="2"/>
      </rPr>
      <t>環保署排放係管理表6.0.4Taiwan EPA GHG coefficient table 6.0.4</t>
    </r>
    <phoneticPr fontId="0" type="noConversion"/>
  </si>
  <si>
    <t>TonCH4/hr</t>
  </si>
  <si>
    <r>
      <rPr>
        <sz val="12"/>
        <color rgb="FF000000"/>
        <rFont val="Microsoft JhengHei Light"/>
        <family val="2"/>
      </rPr>
      <t>hrs</t>
    </r>
    <phoneticPr fontId="0" type="noConversion"/>
  </si>
  <si>
    <r>
      <rPr>
        <sz val="12"/>
        <color rgb="FF000000"/>
        <rFont val="Microsoft JhengHei Light"/>
        <family val="2"/>
      </rPr>
      <t>環保署排放係管理表6.0.4Taiwan EPA GHG coefficient table 6.0.4</t>
    </r>
    <phoneticPr fontId="0" type="noConversion"/>
  </si>
  <si>
    <r>
      <rPr>
        <sz val="12"/>
        <color rgb="FFFF0000"/>
        <rFont val="Microsoft JhengHei Light"/>
        <family val="2"/>
      </rPr>
      <t>KgSF6/Kg</t>
    </r>
    <phoneticPr fontId="0" type="noConversion"/>
  </si>
  <si>
    <r>
      <rPr>
        <sz val="12"/>
        <color rgb="FF000000"/>
        <rFont val="Microsoft JhengHei Light"/>
        <family val="2"/>
      </rPr>
      <t>ton</t>
    </r>
    <phoneticPr fontId="0" type="noConversion"/>
  </si>
  <si>
    <r>
      <rPr>
        <sz val="12"/>
        <color rgb="FF000000"/>
        <rFont val="Microsoft JhengHei Light"/>
        <family val="2"/>
      </rPr>
      <t>質量平衡mass balance</t>
    </r>
    <phoneticPr fontId="0" type="noConversion"/>
  </si>
  <si>
    <r>
      <rPr>
        <sz val="12"/>
        <color rgb="FF000000"/>
        <rFont val="Microsoft JhengHei Light"/>
        <family val="2"/>
      </rPr>
      <t>CO2滅火器-CO2 fire extinguishers</t>
    </r>
    <phoneticPr fontId="0" type="noConversion"/>
  </si>
  <si>
    <r>
      <rPr>
        <sz val="12"/>
        <color rgb="FF000000"/>
        <rFont val="Microsoft JhengHei Light"/>
        <family val="2"/>
      </rPr>
      <t>質量平衡mass balance</t>
    </r>
    <phoneticPr fontId="0" type="noConversion"/>
  </si>
  <si>
    <r>
      <rPr>
        <sz val="12"/>
        <color rgb="FF000000"/>
        <rFont val="Microsoft JhengHei Light"/>
        <family val="2"/>
      </rPr>
      <t>質量平衡mass balance</t>
    </r>
    <phoneticPr fontId="0" type="noConversion"/>
  </si>
  <si>
    <r>
      <rPr>
        <sz val="12"/>
        <color rgb="FFFF0000"/>
        <rFont val="Microsoft JhengHei Light"/>
        <family val="2"/>
      </rPr>
      <t>KgHFC-227ea/Kg</t>
    </r>
    <phoneticPr fontId="0" type="noConversion"/>
  </si>
  <si>
    <r>
      <rPr>
        <sz val="12"/>
        <color rgb="FF000000"/>
        <rFont val="Microsoft JhengHei Light"/>
        <family val="2"/>
      </rPr>
      <t>ton</t>
    </r>
    <phoneticPr fontId="0" type="noConversion"/>
  </si>
  <si>
    <r>
      <rPr>
        <sz val="12"/>
        <color rgb="FF000000"/>
        <rFont val="Microsoft JhengHei Light"/>
        <family val="2"/>
      </rPr>
      <t>質量平衡mass balance</t>
    </r>
    <phoneticPr fontId="0" type="noConversion"/>
  </si>
  <si>
    <t>KgHFCs/Kg</t>
  </si>
  <si>
    <r>
      <rPr>
        <b/>
        <sz val="10"/>
        <color theme="0"/>
        <rFont val="微軟正黑體"/>
        <family val="2"/>
      </rPr>
      <t>Region</t>
    </r>
    <phoneticPr fontId="0" type="noConversion"/>
  </si>
  <si>
    <r>
      <rPr>
        <b/>
        <sz val="10"/>
        <color theme="0"/>
        <rFont val="微軟正黑體"/>
        <family val="2"/>
      </rPr>
      <t>Country/Market of consumption</t>
    </r>
    <phoneticPr fontId="0" type="noConversion"/>
  </si>
  <si>
    <r>
      <rPr>
        <b/>
        <sz val="10"/>
        <color theme="0"/>
        <rFont val="微軟正黑體"/>
        <family val="2"/>
      </rPr>
      <t>Grid</t>
    </r>
    <phoneticPr fontId="0" type="noConversion"/>
  </si>
  <si>
    <r>
      <rPr>
        <b/>
        <sz val="10"/>
        <color theme="0"/>
        <rFont val="微軟正黑體"/>
        <family val="2"/>
      </rPr>
      <t>Electricity emission factor</t>
    </r>
    <phoneticPr fontId="0" type="noConversion"/>
  </si>
  <si>
    <r>
      <rPr>
        <b/>
        <sz val="10"/>
        <color theme="0"/>
        <rFont val="微軟正黑體"/>
        <family val="2"/>
      </rPr>
      <t>Emission factor unit</t>
    </r>
    <phoneticPr fontId="0" type="noConversion"/>
  </si>
  <si>
    <r>
      <rPr>
        <b/>
        <sz val="10"/>
        <color theme="0"/>
        <rFont val="微軟正黑體"/>
        <family val="2"/>
      </rPr>
      <t>Year</t>
    </r>
    <phoneticPr fontId="0" type="noConversion"/>
  </si>
  <si>
    <r>
      <rPr>
        <b/>
        <sz val="10"/>
        <color theme="0"/>
        <rFont val="微軟正黑體"/>
        <family val="2"/>
      </rPr>
      <t>Emission factor reference</t>
    </r>
    <phoneticPr fontId="0" type="noConversion"/>
  </si>
  <si>
    <r>
      <rPr>
        <b/>
        <sz val="12"/>
        <color rgb="FF000000"/>
        <rFont val="微軟正黑體"/>
        <family val="2"/>
      </rPr>
      <t>Country/Market &amp; Year</t>
    </r>
    <phoneticPr fontId="0" type="noConversion"/>
  </si>
  <si>
    <t>區域</t>
  </si>
  <si>
    <r>
      <rPr>
        <sz val="12"/>
        <color rgb="FF000000"/>
        <rFont val="微軟正黑體"/>
        <family val="2"/>
      </rPr>
      <t>國家/市場</t>
    </r>
    <phoneticPr fontId="0" type="noConversion"/>
  </si>
  <si>
    <t>電網</t>
  </si>
  <si>
    <r>
      <rPr>
        <sz val="12"/>
        <color rgb="FF000000"/>
        <rFont val="微軟正黑體"/>
        <family val="2"/>
      </rPr>
      <t>電力係數</t>
    </r>
    <phoneticPr fontId="0" type="noConversion"/>
  </si>
  <si>
    <r>
      <rPr>
        <sz val="12"/>
        <color rgb="FF000000"/>
        <rFont val="微軟正黑體"/>
        <family val="2"/>
      </rPr>
      <t>係數單位</t>
    </r>
    <phoneticPr fontId="0" type="noConversion"/>
  </si>
  <si>
    <r>
      <rPr>
        <sz val="12"/>
        <color rgb="FF000000"/>
        <rFont val="微軟正黑體"/>
        <family val="2"/>
      </rPr>
      <t>電力係數年度</t>
    </r>
    <phoneticPr fontId="0" type="noConversion"/>
  </si>
  <si>
    <r>
      <rPr>
        <sz val="12"/>
        <color rgb="FF000000"/>
        <rFont val="微軟正黑體"/>
        <family val="2"/>
      </rPr>
      <t>電力係數來源</t>
    </r>
    <phoneticPr fontId="0" type="noConversion"/>
  </si>
  <si>
    <r>
      <rPr>
        <sz val="12"/>
        <color rgb="FF000000"/>
        <rFont val="微軟正黑體"/>
        <family val="2"/>
      </rPr>
      <t>國家&amp;電網</t>
    </r>
    <phoneticPr fontId="0" type="noConversion"/>
  </si>
  <si>
    <r>
      <rPr>
        <sz val="12"/>
        <color rgb="FF000000"/>
        <rFont val="微軟正黑體"/>
        <family val="2"/>
      </rPr>
      <t>電力係數2</t>
    </r>
    <phoneticPr fontId="0" type="noConversion"/>
  </si>
  <si>
    <t>電力係數來源2</t>
  </si>
  <si>
    <r>
      <rPr>
        <sz val="12"/>
        <color rgb="FF000000"/>
        <rFont val="微軟正黑體"/>
        <family val="2"/>
      </rPr>
      <t>電力係數單位</t>
    </r>
    <phoneticPr fontId="0" type="noConversion"/>
  </si>
  <si>
    <t>欄1</t>
  </si>
  <si>
    <t>Global</t>
  </si>
  <si>
    <t>Renewable electricity</t>
  </si>
  <si>
    <t>TonCO2e/MWh</t>
  </si>
  <si>
    <t>推估值</t>
  </si>
  <si>
    <r>
      <rPr>
        <sz val="12"/>
        <color rgb="FF000000"/>
        <rFont val="微軟正黑體"/>
        <family val="2"/>
      </rPr>
      <t>Upstream</t>
    </r>
    <phoneticPr fontId="0" type="noConversion"/>
  </si>
  <si>
    <r>
      <rPr>
        <sz val="12"/>
        <color rgb="FF000000"/>
        <rFont val="微軟正黑體"/>
        <family val="2"/>
      </rPr>
      <t>環保部產品碳足跡平台-電力間接碳足跡(2021)</t>
    </r>
    <phoneticPr fontId="0" type="noConversion"/>
  </si>
  <si>
    <r>
      <rPr>
        <sz val="12"/>
        <color theme="1"/>
        <rFont val="微軟正黑體"/>
        <family val="2"/>
      </rPr>
      <t>T&amp;D</t>
    </r>
    <phoneticPr fontId="0" type="noConversion"/>
  </si>
  <si>
    <t xml:space="preserve">IEA (2023) Life Cycle Upstream Emission Factors </t>
  </si>
  <si>
    <t>能源局公告</t>
  </si>
  <si>
    <t>Market-based</t>
  </si>
  <si>
    <r>
      <rPr>
        <sz val="12"/>
        <color rgb="FF000000"/>
        <rFont val="微軟正黑體"/>
        <family val="2"/>
      </rPr>
      <t>OCEANIA</t>
    </r>
    <phoneticPr fontId="0" type="noConversion"/>
  </si>
  <si>
    <r>
      <rPr>
        <sz val="12"/>
        <color rgb="FF000000"/>
        <rFont val="微軟正黑體"/>
        <family val="2"/>
      </rPr>
      <t>Australia</t>
    </r>
    <phoneticPr fontId="0" type="noConversion"/>
  </si>
  <si>
    <r>
      <rPr>
        <sz val="12"/>
        <color rgb="FF000000"/>
        <rFont val="新細明體"/>
        <family val="1"/>
      </rPr>
      <t xml:space="preserve">https://www.dcceew.gov.au/sites/default/files/documents/national-greenhouse-account-factors-2023.docx </t>
    </r>
    <phoneticPr fontId="0" type="noConversion"/>
  </si>
  <si>
    <r>
      <rPr>
        <sz val="12"/>
        <color rgb="FF000000"/>
        <rFont val="微軟正黑體"/>
        <family val="2"/>
      </rPr>
      <t>OCEANIA</t>
    </r>
    <phoneticPr fontId="0" type="noConversion"/>
  </si>
  <si>
    <r>
      <rPr>
        <sz val="12"/>
        <color rgb="FF000000"/>
        <rFont val="微軟正黑體"/>
        <family val="2"/>
      </rPr>
      <t>Australia</t>
    </r>
    <phoneticPr fontId="0" type="noConversion"/>
  </si>
  <si>
    <r>
      <rPr>
        <sz val="12"/>
        <color rgb="FF000000"/>
        <rFont val="新細明體"/>
        <family val="1"/>
      </rPr>
      <t xml:space="preserve">https://www.dcceew.gov.au/sites/default/files/documents/national-greenhouse-account-factors-2023.docx </t>
    </r>
    <phoneticPr fontId="0" type="noConversion"/>
  </si>
  <si>
    <r>
      <rPr>
        <sz val="12"/>
        <color rgb="FF000000"/>
        <rFont val="微軟正黑體"/>
        <family val="2"/>
      </rPr>
      <t>OCEANIA</t>
    </r>
    <phoneticPr fontId="0" type="noConversion"/>
  </si>
  <si>
    <r>
      <rPr>
        <sz val="12"/>
        <color rgb="FF000000"/>
        <rFont val="微軟正黑體"/>
        <family val="2"/>
      </rPr>
      <t>Australia</t>
    </r>
    <phoneticPr fontId="0" type="noConversion"/>
  </si>
  <si>
    <r>
      <rPr>
        <sz val="12"/>
        <color rgb="FF000000"/>
        <rFont val="微軟正黑體"/>
        <family val="2"/>
      </rPr>
      <t>Upstream</t>
    </r>
    <phoneticPr fontId="0" type="noConversion"/>
  </si>
  <si>
    <r>
      <rPr>
        <sz val="12"/>
        <color rgb="FF000000"/>
        <rFont val="新細明體"/>
        <family val="1"/>
      </rPr>
      <t xml:space="preserve">https://www.dcceew.gov.au/sites/default/files/documents/national-greenhouse-account-factors-2023.docx </t>
    </r>
    <phoneticPr fontId="0" type="noConversion"/>
  </si>
  <si>
    <r>
      <rPr>
        <sz val="12"/>
        <color rgb="FF000000"/>
        <rFont val="微軟正黑體"/>
        <family val="2"/>
      </rPr>
      <t>OCEANIA</t>
    </r>
    <phoneticPr fontId="0" type="noConversion"/>
  </si>
  <si>
    <r>
      <rPr>
        <sz val="12"/>
        <color rgb="FF000000"/>
        <rFont val="微軟正黑體"/>
        <family val="2"/>
      </rPr>
      <t>Australia</t>
    </r>
    <phoneticPr fontId="0" type="noConversion"/>
  </si>
  <si>
    <r>
      <rPr>
        <sz val="12"/>
        <color theme="1"/>
        <rFont val="微軟正黑體"/>
        <family val="2"/>
      </rPr>
      <t>T&amp;D</t>
    </r>
    <phoneticPr fontId="0" type="noConversion"/>
  </si>
  <si>
    <r>
      <rPr>
        <u/>
        <sz val="12"/>
        <color theme="10"/>
        <rFont val="新細明體"/>
        <family val="1"/>
      </rPr>
      <t>https://www.ema.gov.sg/resources/singapore-energy-statistics/chapter2</t>
    </r>
    <phoneticPr fontId="0" type="noConversion"/>
  </si>
  <si>
    <r>
      <rPr>
        <u/>
        <sz val="12"/>
        <color theme="10"/>
        <rFont val="新細明體"/>
        <family val="1"/>
      </rPr>
      <t>https://www.ema.gov.sg/resources/singapore-energy-statistics/chapter2</t>
    </r>
    <phoneticPr fontId="0" type="noConversion"/>
  </si>
  <si>
    <t>COUNTRY SPECIFIC ELECTRICITY GRID GREENHOUSE GAS EMISSION FACTORS</t>
  </si>
  <si>
    <t>Indonesia</t>
  </si>
  <si>
    <t>Climate Transparency (2022 Report)</t>
  </si>
  <si>
    <r>
      <rPr>
        <u/>
        <sz val="12"/>
        <color theme="10"/>
        <rFont val="新細明體"/>
        <family val="1"/>
      </rPr>
      <t>https://www.tepco.co.jp/en/corpinfo/illustrated/environment/emissions-co2-e.html</t>
    </r>
    <phoneticPr fontId="0" type="noConversion"/>
  </si>
  <si>
    <r>
      <rPr>
        <u/>
        <sz val="12"/>
        <color theme="10"/>
        <rFont val="新細明體"/>
        <family val="1"/>
      </rPr>
      <t>https://www.tepco.co.jp/en/corpinfo/illustrated/environment/emissions-co2-e.html</t>
    </r>
    <phoneticPr fontId="0" type="noConversion"/>
  </si>
  <si>
    <t>Thailand Greenhouse Gas Management Organization (TGO) in 2020</t>
  </si>
  <si>
    <r>
      <rPr>
        <sz val="12"/>
        <color theme="1"/>
        <rFont val="微軟正黑體"/>
        <family val="2"/>
      </rPr>
      <t>Upstream</t>
    </r>
    <phoneticPr fontId="0" type="noConversion"/>
  </si>
  <si>
    <r>
      <rPr>
        <sz val="12"/>
        <color theme="1"/>
        <rFont val="微軟正黑體"/>
        <family val="2"/>
      </rPr>
      <t>T&amp;D</t>
    </r>
    <phoneticPr fontId="0" type="noConversion"/>
  </si>
  <si>
    <t>2019 年度减排项目中国区域电网基准线排放因子</t>
  </si>
  <si>
    <t>https://cea.nic.in/wp-content/uploads/baseline/2023/01/Approved_report_emission__2021_22.pdf</t>
  </si>
  <si>
    <t>Africa</t>
  </si>
  <si>
    <t>South Africa</t>
  </si>
  <si>
    <t>Understand low-carbon energy in Egypt through Data | Low-Carbon Power (lowcarbonpower.org)</t>
  </si>
  <si>
    <t>Ember-GER-2022</t>
  </si>
  <si>
    <t>Middle East</t>
  </si>
  <si>
    <t>Saudi Arabia</t>
  </si>
  <si>
    <r>
      <rPr>
        <sz val="12"/>
        <color rgb="FF000000"/>
        <rFont val="微軟正黑體"/>
        <family val="2"/>
      </rPr>
      <t>United Arab Emirates</t>
    </r>
    <phoneticPr fontId="0" type="noConversion"/>
  </si>
  <si>
    <t>Understand low-carbon energy in United Arab Emirates through Data | Low-Carbon Power (lowcarbonpower.org)</t>
  </si>
  <si>
    <r>
      <rPr>
        <sz val="12"/>
        <color rgb="FF000000"/>
        <rFont val="微軟正黑體"/>
        <family val="2"/>
      </rPr>
      <t>United Arab Emirates</t>
    </r>
    <phoneticPr fontId="0" type="noConversion"/>
  </si>
  <si>
    <r>
      <rPr>
        <sz val="12"/>
        <color rgb="FF000000"/>
        <rFont val="微軟正黑體"/>
        <family val="2"/>
      </rPr>
      <t>Dubai Electricity &amp; Water Authority (sustainability report 2021)</t>
    </r>
    <phoneticPr fontId="0" type="noConversion"/>
  </si>
  <si>
    <t>Electricity Maps | Live 24/7 CO₂ emissions of electricity consumption</t>
  </si>
  <si>
    <r>
      <rPr>
        <sz val="12"/>
        <color rgb="FF000000"/>
        <rFont val="微軟正黑體"/>
        <family val="2"/>
      </rPr>
      <t>Turkey</t>
    </r>
    <phoneticPr fontId="0" type="noConversion"/>
  </si>
  <si>
    <t>US Env Protection Agency (EPA) eGrid</t>
  </si>
  <si>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</si>
  <si>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</si>
  <si>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</si>
  <si>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</si>
  <si>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</si>
  <si>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</si>
  <si>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t>Europe</t>
  </si>
  <si>
    <r>
      <rPr>
        <sz val="12"/>
        <color rgb="FF000000"/>
        <rFont val="微軟正黑體"/>
        <family val="2"/>
      </rPr>
      <t>Austria</t>
    </r>
    <phoneticPr fontId="0" type="noConversion"/>
  </si>
  <si>
    <t>European Environment Agency (EEA) 2023</t>
  </si>
  <si>
    <r>
      <rPr>
        <sz val="12"/>
        <color rgb="FF000000"/>
        <rFont val="微軟正黑體"/>
        <family val="2"/>
      </rPr>
      <t>Austria</t>
    </r>
    <phoneticPr fontId="0" type="noConversion"/>
  </si>
  <si>
    <t>Association of Issuing Bodies (AIB) 2023</t>
  </si>
  <si>
    <r>
      <rPr>
        <sz val="12"/>
        <color rgb="FF000000"/>
        <rFont val="微軟正黑體"/>
        <family val="2"/>
      </rPr>
      <t>Austria</t>
    </r>
    <phoneticPr fontId="0" type="noConversion"/>
  </si>
  <si>
    <r>
      <rPr>
        <sz val="12"/>
        <color theme="1"/>
        <rFont val="微軟正黑體"/>
        <family val="2"/>
      </rPr>
      <t>Upstream</t>
    </r>
    <phoneticPr fontId="0" type="noConversion"/>
  </si>
  <si>
    <r>
      <rPr>
        <sz val="12"/>
        <color rgb="FF000000"/>
        <rFont val="微軟正黑體"/>
        <family val="2"/>
      </rPr>
      <t>Austria</t>
    </r>
    <phoneticPr fontId="0" type="noConversion"/>
  </si>
  <si>
    <r>
      <rPr>
        <sz val="12"/>
        <color theme="1"/>
        <rFont val="微軟正黑體"/>
        <family val="2"/>
      </rPr>
      <t>T&amp;D</t>
    </r>
    <phoneticPr fontId="0" type="noConversion"/>
  </si>
  <si>
    <t>Belgium</t>
  </si>
  <si>
    <t>Bosnia &amp; Herzgovina</t>
  </si>
  <si>
    <t>Bulgaria</t>
  </si>
  <si>
    <t>Cyprus</t>
  </si>
  <si>
    <r>
      <rPr>
        <sz val="12"/>
        <color rgb="FF000000"/>
        <rFont val="微軟正黑體"/>
        <family val="2"/>
      </rPr>
      <t>Czech Republic</t>
    </r>
    <phoneticPr fontId="0" type="noConversion"/>
  </si>
  <si>
    <t>Denmark</t>
  </si>
  <si>
    <t>Estonia</t>
  </si>
  <si>
    <t>Greece</t>
  </si>
  <si>
    <t>Hungary</t>
  </si>
  <si>
    <t>Ireland</t>
  </si>
  <si>
    <t>Latvia</t>
  </si>
  <si>
    <t>Lithuania</t>
  </si>
  <si>
    <t>Luxembourg</t>
  </si>
  <si>
    <t>Malta</t>
  </si>
  <si>
    <t>https://app.electricitymaps.com/zone/NO-NO1</t>
  </si>
  <si>
    <t>Home (entsoe.eu)</t>
  </si>
  <si>
    <t>Portugal</t>
  </si>
  <si>
    <t>Serbia</t>
  </si>
  <si>
    <t>Slovenia</t>
  </si>
  <si>
    <r>
      <rPr>
        <sz val="10"/>
        <color theme="1"/>
        <rFont val="Arial"/>
        <family val="2"/>
      </rPr>
      <t>2023 Government greenhouse gas conversion factors for company reporting: Methodology paper (page 36)</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</si>
  <si>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</si>
  <si>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</si>
  <si>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</si>
  <si>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</si>
  <si>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</si>
  <si>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</si>
  <si>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</si>
  <si>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</si>
  <si>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</si>
  <si>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</si>
  <si>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</si>
  <si>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</si>
  <si>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</si>
  <si>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</si>
  <si>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rgb="FF000000"/>
        <rFont val="微軟正黑體"/>
        <family val="2"/>
      </rPr>
      <t>India</t>
    </r>
    <phoneticPr fontId="0" type="noConversion"/>
  </si>
  <si>
    <r>
      <rPr>
        <sz val="12"/>
        <color theme="1"/>
        <rFont val="微軟正黑體"/>
        <family val="2"/>
      </rPr>
      <t>Upstream</t>
    </r>
    <phoneticPr fontId="0" type="noConversion"/>
  </si>
  <si>
    <r>
      <rPr>
        <sz val="12"/>
        <color rgb="FF000000"/>
        <rFont val="微軟正黑體"/>
        <family val="2"/>
      </rPr>
      <t>India</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</si>
  <si>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</si>
  <si>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</si>
  <si>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</si>
  <si>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</si>
  <si>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</si>
  <si>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</si>
  <si>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</si>
  <si>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</si>
  <si>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</si>
  <si>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</si>
  <si>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</si>
  <si>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</si>
  <si>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</si>
  <si>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</si>
  <si>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</si>
  <si>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</si>
  <si>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</si>
  <si>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</si>
  <si>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</si>
  <si>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</si>
  <si>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</si>
  <si>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</si>
  <si>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</si>
  <si>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</si>
  <si>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</si>
  <si>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</si>
  <si>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</si>
  <si>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</si>
  <si>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</si>
  <si>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</si>
  <si>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</si>
  <si>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</si>
  <si>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</si>
  <si>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</si>
  <si>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</si>
  <si>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</si>
  <si>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</si>
  <si>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</si>
  <si>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</si>
  <si>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</si>
  <si>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</si>
  <si>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</si>
  <si>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</si>
  <si>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</si>
  <si>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</si>
  <si>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</si>
  <si>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u/>
        <sz val="12"/>
        <color theme="10"/>
        <rFont val="新細明體"/>
        <family val="2"/>
      </rPr>
      <t>https://www.gov.uk/government/publications/greenhouse-gas-reporting-conversion-factors-2023</t>
    </r>
    <phoneticPr fontId="0" type="noConversion"/>
  </si>
  <si>
    <r>
      <rPr>
        <sz val="12"/>
        <color theme="1"/>
        <rFont val="微軟正黑體"/>
        <family val="2"/>
      </rPr>
      <t>T&amp;D</t>
    </r>
    <phoneticPr fontId="0" type="noConversion"/>
  </si>
  <si>
    <r>
      <rPr>
        <u/>
        <sz val="12"/>
        <color theme="10"/>
        <rFont val="新細明體"/>
        <family val="2"/>
      </rPr>
      <t>https://www.gov.uk/government/publications/greenhouse-gas-reporting-conversion-factors-2023</t>
    </r>
    <phoneticPr fontId="0" type="noConversion"/>
  </si>
  <si>
    <r>
      <rPr>
        <sz val="12"/>
        <color theme="1"/>
        <rFont val="微軟正黑體"/>
        <family val="2"/>
      </rPr>
      <t>International Financial Institutions
https://unfccc.int/sites/default/files/resource/Harmonized_IFI_Default_Grid_Factors_2021_v3.2_0.xlsx</t>
    </r>
    <phoneticPr fontId="0" type="noConversion"/>
  </si>
  <si>
    <r>
      <rPr>
        <sz val="12"/>
        <color theme="1"/>
        <rFont val="微軟正黑體"/>
        <family val="2"/>
      </rPr>
      <t>International Financial Institutions
https://unfccc.int/sites/default/files/resource/Harmonized_IFI_Default_Grid_Factors_2021_v3.2_0.xlsx</t>
    </r>
    <phoneticPr fontId="0" type="noConversion"/>
  </si>
  <si>
    <r>
      <rPr>
        <sz val="12"/>
        <color theme="1"/>
        <rFont val="微軟正黑體"/>
        <family val="2"/>
      </rPr>
      <t>International Financial Institutions
https://unfccc.int/sites/default/files/resource/Harmonized_IFI_Default_Grid_Factors_2021_v3.2_0.xlsx</t>
    </r>
    <phoneticPr fontId="0" type="noConversion"/>
  </si>
  <si>
    <r>
      <rPr>
        <sz val="12"/>
        <color theme="1"/>
        <rFont val="微軟正黑體"/>
        <family val="2"/>
      </rPr>
      <t>International Financial Institutions
https://unfccc.int/sites/default/files/resource/Harmonized_IFI_Default_Grid_Factors_2021_v3.2_0.xlsx</t>
    </r>
    <phoneticPr fontId="0" type="noConversion"/>
  </si>
  <si>
    <r>
      <rPr>
        <sz val="12"/>
        <color theme="1"/>
        <rFont val="微軟正黑體"/>
        <family val="2"/>
      </rPr>
      <t>Grid Emission Factor (GEF) in Malaysia 2021</t>
    </r>
    <phoneticPr fontId="0" type="noConversion"/>
  </si>
  <si>
    <r>
      <rPr>
        <sz val="12"/>
        <color theme="1"/>
        <rFont val="微軟正黑體"/>
        <family val="2"/>
      </rPr>
      <t>Grid Emission Factor (GEF) in Malaysia 2021</t>
    </r>
    <phoneticPr fontId="0" type="noConversion"/>
  </si>
  <si>
    <t>https://cea.nic.in/wp-content/uploads/baseline/2020/07/user_guide_ver14.pdf</t>
  </si>
  <si>
    <t>Singapore Energy Market Authority (EMA)</t>
  </si>
  <si>
    <t>Association of Issuing Bodies (AIB) 2022</t>
  </si>
  <si>
    <r>
      <rPr>
        <b/>
        <sz val="12"/>
        <color rgb="FF000000"/>
        <rFont val="微軟正黑體"/>
        <family val="2"/>
      </rPr>
      <t>溫室氣體種類Types of greenhouse gases</t>
    </r>
    <phoneticPr fontId="0" type="noConversion"/>
  </si>
  <si>
    <r>
      <rPr>
        <b/>
        <sz val="12"/>
        <color rgb="FF000000"/>
        <rFont val="微軟正黑體"/>
        <family val="2"/>
      </rPr>
      <t>IPCC AR2 Report(1995)</t>
    </r>
    <phoneticPr fontId="0" type="noConversion"/>
  </si>
  <si>
    <r>
      <rPr>
        <b/>
        <sz val="12"/>
        <color rgb="FF000000"/>
        <rFont val="微軟正黑體"/>
        <family val="2"/>
      </rPr>
      <t>IPCC AR3 Report(2001)</t>
    </r>
    <phoneticPr fontId="0" type="noConversion"/>
  </si>
  <si>
    <r>
      <rPr>
        <b/>
        <sz val="12"/>
        <color rgb="FF000000"/>
        <rFont val="微軟正黑體"/>
        <family val="2"/>
      </rPr>
      <t>IPCC AR4 Report(2007)</t>
    </r>
    <phoneticPr fontId="0" type="noConversion"/>
  </si>
  <si>
    <r>
      <rPr>
        <b/>
        <sz val="12"/>
        <color rgb="FF000000"/>
        <rFont val="微軟正黑體"/>
        <family val="2"/>
      </rPr>
      <t>IPCC AR5 Report(2013)</t>
    </r>
    <phoneticPr fontId="0" type="noConversion"/>
  </si>
  <si>
    <r>
      <rPr>
        <b/>
        <sz val="12"/>
        <color rgb="FF000000"/>
        <rFont val="微軟正黑體"/>
        <family val="2"/>
      </rPr>
      <t>IPCC AR6 Report(2021)</t>
    </r>
    <phoneticPr fontId="0" type="noConversion"/>
  </si>
  <si>
    <t>R-1234yf</t>
  </si>
  <si>
    <r>
      <rPr>
        <u/>
        <sz val="12"/>
        <color theme="10"/>
        <rFont val="新細明體"/>
        <family val="1"/>
      </rPr>
      <t>Return 1.GHG Inventory Form</t>
    </r>
    <phoneticPr fontId="0" type="noConversion"/>
  </si>
  <si>
    <r>
      <rPr>
        <sz val="12"/>
        <color rgb="FF000000"/>
        <rFont val="新細明體"/>
        <family val="1"/>
      </rPr>
      <t>Simapro9.4.0.2-Tap water {GLO}| market group for | Cut-off, U</t>
    </r>
    <phoneticPr fontId="0" type="noConversion"/>
  </si>
  <si>
    <t>Simapro 9.4.0.2-Municipal solid waste {RoW}| treatment of, incineration</t>
  </si>
  <si>
    <r>
      <rPr>
        <sz val="12"/>
        <color rgb="FF000000"/>
        <rFont val="新細明體"/>
        <family val="1"/>
      </rPr>
      <t>Simapro 9.4.0.2-Municipal solid waste {RoW}| treatment of, sanitary landfill | Cut-off, U</t>
    </r>
    <phoneticPr fontId="0" type="noConversion"/>
  </si>
  <si>
    <t xml:space="preserve">Simapro 9.4.0.2-Hazardous waste, for incineration {Europe without Switzerland}| market for hazardous waste, for incineration </t>
  </si>
  <si>
    <t>Simapro 9.4.0.2-Municipal solid waste {RoW}| treatment of, sanitary landfill | Cut-off, U</t>
  </si>
  <si>
    <t>Simapro-Wastewater, average {RoW} market for wastewater, average</t>
  </si>
  <si>
    <t>Simapro9.4.02-Wastewater, unpolluted, from residence {GLO}</t>
  </si>
  <si>
    <r>
      <rPr>
        <sz val="12"/>
        <color rgb="FF000000"/>
        <rFont val="新細明體"/>
        <family val="1"/>
      </rPr>
      <t>Heat, central or small-scale, natural gas {GLO}| market group for | APOS, U</t>
    </r>
    <phoneticPr fontId="0" type="noConversion"/>
  </si>
  <si>
    <r>
      <rPr>
        <sz val="12"/>
        <color rgb="FF000000"/>
        <rFont val="新細明體"/>
        <family val="1"/>
      </rPr>
      <t>Natural gas, high pressure {GLO}| market group for | APOS, U</t>
    </r>
    <phoneticPr fontId="0" type="noConversion"/>
  </si>
  <si>
    <r>
      <rPr>
        <sz val="12"/>
        <color rgb="FF000000"/>
        <rFont val="新細明體"/>
        <family val="1"/>
      </rPr>
      <t>Liquefied petroleum gas {GLO}| market group for liquefied petroleum gas | APOSf, U</t>
    </r>
    <phoneticPr fontId="0" type="noConversion"/>
  </si>
  <si>
    <r>
      <rPr>
        <sz val="12"/>
        <color rgb="FF000000"/>
        <rFont val="新細明體"/>
        <family val="1"/>
      </rPr>
      <t>Diesel  {GLO}| market group for | APOS, U</t>
    </r>
    <phoneticPr fontId="0" type="noConversion"/>
  </si>
  <si>
    <r>
      <rPr>
        <sz val="12"/>
        <color rgb="FF000000"/>
        <rFont val="新細明體"/>
        <family val="1"/>
      </rPr>
      <t>冷媒設備Factor in Equation</t>
    </r>
    <phoneticPr fontId="0" type="noConversion"/>
  </si>
  <si>
    <r>
      <rPr>
        <sz val="12"/>
        <color rgb="FF000000"/>
        <rFont val="新細明體"/>
        <family val="1"/>
      </rPr>
      <t>逸散率Emission Factor</t>
    </r>
    <phoneticPr fontId="0" type="noConversion"/>
  </si>
  <si>
    <r>
      <rPr>
        <sz val="12"/>
        <color rgb="FF000000"/>
        <rFont val="新細明體"/>
        <family val="1"/>
      </rPr>
      <t>單位Unit</t>
    </r>
    <phoneticPr fontId="0" type="noConversion"/>
  </si>
  <si>
    <r>
      <rPr>
        <sz val="12"/>
        <color rgb="FF000000"/>
        <rFont val="新細明體"/>
        <family val="1"/>
      </rPr>
      <t>逸散率來源References</t>
    </r>
    <phoneticPr fontId="0" type="noConversion"/>
  </si>
  <si>
    <r>
      <rPr>
        <sz val="12"/>
        <color rgb="FF000000"/>
        <rFont val="新細明體"/>
        <family val="1"/>
      </rPr>
      <t>Asia</t>
    </r>
    <phoneticPr fontId="0" type="noConversion"/>
  </si>
  <si>
    <r>
      <rPr>
        <sz val="12"/>
        <color rgb="FF000000"/>
        <rFont val="新細明體"/>
        <family val="1"/>
      </rPr>
      <t>柴油</t>
    </r>
    <phoneticPr fontId="0" type="noConversion"/>
  </si>
  <si>
    <r>
      <rPr>
        <sz val="12"/>
        <color rgb="FF000000"/>
        <rFont val="新細明體"/>
        <family val="1"/>
      </rPr>
      <t>預設值Default</t>
    </r>
    <phoneticPr fontId="0" type="noConversion"/>
  </si>
  <si>
    <r>
      <rPr>
        <sz val="12"/>
        <color rgb="FF000000"/>
        <rFont val="新細明體"/>
        <family val="1"/>
      </rPr>
      <t>自訂值Custom Value</t>
    </r>
    <phoneticPr fontId="0" type="noConversion"/>
  </si>
  <si>
    <r>
      <rPr>
        <sz val="10"/>
        <color rgb="FF000000"/>
        <rFont val="PMingLiU"/>
        <family val="1"/>
      </rPr>
      <t>家用冷凍、冷藏裝備</t>
    </r>
    <r>
      <rPr>
        <sz val="10"/>
        <color rgb="FF000000"/>
        <rFont val="Times New Roman"/>
        <family val="1"/>
      </rPr>
      <t>(</t>
    </r>
    <r>
      <rPr>
        <sz val="10"/>
        <color rgb="FF000000"/>
        <rFont val="PMingLiU"/>
        <family val="1"/>
      </rPr>
      <t>如冰箱、飲水機、冷凍櫃</t>
    </r>
    <r>
      <rPr>
        <sz val="10"/>
        <color rgb="FF000000"/>
        <rFont val="Times New Roman"/>
        <family val="1"/>
      </rPr>
      <t>)</t>
    </r>
    <r>
      <rPr>
        <sz val="10"/>
        <color rgb="FF000000"/>
        <rFont val="Times New Roman"/>
        <family val="1"/>
      </rPr>
      <t>Domestic Refrigeration</t>
    </r>
    <phoneticPr fontId="0" type="noConversion"/>
  </si>
  <si>
    <r>
      <rPr>
        <sz val="10"/>
        <color rgb="FF000000"/>
        <rFont val="Times New Roman"/>
        <family val="1"/>
      </rPr>
      <t>KgHFCs/Kg</t>
    </r>
    <phoneticPr fontId="0" type="noConversion"/>
  </si>
  <si>
    <r>
      <rPr>
        <sz val="10"/>
        <color rgb="FF000000"/>
        <rFont val="PMingLiU"/>
        <family val="1"/>
      </rPr>
      <t>環保署排放係管理表</t>
    </r>
    <r>
      <rPr>
        <sz val="10"/>
        <color rgb="FF000000"/>
        <rFont val="Times New Roman"/>
        <family val="1"/>
      </rPr>
      <t>6.0.4Taiwan EPA GHG coefficient table 6.0.4</t>
    </r>
    <phoneticPr fontId="0" type="noConversion"/>
  </si>
  <si>
    <t>https://www.fpcc.com.tw/uploads/files/product/product-diesel.pdf</t>
  </si>
  <si>
    <r>
      <rPr>
        <sz val="10"/>
        <color rgb="FF000000"/>
        <rFont val="PMingLiU"/>
        <family val="1"/>
      </rPr>
      <t>交通用冷凍、冷藏裝備</t>
    </r>
    <r>
      <rPr>
        <sz val="10"/>
        <color rgb="FF000000"/>
        <rFont val="Times New Roman"/>
        <family val="1"/>
      </rPr>
      <t>(</t>
    </r>
    <r>
      <rPr>
        <sz val="10"/>
        <color rgb="FF000000"/>
        <rFont val="PMingLiU"/>
        <family val="1"/>
      </rPr>
      <t>如公司車冷媒</t>
    </r>
    <r>
      <rPr>
        <sz val="10"/>
        <color rgb="FF000000"/>
        <rFont val="Times New Roman"/>
        <family val="1"/>
      </rPr>
      <t>)</t>
    </r>
    <r>
      <rPr>
        <sz val="10"/>
        <color rgb="FF000000"/>
        <rFont val="Times New Roman"/>
        <family val="1"/>
      </rPr>
      <t>Transport Refrigeration</t>
    </r>
    <phoneticPr fontId="0" type="noConversion"/>
  </si>
  <si>
    <r>
      <rPr>
        <sz val="10"/>
        <color rgb="FF000000"/>
        <rFont val="Times New Roman"/>
        <family val="1"/>
      </rPr>
      <t>KgHFCs/Kg</t>
    </r>
    <phoneticPr fontId="0" type="noConversion"/>
  </si>
  <si>
    <r>
      <rPr>
        <sz val="10"/>
        <color rgb="FF000000"/>
        <rFont val="PMingLiU"/>
        <family val="1"/>
      </rPr>
      <t>環保署排放係管理表</t>
    </r>
    <r>
      <rPr>
        <sz val="10"/>
        <color rgb="FF000000"/>
        <rFont val="Times New Roman"/>
        <family val="1"/>
      </rPr>
      <t>6.0.4Taiwan EPA GHG coefficient table 6.0.4</t>
    </r>
    <phoneticPr fontId="0" type="noConversion"/>
  </si>
  <si>
    <r>
      <rPr>
        <sz val="10"/>
        <color rgb="FF000000"/>
        <rFont val="PMingLiU"/>
        <family val="1"/>
      </rPr>
      <t>工業冷凍、冷藏裝備，包括食品加工及冷藏</t>
    </r>
    <r>
      <rPr>
        <sz val="10"/>
        <color rgb="FF000000"/>
        <rFont val="Times New Roman"/>
        <family val="1"/>
      </rPr>
      <t>Industrial Refrigeration including Food Processing and Cold Storage</t>
    </r>
    <phoneticPr fontId="0" type="noConversion"/>
  </si>
  <si>
    <r>
      <rPr>
        <sz val="10"/>
        <color rgb="FF000000"/>
        <rFont val="Times New Roman"/>
        <family val="1"/>
      </rPr>
      <t>KgHFCs/Kg</t>
    </r>
    <phoneticPr fontId="0" type="noConversion"/>
  </si>
  <si>
    <r>
      <rPr>
        <sz val="10"/>
        <color rgb="FF000000"/>
        <rFont val="PMingLiU"/>
        <family val="1"/>
      </rPr>
      <t>環保署排放係管理表</t>
    </r>
    <r>
      <rPr>
        <sz val="10"/>
        <color rgb="FF000000"/>
        <rFont val="Times New Roman"/>
        <family val="1"/>
      </rPr>
      <t>6.0.4Taiwan EPA GHG coefficient table 6.0.4</t>
    </r>
    <phoneticPr fontId="0" type="noConversion"/>
  </si>
  <si>
    <r>
      <rPr>
        <sz val="10"/>
        <color rgb="FF000000"/>
        <rFont val="PMingLiU"/>
        <family val="1"/>
      </rPr>
      <t>冰水機</t>
    </r>
    <r>
      <rPr>
        <sz val="10"/>
        <color rgb="FF000000"/>
        <rFont val="Times New Roman"/>
        <family val="1"/>
      </rPr>
      <t>(</t>
    </r>
    <r>
      <rPr>
        <sz val="10"/>
        <color rgb="FF000000"/>
        <rFont val="PMingLiU"/>
        <family val="1"/>
      </rPr>
      <t>冷水主機</t>
    </r>
    <r>
      <rPr>
        <sz val="10"/>
        <color rgb="FF000000"/>
        <rFont val="Times New Roman"/>
        <family val="1"/>
      </rPr>
      <t>)</t>
    </r>
    <r>
      <rPr>
        <sz val="10"/>
        <color rgb="FF000000"/>
        <rFont val="Times New Roman"/>
        <family val="1"/>
      </rPr>
      <t>Chillers</t>
    </r>
    <phoneticPr fontId="0" type="noConversion"/>
  </si>
  <si>
    <r>
      <rPr>
        <sz val="10"/>
        <color rgb="FF000000"/>
        <rFont val="Times New Roman"/>
        <family val="1"/>
      </rPr>
      <t>KgHFCs/Kg</t>
    </r>
    <phoneticPr fontId="0" type="noConversion"/>
  </si>
  <si>
    <r>
      <rPr>
        <sz val="10"/>
        <color rgb="FF000000"/>
        <rFont val="PMingLiU"/>
        <family val="1"/>
      </rPr>
      <t>環保署排放係管理表</t>
    </r>
    <r>
      <rPr>
        <sz val="10"/>
        <color rgb="FF000000"/>
        <rFont val="Times New Roman"/>
        <family val="1"/>
      </rPr>
      <t>6.0.4Taiwan EPA GHG coefficient table 6.0.4</t>
    </r>
    <phoneticPr fontId="0" type="noConversion"/>
  </si>
  <si>
    <r>
      <rPr>
        <sz val="10"/>
        <color rgb="FF000000"/>
        <rFont val="PMingLiU"/>
        <family val="1"/>
      </rPr>
      <t>住宅及商業建築冷氣機</t>
    </r>
    <r>
      <rPr>
        <sz val="10"/>
        <color rgb="FF000000"/>
        <rFont val="Times New Roman"/>
        <family val="1"/>
      </rPr>
      <t>(</t>
    </r>
    <r>
      <rPr>
        <sz val="10"/>
        <color rgb="FF000000"/>
        <rFont val="PMingLiU"/>
        <family val="1"/>
      </rPr>
      <t>分離式、窗型、立式</t>
    </r>
    <r>
      <rPr>
        <sz val="10"/>
        <color rgb="FF000000"/>
        <rFont val="Times New Roman"/>
        <family val="1"/>
      </rPr>
      <t>)</t>
    </r>
    <r>
      <rPr>
        <sz val="10"/>
        <color rgb="FF000000"/>
        <rFont val="Times New Roman"/>
        <family val="1"/>
      </rPr>
      <t>Residential and Commercial A/C, including Heat Pumps</t>
    </r>
    <phoneticPr fontId="0" type="noConversion"/>
  </si>
  <si>
    <r>
      <rPr>
        <sz val="10"/>
        <color rgb="FF000000"/>
        <rFont val="Times New Roman"/>
        <family val="1"/>
      </rPr>
      <t>KgHFCs/Kg</t>
    </r>
    <phoneticPr fontId="0" type="noConversion"/>
  </si>
  <si>
    <r>
      <rPr>
        <sz val="10"/>
        <color rgb="FF000000"/>
        <rFont val="PMingLiU"/>
        <family val="1"/>
      </rPr>
      <t>環保署排放係管理表</t>
    </r>
    <r>
      <rPr>
        <sz val="10"/>
        <color rgb="FF000000"/>
        <rFont val="Times New Roman"/>
        <family val="1"/>
      </rPr>
      <t>6.0.4Taiwan EPA GHG coefficient table 6.0.4</t>
    </r>
    <phoneticPr fontId="0" type="noConversion"/>
  </si>
  <si>
    <r>
      <rPr>
        <sz val="10"/>
        <color rgb="FF000000"/>
        <rFont val="PMingLiU"/>
        <family val="1"/>
      </rPr>
      <t>移動式空氣清靜機</t>
    </r>
    <r>
      <rPr>
        <sz val="10"/>
        <color rgb="FF000000"/>
        <rFont val="Times New Roman"/>
        <family val="1"/>
      </rPr>
      <t>(</t>
    </r>
    <r>
      <rPr>
        <sz val="10"/>
        <color rgb="FF000000"/>
        <rFont val="PMingLiU"/>
        <family val="1"/>
      </rPr>
      <t>空氣清淨機</t>
    </r>
    <r>
      <rPr>
        <sz val="10"/>
        <color rgb="FF000000"/>
        <rFont val="Times New Roman"/>
        <family val="1"/>
      </rPr>
      <t>)</t>
    </r>
    <r>
      <rPr>
        <sz val="10"/>
        <color rgb="FF000000"/>
        <rFont val="Times New Roman"/>
        <family val="1"/>
      </rPr>
      <t>Mobile A/C</t>
    </r>
    <phoneticPr fontId="0" type="noConversion"/>
  </si>
  <si>
    <r>
      <rPr>
        <sz val="10"/>
        <color rgb="FF000000"/>
        <rFont val="Times New Roman"/>
        <family val="1"/>
      </rPr>
      <t>KgHFCs/Kg</t>
    </r>
    <phoneticPr fontId="0" type="noConversion"/>
  </si>
  <si>
    <r>
      <rPr>
        <sz val="10"/>
        <color rgb="FF000000"/>
        <rFont val="PMingLiU"/>
        <family val="1"/>
      </rPr>
      <t>環保署排放係管理表</t>
    </r>
    <r>
      <rPr>
        <sz val="10"/>
        <color rgb="FF000000"/>
        <rFont val="Times New Roman"/>
        <family val="1"/>
      </rPr>
      <t>6.0.4Taiwan EPA GHG coefficient table 6.0.4</t>
    </r>
    <phoneticPr fontId="0" type="noConversion"/>
  </si>
  <si>
    <t>預設逸散率Default</t>
  </si>
  <si>
    <r>
      <rPr>
        <sz val="12"/>
        <color rgb="FF000000"/>
        <rFont val="新細明體"/>
        <family val="1"/>
      </rPr>
      <t>自訂值 Custom Value</t>
    </r>
    <phoneticPr fontId="0" type="noConversion"/>
  </si>
  <si>
    <r>
      <rPr>
        <sz val="10"/>
        <color rgb="FF000000"/>
        <rFont val="PMingLiU"/>
        <family val="1"/>
      </rPr>
      <t>獨立商用冷凍、冷藏裝備Stand-alone Commercial Applications</t>
    </r>
    <phoneticPr fontId="0" type="noConversion"/>
  </si>
  <si>
    <r>
      <rPr>
        <sz val="10"/>
        <color rgb="FF000000"/>
        <rFont val="Times New Roman"/>
        <family val="1"/>
      </rPr>
      <t>KgHFCs/Kg</t>
    </r>
    <phoneticPr fontId="0" type="noConversion"/>
  </si>
  <si>
    <r>
      <rPr>
        <sz val="10"/>
        <color rgb="FF000000"/>
        <rFont val="PMingLiU"/>
        <family val="1"/>
      </rPr>
      <t>環保署排放係管理表</t>
    </r>
    <r>
      <rPr>
        <sz val="10"/>
        <color rgb="FF000000"/>
        <rFont val="Times New Roman"/>
        <family val="1"/>
      </rPr>
      <t>6.0.4Taiwan EPA GHG coefficient table 6.0.4</t>
    </r>
    <phoneticPr fontId="0" type="noConversion"/>
  </si>
  <si>
    <r>
      <rPr>
        <sz val="10"/>
        <color rgb="FF000000"/>
        <rFont val="PMingLiU"/>
        <family val="1"/>
      </rPr>
      <t>中、大型冷凍、冷藏裝備</t>
    </r>
    <r>
      <rPr>
        <sz val="10"/>
        <color rgb="FF000000"/>
        <rFont val="Times New Roman"/>
        <family val="1"/>
      </rPr>
      <t>Medium &amp; Large Commercial Refrigeration</t>
    </r>
    <phoneticPr fontId="0" type="noConversion"/>
  </si>
  <si>
    <r>
      <rPr>
        <sz val="10"/>
        <color rgb="FF000000"/>
        <rFont val="Times New Roman"/>
        <family val="1"/>
      </rPr>
      <t>KgHFCs/Kg</t>
    </r>
    <phoneticPr fontId="0" type="noConversion"/>
  </si>
  <si>
    <r>
      <rPr>
        <sz val="10"/>
        <color rgb="FF000000"/>
        <rFont val="PMingLiU"/>
        <family val="1"/>
      </rPr>
      <t>環保署排放係管理表</t>
    </r>
    <r>
      <rPr>
        <sz val="10"/>
        <color rgb="FF000000"/>
        <rFont val="Times New Roman"/>
        <family val="1"/>
      </rPr>
      <t>6.0.4Taiwan EPA GHG coefficient table 6.0.4</t>
    </r>
    <phoneticPr fontId="0" type="noConversion"/>
  </si>
  <si>
    <r>
      <rPr>
        <sz val="12"/>
        <color rgb="FF000000"/>
        <rFont val="PMingLiU"/>
        <family val="1"/>
      </rPr>
      <t>資料來源：</t>
    </r>
    <r>
      <rPr>
        <sz val="12"/>
        <color rgb="FF000000"/>
        <rFont val="Times New Roman"/>
        <family val="1"/>
      </rPr>
      <t>2006 IPCC Guidelines for National Greenhouse Gas Inventories, volume 3, chapter7, table 7.9</t>
    </r>
    <phoneticPr fontId="0" type="noConversion"/>
  </si>
  <si>
    <r>
      <rPr>
        <sz val="12"/>
        <color rgb="FF000000"/>
        <rFont val="Times New Roman"/>
        <family val="1"/>
      </rPr>
      <t xml:space="preserve">* </t>
    </r>
    <r>
      <rPr>
        <sz val="12"/>
        <color rgb="FF000000"/>
        <rFont val="標楷體"/>
        <family val="1"/>
      </rPr>
      <t>已開發國家</t>
    </r>
    <r>
      <rPr>
        <sz val="12"/>
        <color rgb="FF000000"/>
        <rFont val="Times New Roman"/>
        <family val="1"/>
      </rPr>
      <t>(developed countries)</t>
    </r>
    <r>
      <rPr>
        <sz val="12"/>
        <color rgb="FF000000"/>
        <rFont val="標楷體"/>
        <family val="1"/>
      </rPr>
      <t>使用低值；開發中國家</t>
    </r>
    <r>
      <rPr>
        <sz val="12"/>
        <color rgb="FF000000"/>
        <rFont val="Times New Roman"/>
        <family val="1"/>
      </rPr>
      <t>(developing countries)</t>
    </r>
    <r>
      <rPr>
        <sz val="12"/>
        <color rgb="FF000000"/>
        <rFont val="標楷體"/>
        <family val="1"/>
      </rPr>
      <t>使用高值</t>
    </r>
  </si>
  <si>
    <t>https://www.fpcc.com.tw/uploads/files/product/gasoline-safety-95plus.pdf</t>
  </si>
  <si>
    <t>自訂值 Custom Value</t>
  </si>
  <si>
    <t>Germany2022</t>
  </si>
  <si>
    <t>GermanyMarket-based2022</t>
  </si>
  <si>
    <t>GermanyUpstream2022</t>
  </si>
  <si>
    <t>GermanyT&amp;D2022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</si>
</sst>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 #,##0.00_-;_-* &quot;-&quot;??_-;_-@_-"/>
    <numFmt numFmtId="176" formatCode="_(* #,##0.00_);_(* \(#,##0.00\);_(* &quot;-&quot;??_);_(@_)"/>
    <numFmt numFmtId="177" formatCode="_-* #,##0.0_-;\-* #,##0.0_-;_-* &quot;-&quot;??_-;_-@_-"/>
    <numFmt numFmtId="178" formatCode="yyyy/m/d;@"/>
    <numFmt numFmtId="179" formatCode="0.0000;[Red]0.0000"/>
    <numFmt numFmtId="180" formatCode="0.0000000000;[Red]0.0000000000"/>
    <numFmt numFmtId="181" formatCode="0.0000000000"/>
    <numFmt numFmtId="182" formatCode="0.0000_ "/>
    <numFmt numFmtId="183" formatCode="0.0000000000_ "/>
    <numFmt numFmtId="184" formatCode="0.0000"/>
    <numFmt numFmtId="185" formatCode="0.000"/>
    <numFmt numFmtId="186" formatCode="0.00000"/>
  </numFmts>
  <fonts count="97">
    <font>
      <sz val="12"/>
      <name val="新細明體"/>
      <family val="1"/>
      <charset val="136"/>
    </font>
    <font>
      <sz val="10"/>
      <color theme="1"/>
      <name val="Arial"/>
      <family val="2"/>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name val="新細明體"/>
      <family val="1"/>
      <charset val="136"/>
    </font>
    <font>
      <sz val="10"/>
      <name val="Arial"/>
      <family val="2"/>
    </font>
    <font>
      <sz val="9"/>
      <name val="新細明體"/>
      <family val="1"/>
      <charset val="136"/>
    </font>
    <font>
      <sz val="10"/>
      <name val="微軟正黑體"/>
      <family val="2"/>
      <charset val="136"/>
    </font>
    <font>
      <sz val="10"/>
      <color indexed="12"/>
      <name val="微軟正黑體"/>
      <family val="2"/>
      <charset val="136"/>
    </font>
    <font>
      <sz val="12"/>
      <color rgb="FF000000"/>
      <name val="新細明體"/>
      <family val="1"/>
      <charset val="136"/>
    </font>
    <font>
      <sz val="10"/>
      <color rgb="FF000000"/>
      <name val="Times New Roman"/>
      <family val="1"/>
    </font>
    <font>
      <sz val="10"/>
      <color rgb="FF000000"/>
      <name val="PMingLiU"/>
      <family val="1"/>
      <charset val="136"/>
    </font>
    <font>
      <sz val="12"/>
      <color rgb="FF000000"/>
      <name val="Times New Roman"/>
      <family val="1"/>
    </font>
    <font>
      <sz val="12"/>
      <color rgb="FF000000"/>
      <name val="PMingLiU"/>
      <family val="1"/>
      <charset val="136"/>
    </font>
    <font>
      <sz val="12"/>
      <color rgb="FFFF0000"/>
      <name val="微軟正黑體"/>
      <family val="2"/>
      <charset val="136"/>
    </font>
    <font>
      <u/>
      <sz val="12"/>
      <color indexed="12"/>
      <name val="新細明體"/>
      <family val="1"/>
      <charset val="136"/>
    </font>
    <font>
      <b/>
      <sz val="18"/>
      <color theme="1"/>
      <name val="微軟正黑體"/>
      <family val="2"/>
      <charset val="136"/>
    </font>
    <font>
      <sz val="12"/>
      <color theme="1"/>
      <name val="微軟正黑體"/>
      <family val="2"/>
      <charset val="136"/>
    </font>
    <font>
      <b/>
      <sz val="12"/>
      <color theme="1"/>
      <name val="微軟正黑體"/>
      <family val="2"/>
      <charset val="136"/>
    </font>
    <font>
      <u/>
      <sz val="12"/>
      <color theme="10"/>
      <name val="新細明體"/>
      <family val="2"/>
      <charset val="136"/>
      <scheme val="minor"/>
    </font>
    <font>
      <sz val="12"/>
      <color theme="1"/>
      <name val="新細明體"/>
      <family val="2"/>
      <charset val="134"/>
      <scheme val="minor"/>
    </font>
    <font>
      <b/>
      <sz val="16"/>
      <color theme="1"/>
      <name val="微軟正黑體"/>
      <family val="2"/>
      <charset val="136"/>
    </font>
    <font>
      <b/>
      <sz val="16"/>
      <color rgb="FF0000FF"/>
      <name val="微軟正黑體"/>
      <family val="2"/>
      <charset val="136"/>
    </font>
    <font>
      <sz val="12"/>
      <color theme="1"/>
      <name val="新細明體"/>
      <family val="1"/>
      <charset val="136"/>
      <scheme val="minor"/>
    </font>
    <font>
      <sz val="10"/>
      <color indexed="8"/>
      <name val="MS Sans Serif"/>
      <family val="2"/>
    </font>
    <font>
      <sz val="11"/>
      <color theme="1"/>
      <name val="新細明體"/>
      <family val="1"/>
      <charset val="136"/>
      <scheme val="minor"/>
    </font>
    <font>
      <sz val="11"/>
      <color theme="1"/>
      <name val="新細明體"/>
      <family val="2"/>
      <scheme val="minor"/>
    </font>
    <font>
      <u/>
      <sz val="11"/>
      <color theme="10"/>
      <name val="新細明體"/>
      <family val="1"/>
      <charset val="136"/>
      <scheme val="minor"/>
    </font>
    <font>
      <u/>
      <sz val="12"/>
      <color theme="10"/>
      <name val="新細明體"/>
      <family val="1"/>
      <charset val="136"/>
    </font>
    <font>
      <sz val="12"/>
      <color theme="1"/>
      <name val="Microsoft JhengHei Light"/>
      <family val="2"/>
      <charset val="136"/>
    </font>
    <font>
      <sz val="10"/>
      <color theme="1"/>
      <name val="Microsoft JhengHei Light"/>
      <family val="2"/>
      <charset val="136"/>
    </font>
    <font>
      <b/>
      <sz val="12"/>
      <color theme="1"/>
      <name val="Microsoft JhengHei Light"/>
      <family val="2"/>
      <charset val="136"/>
    </font>
    <font>
      <b/>
      <sz val="10"/>
      <name val="Microsoft JhengHei Light"/>
      <family val="2"/>
      <charset val="136"/>
    </font>
    <font>
      <sz val="12"/>
      <color indexed="8"/>
      <name val="Calibri"/>
      <family val="2"/>
    </font>
    <font>
      <b/>
      <sz val="10"/>
      <color indexed="8"/>
      <name val="Microsoft JhengHei Light"/>
      <family val="2"/>
      <charset val="136"/>
    </font>
    <font>
      <sz val="10"/>
      <name val="Microsoft JhengHei Light"/>
      <family val="2"/>
      <charset val="136"/>
    </font>
    <font>
      <sz val="12"/>
      <color theme="1"/>
      <name val="Times New Roman"/>
      <family val="1"/>
    </font>
    <font>
      <sz val="12"/>
      <name val="微軟正黑體"/>
      <family val="2"/>
      <charset val="136"/>
    </font>
    <font>
      <u/>
      <sz val="12"/>
      <color theme="10"/>
      <name val="微軟正黑體"/>
      <family val="2"/>
      <charset val="136"/>
    </font>
    <font>
      <b/>
      <sz val="10"/>
      <color rgb="FF0000FF"/>
      <name val="Microsoft JhengHei Light"/>
      <family val="2"/>
      <charset val="136"/>
    </font>
    <font>
      <b/>
      <sz val="10"/>
      <color theme="1"/>
      <name val="微軟正黑體"/>
      <family val="2"/>
      <charset val="136"/>
    </font>
    <font>
      <sz val="12"/>
      <color indexed="12"/>
      <name val="微軟正黑體"/>
      <family val="2"/>
      <charset val="136"/>
    </font>
    <font>
      <sz val="12"/>
      <color rgb="FF0000D4"/>
      <name val="微軟正黑體"/>
      <family val="2"/>
      <charset val="136"/>
    </font>
    <font>
      <sz val="10"/>
      <color rgb="FF0000D4"/>
      <name val="微軟正黑體"/>
      <family val="2"/>
      <charset val="136"/>
    </font>
    <font>
      <b/>
      <sz val="12"/>
      <name val="微軟正黑體"/>
      <family val="2"/>
      <charset val="136"/>
    </font>
    <font>
      <b/>
      <sz val="12"/>
      <color indexed="8"/>
      <name val="微軟正黑體"/>
      <family val="2"/>
      <charset val="136"/>
    </font>
    <font>
      <b/>
      <sz val="14"/>
      <color theme="1"/>
      <name val="微軟正黑體"/>
      <family val="2"/>
      <charset val="136"/>
    </font>
    <font>
      <sz val="12"/>
      <color rgb="FF000000"/>
      <name val="Microsoft JhengHei Light"/>
      <family val="2"/>
      <charset val="136"/>
    </font>
    <font>
      <sz val="10"/>
      <color indexed="12"/>
      <name val="Microsoft JhengHei Light"/>
      <family val="2"/>
      <charset val="136"/>
    </font>
    <font>
      <sz val="10"/>
      <color rgb="FF0000D4"/>
      <name val="Microsoft JhengHei Light"/>
      <family val="2"/>
      <charset val="136"/>
    </font>
    <font>
      <b/>
      <sz val="10"/>
      <color theme="1"/>
      <name val="Arial"/>
      <family val="2"/>
    </font>
    <font>
      <b/>
      <sz val="16"/>
      <color theme="1"/>
      <name val="Microsoft JhengHei Light"/>
      <family val="2"/>
      <charset val="136"/>
    </font>
    <font>
      <b/>
      <sz val="18"/>
      <name val="Microsoft JhengHei Light"/>
      <family val="2"/>
      <charset val="136"/>
    </font>
    <font>
      <b/>
      <sz val="10"/>
      <color theme="1"/>
      <name val="Microsoft JhengHei Light"/>
      <family val="2"/>
      <charset val="136"/>
    </font>
    <font>
      <sz val="12"/>
      <color rgb="FF0000FF"/>
      <name val="微軟正黑體"/>
      <family val="2"/>
      <charset val="136"/>
    </font>
    <font>
      <b/>
      <sz val="10"/>
      <color theme="0"/>
      <name val="微軟正黑體"/>
      <family val="2"/>
      <charset val="136"/>
    </font>
    <font>
      <sz val="9"/>
      <color rgb="FF2D333D"/>
      <name val="Source Sans Pro"/>
      <family val="2"/>
    </font>
    <font>
      <u/>
      <sz val="11"/>
      <color theme="10"/>
      <name val="新細明體"/>
      <family val="2"/>
      <scheme val="minor"/>
    </font>
    <font>
      <b/>
      <sz val="12"/>
      <color theme="0"/>
      <name val="微軟正黑體"/>
      <family val="2"/>
      <charset val="136"/>
    </font>
    <font>
      <sz val="12"/>
      <color rgb="FFFF0000"/>
      <name val="Microsoft JhengHei Light"/>
      <family val="2"/>
      <charset val="136"/>
    </font>
    <font>
      <b/>
      <sz val="12"/>
      <color rgb="FF000000"/>
      <name val="微軟正黑體"/>
      <family val="2"/>
    </font>
    <font>
      <sz val="12"/>
      <color rgb="FF000000"/>
      <name val="微軟正黑體"/>
      <family val="2"/>
    </font>
    <font>
      <sz val="12"/>
      <color rgb="FF000000"/>
      <name val="新細明體"/>
      <family val="1"/>
    </font>
    <font>
      <sz val="12"/>
      <color theme="1"/>
      <name val="微軟正黑體"/>
      <family val="2"/>
    </font>
    <font>
      <sz val="12"/>
      <color rgb="FF000000"/>
      <name val="Microsoft JhengHei Light"/>
      <family val="2"/>
    </font>
    <font>
      <b/>
      <sz val="12"/>
      <color theme="1"/>
      <name val="微軟正黑體"/>
      <family val="2"/>
    </font>
    <font>
      <b/>
      <sz val="18"/>
      <color theme="1"/>
      <name val="微軟正黑體"/>
      <family val="2"/>
    </font>
    <font>
      <b/>
      <sz val="12"/>
      <color indexed="8"/>
      <name val="微軟正黑體"/>
      <family val="2"/>
    </font>
    <font>
      <b/>
      <sz val="14"/>
      <color theme="1"/>
      <name val="微軟正黑體"/>
      <family val="2"/>
    </font>
    <font>
      <b/>
      <vertAlign val="subscript"/>
      <sz val="12"/>
      <color rgb="FF000000"/>
      <name val="微軟正黑體"/>
      <family val="2"/>
    </font>
    <font>
      <vertAlign val="subscript"/>
      <sz val="12"/>
      <color theme="1"/>
      <name val="微軟正黑體"/>
      <family val="2"/>
    </font>
    <font>
      <vertAlign val="subscript"/>
      <sz val="12"/>
      <color rgb="FF000000"/>
      <name val="微軟正黑體"/>
      <family val="2"/>
    </font>
    <font>
      <b/>
      <sz val="18"/>
      <color rgb="FF000000"/>
      <name val="Microsoft JhengHei Light"/>
      <family val="2"/>
    </font>
    <font>
      <b/>
      <sz val="10"/>
      <color indexed="8"/>
      <name val="Microsoft JhengHei Light"/>
      <family val="2"/>
    </font>
    <font>
      <b/>
      <sz val="10"/>
      <color rgb="FF000000"/>
      <name val="Microsoft JhengHei Light"/>
      <family val="2"/>
    </font>
    <font>
      <sz val="10"/>
      <color rgb="FF000000"/>
      <name val="Microsoft JhengHei Light"/>
      <family val="2"/>
    </font>
    <font>
      <b/>
      <sz val="16"/>
      <color theme="1"/>
      <name val="Microsoft JhengHei Light"/>
      <family val="2"/>
    </font>
    <font>
      <b/>
      <sz val="10"/>
      <color theme="1"/>
      <name val="Microsoft JhengHei Light"/>
      <family val="2"/>
    </font>
    <font>
      <b/>
      <sz val="12"/>
      <color theme="1"/>
      <name val="Microsoft JhengHei Light"/>
      <family val="2"/>
    </font>
    <font>
      <b/>
      <sz val="10"/>
      <color theme="1"/>
      <name val="微軟正黑體"/>
      <family val="2"/>
    </font>
    <font>
      <sz val="12"/>
      <color rgb="FFFF0000"/>
      <name val="Microsoft JhengHei Light"/>
      <family val="2"/>
    </font>
    <font>
      <sz val="10"/>
      <color rgb="FF000000"/>
      <name val="PMingLiU"/>
      <family val="1"/>
    </font>
    <font>
      <sz val="12"/>
      <color rgb="FF000000"/>
      <name val="PMingLiU"/>
      <family val="1"/>
    </font>
    <font>
      <sz val="12"/>
      <color rgb="FF000000"/>
      <name val="標楷體"/>
      <family val="1"/>
    </font>
    <font>
      <b/>
      <sz val="10"/>
      <color theme="0"/>
      <name val="微軟正黑體"/>
      <family val="2"/>
    </font>
    <font>
      <sz val="12"/>
      <color indexed="12"/>
      <name val="微軟正黑體"/>
      <family val="2"/>
    </font>
    <font>
      <u/>
      <sz val="12"/>
      <color theme="10"/>
      <name val="新細明體"/>
      <family val="1"/>
    </font>
    <font>
      <sz val="12"/>
      <color theme="0"/>
      <name val="Microsoft JhengHei Light"/>
      <family val="2"/>
      <charset val="136"/>
    </font>
    <font>
      <sz val="12"/>
      <color theme="0"/>
      <name val="新細明體"/>
      <family val="1"/>
      <charset val="136"/>
    </font>
    <font>
      <sz val="12"/>
      <color rgb="FF58595B"/>
      <name val="Times New Roman"/>
      <family val="1"/>
    </font>
    <font>
      <u/>
      <sz val="12"/>
      <color theme="10"/>
      <name val="新細明體"/>
      <family val="2"/>
    </font>
  </fonts>
  <fills count="19">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theme="0" tint="-0.14999847407452621"/>
        <bgColor indexed="64"/>
      </patternFill>
    </fill>
    <fill>
      <patternFill patternType="solid">
        <fgColor theme="6" tint="0.39997558519241921"/>
        <bgColor indexed="64"/>
      </patternFill>
    </fill>
    <fill>
      <patternFill patternType="solid">
        <fgColor rgb="FFCCFF66"/>
        <bgColor rgb="FFCCFF66"/>
      </patternFill>
    </fill>
    <fill>
      <patternFill patternType="solid">
        <fgColor rgb="FFFFFF00"/>
        <bgColor indexed="64"/>
      </patternFill>
    </fill>
    <fill>
      <patternFill patternType="solid">
        <fgColor theme="0"/>
        <bgColor indexed="64"/>
      </patternFill>
    </fill>
    <fill>
      <patternFill patternType="solid">
        <fgColor rgb="FFFFFFCC"/>
      </patternFill>
    </fill>
    <fill>
      <patternFill patternType="solid">
        <fgColor theme="6" tint="0.59999389629810485"/>
        <bgColor indexed="64"/>
      </patternFill>
    </fill>
    <fill>
      <patternFill patternType="solid">
        <fgColor rgb="FF92D050"/>
        <bgColor indexed="64"/>
      </patternFill>
    </fill>
    <fill>
      <patternFill patternType="solid">
        <fgColor theme="6" tint="0.79998168889431442"/>
        <bgColor indexed="64"/>
      </patternFill>
    </fill>
    <fill>
      <patternFill patternType="solid">
        <fgColor rgb="FFE7E6E6"/>
        <bgColor indexed="64"/>
      </patternFill>
    </fill>
    <fill>
      <patternFill patternType="solid">
        <fgColor rgb="FFFFFFFF"/>
        <bgColor indexed="64"/>
      </patternFill>
    </fill>
    <fill>
      <patternFill patternType="solid">
        <fgColor theme="4" tint="0.59999389629810485"/>
        <bgColor indexed="64"/>
      </patternFill>
    </fill>
    <fill>
      <patternFill patternType="solid">
        <fgColor theme="4"/>
        <bgColor theme="4"/>
      </patternFill>
    </fill>
    <fill>
      <patternFill patternType="solid">
        <fgColor theme="4" tint="0.79998168889431442"/>
        <bgColor indexed="65"/>
      </patternFill>
    </fill>
    <fill>
      <patternFill patternType="solid">
        <fgColor rgb="FFFFC000"/>
        <bgColor indexed="64"/>
      </patternFill>
    </fill>
  </fills>
  <borders count="83">
    <border>
      <left/>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bottom style="thin">
        <color auto="1"/>
      </bottom>
      <diagonal/>
    </border>
    <border>
      <left/>
      <right style="thin">
        <color auto="1"/>
      </right>
      <top/>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medium">
        <color indexed="64"/>
      </top>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auto="1"/>
      </left>
      <right/>
      <top style="medium">
        <color indexed="64"/>
      </top>
      <bottom/>
      <diagonal/>
    </border>
    <border>
      <left/>
      <right/>
      <top style="medium">
        <color indexed="64"/>
      </top>
      <bottom/>
      <diagonal/>
    </border>
    <border>
      <left/>
      <right style="thin">
        <color auto="1"/>
      </right>
      <top style="medium">
        <color indexed="64"/>
      </top>
      <bottom/>
      <diagonal/>
    </border>
    <border>
      <left style="thin">
        <color auto="1"/>
      </left>
      <right/>
      <top style="medium">
        <color indexed="64"/>
      </top>
      <bottom style="thin">
        <color auto="1"/>
      </bottom>
      <diagonal/>
    </border>
    <border>
      <left style="thin">
        <color auto="1"/>
      </left>
      <right/>
      <top/>
      <bottom style="medium">
        <color indexed="64"/>
      </bottom>
      <diagonal/>
    </border>
    <border>
      <left/>
      <right/>
      <top/>
      <bottom style="medium">
        <color indexed="64"/>
      </bottom>
      <diagonal/>
    </border>
    <border>
      <left/>
      <right style="thin">
        <color auto="1"/>
      </right>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n">
        <color auto="1"/>
      </right>
      <top style="medium">
        <color auto="1"/>
      </top>
      <bottom style="thin">
        <color auto="1"/>
      </bottom>
      <diagonal/>
    </border>
    <border>
      <left style="medium">
        <color auto="1"/>
      </left>
      <right style="thin">
        <color auto="1"/>
      </right>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top style="medium">
        <color indexed="64"/>
      </top>
      <bottom style="thin">
        <color auto="1"/>
      </bottom>
      <diagonal/>
    </border>
    <border>
      <left/>
      <right/>
      <top style="thin">
        <color auto="1"/>
      </top>
      <bottom style="medium">
        <color indexed="64"/>
      </bottom>
      <diagonal/>
    </border>
    <border>
      <left style="medium">
        <color auto="1"/>
      </left>
      <right style="thin">
        <color auto="1"/>
      </right>
      <top style="thin">
        <color auto="1"/>
      </top>
      <bottom/>
      <diagonal/>
    </border>
    <border>
      <left style="medium">
        <color auto="1"/>
      </left>
      <right style="thin">
        <color auto="1"/>
      </right>
      <top/>
      <bottom/>
      <diagonal/>
    </border>
    <border>
      <left/>
      <right style="medium">
        <color indexed="64"/>
      </right>
      <top/>
      <bottom/>
      <diagonal/>
    </border>
    <border>
      <left style="thin">
        <color auto="1"/>
      </left>
      <right style="medium">
        <color indexed="64"/>
      </right>
      <top/>
      <bottom/>
      <diagonal/>
    </border>
    <border>
      <left style="thin">
        <color auto="1"/>
      </left>
      <right style="thin">
        <color auto="1"/>
      </right>
      <top/>
      <bottom style="medium">
        <color indexed="64"/>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indexed="64"/>
      </left>
      <right/>
      <top style="thin">
        <color auto="1"/>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auto="1"/>
      </left>
      <right style="thin">
        <color auto="1"/>
      </right>
      <top style="medium">
        <color indexed="64"/>
      </top>
      <bottom/>
      <diagonal/>
    </border>
    <border>
      <left/>
      <right style="medium">
        <color auto="1"/>
      </right>
      <top style="thin">
        <color auto="1"/>
      </top>
      <bottom style="thin">
        <color auto="1"/>
      </bottom>
      <diagonal/>
    </border>
    <border>
      <left/>
      <right style="medium">
        <color indexed="64"/>
      </right>
      <top style="thin">
        <color auto="1"/>
      </top>
      <bottom style="medium">
        <color indexed="64"/>
      </bottom>
      <diagonal/>
    </border>
    <border>
      <left style="medium">
        <color auto="1"/>
      </left>
      <right style="thin">
        <color auto="1"/>
      </right>
      <top/>
      <bottom style="medium">
        <color auto="1"/>
      </bottom>
      <diagonal/>
    </border>
    <border>
      <left style="thin">
        <color auto="1"/>
      </left>
      <right style="medium">
        <color auto="1"/>
      </right>
      <top style="medium">
        <color auto="1"/>
      </top>
      <bottom/>
      <diagonal/>
    </border>
    <border>
      <left style="medium">
        <color auto="1"/>
      </left>
      <right/>
      <top/>
      <bottom style="thin">
        <color auto="1"/>
      </bottom>
      <diagonal/>
    </border>
    <border>
      <left/>
      <right style="medium">
        <color indexed="64"/>
      </right>
      <top style="medium">
        <color indexed="64"/>
      </top>
      <bottom style="thin">
        <color auto="1"/>
      </bottom>
      <diagonal/>
    </border>
    <border>
      <left style="thin">
        <color auto="1"/>
      </left>
      <right style="medium">
        <color indexed="64"/>
      </right>
      <top style="thin">
        <color auto="1"/>
      </top>
      <bottom/>
      <diagonal/>
    </border>
    <border>
      <left style="thin">
        <color auto="1"/>
      </left>
      <right style="medium">
        <color indexed="64"/>
      </right>
      <top/>
      <bottom style="medium">
        <color indexed="64"/>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thin">
        <color rgb="FF000000"/>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medium">
        <color indexed="64"/>
      </bottom>
      <diagonal/>
    </border>
    <border>
      <left/>
      <right style="thin">
        <color theme="0"/>
      </right>
      <top/>
      <bottom style="thick">
        <color theme="0"/>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medium">
        <color indexed="64"/>
      </left>
      <right/>
      <top style="thin">
        <color auto="1"/>
      </top>
      <bottom/>
      <diagonal/>
    </border>
    <border>
      <left/>
      <right style="medium">
        <color indexed="64"/>
      </right>
      <top/>
      <bottom style="thin">
        <color auto="1"/>
      </bottom>
      <diagonal/>
    </border>
  </borders>
  <cellStyleXfs count="39">
    <xf numFmtId="0" fontId="0" fillId="0" borderId="0">
      <alignment vertical="center"/>
    </xf>
    <xf numFmtId="0" fontId="10" fillId="0" borderId="0"/>
    <xf numFmtId="0" fontId="11" fillId="2" borderId="1"/>
    <xf numFmtId="0" fontId="10" fillId="0" borderId="0"/>
    <xf numFmtId="0" fontId="10" fillId="0" borderId="0"/>
    <xf numFmtId="0" fontId="15" fillId="0" borderId="0"/>
    <xf numFmtId="0" fontId="21" fillId="0" borderId="0" applyNumberFormat="0" applyFill="0" applyBorder="0" applyAlignment="0" applyProtection="0">
      <alignment vertical="top"/>
      <protection locked="0"/>
    </xf>
    <xf numFmtId="0" fontId="9" fillId="0" borderId="0">
      <alignment vertical="center"/>
    </xf>
    <xf numFmtId="43" fontId="9" fillId="0" borderId="0" applyFont="0" applyFill="0" applyBorder="0" applyAlignment="0" applyProtection="0">
      <alignment vertical="center"/>
    </xf>
    <xf numFmtId="0" fontId="25" fillId="0" borderId="0" applyNumberFormat="0" applyFill="0" applyBorder="0" applyAlignment="0" applyProtection="0">
      <alignment vertical="center"/>
    </xf>
    <xf numFmtId="9" fontId="9" fillId="0" borderId="0" applyFont="0" applyFill="0" applyBorder="0" applyAlignment="0" applyProtection="0">
      <alignment vertical="center"/>
    </xf>
    <xf numFmtId="0" fontId="9" fillId="9" borderId="23" applyNumberFormat="0" applyFont="0" applyAlignment="0" applyProtection="0">
      <alignment vertical="center"/>
    </xf>
    <xf numFmtId="0" fontId="26" fillId="0" borderId="0">
      <alignment vertical="center"/>
    </xf>
    <xf numFmtId="0" fontId="30" fillId="0" borderId="0"/>
    <xf numFmtId="0" fontId="31" fillId="0" borderId="0"/>
    <xf numFmtId="0" fontId="30" fillId="0" borderId="0"/>
    <xf numFmtId="0" fontId="30" fillId="0" borderId="0" applyNumberFormat="0" applyFont="0" applyFill="0" applyBorder="0" applyProtection="0">
      <alignment vertical="center"/>
    </xf>
    <xf numFmtId="0" fontId="32" fillId="0" borderId="0"/>
    <xf numFmtId="0" fontId="33" fillId="0" borderId="0" applyNumberFormat="0" applyFill="0" applyBorder="0" applyAlignment="0" applyProtection="0"/>
    <xf numFmtId="0" fontId="10" fillId="0" borderId="0">
      <alignment vertical="center"/>
    </xf>
    <xf numFmtId="0" fontId="10" fillId="0" borderId="0">
      <alignment vertical="center"/>
    </xf>
    <xf numFmtId="0" fontId="29" fillId="0" borderId="0">
      <alignment vertical="center"/>
    </xf>
    <xf numFmtId="0" fontId="8" fillId="0" borderId="0">
      <alignment vertical="center"/>
    </xf>
    <xf numFmtId="43" fontId="19" fillId="0" borderId="0" applyFont="0" applyFill="0" applyBorder="0" applyAlignment="0" applyProtection="0">
      <alignment vertical="center"/>
    </xf>
    <xf numFmtId="0" fontId="34" fillId="0" borderId="0" applyNumberFormat="0" applyFill="0" applyBorder="0" applyAlignment="0" applyProtection="0">
      <alignment vertical="center"/>
    </xf>
    <xf numFmtId="0" fontId="10" fillId="0" borderId="0">
      <alignment vertical="center"/>
    </xf>
    <xf numFmtId="0" fontId="7" fillId="0" borderId="0">
      <alignment vertical="center"/>
    </xf>
    <xf numFmtId="0" fontId="29" fillId="0" borderId="0">
      <alignment vertical="center"/>
    </xf>
    <xf numFmtId="0" fontId="6" fillId="0" borderId="0">
      <alignment vertical="center"/>
    </xf>
    <xf numFmtId="0" fontId="5" fillId="0" borderId="0">
      <alignment vertical="center"/>
    </xf>
    <xf numFmtId="43" fontId="5" fillId="0" borderId="0" applyFont="0" applyFill="0" applyBorder="0" applyAlignment="0" applyProtection="0">
      <alignment vertical="center"/>
    </xf>
    <xf numFmtId="0" fontId="4" fillId="0" borderId="0">
      <alignment vertical="center"/>
    </xf>
    <xf numFmtId="176" fontId="39" fillId="0" borderId="0" applyFont="0" applyFill="0" applyBorder="0" applyAlignment="0" applyProtection="0"/>
    <xf numFmtId="0" fontId="10" fillId="0" borderId="0"/>
    <xf numFmtId="0" fontId="3" fillId="0" borderId="0">
      <alignment vertical="center"/>
    </xf>
    <xf numFmtId="0" fontId="2" fillId="0" borderId="0">
      <alignment vertical="center"/>
    </xf>
    <xf numFmtId="0" fontId="11" fillId="0" borderId="0"/>
    <xf numFmtId="0" fontId="63" fillId="0" borderId="0" applyNumberFormat="0" applyFill="0" applyBorder="0" applyAlignment="0" applyProtection="0"/>
    <xf numFmtId="0" fontId="11" fillId="0" borderId="0"/>
  </cellStyleXfs>
  <cellXfs count="820">
    <xf numFmtId="0" fontId="0" fillId="0" borderId="0" xfId="0">
      <alignment vertical="center"/>
    </xf>
    <xf numFmtId="186" fontId="35" fillId="0" borderId="17" xfId="31" applyNumberFormat="1" applyFont="1" applyBorder="1" applyProtection="1">
      <alignment vertical="center"/>
      <protection hidden="1"/>
    </xf>
    <xf numFmtId="186" fontId="35" fillId="0" borderId="20" xfId="31" applyNumberFormat="1" applyFont="1" applyBorder="1" applyProtection="1">
      <alignment vertical="center"/>
      <protection hidden="1"/>
    </xf>
    <xf numFmtId="0" fontId="59" fillId="0" borderId="1" xfId="0" applyFont="1" applyBorder="1" applyAlignment="1" applyProtection="1">
      <alignment horizontal="center" vertical="center"/>
      <protection hidden="1"/>
    </xf>
    <xf numFmtId="0" fontId="41" fillId="0" borderId="0" xfId="0" applyFont="1" applyAlignment="1" applyProtection="1">
      <alignment horizontal="left" vertical="center"/>
      <protection hidden="1"/>
    </xf>
    <xf numFmtId="0" fontId="34" fillId="0" borderId="0" xfId="24">
      <alignment vertical="center"/>
    </xf>
    <xf numFmtId="0" fontId="18" fillId="0" borderId="0" xfId="0" applyFont="1">
      <alignment vertical="center"/>
    </xf>
    <xf numFmtId="0" fontId="20" fillId="0" borderId="0" xfId="4" applyFont="1" applyAlignment="1" applyProtection="1">
      <alignment vertical="center"/>
      <protection hidden="1"/>
    </xf>
    <xf numFmtId="181" fontId="23" fillId="0" borderId="0" xfId="4" applyNumberFormat="1" applyFont="1" applyAlignment="1" applyProtection="1">
      <alignment horizontal="center" vertical="center"/>
      <protection hidden="1"/>
    </xf>
    <xf numFmtId="0" fontId="23" fillId="0" borderId="0" xfId="4" applyFont="1" applyAlignment="1" applyProtection="1">
      <alignment horizontal="center" vertical="center"/>
      <protection hidden="1"/>
    </xf>
    <xf numFmtId="181" fontId="23" fillId="0" borderId="44" xfId="4" applyNumberFormat="1" applyFont="1" applyBorder="1" applyAlignment="1" applyProtection="1">
      <alignment horizontal="center" vertical="center"/>
      <protection hidden="1"/>
    </xf>
    <xf numFmtId="181" fontId="23" fillId="0" borderId="48" xfId="4" applyNumberFormat="1" applyFont="1" applyBorder="1" applyAlignment="1" applyProtection="1">
      <alignment horizontal="center" vertical="center"/>
      <protection hidden="1"/>
    </xf>
    <xf numFmtId="181" fontId="23" fillId="0" borderId="13" xfId="4" applyNumberFormat="1" applyFont="1" applyBorder="1" applyAlignment="1" applyProtection="1">
      <alignment horizontal="center" vertical="center"/>
      <protection hidden="1"/>
    </xf>
    <xf numFmtId="0" fontId="23" fillId="0" borderId="13" xfId="4" applyFont="1" applyBorder="1" applyAlignment="1" applyProtection="1">
      <alignment horizontal="center" vertical="center"/>
      <protection hidden="1"/>
    </xf>
    <xf numFmtId="0" fontId="24" fillId="0" borderId="0" xfId="4" applyFont="1" applyAlignment="1" applyProtection="1">
      <alignment horizontal="center" vertical="center"/>
      <protection hidden="1"/>
    </xf>
    <xf numFmtId="0" fontId="20" fillId="0" borderId="0" xfId="4" applyFont="1" applyAlignment="1" applyProtection="1">
      <alignment horizontal="center" vertical="center"/>
      <protection hidden="1"/>
    </xf>
    <xf numFmtId="0" fontId="14" fillId="0" borderId="0" xfId="0" applyFont="1" applyAlignment="1" applyProtection="1">
      <alignment vertical="center" wrapText="1"/>
      <protection hidden="1"/>
    </xf>
    <xf numFmtId="0" fontId="22" fillId="0" borderId="0" xfId="4" applyFont="1" applyAlignment="1" applyProtection="1">
      <alignment horizontal="left" vertical="center"/>
      <protection hidden="1"/>
    </xf>
    <xf numFmtId="0" fontId="27" fillId="0" borderId="0" xfId="4" applyFont="1" applyAlignment="1" applyProtection="1">
      <alignment horizontal="center" vertical="center"/>
      <protection hidden="1"/>
    </xf>
    <xf numFmtId="0" fontId="28" fillId="0" borderId="0" xfId="4" applyFont="1" applyAlignment="1" applyProtection="1">
      <alignment horizontal="center" vertical="center"/>
      <protection hidden="1"/>
    </xf>
    <xf numFmtId="0" fontId="23" fillId="0" borderId="0" xfId="4" applyFont="1" applyAlignment="1" applyProtection="1">
      <alignment vertical="center"/>
      <protection hidden="1"/>
    </xf>
    <xf numFmtId="0" fontId="24" fillId="0" borderId="0" xfId="4" applyFont="1" applyAlignment="1" applyProtection="1">
      <alignment horizontal="left" vertical="center"/>
      <protection hidden="1"/>
    </xf>
    <xf numFmtId="0" fontId="23" fillId="0" borderId="7" xfId="4" applyFont="1" applyBorder="1" applyAlignment="1" applyProtection="1">
      <alignment horizontal="center" vertical="center"/>
      <protection locked="0" hidden="1"/>
    </xf>
    <xf numFmtId="183" fontId="23" fillId="0" borderId="3" xfId="4" applyNumberFormat="1" applyFont="1" applyBorder="1" applyAlignment="1" applyProtection="1">
      <alignment horizontal="center" vertical="center"/>
      <protection locked="0" hidden="1"/>
    </xf>
    <xf numFmtId="183" fontId="23" fillId="0" borderId="2" xfId="4" applyNumberFormat="1" applyFont="1" applyBorder="1" applyAlignment="1" applyProtection="1">
      <alignment horizontal="center" vertical="center"/>
      <protection locked="0" hidden="1"/>
    </xf>
    <xf numFmtId="183" fontId="23" fillId="0" borderId="19" xfId="4" applyNumberFormat="1" applyFont="1" applyBorder="1" applyAlignment="1" applyProtection="1">
      <alignment horizontal="center" vertical="center"/>
      <protection locked="0" hidden="1"/>
    </xf>
    <xf numFmtId="183" fontId="23" fillId="0" borderId="15" xfId="4" applyNumberFormat="1" applyFont="1" applyBorder="1" applyAlignment="1" applyProtection="1">
      <alignment horizontal="center" vertical="center"/>
      <protection locked="0" hidden="1"/>
    </xf>
    <xf numFmtId="0" fontId="23" fillId="0" borderId="20" xfId="4" applyFont="1" applyBorder="1" applyAlignment="1" applyProtection="1">
      <alignment horizontal="center" vertical="center"/>
      <protection locked="0" hidden="1"/>
    </xf>
    <xf numFmtId="0" fontId="23" fillId="0" borderId="17" xfId="4" applyFont="1" applyBorder="1" applyAlignment="1" applyProtection="1">
      <alignment horizontal="center" vertical="center"/>
      <protection locked="0" hidden="1"/>
    </xf>
    <xf numFmtId="0" fontId="23" fillId="0" borderId="6" xfId="4" applyFont="1" applyBorder="1" applyAlignment="1" applyProtection="1">
      <alignment vertical="center"/>
      <protection locked="0" hidden="1"/>
    </xf>
    <xf numFmtId="0" fontId="20" fillId="0" borderId="19" xfId="4" applyFont="1" applyBorder="1" applyAlignment="1" applyProtection="1">
      <alignment vertical="center"/>
      <protection locked="0" hidden="1"/>
    </xf>
    <xf numFmtId="0" fontId="20" fillId="0" borderId="3" xfId="4" applyFont="1" applyBorder="1" applyAlignment="1" applyProtection="1">
      <alignment vertical="center"/>
      <protection locked="0" hidden="1"/>
    </xf>
    <xf numFmtId="0" fontId="20" fillId="0" borderId="2" xfId="4" applyFont="1" applyBorder="1" applyAlignment="1" applyProtection="1">
      <alignment vertical="center"/>
      <protection locked="0" hidden="1"/>
    </xf>
    <xf numFmtId="0" fontId="23" fillId="0" borderId="17" xfId="4" applyFont="1" applyBorder="1" applyAlignment="1" applyProtection="1">
      <alignment horizontal="center" vertical="center" wrapText="1" shrinkToFit="1"/>
      <protection locked="0" hidden="1"/>
    </xf>
    <xf numFmtId="0" fontId="23" fillId="0" borderId="34" xfId="4" applyFont="1" applyBorder="1" applyAlignment="1" applyProtection="1">
      <alignment horizontal="center" vertical="center" wrapText="1" shrinkToFit="1"/>
      <protection locked="0" hidden="1"/>
    </xf>
    <xf numFmtId="0" fontId="23" fillId="0" borderId="34" xfId="4" applyFont="1" applyBorder="1" applyAlignment="1" applyProtection="1">
      <alignment horizontal="center" vertical="center"/>
      <protection locked="0" hidden="1"/>
    </xf>
    <xf numFmtId="0" fontId="20" fillId="0" borderId="13" xfId="4" applyFont="1" applyBorder="1" applyAlignment="1" applyProtection="1">
      <alignment vertical="center"/>
      <protection locked="0" hidden="1"/>
    </xf>
    <xf numFmtId="0" fontId="23" fillId="0" borderId="50" xfId="4" applyFont="1" applyBorder="1" applyAlignment="1" applyProtection="1">
      <alignment horizontal="center" vertical="center" wrapText="1" shrinkToFit="1"/>
      <protection locked="0" hidden="1"/>
    </xf>
    <xf numFmtId="0" fontId="23" fillId="0" borderId="50" xfId="4" applyFont="1" applyBorder="1" applyAlignment="1" applyProtection="1">
      <alignment horizontal="center" vertical="center"/>
      <protection locked="0" hidden="1"/>
    </xf>
    <xf numFmtId="0" fontId="20" fillId="0" borderId="15" xfId="4" applyFont="1" applyBorder="1" applyAlignment="1" applyProtection="1">
      <alignment vertical="center"/>
      <protection locked="0" hidden="1"/>
    </xf>
    <xf numFmtId="0" fontId="23" fillId="0" borderId="16" xfId="4" applyFont="1" applyBorder="1" applyAlignment="1" applyProtection="1">
      <alignment horizontal="center" vertical="center" wrapText="1" shrinkToFit="1"/>
      <protection locked="0" hidden="1"/>
    </xf>
    <xf numFmtId="0" fontId="23" fillId="0" borderId="16" xfId="4" applyFont="1" applyBorder="1" applyAlignment="1" applyProtection="1">
      <alignment horizontal="center" vertical="center"/>
      <protection locked="0" hidden="1"/>
    </xf>
    <xf numFmtId="0" fontId="23" fillId="0" borderId="15" xfId="4" applyFont="1" applyBorder="1" applyAlignment="1" applyProtection="1">
      <alignment vertical="center"/>
      <protection locked="0" hidden="1"/>
    </xf>
    <xf numFmtId="0" fontId="23" fillId="0" borderId="2" xfId="4" applyFont="1" applyBorder="1" applyAlignment="1" applyProtection="1">
      <alignment vertical="center"/>
      <protection locked="0" hidden="1"/>
    </xf>
    <xf numFmtId="0" fontId="23" fillId="0" borderId="19" xfId="4" applyFont="1" applyBorder="1" applyAlignment="1" applyProtection="1">
      <alignment vertical="center"/>
      <protection locked="0" hidden="1"/>
    </xf>
    <xf numFmtId="0" fontId="23" fillId="0" borderId="13" xfId="4" applyFont="1" applyBorder="1" applyAlignment="1" applyProtection="1">
      <alignment vertical="center"/>
      <protection locked="0" hidden="1"/>
    </xf>
    <xf numFmtId="0" fontId="23" fillId="0" borderId="15" xfId="4" applyFont="1" applyBorder="1" applyAlignment="1" applyProtection="1">
      <alignment vertical="center" wrapText="1"/>
      <protection locked="0" hidden="1"/>
    </xf>
    <xf numFmtId="0" fontId="23" fillId="0" borderId="2" xfId="4" applyFont="1" applyBorder="1" applyAlignment="1" applyProtection="1">
      <alignment vertical="center" wrapText="1"/>
      <protection locked="0" hidden="1"/>
    </xf>
    <xf numFmtId="0" fontId="23" fillId="0" borderId="19" xfId="4" applyFont="1" applyBorder="1" applyAlignment="1" applyProtection="1">
      <alignment vertical="center" wrapText="1"/>
      <protection locked="0" hidden="1"/>
    </xf>
    <xf numFmtId="0" fontId="23" fillId="0" borderId="36" xfId="4" applyFont="1" applyBorder="1" applyAlignment="1" applyProtection="1">
      <alignment vertical="center"/>
      <protection locked="0" hidden="1"/>
    </xf>
    <xf numFmtId="0" fontId="20" fillId="0" borderId="36" xfId="4" applyFont="1" applyBorder="1" applyAlignment="1" applyProtection="1">
      <alignment vertical="center"/>
      <protection locked="0" hidden="1"/>
    </xf>
    <xf numFmtId="0" fontId="23" fillId="0" borderId="39" xfId="4" applyFont="1" applyBorder="1" applyAlignment="1" applyProtection="1">
      <alignment horizontal="center" vertical="center" wrapText="1" shrinkToFit="1"/>
      <protection locked="0" hidden="1"/>
    </xf>
    <xf numFmtId="0" fontId="23" fillId="0" borderId="39" xfId="4" applyFont="1" applyBorder="1" applyAlignment="1" applyProtection="1">
      <alignment horizontal="center" vertical="center"/>
      <protection locked="0" hidden="1"/>
    </xf>
    <xf numFmtId="0" fontId="35" fillId="0" borderId="0" xfId="31" applyFont="1" applyAlignment="1" applyProtection="1">
      <alignment horizontal="right" vertical="center"/>
      <protection hidden="1"/>
    </xf>
    <xf numFmtId="49" fontId="36" fillId="0" borderId="0" xfId="31" applyNumberFormat="1" applyFont="1" applyProtection="1">
      <alignment vertical="center"/>
      <protection hidden="1"/>
    </xf>
    <xf numFmtId="49" fontId="36" fillId="0" borderId="0" xfId="31" applyNumberFormat="1" applyFont="1" applyAlignment="1" applyProtection="1">
      <alignment horizontal="right" vertical="center"/>
      <protection hidden="1"/>
    </xf>
    <xf numFmtId="0" fontId="35" fillId="0" borderId="0" xfId="31" applyFont="1" applyAlignment="1" applyProtection="1">
      <alignment horizontal="center" vertical="center"/>
      <protection hidden="1"/>
    </xf>
    <xf numFmtId="0" fontId="35" fillId="0" borderId="0" xfId="31" applyFont="1" applyProtection="1">
      <alignment vertical="center"/>
      <protection hidden="1"/>
    </xf>
    <xf numFmtId="0" fontId="0" fillId="0" borderId="0" xfId="0" applyAlignment="1">
      <alignment vertical="center" shrinkToFit="1"/>
    </xf>
    <xf numFmtId="0" fontId="23" fillId="0" borderId="7" xfId="4" applyFont="1" applyBorder="1" applyAlignment="1" applyProtection="1">
      <alignment horizontal="center" vertical="center" wrapText="1"/>
      <protection locked="0" hidden="1"/>
    </xf>
    <xf numFmtId="0" fontId="20" fillId="0" borderId="6" xfId="4" applyFont="1" applyBorder="1" applyAlignment="1" applyProtection="1">
      <alignment vertical="center"/>
      <protection locked="0" hidden="1"/>
    </xf>
    <xf numFmtId="0" fontId="23" fillId="0" borderId="68" xfId="4" applyFont="1" applyBorder="1" applyAlignment="1" applyProtection="1">
      <alignment horizontal="center" vertical="center"/>
      <protection locked="0" hidden="1"/>
    </xf>
    <xf numFmtId="0" fontId="23" fillId="0" borderId="51" xfId="4" applyFont="1" applyBorder="1" applyAlignment="1" applyProtection="1">
      <alignment vertical="center"/>
      <protection locked="0" hidden="1"/>
    </xf>
    <xf numFmtId="0" fontId="20" fillId="0" borderId="51" xfId="4" applyFont="1" applyBorder="1" applyAlignment="1" applyProtection="1">
      <alignment vertical="center"/>
      <protection locked="0" hidden="1"/>
    </xf>
    <xf numFmtId="0" fontId="23" fillId="0" borderId="69" xfId="4" applyFont="1" applyBorder="1" applyAlignment="1" applyProtection="1">
      <alignment horizontal="center" vertical="center" wrapText="1" shrinkToFit="1"/>
      <protection locked="0" hidden="1"/>
    </xf>
    <xf numFmtId="0" fontId="23" fillId="0" borderId="69" xfId="4" applyFont="1" applyBorder="1" applyAlignment="1" applyProtection="1">
      <alignment horizontal="center" vertical="center"/>
      <protection locked="0" hidden="1"/>
    </xf>
    <xf numFmtId="0" fontId="23" fillId="0" borderId="4" xfId="4" applyFont="1" applyBorder="1" applyAlignment="1" applyProtection="1">
      <alignment horizontal="center" vertical="center" wrapText="1" shrinkToFit="1"/>
      <protection locked="0" hidden="1"/>
    </xf>
    <xf numFmtId="0" fontId="23" fillId="0" borderId="26" xfId="4" applyFont="1" applyBorder="1" applyAlignment="1" applyProtection="1">
      <alignment horizontal="center" vertical="center" wrapText="1" shrinkToFit="1"/>
      <protection locked="0" hidden="1"/>
    </xf>
    <xf numFmtId="0" fontId="20" fillId="0" borderId="1" xfId="4" applyFont="1" applyBorder="1" applyAlignment="1" applyProtection="1">
      <alignment vertical="center"/>
      <protection locked="0" hidden="1"/>
    </xf>
    <xf numFmtId="0" fontId="20" fillId="0" borderId="18" xfId="4" applyFont="1" applyBorder="1" applyAlignment="1" applyProtection="1">
      <alignment vertical="center"/>
      <protection locked="0" hidden="1"/>
    </xf>
    <xf numFmtId="0" fontId="23" fillId="0" borderId="3" xfId="4" applyFont="1" applyBorder="1" applyAlignment="1" applyProtection="1">
      <alignment vertical="center"/>
      <protection locked="0" hidden="1"/>
    </xf>
    <xf numFmtId="0" fontId="43" fillId="0" borderId="0" xfId="0" applyFont="1">
      <alignment vertical="center"/>
    </xf>
    <xf numFmtId="0" fontId="43" fillId="0" borderId="0" xfId="0" applyFont="1" applyAlignment="1">
      <alignment horizontal="center" vertical="center"/>
    </xf>
    <xf numFmtId="0" fontId="41" fillId="0" borderId="0" xfId="0" applyFont="1" applyAlignment="1" applyProtection="1">
      <alignment horizontal="center" vertical="center"/>
      <protection hidden="1"/>
    </xf>
    <xf numFmtId="49" fontId="41" fillId="0" borderId="0" xfId="0" applyNumberFormat="1" applyFont="1" applyAlignment="1" applyProtection="1">
      <alignment horizontal="center" vertical="center"/>
      <protection hidden="1"/>
    </xf>
    <xf numFmtId="49" fontId="41" fillId="0" borderId="0" xfId="0" applyNumberFormat="1" applyFont="1" applyProtection="1">
      <alignment vertical="center"/>
      <protection hidden="1"/>
    </xf>
    <xf numFmtId="0" fontId="41" fillId="0" borderId="0" xfId="0" applyFont="1" applyProtection="1">
      <alignment vertical="center"/>
      <protection hidden="1"/>
    </xf>
    <xf numFmtId="0" fontId="41" fillId="0" borderId="9" xfId="0" applyFont="1" applyBorder="1" applyProtection="1">
      <alignment vertical="center"/>
      <protection hidden="1"/>
    </xf>
    <xf numFmtId="0" fontId="41" fillId="0" borderId="9" xfId="0" applyFont="1" applyBorder="1" applyAlignment="1" applyProtection="1">
      <alignment vertical="center" wrapText="1"/>
      <protection hidden="1"/>
    </xf>
    <xf numFmtId="0" fontId="13" fillId="0" borderId="0" xfId="0" applyFont="1" applyAlignment="1" applyProtection="1">
      <alignment horizontal="center" vertical="center"/>
      <protection hidden="1"/>
    </xf>
    <xf numFmtId="0" fontId="46" fillId="0" borderId="0" xfId="0" applyFont="1" applyAlignment="1" applyProtection="1">
      <alignment horizontal="center" vertical="center" shrinkToFit="1"/>
      <protection hidden="1"/>
    </xf>
    <xf numFmtId="0" fontId="49" fillId="0" borderId="0" xfId="0" applyFont="1" applyAlignment="1" applyProtection="1">
      <alignment vertical="center" wrapText="1"/>
      <protection hidden="1"/>
    </xf>
    <xf numFmtId="0" fontId="43" fillId="0" borderId="0" xfId="4" applyFont="1" applyAlignment="1" applyProtection="1">
      <alignment horizontal="center" vertical="center" wrapText="1"/>
      <protection hidden="1"/>
    </xf>
    <xf numFmtId="4" fontId="43" fillId="0" borderId="2" xfId="4" applyNumberFormat="1" applyFont="1" applyBorder="1" applyAlignment="1" applyProtection="1">
      <alignment vertical="center"/>
      <protection locked="0" hidden="1"/>
    </xf>
    <xf numFmtId="0" fontId="43" fillId="0" borderId="2" xfId="4" applyFont="1" applyBorder="1" applyAlignment="1" applyProtection="1">
      <alignment horizontal="center" vertical="center"/>
      <protection locked="0" hidden="1"/>
    </xf>
    <xf numFmtId="0" fontId="43" fillId="0" borderId="4" xfId="4" applyFont="1" applyBorder="1" applyAlignment="1" applyProtection="1">
      <alignment horizontal="center" vertical="center"/>
      <protection locked="0" hidden="1"/>
    </xf>
    <xf numFmtId="0" fontId="43" fillId="0" borderId="0" xfId="4" applyFont="1" applyAlignment="1" applyProtection="1">
      <alignment vertical="center"/>
      <protection hidden="1"/>
    </xf>
    <xf numFmtId="0" fontId="43" fillId="0" borderId="0" xfId="0" applyFont="1" applyAlignment="1">
      <alignment vertical="center" wrapText="1"/>
    </xf>
    <xf numFmtId="49" fontId="13" fillId="0" borderId="0" xfId="0" applyNumberFormat="1" applyFont="1" applyProtection="1">
      <alignment vertical="center"/>
      <protection hidden="1"/>
    </xf>
    <xf numFmtId="0" fontId="14" fillId="0" borderId="0" xfId="0" applyFont="1" applyProtection="1">
      <alignment vertical="center"/>
      <protection hidden="1"/>
    </xf>
    <xf numFmtId="178" fontId="14" fillId="0" borderId="0" xfId="0" applyNumberFormat="1" applyFont="1" applyProtection="1">
      <alignment vertical="center"/>
      <protection hidden="1"/>
    </xf>
    <xf numFmtId="0" fontId="43" fillId="0" borderId="7" xfId="4" applyFont="1" applyBorder="1" applyAlignment="1" applyProtection="1">
      <alignment vertical="center"/>
      <protection locked="0" hidden="1"/>
    </xf>
    <xf numFmtId="183" fontId="43" fillId="0" borderId="2" xfId="4" applyNumberFormat="1" applyFont="1" applyBorder="1" applyAlignment="1" applyProtection="1">
      <alignment vertical="center"/>
      <protection locked="0" hidden="1"/>
    </xf>
    <xf numFmtId="183" fontId="43" fillId="0" borderId="4" xfId="4" applyNumberFormat="1" applyFont="1" applyBorder="1" applyAlignment="1" applyProtection="1">
      <alignment vertical="center"/>
      <protection locked="0" hidden="1"/>
    </xf>
    <xf numFmtId="0" fontId="43" fillId="0" borderId="4" xfId="4" applyFont="1" applyBorder="1" applyAlignment="1" applyProtection="1">
      <alignment vertical="center"/>
      <protection locked="0" hidden="1"/>
    </xf>
    <xf numFmtId="183" fontId="43" fillId="0" borderId="19" xfId="4" applyNumberFormat="1" applyFont="1" applyBorder="1" applyAlignment="1" applyProtection="1">
      <alignment vertical="center"/>
      <protection locked="0" hidden="1"/>
    </xf>
    <xf numFmtId="183" fontId="43" fillId="0" borderId="26" xfId="4" applyNumberFormat="1" applyFont="1" applyBorder="1" applyAlignment="1" applyProtection="1">
      <alignment vertical="center"/>
      <protection locked="0" hidden="1"/>
    </xf>
    <xf numFmtId="0" fontId="43" fillId="0" borderId="26" xfId="4" applyFont="1" applyBorder="1" applyAlignment="1" applyProtection="1">
      <alignment vertical="center"/>
      <protection locked="0" hidden="1"/>
    </xf>
    <xf numFmtId="183" fontId="43" fillId="0" borderId="15" xfId="4" applyNumberFormat="1" applyFont="1" applyBorder="1" applyAlignment="1" applyProtection="1">
      <alignment vertical="center"/>
      <protection locked="0" hidden="1"/>
    </xf>
    <xf numFmtId="183" fontId="43" fillId="0" borderId="30" xfId="4" applyNumberFormat="1" applyFont="1" applyBorder="1" applyAlignment="1" applyProtection="1">
      <alignment vertical="center"/>
      <protection locked="0" hidden="1"/>
    </xf>
    <xf numFmtId="0" fontId="43" fillId="0" borderId="30" xfId="4" applyFont="1" applyBorder="1" applyAlignment="1" applyProtection="1">
      <alignment vertical="center"/>
      <protection locked="0" hidden="1"/>
    </xf>
    <xf numFmtId="0" fontId="43" fillId="0" borderId="2" xfId="4" applyFont="1" applyBorder="1" applyAlignment="1" applyProtection="1">
      <alignment vertical="center"/>
      <protection locked="0" hidden="1"/>
    </xf>
    <xf numFmtId="0" fontId="43" fillId="0" borderId="19" xfId="4" applyFont="1" applyBorder="1" applyAlignment="1" applyProtection="1">
      <alignment vertical="center"/>
      <protection locked="0" hidden="1"/>
    </xf>
    <xf numFmtId="2" fontId="43" fillId="0" borderId="0" xfId="4" applyNumberFormat="1" applyFont="1" applyAlignment="1" applyProtection="1">
      <alignment vertical="center"/>
      <protection hidden="1"/>
    </xf>
    <xf numFmtId="0" fontId="43" fillId="0" borderId="49" xfId="4" applyFont="1" applyBorder="1" applyAlignment="1" applyProtection="1">
      <alignment vertical="center"/>
      <protection hidden="1"/>
    </xf>
    <xf numFmtId="2" fontId="43" fillId="0" borderId="13" xfId="4" applyNumberFormat="1" applyFont="1" applyBorder="1" applyAlignment="1" applyProtection="1">
      <alignment vertical="center"/>
      <protection hidden="1"/>
    </xf>
    <xf numFmtId="0" fontId="43" fillId="0" borderId="13" xfId="4" applyFont="1" applyBorder="1" applyAlignment="1" applyProtection="1">
      <alignment vertical="center"/>
      <protection hidden="1"/>
    </xf>
    <xf numFmtId="0" fontId="43" fillId="0" borderId="22" xfId="4" applyFont="1" applyBorder="1" applyAlignment="1" applyProtection="1">
      <alignment vertical="center"/>
      <protection hidden="1"/>
    </xf>
    <xf numFmtId="4" fontId="43" fillId="0" borderId="8" xfId="4" applyNumberFormat="1" applyFont="1" applyBorder="1" applyAlignment="1" applyProtection="1">
      <alignment vertical="center"/>
      <protection locked="0" hidden="1"/>
    </xf>
    <xf numFmtId="0" fontId="43" fillId="0" borderId="3" xfId="4" applyFont="1" applyBorder="1" applyAlignment="1" applyProtection="1">
      <alignment horizontal="center" vertical="center"/>
      <protection locked="0" hidden="1"/>
    </xf>
    <xf numFmtId="4" fontId="43" fillId="0" borderId="10" xfId="4" applyNumberFormat="1" applyFont="1" applyBorder="1" applyAlignment="1" applyProtection="1">
      <alignment vertical="center"/>
      <protection locked="0" hidden="1"/>
    </xf>
    <xf numFmtId="4" fontId="43" fillId="0" borderId="12" xfId="4" applyNumberFormat="1" applyFont="1" applyBorder="1" applyAlignment="1" applyProtection="1">
      <alignment vertical="center"/>
      <protection locked="0" hidden="1"/>
    </xf>
    <xf numFmtId="0" fontId="43" fillId="0" borderId="11" xfId="4" applyFont="1" applyBorder="1" applyAlignment="1" applyProtection="1">
      <alignment horizontal="center" vertical="center"/>
      <protection locked="0" hidden="1"/>
    </xf>
    <xf numFmtId="4" fontId="43" fillId="0" borderId="37" xfId="4" applyNumberFormat="1" applyFont="1" applyBorder="1" applyAlignment="1" applyProtection="1">
      <alignment vertical="center"/>
      <protection locked="0" hidden="1"/>
    </xf>
    <xf numFmtId="0" fontId="43" fillId="0" borderId="36" xfId="4" applyFont="1" applyBorder="1" applyAlignment="1" applyProtection="1">
      <alignment horizontal="center" vertical="center"/>
      <protection locked="0" hidden="1"/>
    </xf>
    <xf numFmtId="0" fontId="43" fillId="0" borderId="38" xfId="4" applyFont="1" applyBorder="1" applyAlignment="1" applyProtection="1">
      <alignment horizontal="center" vertical="center"/>
      <protection locked="0" hidden="1"/>
    </xf>
    <xf numFmtId="0" fontId="43" fillId="0" borderId="7" xfId="4" applyFont="1" applyBorder="1" applyAlignment="1" applyProtection="1">
      <alignment horizontal="center" vertical="center"/>
      <protection locked="0" hidden="1"/>
    </xf>
    <xf numFmtId="4" fontId="43" fillId="0" borderId="15" xfId="4" applyNumberFormat="1" applyFont="1" applyBorder="1" applyAlignment="1" applyProtection="1">
      <alignment vertical="center"/>
      <protection locked="0" hidden="1"/>
    </xf>
    <xf numFmtId="0" fontId="43" fillId="0" borderId="15" xfId="4" applyFont="1" applyBorder="1" applyAlignment="1" applyProtection="1">
      <alignment horizontal="center" vertical="center"/>
      <protection locked="0" hidden="1"/>
    </xf>
    <xf numFmtId="0" fontId="43" fillId="0" borderId="30" xfId="4" applyFont="1" applyBorder="1" applyAlignment="1" applyProtection="1">
      <alignment horizontal="center" vertical="center"/>
      <protection locked="0" hidden="1"/>
    </xf>
    <xf numFmtId="4" fontId="43" fillId="0" borderId="19" xfId="4" applyNumberFormat="1" applyFont="1" applyBorder="1" applyAlignment="1" applyProtection="1">
      <alignment vertical="center"/>
      <protection locked="0" hidden="1"/>
    </xf>
    <xf numFmtId="0" fontId="43" fillId="0" borderId="19" xfId="4" applyFont="1" applyBorder="1" applyAlignment="1" applyProtection="1">
      <alignment horizontal="center" vertical="center"/>
      <protection locked="0" hidden="1"/>
    </xf>
    <xf numFmtId="0" fontId="43" fillId="0" borderId="26" xfId="4" applyFont="1" applyBorder="1" applyAlignment="1" applyProtection="1">
      <alignment horizontal="center" vertical="center"/>
      <protection locked="0" hidden="1"/>
    </xf>
    <xf numFmtId="4" fontId="43" fillId="0" borderId="36" xfId="4" applyNumberFormat="1" applyFont="1" applyBorder="1" applyAlignment="1" applyProtection="1">
      <alignment vertical="center"/>
      <protection locked="0" hidden="1"/>
    </xf>
    <xf numFmtId="4" fontId="43" fillId="0" borderId="13" xfId="4" applyNumberFormat="1" applyFont="1" applyBorder="1" applyAlignment="1" applyProtection="1">
      <alignment vertical="center"/>
      <protection locked="0" hidden="1"/>
    </xf>
    <xf numFmtId="0" fontId="43" fillId="0" borderId="13" xfId="4" applyFont="1" applyBorder="1" applyAlignment="1" applyProtection="1">
      <alignment horizontal="center" vertical="center"/>
      <protection locked="0" hidden="1"/>
    </xf>
    <xf numFmtId="0" fontId="43" fillId="0" borderId="22" xfId="4" applyFont="1" applyBorder="1" applyAlignment="1" applyProtection="1">
      <alignment horizontal="center" vertical="center"/>
      <protection locked="0" hidden="1"/>
    </xf>
    <xf numFmtId="4" fontId="43" fillId="0" borderId="51" xfId="4" applyNumberFormat="1" applyFont="1" applyBorder="1" applyAlignment="1" applyProtection="1">
      <alignment vertical="center"/>
      <protection locked="0" hidden="1"/>
    </xf>
    <xf numFmtId="0" fontId="43" fillId="0" borderId="51" xfId="4" applyFont="1" applyBorder="1" applyAlignment="1" applyProtection="1">
      <alignment horizontal="center" vertical="center"/>
      <protection locked="0" hidden="1"/>
    </xf>
    <xf numFmtId="0" fontId="43" fillId="0" borderId="31" xfId="4" applyFont="1" applyBorder="1" applyAlignment="1" applyProtection="1">
      <alignment horizontal="center" vertical="center"/>
      <protection locked="0" hidden="1"/>
    </xf>
    <xf numFmtId="0" fontId="23" fillId="0" borderId="0" xfId="4" applyFont="1" applyAlignment="1" applyProtection="1">
      <alignment horizontal="left" vertical="center"/>
      <protection hidden="1"/>
    </xf>
    <xf numFmtId="0" fontId="43" fillId="0" borderId="0" xfId="0" applyFont="1" applyProtection="1">
      <alignment vertical="center"/>
      <protection locked="0"/>
    </xf>
    <xf numFmtId="0" fontId="38" fillId="0" borderId="0" xfId="0" applyFont="1" applyProtection="1">
      <alignment vertical="center"/>
      <protection hidden="1"/>
    </xf>
    <xf numFmtId="0" fontId="50" fillId="0" borderId="0" xfId="4" applyFont="1" applyAlignment="1" applyProtection="1">
      <alignment vertical="center"/>
      <protection hidden="1"/>
    </xf>
    <xf numFmtId="0" fontId="52" fillId="0" borderId="0" xfId="4" applyFont="1" applyAlignment="1" applyProtection="1">
      <alignment horizontal="left" vertical="center"/>
      <protection hidden="1"/>
    </xf>
    <xf numFmtId="0" fontId="50" fillId="0" borderId="0" xfId="0" applyFont="1">
      <alignment vertical="center"/>
    </xf>
    <xf numFmtId="0" fontId="53" fillId="0" borderId="0" xfId="5" applyFont="1" applyAlignment="1">
      <alignment vertical="center"/>
    </xf>
    <xf numFmtId="181" fontId="53" fillId="0" borderId="0" xfId="5" applyNumberFormat="1" applyFont="1" applyAlignment="1">
      <alignment vertical="center"/>
    </xf>
    <xf numFmtId="11" fontId="53" fillId="0" borderId="0" xfId="5" applyNumberFormat="1" applyFont="1" applyAlignment="1">
      <alignment vertical="center"/>
    </xf>
    <xf numFmtId="0" fontId="53" fillId="0" borderId="0" xfId="5" applyFont="1" applyAlignment="1">
      <alignment horizontal="center" vertical="center"/>
    </xf>
    <xf numFmtId="179" fontId="53" fillId="0" borderId="0" xfId="5" applyNumberFormat="1" applyFont="1" applyAlignment="1">
      <alignment vertical="center"/>
    </xf>
    <xf numFmtId="0" fontId="43" fillId="0" borderId="13" xfId="0" applyFont="1" applyBorder="1" applyAlignment="1">
      <alignment horizontal="center" vertical="center"/>
    </xf>
    <xf numFmtId="0" fontId="43" fillId="0" borderId="0" xfId="0" applyFont="1" applyAlignment="1">
      <alignment horizontal="left"/>
    </xf>
    <xf numFmtId="0" fontId="23" fillId="0" borderId="0" xfId="33" applyFont="1" applyAlignment="1">
      <alignment horizontal="left" vertical="center"/>
    </xf>
    <xf numFmtId="177" fontId="43" fillId="0" borderId="0" xfId="0" applyNumberFormat="1" applyFont="1" applyAlignment="1">
      <alignment horizontal="left"/>
    </xf>
    <xf numFmtId="0" fontId="20" fillId="0" borderId="0" xfId="34" applyFont="1" applyAlignment="1">
      <alignment horizontal="left" vertical="center"/>
    </xf>
    <xf numFmtId="0" fontId="43" fillId="0" borderId="0" xfId="0" applyFont="1" applyAlignment="1">
      <alignment horizontal="left" vertical="center"/>
    </xf>
    <xf numFmtId="0" fontId="23" fillId="0" borderId="0" xfId="0" applyFont="1" applyAlignment="1">
      <alignment horizontal="left" vertical="center" wrapText="1"/>
    </xf>
    <xf numFmtId="0" fontId="43" fillId="0" borderId="13" xfId="0" applyFont="1" applyBorder="1">
      <alignment vertical="center"/>
    </xf>
    <xf numFmtId="183" fontId="23" fillId="0" borderId="6" xfId="4" applyNumberFormat="1" applyFont="1" applyBorder="1" applyAlignment="1" applyProtection="1">
      <alignment horizontal="center" vertical="center"/>
      <protection locked="0" hidden="1"/>
    </xf>
    <xf numFmtId="183" fontId="43" fillId="0" borderId="6" xfId="4" applyNumberFormat="1" applyFont="1" applyBorder="1" applyAlignment="1" applyProtection="1">
      <alignment vertical="center"/>
      <protection locked="0" hidden="1"/>
    </xf>
    <xf numFmtId="183" fontId="23" fillId="0" borderId="13" xfId="4" applyNumberFormat="1" applyFont="1" applyBorder="1" applyAlignment="1" applyProtection="1">
      <alignment horizontal="center" vertical="center"/>
      <protection locked="0" hidden="1"/>
    </xf>
    <xf numFmtId="183" fontId="43" fillId="0" borderId="13" xfId="4" applyNumberFormat="1" applyFont="1" applyBorder="1" applyAlignment="1" applyProtection="1">
      <alignment vertical="center"/>
      <protection locked="0" hidden="1"/>
    </xf>
    <xf numFmtId="183" fontId="43" fillId="0" borderId="22" xfId="4" applyNumberFormat="1" applyFont="1" applyBorder="1" applyAlignment="1" applyProtection="1">
      <alignment vertical="center"/>
      <protection locked="0" hidden="1"/>
    </xf>
    <xf numFmtId="0" fontId="43" fillId="0" borderId="22" xfId="4" applyFont="1" applyBorder="1" applyAlignment="1" applyProtection="1">
      <alignment vertical="center"/>
      <protection locked="0" hidden="1"/>
    </xf>
    <xf numFmtId="0" fontId="23" fillId="0" borderId="30" xfId="4" applyFont="1" applyBorder="1" applyAlignment="1" applyProtection="1">
      <alignment horizontal="center" vertical="center" wrapText="1"/>
      <protection locked="0" hidden="1"/>
    </xf>
    <xf numFmtId="2" fontId="43" fillId="0" borderId="49" xfId="4" applyNumberFormat="1" applyFont="1" applyBorder="1" applyAlignment="1" applyProtection="1">
      <alignment vertical="center"/>
      <protection hidden="1"/>
    </xf>
    <xf numFmtId="184" fontId="35" fillId="0" borderId="2" xfId="31" applyNumberFormat="1" applyFont="1" applyBorder="1" applyProtection="1">
      <alignment vertical="center"/>
      <protection hidden="1"/>
    </xf>
    <xf numFmtId="184" fontId="35" fillId="0" borderId="16" xfId="31" applyNumberFormat="1" applyFont="1" applyBorder="1" applyProtection="1">
      <alignment vertical="center"/>
      <protection hidden="1"/>
    </xf>
    <xf numFmtId="184" fontId="35" fillId="0" borderId="17" xfId="31" applyNumberFormat="1" applyFont="1" applyBorder="1" applyProtection="1">
      <alignment vertical="center"/>
      <protection hidden="1"/>
    </xf>
    <xf numFmtId="184" fontId="35" fillId="0" borderId="34" xfId="31" applyNumberFormat="1" applyFont="1" applyBorder="1" applyProtection="1">
      <alignment vertical="center"/>
      <protection hidden="1"/>
    </xf>
    <xf numFmtId="2" fontId="35" fillId="0" borderId="17" xfId="31" applyNumberFormat="1" applyFont="1" applyBorder="1" applyProtection="1">
      <alignment vertical="center"/>
      <protection hidden="1"/>
    </xf>
    <xf numFmtId="2" fontId="35" fillId="0" borderId="34" xfId="31" applyNumberFormat="1" applyFont="1" applyBorder="1" applyProtection="1">
      <alignment vertical="center"/>
      <protection hidden="1"/>
    </xf>
    <xf numFmtId="0" fontId="43" fillId="0" borderId="2" xfId="0" applyFont="1" applyBorder="1" applyAlignment="1" applyProtection="1">
      <alignment horizontal="center" vertical="center" wrapText="1"/>
      <protection locked="0"/>
    </xf>
    <xf numFmtId="0" fontId="57" fillId="0" borderId="0" xfId="31" applyFont="1" applyAlignment="1" applyProtection="1">
      <alignment horizontal="left" vertical="center"/>
      <protection hidden="1"/>
    </xf>
    <xf numFmtId="0" fontId="58" fillId="0" borderId="0" xfId="0" applyFont="1" applyProtection="1">
      <alignment vertical="center"/>
      <protection hidden="1"/>
    </xf>
    <xf numFmtId="0" fontId="43" fillId="0" borderId="0" xfId="0" applyFont="1" applyAlignment="1" applyProtection="1">
      <alignment horizontal="left"/>
      <protection locked="0"/>
    </xf>
    <xf numFmtId="177" fontId="43" fillId="0" borderId="0" xfId="0" applyNumberFormat="1" applyFont="1" applyAlignment="1" applyProtection="1">
      <alignment horizontal="left"/>
      <protection locked="0"/>
    </xf>
    <xf numFmtId="0" fontId="23" fillId="0" borderId="0" xfId="33" applyFont="1" applyAlignment="1" applyProtection="1">
      <alignment horizontal="left" vertical="center"/>
      <protection locked="0"/>
    </xf>
    <xf numFmtId="0" fontId="53" fillId="0" borderId="0" xfId="5" applyFont="1" applyAlignment="1" applyProtection="1">
      <alignment vertical="center"/>
      <protection locked="0"/>
    </xf>
    <xf numFmtId="11" fontId="53" fillId="0" borderId="0" xfId="5" applyNumberFormat="1" applyFont="1" applyAlignment="1" applyProtection="1">
      <alignment vertical="center"/>
      <protection locked="0"/>
    </xf>
    <xf numFmtId="0" fontId="53" fillId="0" borderId="0" xfId="5" applyFont="1" applyAlignment="1" applyProtection="1">
      <alignment horizontal="center" vertical="center"/>
      <protection locked="0"/>
    </xf>
    <xf numFmtId="179" fontId="53" fillId="0" borderId="0" xfId="5" applyNumberFormat="1" applyFont="1" applyAlignment="1" applyProtection="1">
      <alignment vertical="center"/>
      <protection locked="0"/>
    </xf>
    <xf numFmtId="0" fontId="43" fillId="0" borderId="0" xfId="0" applyFont="1" applyAlignment="1" applyProtection="1">
      <alignment horizontal="left" shrinkToFit="1"/>
      <protection locked="0"/>
    </xf>
    <xf numFmtId="0" fontId="43" fillId="0" borderId="3" xfId="4" applyFont="1" applyBorder="1" applyAlignment="1" applyProtection="1">
      <alignment horizontal="center" vertical="center"/>
      <protection hidden="1"/>
    </xf>
    <xf numFmtId="0" fontId="43" fillId="0" borderId="2" xfId="4" applyFont="1" applyBorder="1" applyAlignment="1" applyProtection="1">
      <alignment horizontal="center" vertical="center"/>
      <protection hidden="1"/>
    </xf>
    <xf numFmtId="0" fontId="43" fillId="0" borderId="6" xfId="4" applyFont="1" applyBorder="1" applyAlignment="1" applyProtection="1">
      <alignment horizontal="center" vertical="center"/>
      <protection hidden="1"/>
    </xf>
    <xf numFmtId="0" fontId="43" fillId="0" borderId="36" xfId="4" applyFont="1" applyBorder="1" applyAlignment="1" applyProtection="1">
      <alignment horizontal="center" vertical="center"/>
      <protection hidden="1"/>
    </xf>
    <xf numFmtId="0" fontId="43" fillId="0" borderId="15" xfId="4" applyFont="1" applyBorder="1" applyAlignment="1" applyProtection="1">
      <alignment horizontal="center" vertical="center"/>
      <protection hidden="1"/>
    </xf>
    <xf numFmtId="0" fontId="43" fillId="0" borderId="34" xfId="4" applyFont="1" applyBorder="1" applyAlignment="1" applyProtection="1">
      <alignment horizontal="center" vertical="center"/>
      <protection locked="0" hidden="1"/>
    </xf>
    <xf numFmtId="0" fontId="43" fillId="0" borderId="3" xfId="4" applyFont="1" applyBorder="1" applyAlignment="1" applyProtection="1">
      <alignment vertical="center"/>
      <protection locked="0" hidden="1"/>
    </xf>
    <xf numFmtId="0" fontId="43" fillId="0" borderId="20" xfId="4" applyFont="1" applyBorder="1" applyAlignment="1" applyProtection="1">
      <alignment horizontal="center" vertical="center"/>
      <protection locked="0" hidden="1"/>
    </xf>
    <xf numFmtId="0" fontId="43" fillId="0" borderId="17" xfId="4" applyFont="1" applyBorder="1" applyAlignment="1" applyProtection="1">
      <alignment horizontal="center" vertical="center"/>
      <protection locked="0" hidden="1"/>
    </xf>
    <xf numFmtId="0" fontId="43" fillId="0" borderId="6" xfId="4" applyFont="1" applyBorder="1" applyAlignment="1" applyProtection="1">
      <alignment vertical="center"/>
      <protection locked="0" hidden="1"/>
    </xf>
    <xf numFmtId="0" fontId="43" fillId="0" borderId="68" xfId="4" applyFont="1" applyBorder="1" applyAlignment="1" applyProtection="1">
      <alignment horizontal="center" vertical="center"/>
      <protection locked="0" hidden="1"/>
    </xf>
    <xf numFmtId="0" fontId="43" fillId="0" borderId="16" xfId="4" applyFont="1" applyBorder="1" applyAlignment="1" applyProtection="1">
      <alignment horizontal="center" vertical="center"/>
      <protection locked="0" hidden="1"/>
    </xf>
    <xf numFmtId="0" fontId="43" fillId="0" borderId="1" xfId="4" applyFont="1" applyBorder="1" applyAlignment="1" applyProtection="1">
      <alignment vertical="center"/>
      <protection locked="0" hidden="1"/>
    </xf>
    <xf numFmtId="0" fontId="23" fillId="0" borderId="4" xfId="4" applyFont="1" applyBorder="1" applyAlignment="1" applyProtection="1">
      <alignment horizontal="center" vertical="center" wrapText="1"/>
      <protection locked="0" hidden="1"/>
    </xf>
    <xf numFmtId="0" fontId="23" fillId="0" borderId="9" xfId="4" applyFont="1" applyBorder="1" applyAlignment="1" applyProtection="1">
      <alignment horizontal="center" vertical="center" wrapText="1"/>
      <protection locked="0" hidden="1"/>
    </xf>
    <xf numFmtId="0" fontId="23" fillId="0" borderId="46" xfId="4" applyFont="1" applyBorder="1" applyAlignment="1" applyProtection="1">
      <alignment horizontal="center" vertical="center" wrapText="1"/>
      <protection locked="0" hidden="1"/>
    </xf>
    <xf numFmtId="0" fontId="23" fillId="0" borderId="26" xfId="4" applyFont="1" applyBorder="1" applyAlignment="1" applyProtection="1">
      <alignment horizontal="center" vertical="center" wrapText="1"/>
      <protection locked="0" hidden="1"/>
    </xf>
    <xf numFmtId="0" fontId="23" fillId="0" borderId="45" xfId="4" applyFont="1" applyBorder="1" applyAlignment="1" applyProtection="1">
      <alignment horizontal="center" vertical="center" wrapText="1"/>
      <protection locked="0" hidden="1"/>
    </xf>
    <xf numFmtId="0" fontId="23" fillId="0" borderId="0" xfId="4" applyFont="1" applyAlignment="1" applyProtection="1">
      <alignment horizontal="center" vertical="center" wrapText="1"/>
      <protection locked="0" hidden="1"/>
    </xf>
    <xf numFmtId="0" fontId="23" fillId="0" borderId="22" xfId="4" applyFont="1" applyBorder="1" applyAlignment="1" applyProtection="1">
      <alignment horizontal="center" vertical="center" wrapText="1"/>
      <protection locked="0" hidden="1"/>
    </xf>
    <xf numFmtId="0" fontId="43" fillId="0" borderId="2" xfId="4" applyFont="1" applyBorder="1" applyAlignment="1" applyProtection="1">
      <alignment vertical="center" wrapText="1"/>
      <protection locked="0" hidden="1"/>
    </xf>
    <xf numFmtId="0" fontId="59" fillId="0" borderId="1" xfId="0" applyFont="1" applyBorder="1" applyAlignment="1" applyProtection="1">
      <alignment horizontal="center" vertical="center" wrapText="1"/>
      <protection hidden="1"/>
    </xf>
    <xf numFmtId="0" fontId="59" fillId="0" borderId="2" xfId="0" applyFont="1" applyBorder="1" applyAlignment="1" applyProtection="1">
      <alignment horizontal="right" vertical="center" wrapText="1"/>
      <protection hidden="1"/>
    </xf>
    <xf numFmtId="49" fontId="40" fillId="0" borderId="17" xfId="32" applyNumberFormat="1" applyFont="1" applyFill="1" applyBorder="1" applyAlignment="1" applyProtection="1">
      <alignment horizontal="right" vertical="center" wrapText="1"/>
      <protection hidden="1"/>
    </xf>
    <xf numFmtId="183" fontId="23" fillId="0" borderId="7" xfId="4" applyNumberFormat="1" applyFont="1" applyBorder="1" applyAlignment="1" applyProtection="1">
      <alignment horizontal="center" vertical="center"/>
      <protection locked="0" hidden="1"/>
    </xf>
    <xf numFmtId="0" fontId="20" fillId="0" borderId="3" xfId="4" applyFont="1" applyBorder="1" applyAlignment="1" applyProtection="1">
      <alignment vertical="center"/>
      <protection hidden="1"/>
    </xf>
    <xf numFmtId="0" fontId="23" fillId="0" borderId="20" xfId="4" applyFont="1" applyBorder="1" applyAlignment="1" applyProtection="1">
      <alignment horizontal="center" vertical="center" wrapText="1" shrinkToFit="1"/>
      <protection hidden="1"/>
    </xf>
    <xf numFmtId="0" fontId="20" fillId="0" borderId="2" xfId="4" applyFont="1" applyBorder="1" applyAlignment="1" applyProtection="1">
      <alignment vertical="center"/>
      <protection hidden="1"/>
    </xf>
    <xf numFmtId="0" fontId="23" fillId="0" borderId="17" xfId="4" applyFont="1" applyBorder="1" applyAlignment="1" applyProtection="1">
      <alignment horizontal="center" vertical="center" wrapText="1" shrinkToFit="1"/>
      <protection hidden="1"/>
    </xf>
    <xf numFmtId="0" fontId="20" fillId="0" borderId="6" xfId="4" applyFont="1" applyBorder="1" applyAlignment="1" applyProtection="1">
      <alignment vertical="center"/>
      <protection hidden="1"/>
    </xf>
    <xf numFmtId="0" fontId="23" fillId="0" borderId="68" xfId="4" applyFont="1" applyBorder="1" applyAlignment="1" applyProtection="1">
      <alignment horizontal="center" vertical="center" wrapText="1" shrinkToFit="1"/>
      <protection hidden="1"/>
    </xf>
    <xf numFmtId="0" fontId="20" fillId="0" borderId="36" xfId="4" applyFont="1" applyBorder="1" applyAlignment="1" applyProtection="1">
      <alignment vertical="center"/>
      <protection hidden="1"/>
    </xf>
    <xf numFmtId="0" fontId="23" fillId="0" borderId="39" xfId="4" applyFont="1" applyBorder="1" applyAlignment="1" applyProtection="1">
      <alignment horizontal="center" vertical="center" wrapText="1" shrinkToFit="1"/>
      <protection hidden="1"/>
    </xf>
    <xf numFmtId="0" fontId="20" fillId="0" borderId="15" xfId="4" applyFont="1" applyBorder="1" applyAlignment="1" applyProtection="1">
      <alignment vertical="center"/>
      <protection hidden="1"/>
    </xf>
    <xf numFmtId="0" fontId="23" fillId="0" borderId="16" xfId="4" applyFont="1" applyBorder="1" applyAlignment="1" applyProtection="1">
      <alignment horizontal="center" vertical="center" wrapText="1" shrinkToFit="1"/>
      <protection hidden="1"/>
    </xf>
    <xf numFmtId="0" fontId="23" fillId="0" borderId="3" xfId="4" applyFont="1" applyBorder="1" applyAlignment="1" applyProtection="1">
      <alignment vertical="center"/>
      <protection hidden="1"/>
    </xf>
    <xf numFmtId="0" fontId="23" fillId="0" borderId="2" xfId="4" applyFont="1" applyBorder="1" applyAlignment="1" applyProtection="1">
      <alignment vertical="center"/>
      <protection hidden="1"/>
    </xf>
    <xf numFmtId="0" fontId="23" fillId="0" borderId="6" xfId="4" applyFont="1" applyBorder="1" applyAlignment="1" applyProtection="1">
      <alignment vertical="center"/>
      <protection hidden="1"/>
    </xf>
    <xf numFmtId="0" fontId="43" fillId="0" borderId="40" xfId="4" applyFont="1" applyBorder="1" applyAlignment="1" applyProtection="1">
      <alignment vertical="center"/>
      <protection locked="0" hidden="1"/>
    </xf>
    <xf numFmtId="0" fontId="43" fillId="0" borderId="10" xfId="4" applyFont="1" applyBorder="1" applyAlignment="1" applyProtection="1">
      <alignment vertical="center"/>
      <protection locked="0" hidden="1"/>
    </xf>
    <xf numFmtId="0" fontId="41" fillId="0" borderId="45" xfId="0" applyFont="1" applyBorder="1" applyProtection="1">
      <alignment vertical="center"/>
      <protection hidden="1"/>
    </xf>
    <xf numFmtId="0" fontId="41" fillId="0" borderId="16" xfId="0" applyFont="1" applyBorder="1" applyProtection="1">
      <alignment vertical="center"/>
      <protection hidden="1"/>
    </xf>
    <xf numFmtId="0" fontId="41" fillId="0" borderId="17" xfId="0" applyFont="1" applyBorder="1" applyProtection="1">
      <alignment vertical="center"/>
      <protection hidden="1"/>
    </xf>
    <xf numFmtId="0" fontId="41" fillId="0" borderId="46" xfId="0" applyFont="1" applyBorder="1" applyProtection="1">
      <alignment vertical="center"/>
      <protection hidden="1"/>
    </xf>
    <xf numFmtId="0" fontId="41" fillId="0" borderId="34" xfId="0" applyFont="1" applyBorder="1" applyProtection="1">
      <alignment vertical="center"/>
      <protection hidden="1"/>
    </xf>
    <xf numFmtId="0" fontId="41" fillId="0" borderId="45" xfId="0" applyFont="1" applyBorder="1" applyAlignment="1" applyProtection="1">
      <alignment vertical="center" wrapText="1"/>
      <protection hidden="1"/>
    </xf>
    <xf numFmtId="0" fontId="41" fillId="0" borderId="16" xfId="0" applyFont="1" applyBorder="1" applyAlignment="1" applyProtection="1">
      <alignment vertical="center" wrapText="1"/>
      <protection hidden="1"/>
    </xf>
    <xf numFmtId="0" fontId="41" fillId="0" borderId="17" xfId="0" applyFont="1" applyBorder="1" applyAlignment="1" applyProtection="1">
      <alignment vertical="center" wrapText="1"/>
      <protection hidden="1"/>
    </xf>
    <xf numFmtId="0" fontId="41" fillId="0" borderId="46" xfId="0" applyFont="1" applyBorder="1" applyAlignment="1" applyProtection="1">
      <alignment vertical="center" wrapText="1"/>
      <protection hidden="1"/>
    </xf>
    <xf numFmtId="0" fontId="41" fillId="0" borderId="34" xfId="0" applyFont="1" applyBorder="1" applyAlignment="1" applyProtection="1">
      <alignment vertical="center" wrapText="1"/>
      <protection hidden="1"/>
    </xf>
    <xf numFmtId="0" fontId="43" fillId="0" borderId="17" xfId="4" applyFont="1" applyBorder="1" applyAlignment="1" applyProtection="1">
      <alignment horizontal="center" vertical="center" wrapText="1"/>
      <protection locked="0" hidden="1"/>
    </xf>
    <xf numFmtId="0" fontId="35" fillId="0" borderId="0" xfId="31" applyFont="1" applyAlignment="1" applyProtection="1">
      <alignment horizontal="center" vertical="center"/>
      <protection locked="0" hidden="1"/>
    </xf>
    <xf numFmtId="0" fontId="35" fillId="0" borderId="0" xfId="31" applyFont="1" applyProtection="1">
      <alignment vertical="center"/>
      <protection locked="0" hidden="1"/>
    </xf>
    <xf numFmtId="0" fontId="53" fillId="0" borderId="0" xfId="5" applyFont="1" applyAlignment="1">
      <alignment vertical="center" wrapText="1"/>
    </xf>
    <xf numFmtId="0" fontId="53" fillId="0" borderId="0" xfId="5" applyFont="1" applyAlignment="1" applyProtection="1">
      <alignment vertical="center" wrapText="1"/>
      <protection locked="0"/>
    </xf>
    <xf numFmtId="14" fontId="43" fillId="0" borderId="15" xfId="4" applyNumberFormat="1" applyFont="1" applyBorder="1" applyAlignment="1" applyProtection="1">
      <alignment vertical="center" wrapText="1"/>
      <protection locked="0"/>
    </xf>
    <xf numFmtId="0" fontId="43" fillId="0" borderId="3" xfId="4" applyFont="1" applyBorder="1" applyAlignment="1" applyProtection="1">
      <alignment horizontal="right" vertical="center" wrapText="1"/>
      <protection locked="0"/>
    </xf>
    <xf numFmtId="0" fontId="47" fillId="0" borderId="2" xfId="0" applyFont="1" applyBorder="1" applyAlignment="1" applyProtection="1">
      <alignment horizontal="right" vertical="center" wrapText="1"/>
      <protection locked="0"/>
    </xf>
    <xf numFmtId="0" fontId="48" fillId="0" borderId="2" xfId="0" applyFont="1" applyBorder="1" applyAlignment="1" applyProtection="1">
      <alignment horizontal="right" vertical="center" wrapText="1"/>
      <protection locked="0"/>
    </xf>
    <xf numFmtId="49" fontId="47" fillId="0" borderId="17" xfId="0" applyNumberFormat="1" applyFont="1" applyBorder="1" applyAlignment="1" applyProtection="1">
      <alignment vertical="center" wrapText="1"/>
      <protection locked="0"/>
    </xf>
    <xf numFmtId="0" fontId="60" fillId="0" borderId="2" xfId="4" applyFont="1" applyBorder="1" applyAlignment="1" applyProtection="1">
      <alignment horizontal="center" vertical="center" wrapText="1"/>
      <protection locked="0"/>
    </xf>
    <xf numFmtId="0" fontId="23" fillId="0" borderId="7" xfId="4" applyFont="1" applyBorder="1" applyAlignment="1" applyProtection="1">
      <alignment horizontal="center" vertical="center" wrapText="1"/>
      <protection locked="0"/>
    </xf>
    <xf numFmtId="0" fontId="23" fillId="0" borderId="4" xfId="4" applyFont="1" applyBorder="1" applyAlignment="1" applyProtection="1">
      <alignment horizontal="center" vertical="center" wrapText="1"/>
      <protection locked="0"/>
    </xf>
    <xf numFmtId="0" fontId="60" fillId="0" borderId="19" xfId="4" applyFont="1" applyBorder="1" applyAlignment="1" applyProtection="1">
      <alignment horizontal="center" vertical="center" wrapText="1"/>
      <protection locked="0"/>
    </xf>
    <xf numFmtId="0" fontId="60" fillId="0" borderId="6" xfId="4" applyFont="1" applyBorder="1" applyAlignment="1" applyProtection="1">
      <alignment horizontal="center" vertical="center" wrapText="1"/>
      <protection locked="0"/>
    </xf>
    <xf numFmtId="0" fontId="60" fillId="0" borderId="15" xfId="4" applyFont="1" applyBorder="1" applyAlignment="1" applyProtection="1">
      <alignment horizontal="center" vertical="center" wrapText="1"/>
      <protection locked="0"/>
    </xf>
    <xf numFmtId="0" fontId="60" fillId="0" borderId="13" xfId="4" applyFont="1" applyBorder="1" applyAlignment="1" applyProtection="1">
      <alignment horizontal="center" vertical="center" wrapText="1"/>
      <protection locked="0"/>
    </xf>
    <xf numFmtId="4" fontId="60" fillId="0" borderId="15" xfId="4" applyNumberFormat="1" applyFont="1" applyBorder="1" applyAlignment="1" applyProtection="1">
      <alignment horizontal="center" vertical="center" wrapText="1"/>
      <protection locked="0"/>
    </xf>
    <xf numFmtId="0" fontId="23" fillId="0" borderId="26" xfId="4" applyFont="1" applyBorder="1" applyAlignment="1" applyProtection="1">
      <alignment horizontal="center" vertical="center" wrapText="1"/>
      <protection locked="0"/>
    </xf>
    <xf numFmtId="0" fontId="23" fillId="0" borderId="30" xfId="4" applyFont="1" applyBorder="1" applyAlignment="1" applyProtection="1">
      <alignment horizontal="center" vertical="center" wrapText="1"/>
      <protection locked="0"/>
    </xf>
    <xf numFmtId="0" fontId="23" fillId="0" borderId="22" xfId="4" applyFont="1" applyBorder="1" applyAlignment="1" applyProtection="1">
      <alignment horizontal="center" vertical="center" wrapText="1"/>
      <protection locked="0"/>
    </xf>
    <xf numFmtId="0" fontId="23" fillId="0" borderId="2" xfId="4" applyFont="1" applyBorder="1" applyAlignment="1" applyProtection="1">
      <alignment horizontal="center" vertical="center" wrapText="1"/>
      <protection locked="0"/>
    </xf>
    <xf numFmtId="0" fontId="23" fillId="0" borderId="19" xfId="4" applyFont="1" applyBorder="1" applyAlignment="1" applyProtection="1">
      <alignment horizontal="center" vertical="center" wrapText="1"/>
      <protection locked="0"/>
    </xf>
    <xf numFmtId="0" fontId="60" fillId="0" borderId="2" xfId="4" applyFont="1" applyBorder="1" applyAlignment="1" applyProtection="1">
      <alignment horizontal="center" vertical="center"/>
      <protection locked="0"/>
    </xf>
    <xf numFmtId="0" fontId="43" fillId="0" borderId="2" xfId="4" applyFont="1" applyBorder="1" applyAlignment="1" applyProtection="1">
      <alignment horizontal="center" vertical="center"/>
      <protection locked="0"/>
    </xf>
    <xf numFmtId="0" fontId="23" fillId="0" borderId="2" xfId="4" applyFont="1" applyBorder="1" applyAlignment="1" applyProtection="1">
      <alignment horizontal="center" vertical="center"/>
      <protection locked="0"/>
    </xf>
    <xf numFmtId="0" fontId="60" fillId="0" borderId="19" xfId="4" applyFont="1" applyBorder="1" applyAlignment="1" applyProtection="1">
      <alignment horizontal="center" vertical="center"/>
      <protection locked="0"/>
    </xf>
    <xf numFmtId="0" fontId="43" fillId="0" borderId="19" xfId="4" applyFont="1" applyBorder="1" applyAlignment="1" applyProtection="1">
      <alignment vertical="center"/>
      <protection locked="0"/>
    </xf>
    <xf numFmtId="4" fontId="60" fillId="0" borderId="19" xfId="4" applyNumberFormat="1" applyFont="1" applyBorder="1" applyAlignment="1" applyProtection="1">
      <alignment horizontal="center" vertical="center"/>
      <protection locked="0"/>
    </xf>
    <xf numFmtId="4" fontId="60" fillId="0" borderId="3" xfId="4" applyNumberFormat="1" applyFont="1" applyBorder="1" applyAlignment="1" applyProtection="1">
      <alignment horizontal="center" vertical="center"/>
      <protection locked="0"/>
    </xf>
    <xf numFmtId="4" fontId="60" fillId="0" borderId="2" xfId="4" applyNumberFormat="1" applyFont="1" applyBorder="1" applyAlignment="1" applyProtection="1">
      <alignment horizontal="center" vertical="center"/>
      <protection locked="0"/>
    </xf>
    <xf numFmtId="4" fontId="60" fillId="0" borderId="6" xfId="4" applyNumberFormat="1" applyFont="1" applyBorder="1" applyAlignment="1" applyProtection="1">
      <alignment horizontal="center" vertical="center"/>
      <protection locked="0"/>
    </xf>
    <xf numFmtId="4" fontId="60" fillId="0" borderId="15" xfId="4" applyNumberFormat="1" applyFont="1" applyBorder="1" applyAlignment="1" applyProtection="1">
      <alignment horizontal="center" vertical="center"/>
      <protection locked="0"/>
    </xf>
    <xf numFmtId="0" fontId="43" fillId="0" borderId="26" xfId="4" applyFont="1" applyBorder="1" applyAlignment="1" applyProtection="1">
      <alignment horizontal="center" vertical="center"/>
      <protection locked="0"/>
    </xf>
    <xf numFmtId="0" fontId="43" fillId="0" borderId="7" xfId="4" applyFont="1" applyBorder="1" applyAlignment="1" applyProtection="1">
      <alignment horizontal="center" vertical="center"/>
      <protection locked="0"/>
    </xf>
    <xf numFmtId="0" fontId="43" fillId="0" borderId="4" xfId="4" applyFont="1" applyBorder="1" applyAlignment="1" applyProtection="1">
      <alignment horizontal="center" vertical="center"/>
      <protection locked="0"/>
    </xf>
    <xf numFmtId="0" fontId="43" fillId="0" borderId="11" xfId="4" applyFont="1" applyBorder="1" applyAlignment="1" applyProtection="1">
      <alignment horizontal="center" vertical="center"/>
      <protection locked="0"/>
    </xf>
    <xf numFmtId="0" fontId="43" fillId="0" borderId="30" xfId="4" applyFont="1" applyBorder="1" applyAlignment="1" applyProtection="1">
      <alignment horizontal="center" vertical="center"/>
      <protection locked="0"/>
    </xf>
    <xf numFmtId="0" fontId="43" fillId="0" borderId="0" xfId="0" applyFont="1" applyAlignment="1">
      <alignment horizontal="left" shrinkToFit="1"/>
    </xf>
    <xf numFmtId="186" fontId="43" fillId="0" borderId="0" xfId="0" applyNumberFormat="1" applyFont="1">
      <alignment vertical="center"/>
    </xf>
    <xf numFmtId="0" fontId="23" fillId="0" borderId="0" xfId="0" applyFont="1">
      <alignment vertical="center"/>
    </xf>
    <xf numFmtId="185" fontId="60" fillId="0" borderId="3" xfId="4" applyNumberFormat="1" applyFont="1" applyBorder="1" applyAlignment="1" applyProtection="1">
      <alignment horizontal="center" vertical="center" wrapText="1"/>
      <protection locked="0"/>
    </xf>
    <xf numFmtId="11" fontId="65" fillId="0" borderId="0" xfId="5" applyNumberFormat="1" applyFont="1" applyAlignment="1">
      <alignment vertical="center"/>
    </xf>
    <xf numFmtId="0" fontId="65" fillId="0" borderId="0" xfId="5" applyFont="1" applyAlignment="1" applyProtection="1">
      <alignment vertical="center" wrapText="1"/>
      <protection locked="0"/>
    </xf>
    <xf numFmtId="181" fontId="65" fillId="0" borderId="0" xfId="5" applyNumberFormat="1" applyFont="1" applyAlignment="1" applyProtection="1">
      <alignment vertical="center"/>
      <protection locked="0"/>
    </xf>
    <xf numFmtId="11" fontId="65" fillId="0" borderId="75" xfId="5" applyNumberFormat="1" applyFont="1" applyBorder="1" applyAlignment="1" applyProtection="1">
      <alignment vertical="center"/>
      <protection locked="0"/>
    </xf>
    <xf numFmtId="181" fontId="53" fillId="0" borderId="0" xfId="5" applyNumberFormat="1" applyFont="1" applyAlignment="1" applyProtection="1">
      <alignment vertical="center"/>
      <protection locked="0"/>
    </xf>
    <xf numFmtId="0" fontId="65" fillId="0" borderId="0" xfId="5" applyFont="1" applyAlignment="1" applyProtection="1">
      <alignment vertical="center"/>
      <protection locked="0"/>
    </xf>
    <xf numFmtId="11" fontId="65" fillId="0" borderId="0" xfId="5" applyNumberFormat="1" applyFont="1" applyAlignment="1" applyProtection="1">
      <alignment vertical="center"/>
      <protection locked="0"/>
    </xf>
    <xf numFmtId="10" fontId="43" fillId="0" borderId="0" xfId="0" applyNumberFormat="1" applyFont="1" applyProtection="1">
      <alignment vertical="center"/>
      <protection hidden="1"/>
    </xf>
    <xf numFmtId="0" fontId="41" fillId="0" borderId="0" xfId="0" applyFont="1" applyAlignment="1">
      <alignment vertical="center" wrapText="1"/>
    </xf>
    <xf numFmtId="0" fontId="41" fillId="0" borderId="0" xfId="0" applyFont="1" applyAlignment="1">
      <alignment horizontal="center" vertical="center" wrapText="1"/>
    </xf>
    <xf numFmtId="11" fontId="41" fillId="0" borderId="0" xfId="0" applyNumberFormat="1" applyFont="1" applyAlignment="1">
      <alignment vertical="center" wrapText="1"/>
    </xf>
    <xf numFmtId="0" fontId="18" fillId="0" borderId="0" xfId="0" applyFont="1" applyAlignment="1">
      <alignment horizontal="left" vertical="center"/>
    </xf>
    <xf numFmtId="185" fontId="60" fillId="0" borderId="13" xfId="4" applyNumberFormat="1" applyFont="1" applyBorder="1" applyAlignment="1" applyProtection="1">
      <alignment horizontal="center" vertical="center" wrapText="1"/>
      <protection locked="0"/>
    </xf>
    <xf numFmtId="183" fontId="23" fillId="0" borderId="22" xfId="4" applyNumberFormat="1" applyFont="1" applyBorder="1" applyAlignment="1" applyProtection="1">
      <alignment horizontal="center" vertical="center"/>
      <protection locked="0" hidden="1"/>
    </xf>
    <xf numFmtId="0" fontId="23" fillId="0" borderId="2" xfId="4" applyFont="1" applyBorder="1" applyAlignment="1" applyProtection="1">
      <alignment horizontal="center" vertical="center" wrapText="1"/>
      <protection locked="0" hidden="1"/>
    </xf>
    <xf numFmtId="43" fontId="60" fillId="0" borderId="2" xfId="4" applyNumberFormat="1" applyFont="1" applyBorder="1" applyAlignment="1" applyProtection="1">
      <alignment horizontal="center" vertical="center" wrapText="1"/>
      <protection locked="0"/>
    </xf>
    <xf numFmtId="0" fontId="23" fillId="0" borderId="15" xfId="4" applyFont="1" applyBorder="1" applyAlignment="1" applyProtection="1">
      <alignment horizontal="center" vertical="center" wrapText="1"/>
      <protection locked="0" hidden="1"/>
    </xf>
    <xf numFmtId="185" fontId="60" fillId="0" borderId="15" xfId="4" applyNumberFormat="1" applyFont="1" applyBorder="1" applyAlignment="1" applyProtection="1">
      <alignment horizontal="center" vertical="center" wrapText="1"/>
      <protection locked="0"/>
    </xf>
    <xf numFmtId="0" fontId="23" fillId="0" borderId="15" xfId="4" applyFont="1" applyBorder="1" applyAlignment="1" applyProtection="1">
      <alignment horizontal="center" vertical="center" wrapText="1"/>
      <protection locked="0"/>
    </xf>
    <xf numFmtId="0" fontId="43" fillId="0" borderId="15" xfId="4" applyFont="1" applyBorder="1" applyAlignment="1" applyProtection="1">
      <alignment vertical="center"/>
      <protection locked="0" hidden="1"/>
    </xf>
    <xf numFmtId="0" fontId="23" fillId="0" borderId="19" xfId="4" applyFont="1" applyBorder="1" applyAlignment="1" applyProtection="1">
      <alignment horizontal="center" vertical="center" wrapText="1"/>
      <protection locked="0" hidden="1"/>
    </xf>
    <xf numFmtId="4" fontId="60" fillId="0" borderId="2" xfId="4" applyNumberFormat="1" applyFont="1" applyBorder="1" applyAlignment="1" applyProtection="1">
      <alignment horizontal="center" vertical="center" wrapText="1"/>
      <protection locked="0"/>
    </xf>
    <xf numFmtId="0" fontId="23" fillId="0" borderId="6" xfId="4" applyFont="1" applyBorder="1" applyAlignment="1" applyProtection="1">
      <alignment horizontal="center" vertical="center" wrapText="1"/>
      <protection locked="0" hidden="1"/>
    </xf>
    <xf numFmtId="0" fontId="23" fillId="0" borderId="6" xfId="4" applyFont="1" applyBorder="1" applyAlignment="1" applyProtection="1">
      <alignment horizontal="center" vertical="center" wrapText="1"/>
      <protection locked="0"/>
    </xf>
    <xf numFmtId="0" fontId="44" fillId="0" borderId="0" xfId="24" applyFont="1">
      <alignment vertical="center"/>
    </xf>
    <xf numFmtId="0" fontId="93" fillId="0" borderId="0" xfId="31" applyFont="1" applyProtection="1">
      <alignment vertical="center"/>
      <protection locked="0" hidden="1"/>
    </xf>
    <xf numFmtId="0" fontId="94" fillId="0" borderId="0" xfId="0" applyFont="1">
      <alignment vertical="center"/>
    </xf>
    <xf numFmtId="0" fontId="34" fillId="0" borderId="0" xfId="24" applyAlignment="1" applyProtection="1">
      <alignment horizontal="left"/>
      <protection locked="0"/>
    </xf>
    <xf numFmtId="0" fontId="95" fillId="0" borderId="0" xfId="0" applyFont="1">
      <alignment vertical="center"/>
    </xf>
    <xf numFmtId="0" fontId="34" fillId="0" borderId="0" xfId="24" applyAlignment="1">
      <alignment vertical="center" wrapText="1"/>
    </xf>
    <xf numFmtId="0" fontId="93" fillId="0" borderId="0" xfId="31" applyFont="1" applyProtection="1">
      <alignment vertical="center"/>
      <protection hidden="1"/>
    </xf>
    <xf numFmtId="0" fontId="1" fillId="0" borderId="0" xfId="0" applyNumberFormat="1" applyFont="1" applyFill="1" applyAlignment="1" applyProtection="1">
      <alignment vertical="center"/>
    </xf>
    <xf numFmtId="0" fontId="1" fillId="0" borderId="0" xfId="0" applyNumberFormat="1" applyFont="1" applyFill="1" applyAlignment="1" applyProtection="1">
      <alignment vertical="center"/>
      <protection locked="0"/>
    </xf>
    <xf numFmtId="0" fontId="60" fillId="0" borderId="0" xfId="0" applyFont="1">
      <alignment vertical="center"/>
    </xf>
    <xf numFmtId="0" fontId="34" fillId="0" borderId="4" xfId="24" applyBorder="1" applyAlignment="1" applyProtection="1">
      <alignment horizontal="center" vertical="center"/>
      <protection locked="0" hidden="1"/>
    </xf>
    <xf numFmtId="0" fontId="23" fillId="0" borderId="0" xfId="0" applyFont="1" applyAlignment="1">
      <alignment vertical="center" wrapText="1"/>
    </xf>
    <xf numFmtId="0" fontId="50" fillId="4" borderId="2" xfId="0" applyNumberFormat="1" applyFont="1" applyFill="1" applyBorder="1" applyAlignment="1" applyProtection="1">
      <alignment vertical="center" wrapText="1"/>
      <protection hidden="1"/>
    </xf>
    <xf numFmtId="0" fontId="50" fillId="4" borderId="14" xfId="0" applyNumberFormat="1" applyFont="1" applyFill="1" applyBorder="1" applyAlignment="1" applyProtection="1">
      <alignment vertical="center" wrapText="1"/>
      <protection hidden="1"/>
    </xf>
    <xf numFmtId="0" fontId="50" fillId="4" borderId="15" xfId="0" applyNumberFormat="1" applyFont="1" applyFill="1" applyBorder="1" applyAlignment="1" applyProtection="1">
      <alignment vertical="center" wrapText="1"/>
      <protection hidden="1"/>
    </xf>
    <xf numFmtId="0" fontId="47" fillId="5" borderId="16" xfId="0" applyNumberFormat="1" applyFont="1" applyFill="1" applyBorder="1" applyAlignment="1" applyProtection="1">
      <alignment horizontal="center" vertical="center" wrapText="1"/>
      <protection locked="0" hidden="1"/>
    </xf>
    <xf numFmtId="0" fontId="50" fillId="4" borderId="1" xfId="0" applyNumberFormat="1" applyFont="1" applyFill="1" applyBorder="1" applyAlignment="1" applyProtection="1">
      <alignment vertical="center" wrapText="1"/>
      <protection hidden="1"/>
    </xf>
    <xf numFmtId="0" fontId="47" fillId="5" borderId="17" xfId="0" applyNumberFormat="1" applyFont="1" applyFill="1" applyBorder="1" applyAlignment="1" applyProtection="1">
      <alignment horizontal="center" vertical="center" wrapText="1"/>
      <protection locked="0" hidden="1"/>
    </xf>
    <xf numFmtId="0" fontId="48" fillId="5" borderId="17" xfId="0" applyNumberFormat="1" applyFont="1" applyFill="1" applyBorder="1" applyAlignment="1" applyProtection="1">
      <alignment horizontal="center" vertical="center" wrapText="1"/>
      <protection locked="0" hidden="1"/>
    </xf>
    <xf numFmtId="0" fontId="51" fillId="4" borderId="1" xfId="0" applyNumberFormat="1" applyFont="1" applyFill="1" applyBorder="1" applyAlignment="1" applyProtection="1">
      <alignment vertical="center" wrapText="1"/>
      <protection hidden="1"/>
    </xf>
    <xf numFmtId="0" fontId="51" fillId="4" borderId="18" xfId="0" applyNumberFormat="1" applyFont="1" applyFill="1" applyBorder="1" applyAlignment="1" applyProtection="1">
      <alignment vertical="center" wrapText="1"/>
      <protection hidden="1"/>
    </xf>
    <xf numFmtId="0" fontId="50" fillId="4" borderId="52" xfId="0" applyNumberFormat="1" applyFont="1" applyFill="1" applyBorder="1" applyAlignment="1" applyProtection="1">
      <alignment horizontal="center" vertical="center" wrapText="1"/>
      <protection hidden="1"/>
    </xf>
    <xf numFmtId="0" fontId="50" fillId="4" borderId="15" xfId="0" applyNumberFormat="1" applyFont="1" applyFill="1" applyBorder="1" applyAlignment="1" applyProtection="1">
      <alignment horizontal="center" vertical="center" wrapText="1"/>
      <protection hidden="1"/>
    </xf>
    <xf numFmtId="0" fontId="50" fillId="4" borderId="16" xfId="0" applyNumberFormat="1" applyFont="1" applyFill="1" applyBorder="1" applyAlignment="1" applyProtection="1">
      <alignment horizontal="center" vertical="center" wrapText="1"/>
      <protection hidden="1"/>
    </xf>
    <xf numFmtId="0" fontId="50" fillId="4" borderId="40" xfId="0" applyNumberFormat="1" applyFont="1" applyFill="1" applyBorder="1" applyAlignment="1" applyProtection="1">
      <alignment horizontal="center" vertical="center" wrapText="1"/>
      <protection hidden="1"/>
    </xf>
    <xf numFmtId="0" fontId="50" fillId="4" borderId="15" xfId="0" applyNumberFormat="1" applyFont="1" applyFill="1" applyBorder="1" applyAlignment="1" applyProtection="1">
      <alignment vertical="center"/>
      <protection hidden="1"/>
    </xf>
    <xf numFmtId="0" fontId="50" fillId="4" borderId="19" xfId="0" applyNumberFormat="1" applyFont="1" applyFill="1" applyBorder="1" applyAlignment="1" applyProtection="1">
      <alignment horizontal="center" vertical="center" wrapText="1"/>
      <protection hidden="1"/>
    </xf>
    <xf numFmtId="0" fontId="50" fillId="4" borderId="25" xfId="0" applyNumberFormat="1" applyFont="1" applyFill="1" applyBorder="1" applyAlignment="1" applyProtection="1">
      <alignment horizontal="center" vertical="center" wrapText="1"/>
      <protection hidden="1"/>
    </xf>
    <xf numFmtId="0" fontId="50" fillId="4" borderId="19" xfId="0" applyNumberFormat="1" applyFont="1" applyFill="1" applyBorder="1" applyAlignment="1" applyProtection="1">
      <alignment vertical="center" wrapText="1"/>
      <protection hidden="1"/>
    </xf>
    <xf numFmtId="0" fontId="50" fillId="4" borderId="19" xfId="0" applyNumberFormat="1" applyFont="1" applyFill="1" applyBorder="1" applyAlignment="1" applyProtection="1">
      <alignment horizontal="center" vertical="center"/>
      <protection hidden="1"/>
    </xf>
    <xf numFmtId="0" fontId="50" fillId="4" borderId="19" xfId="0" applyNumberFormat="1" applyFont="1" applyFill="1" applyBorder="1" applyAlignment="1" applyProtection="1">
      <alignment vertical="center"/>
      <protection hidden="1"/>
    </xf>
    <xf numFmtId="0" fontId="50" fillId="4" borderId="26" xfId="0" applyNumberFormat="1" applyFont="1" applyFill="1" applyBorder="1" applyAlignment="1" applyProtection="1">
      <alignment horizontal="center" vertical="center"/>
      <protection hidden="1"/>
    </xf>
    <xf numFmtId="0" fontId="23" fillId="5" borderId="41" xfId="0" applyNumberFormat="1" applyFont="1" applyFill="1" applyBorder="1" applyAlignment="1" applyProtection="1">
      <alignment horizontal="center" vertical="center" wrapText="1"/>
      <protection locked="0"/>
    </xf>
    <xf numFmtId="0" fontId="23" fillId="4" borderId="5" xfId="0" applyNumberFormat="1" applyFont="1" applyFill="1" applyBorder="1" applyAlignment="1" applyProtection="1">
      <alignment horizontal="center" vertical="center" wrapText="1"/>
      <protection hidden="1"/>
    </xf>
    <xf numFmtId="0" fontId="23" fillId="5" borderId="3" xfId="0" applyNumberFormat="1" applyFont="1" applyFill="1" applyBorder="1" applyAlignment="1" applyProtection="1">
      <alignment vertical="center" wrapText="1"/>
      <protection locked="0" hidden="1"/>
    </xf>
    <xf numFmtId="0" fontId="23" fillId="5" borderId="5" xfId="0" applyNumberFormat="1" applyFont="1" applyFill="1" applyBorder="1" applyAlignment="1" applyProtection="1">
      <alignment vertical="center" wrapText="1"/>
      <protection locked="0" hidden="1"/>
    </xf>
    <xf numFmtId="0" fontId="23" fillId="4" borderId="3" xfId="0" applyNumberFormat="1" applyFont="1" applyFill="1" applyBorder="1" applyAlignment="1" applyProtection="1">
      <alignment horizontal="center" vertical="center" wrapText="1"/>
      <protection hidden="1"/>
    </xf>
    <xf numFmtId="181" fontId="23" fillId="4" borderId="41" xfId="0" applyNumberFormat="1" applyFont="1" applyFill="1" applyBorder="1" applyAlignment="1" applyProtection="1">
      <alignment horizontal="center" vertical="center"/>
      <protection hidden="1"/>
    </xf>
    <xf numFmtId="181" fontId="23" fillId="4" borderId="3" xfId="0" applyNumberFormat="1" applyFont="1" applyFill="1" applyBorder="1" applyAlignment="1" applyProtection="1">
      <alignment horizontal="center" vertical="center"/>
      <protection hidden="1"/>
    </xf>
    <xf numFmtId="181" fontId="23" fillId="4" borderId="20" xfId="0" applyNumberFormat="1" applyFont="1" applyFill="1" applyBorder="1" applyAlignment="1" applyProtection="1">
      <alignment horizontal="center" vertical="center"/>
      <protection hidden="1"/>
    </xf>
    <xf numFmtId="0" fontId="23" fillId="4" borderId="20" xfId="0" applyNumberFormat="1" applyFont="1" applyFill="1" applyBorder="1" applyAlignment="1" applyProtection="1">
      <alignment horizontal="center" vertical="center"/>
      <protection hidden="1"/>
    </xf>
    <xf numFmtId="2" fontId="43" fillId="4" borderId="41" xfId="0" applyNumberFormat="1" applyFont="1" applyFill="1" applyBorder="1" applyAlignment="1" applyProtection="1">
      <alignment vertical="center"/>
      <protection hidden="1"/>
    </xf>
    <xf numFmtId="2" fontId="43" fillId="4" borderId="3" xfId="0" applyNumberFormat="1" applyFont="1" applyFill="1" applyBorder="1" applyAlignment="1" applyProtection="1">
      <alignment vertical="center"/>
      <protection hidden="1"/>
    </xf>
    <xf numFmtId="2" fontId="43" fillId="4" borderId="20" xfId="0" applyNumberFormat="1" applyFont="1" applyFill="1" applyBorder="1" applyAlignment="1" applyProtection="1">
      <alignment vertical="center"/>
      <protection hidden="1"/>
    </xf>
    <xf numFmtId="0" fontId="43" fillId="4" borderId="41" xfId="0" applyNumberFormat="1" applyFont="1" applyFill="1" applyBorder="1" applyAlignment="1" applyProtection="1">
      <alignment vertical="center"/>
      <protection hidden="1"/>
    </xf>
    <xf numFmtId="10" fontId="43" fillId="4" borderId="3" xfId="0" applyNumberFormat="1" applyFont="1" applyFill="1" applyBorder="1" applyAlignment="1" applyProtection="1">
      <alignment vertical="center"/>
      <protection hidden="1"/>
    </xf>
    <xf numFmtId="10" fontId="43" fillId="4" borderId="20" xfId="0" applyNumberFormat="1" applyFont="1" applyFill="1" applyBorder="1" applyAlignment="1" applyProtection="1">
      <alignment vertical="center"/>
      <protection hidden="1"/>
    </xf>
    <xf numFmtId="0" fontId="23" fillId="5" borderId="48" xfId="0" applyNumberFormat="1" applyFont="1" applyFill="1" applyBorder="1" applyAlignment="1" applyProtection="1">
      <alignment horizontal="center" vertical="center" wrapText="1"/>
      <protection locked="0"/>
    </xf>
    <xf numFmtId="0" fontId="23" fillId="4" borderId="0" xfId="0" applyNumberFormat="1" applyFont="1" applyFill="1" applyAlignment="1" applyProtection="1">
      <alignment horizontal="center" vertical="center" wrapText="1"/>
      <protection hidden="1"/>
    </xf>
    <xf numFmtId="0" fontId="23" fillId="5" borderId="13" xfId="0" applyNumberFormat="1" applyFont="1" applyFill="1" applyBorder="1" applyAlignment="1" applyProtection="1">
      <alignment vertical="center" wrapText="1"/>
      <protection locked="0" hidden="1"/>
    </xf>
    <xf numFmtId="0" fontId="23" fillId="5" borderId="0" xfId="0" applyNumberFormat="1" applyFont="1" applyFill="1" applyAlignment="1" applyProtection="1">
      <alignment vertical="center" wrapText="1"/>
      <protection locked="0" hidden="1"/>
    </xf>
    <xf numFmtId="0" fontId="23" fillId="4" borderId="13" xfId="0" applyNumberFormat="1" applyFont="1" applyFill="1" applyBorder="1" applyAlignment="1" applyProtection="1">
      <alignment horizontal="center" vertical="center" wrapText="1"/>
      <protection hidden="1"/>
    </xf>
    <xf numFmtId="181" fontId="23" fillId="4" borderId="48" xfId="0" applyNumberFormat="1" applyFont="1" applyFill="1" applyBorder="1" applyAlignment="1" applyProtection="1">
      <alignment horizontal="center" vertical="center"/>
      <protection hidden="1"/>
    </xf>
    <xf numFmtId="181" fontId="23" fillId="4" borderId="13" xfId="0" applyNumberFormat="1" applyFont="1" applyFill="1" applyBorder="1" applyAlignment="1" applyProtection="1">
      <alignment horizontal="center" vertical="center"/>
      <protection hidden="1"/>
    </xf>
    <xf numFmtId="181" fontId="23" fillId="4" borderId="50" xfId="0" applyNumberFormat="1" applyFont="1" applyFill="1" applyBorder="1" applyAlignment="1" applyProtection="1">
      <alignment horizontal="center" vertical="center"/>
      <protection hidden="1"/>
    </xf>
    <xf numFmtId="0" fontId="23" fillId="4" borderId="50" xfId="0" applyNumberFormat="1" applyFont="1" applyFill="1" applyBorder="1" applyAlignment="1" applyProtection="1">
      <alignment horizontal="center" vertical="center"/>
      <protection hidden="1"/>
    </xf>
    <xf numFmtId="2" fontId="43" fillId="4" borderId="48" xfId="0" applyNumberFormat="1" applyFont="1" applyFill="1" applyBorder="1" applyAlignment="1" applyProtection="1">
      <alignment vertical="center"/>
      <protection hidden="1"/>
    </xf>
    <xf numFmtId="2" fontId="43" fillId="4" borderId="13" xfId="0" applyNumberFormat="1" applyFont="1" applyFill="1" applyBorder="1" applyAlignment="1" applyProtection="1">
      <alignment vertical="center"/>
      <protection hidden="1"/>
    </xf>
    <xf numFmtId="2" fontId="43" fillId="4" borderId="50" xfId="0" applyNumberFormat="1" applyFont="1" applyFill="1" applyBorder="1" applyAlignment="1" applyProtection="1">
      <alignment vertical="center"/>
      <protection hidden="1"/>
    </xf>
    <xf numFmtId="0" fontId="43" fillId="4" borderId="48" xfId="0" applyNumberFormat="1" applyFont="1" applyFill="1" applyBorder="1" applyAlignment="1" applyProtection="1">
      <alignment vertical="center"/>
      <protection hidden="1"/>
    </xf>
    <xf numFmtId="10" fontId="43" fillId="4" borderId="13" xfId="0" applyNumberFormat="1" applyFont="1" applyFill="1" applyBorder="1" applyAlignment="1" applyProtection="1">
      <alignment vertical="center"/>
      <protection hidden="1"/>
    </xf>
    <xf numFmtId="10" fontId="43" fillId="4" borderId="50" xfId="0" applyNumberFormat="1" applyFont="1" applyFill="1" applyBorder="1" applyAlignment="1" applyProtection="1">
      <alignment vertical="center"/>
      <protection hidden="1"/>
    </xf>
    <xf numFmtId="0" fontId="23" fillId="5" borderId="15" xfId="0" applyNumberFormat="1" applyFont="1" applyFill="1" applyBorder="1" applyAlignment="1" applyProtection="1">
      <alignment horizontal="center" vertical="center" wrapText="1"/>
      <protection locked="0"/>
    </xf>
    <xf numFmtId="0" fontId="23" fillId="4" borderId="15" xfId="0" applyNumberFormat="1" applyFont="1" applyFill="1" applyBorder="1" applyAlignment="1" applyProtection="1">
      <alignment horizontal="center" vertical="center" wrapText="1"/>
      <protection hidden="1"/>
    </xf>
    <xf numFmtId="0" fontId="23" fillId="5" borderId="15" xfId="0" applyNumberFormat="1" applyFont="1" applyFill="1" applyBorder="1" applyAlignment="1" applyProtection="1">
      <alignment vertical="center" wrapText="1"/>
      <protection locked="0" hidden="1"/>
    </xf>
    <xf numFmtId="181" fontId="23" fillId="4" borderId="15" xfId="0" applyNumberFormat="1" applyFont="1" applyFill="1" applyBorder="1" applyAlignment="1" applyProtection="1">
      <alignment horizontal="center" vertical="center"/>
      <protection hidden="1"/>
    </xf>
    <xf numFmtId="0" fontId="23" fillId="4" borderId="15" xfId="0" applyNumberFormat="1" applyFont="1" applyFill="1" applyBorder="1" applyAlignment="1" applyProtection="1">
      <alignment horizontal="center" vertical="center"/>
      <protection hidden="1"/>
    </xf>
    <xf numFmtId="2" fontId="43" fillId="4" borderId="15" xfId="0" applyNumberFormat="1" applyFont="1" applyFill="1" applyBorder="1" applyAlignment="1" applyProtection="1">
      <alignment vertical="center"/>
      <protection hidden="1"/>
    </xf>
    <xf numFmtId="0" fontId="43" fillId="4" borderId="15" xfId="0" applyNumberFormat="1" applyFont="1" applyFill="1" applyBorder="1" applyAlignment="1" applyProtection="1">
      <alignment vertical="center"/>
      <protection hidden="1"/>
    </xf>
    <xf numFmtId="10" fontId="43" fillId="4" borderId="15" xfId="0" applyNumberFormat="1" applyFont="1" applyFill="1" applyBorder="1" applyAlignment="1" applyProtection="1">
      <alignment vertical="center"/>
      <protection hidden="1"/>
    </xf>
    <xf numFmtId="10" fontId="43" fillId="4" borderId="16" xfId="0" applyNumberFormat="1" applyFont="1" applyFill="1" applyBorder="1" applyAlignment="1" applyProtection="1">
      <alignment vertical="center"/>
      <protection hidden="1"/>
    </xf>
    <xf numFmtId="0" fontId="23" fillId="5" borderId="2" xfId="0" applyNumberFormat="1" applyFont="1" applyFill="1" applyBorder="1" applyAlignment="1" applyProtection="1">
      <alignment horizontal="center" vertical="center" wrapText="1"/>
      <protection locked="0"/>
    </xf>
    <xf numFmtId="0" fontId="23" fillId="4" borderId="2" xfId="0" applyNumberFormat="1" applyFont="1" applyFill="1" applyBorder="1" applyAlignment="1" applyProtection="1">
      <alignment horizontal="center" vertical="center" wrapText="1"/>
      <protection hidden="1"/>
    </xf>
    <xf numFmtId="0" fontId="23" fillId="5" borderId="2" xfId="0" applyNumberFormat="1" applyFont="1" applyFill="1" applyBorder="1" applyAlignment="1" applyProtection="1">
      <alignment vertical="center" wrapText="1"/>
      <protection locked="0" hidden="1"/>
    </xf>
    <xf numFmtId="181" fontId="23" fillId="4" borderId="2" xfId="0" applyNumberFormat="1" applyFont="1" applyFill="1" applyBorder="1" applyAlignment="1" applyProtection="1">
      <alignment horizontal="center" vertical="center"/>
      <protection hidden="1"/>
    </xf>
    <xf numFmtId="0" fontId="23" fillId="4" borderId="2" xfId="0" applyNumberFormat="1" applyFont="1" applyFill="1" applyBorder="1" applyAlignment="1" applyProtection="1">
      <alignment horizontal="center" vertical="center"/>
      <protection hidden="1"/>
    </xf>
    <xf numFmtId="2" fontId="43" fillId="4" borderId="2" xfId="0" applyNumberFormat="1" applyFont="1" applyFill="1" applyBorder="1" applyAlignment="1" applyProtection="1">
      <alignment vertical="center"/>
      <protection hidden="1"/>
    </xf>
    <xf numFmtId="0" fontId="43" fillId="4" borderId="2" xfId="0" applyNumberFormat="1" applyFont="1" applyFill="1" applyBorder="1" applyAlignment="1" applyProtection="1">
      <alignment vertical="center"/>
      <protection hidden="1"/>
    </xf>
    <xf numFmtId="10" fontId="43" fillId="4" borderId="2" xfId="0" applyNumberFormat="1" applyFont="1" applyFill="1" applyBorder="1" applyAlignment="1" applyProtection="1">
      <alignment vertical="center"/>
      <protection hidden="1"/>
    </xf>
    <xf numFmtId="10" fontId="43" fillId="4" borderId="17" xfId="0" applyNumberFormat="1" applyFont="1" applyFill="1" applyBorder="1" applyAlignment="1" applyProtection="1">
      <alignment vertical="center"/>
      <protection hidden="1"/>
    </xf>
    <xf numFmtId="0" fontId="23" fillId="5" borderId="6" xfId="0" applyNumberFormat="1" applyFont="1" applyFill="1" applyBorder="1" applyAlignment="1" applyProtection="1">
      <alignment horizontal="center" vertical="center" wrapText="1"/>
      <protection locked="0"/>
    </xf>
    <xf numFmtId="0" fontId="23" fillId="4" borderId="6" xfId="0" applyNumberFormat="1" applyFont="1" applyFill="1" applyBorder="1" applyAlignment="1" applyProtection="1">
      <alignment horizontal="center" vertical="center" wrapText="1"/>
      <protection hidden="1"/>
    </xf>
    <xf numFmtId="0" fontId="23" fillId="5" borderId="6" xfId="0" applyNumberFormat="1" applyFont="1" applyFill="1" applyBorder="1" applyAlignment="1" applyProtection="1">
      <alignment vertical="center" wrapText="1"/>
      <protection locked="0" hidden="1"/>
    </xf>
    <xf numFmtId="181" fontId="23" fillId="4" borderId="6" xfId="0" applyNumberFormat="1" applyFont="1" applyFill="1" applyBorder="1" applyAlignment="1" applyProtection="1">
      <alignment horizontal="center" vertical="center"/>
      <protection hidden="1"/>
    </xf>
    <xf numFmtId="0" fontId="23" fillId="4" borderId="6" xfId="0" applyNumberFormat="1" applyFont="1" applyFill="1" applyBorder="1" applyAlignment="1" applyProtection="1">
      <alignment horizontal="center" vertical="center"/>
      <protection hidden="1"/>
    </xf>
    <xf numFmtId="2" fontId="43" fillId="4" borderId="6" xfId="0" applyNumberFormat="1" applyFont="1" applyFill="1" applyBorder="1" applyAlignment="1" applyProtection="1">
      <alignment vertical="center"/>
      <protection hidden="1"/>
    </xf>
    <xf numFmtId="0" fontId="43" fillId="4" borderId="6" xfId="0" applyNumberFormat="1" applyFont="1" applyFill="1" applyBorder="1" applyAlignment="1" applyProtection="1">
      <alignment vertical="center"/>
      <protection hidden="1"/>
    </xf>
    <xf numFmtId="10" fontId="43" fillId="4" borderId="6" xfId="0" applyNumberFormat="1" applyFont="1" applyFill="1" applyBorder="1" applyAlignment="1" applyProtection="1">
      <alignment vertical="center"/>
      <protection hidden="1"/>
    </xf>
    <xf numFmtId="10" fontId="43" fillId="4" borderId="68" xfId="0" applyNumberFormat="1" applyFont="1" applyFill="1" applyBorder="1" applyAlignment="1" applyProtection="1">
      <alignment vertical="center"/>
      <protection hidden="1"/>
    </xf>
    <xf numFmtId="0" fontId="23" fillId="5" borderId="14" xfId="0" applyNumberFormat="1" applyFont="1" applyFill="1" applyBorder="1" applyAlignment="1" applyProtection="1">
      <alignment horizontal="center" vertical="center" wrapText="1"/>
      <protection locked="0" hidden="1"/>
    </xf>
    <xf numFmtId="0" fontId="23" fillId="5" borderId="45" xfId="0" applyNumberFormat="1" applyFont="1" applyFill="1" applyBorder="1" applyAlignment="1" applyProtection="1">
      <alignment vertical="center" wrapText="1"/>
      <protection locked="0" hidden="1"/>
    </xf>
    <xf numFmtId="181" fontId="23" fillId="4" borderId="14" xfId="0" applyNumberFormat="1" applyFont="1" applyFill="1" applyBorder="1" applyAlignment="1" applyProtection="1">
      <alignment horizontal="center" vertical="center"/>
      <protection hidden="1"/>
    </xf>
    <xf numFmtId="181" fontId="23" fillId="4" borderId="16" xfId="0" applyNumberFormat="1" applyFont="1" applyFill="1" applyBorder="1" applyAlignment="1" applyProtection="1">
      <alignment horizontal="center" vertical="center"/>
      <protection hidden="1"/>
    </xf>
    <xf numFmtId="0" fontId="23" fillId="4" borderId="16" xfId="0" applyNumberFormat="1" applyFont="1" applyFill="1" applyBorder="1" applyAlignment="1" applyProtection="1">
      <alignment horizontal="center" vertical="center"/>
      <protection hidden="1"/>
    </xf>
    <xf numFmtId="2" fontId="43" fillId="4" borderId="14" xfId="0" applyNumberFormat="1" applyFont="1" applyFill="1" applyBorder="1" applyAlignment="1" applyProtection="1">
      <alignment vertical="center"/>
      <protection hidden="1"/>
    </xf>
    <xf numFmtId="2" fontId="43" fillId="4" borderId="16" xfId="0" applyNumberFormat="1" applyFont="1" applyFill="1" applyBorder="1" applyAlignment="1" applyProtection="1">
      <alignment vertical="center"/>
      <protection hidden="1"/>
    </xf>
    <xf numFmtId="0" fontId="43" fillId="4" borderId="14" xfId="0" applyNumberFormat="1" applyFont="1" applyFill="1" applyBorder="1" applyAlignment="1" applyProtection="1">
      <alignment vertical="center"/>
      <protection hidden="1"/>
    </xf>
    <xf numFmtId="0" fontId="23" fillId="5" borderId="41" xfId="0" applyNumberFormat="1" applyFont="1" applyFill="1" applyBorder="1" applyAlignment="1" applyProtection="1">
      <alignment horizontal="center" vertical="center" wrapText="1"/>
      <protection locked="0" hidden="1"/>
    </xf>
    <xf numFmtId="0" fontId="23" fillId="5" borderId="9" xfId="0" applyNumberFormat="1" applyFont="1" applyFill="1" applyBorder="1" applyAlignment="1" applyProtection="1">
      <alignment vertical="center" wrapText="1"/>
      <protection locked="0" hidden="1"/>
    </xf>
    <xf numFmtId="181" fontId="23" fillId="4" borderId="1" xfId="0" applyNumberFormat="1" applyFont="1" applyFill="1" applyBorder="1" applyAlignment="1" applyProtection="1">
      <alignment horizontal="center" vertical="center"/>
      <protection hidden="1"/>
    </xf>
    <xf numFmtId="181" fontId="23" fillId="4" borderId="17" xfId="0" applyNumberFormat="1" applyFont="1" applyFill="1" applyBorder="1" applyAlignment="1" applyProtection="1">
      <alignment horizontal="center" vertical="center"/>
      <protection hidden="1"/>
    </xf>
    <xf numFmtId="2" fontId="43" fillId="4" borderId="1" xfId="0" applyNumberFormat="1" applyFont="1" applyFill="1" applyBorder="1" applyAlignment="1" applyProtection="1">
      <alignment vertical="center"/>
      <protection hidden="1"/>
    </xf>
    <xf numFmtId="2" fontId="43" fillId="4" borderId="17" xfId="0" applyNumberFormat="1" applyFont="1" applyFill="1" applyBorder="1" applyAlignment="1" applyProtection="1">
      <alignment vertical="center"/>
      <protection hidden="1"/>
    </xf>
    <xf numFmtId="0" fontId="43" fillId="4" borderId="1" xfId="0" applyNumberFormat="1" applyFont="1" applyFill="1" applyBorder="1" applyAlignment="1" applyProtection="1">
      <alignment vertical="center"/>
      <protection hidden="1"/>
    </xf>
    <xf numFmtId="0" fontId="43" fillId="4" borderId="60" xfId="0" applyNumberFormat="1" applyFont="1" applyFill="1" applyBorder="1" applyAlignment="1" applyProtection="1">
      <alignment horizontal="center" vertical="center" wrapText="1"/>
      <protection hidden="1"/>
    </xf>
    <xf numFmtId="0" fontId="23" fillId="5" borderId="64" xfId="0" applyNumberFormat="1" applyFont="1" applyFill="1" applyBorder="1" applyAlignment="1" applyProtection="1">
      <alignment horizontal="center" vertical="center" wrapText="1"/>
      <protection locked="0" hidden="1"/>
    </xf>
    <xf numFmtId="0" fontId="23" fillId="5" borderId="19" xfId="0" applyNumberFormat="1" applyFont="1" applyFill="1" applyBorder="1" applyAlignment="1" applyProtection="1">
      <alignment vertical="center" wrapText="1"/>
      <protection locked="0" hidden="1"/>
    </xf>
    <xf numFmtId="0" fontId="23" fillId="5" borderId="46" xfId="0" applyNumberFormat="1" applyFont="1" applyFill="1" applyBorder="1" applyAlignment="1" applyProtection="1">
      <alignment vertical="center" wrapText="1"/>
      <protection locked="0" hidden="1"/>
    </xf>
    <xf numFmtId="0" fontId="23" fillId="4" borderId="51" xfId="0" applyNumberFormat="1" applyFont="1" applyFill="1" applyBorder="1" applyAlignment="1" applyProtection="1">
      <alignment horizontal="center" vertical="center" wrapText="1"/>
      <protection hidden="1"/>
    </xf>
    <xf numFmtId="181" fontId="23" fillId="4" borderId="18" xfId="0" applyNumberFormat="1" applyFont="1" applyFill="1" applyBorder="1" applyAlignment="1" applyProtection="1">
      <alignment horizontal="center" vertical="center"/>
      <protection hidden="1"/>
    </xf>
    <xf numFmtId="181" fontId="23" fillId="4" borderId="19" xfId="0" applyNumberFormat="1" applyFont="1" applyFill="1" applyBorder="1" applyAlignment="1" applyProtection="1">
      <alignment horizontal="center" vertical="center"/>
      <protection hidden="1"/>
    </xf>
    <xf numFmtId="181" fontId="23" fillId="4" borderId="34" xfId="0" applyNumberFormat="1" applyFont="1" applyFill="1" applyBorder="1" applyAlignment="1" applyProtection="1">
      <alignment horizontal="center" vertical="center"/>
      <protection hidden="1"/>
    </xf>
    <xf numFmtId="181" fontId="23" fillId="4" borderId="64" xfId="0" applyNumberFormat="1" applyFont="1" applyFill="1" applyBorder="1" applyAlignment="1" applyProtection="1">
      <alignment horizontal="center" vertical="center"/>
      <protection hidden="1"/>
    </xf>
    <xf numFmtId="181" fontId="23" fillId="4" borderId="51" xfId="0" applyNumberFormat="1" applyFont="1" applyFill="1" applyBorder="1" applyAlignment="1" applyProtection="1">
      <alignment horizontal="center" vertical="center"/>
      <protection hidden="1"/>
    </xf>
    <xf numFmtId="0" fontId="23" fillId="4" borderId="69" xfId="0" applyNumberFormat="1" applyFont="1" applyFill="1" applyBorder="1" applyAlignment="1" applyProtection="1">
      <alignment horizontal="center" vertical="center"/>
      <protection hidden="1"/>
    </xf>
    <xf numFmtId="2" fontId="43" fillId="4" borderId="18" xfId="0" applyNumberFormat="1" applyFont="1" applyFill="1" applyBorder="1" applyAlignment="1" applyProtection="1">
      <alignment vertical="center"/>
      <protection hidden="1"/>
    </xf>
    <xf numFmtId="2" fontId="43" fillId="4" borderId="19" xfId="0" applyNumberFormat="1" applyFont="1" applyFill="1" applyBorder="1" applyAlignment="1" applyProtection="1">
      <alignment vertical="center"/>
      <protection hidden="1"/>
    </xf>
    <xf numFmtId="2" fontId="43" fillId="4" borderId="34" xfId="0" applyNumberFormat="1" applyFont="1" applyFill="1" applyBorder="1" applyAlignment="1" applyProtection="1">
      <alignment vertical="center"/>
      <protection hidden="1"/>
    </xf>
    <xf numFmtId="0" fontId="43" fillId="4" borderId="64" xfId="0" applyNumberFormat="1" applyFont="1" applyFill="1" applyBorder="1" applyAlignment="1" applyProtection="1">
      <alignment vertical="center"/>
      <protection hidden="1"/>
    </xf>
    <xf numFmtId="0" fontId="43" fillId="4" borderId="18" xfId="0" applyNumberFormat="1" applyFont="1" applyFill="1" applyBorder="1" applyAlignment="1" applyProtection="1">
      <alignment vertical="center"/>
      <protection hidden="1"/>
    </xf>
    <xf numFmtId="10" fontId="43" fillId="4" borderId="19" xfId="0" applyNumberFormat="1" applyFont="1" applyFill="1" applyBorder="1" applyAlignment="1" applyProtection="1">
      <alignment vertical="center"/>
      <protection hidden="1"/>
    </xf>
    <xf numFmtId="10" fontId="43" fillId="4" borderId="34" xfId="0" applyNumberFormat="1" applyFont="1" applyFill="1" applyBorder="1" applyAlignment="1" applyProtection="1">
      <alignment vertical="center"/>
      <protection hidden="1"/>
    </xf>
    <xf numFmtId="0" fontId="23" fillId="4" borderId="59" xfId="0" applyNumberFormat="1" applyFont="1" applyFill="1" applyBorder="1" applyAlignment="1" applyProtection="1">
      <alignment horizontal="center" vertical="center" wrapText="1"/>
      <protection hidden="1"/>
    </xf>
    <xf numFmtId="0" fontId="23" fillId="5" borderId="21" xfId="0" applyNumberFormat="1" applyFont="1" applyFill="1" applyBorder="1" applyAlignment="1" applyProtection="1">
      <alignment horizontal="center" vertical="center" wrapText="1"/>
      <protection locked="0" hidden="1"/>
    </xf>
    <xf numFmtId="0" fontId="23" fillId="5" borderId="15" xfId="0" applyNumberFormat="1" applyFont="1" applyFill="1" applyBorder="1" applyAlignment="1" applyProtection="1">
      <alignment horizontal="center" vertical="center" wrapText="1"/>
      <protection locked="0" hidden="1"/>
    </xf>
    <xf numFmtId="0" fontId="23" fillId="5" borderId="2" xfId="0" applyNumberFormat="1" applyFont="1" applyFill="1" applyBorder="1" applyAlignment="1" applyProtection="1">
      <alignment horizontal="center" vertical="center" wrapText="1"/>
      <protection locked="0" hidden="1"/>
    </xf>
    <xf numFmtId="0" fontId="23" fillId="5" borderId="19" xfId="0" applyNumberFormat="1" applyFont="1" applyFill="1" applyBorder="1" applyAlignment="1" applyProtection="1">
      <alignment horizontal="center" vertical="center" wrapText="1"/>
      <protection locked="0" hidden="1"/>
    </xf>
    <xf numFmtId="0" fontId="23" fillId="4" borderId="19" xfId="0" applyNumberFormat="1" applyFont="1" applyFill="1" applyBorder="1" applyAlignment="1" applyProtection="1">
      <alignment horizontal="center" vertical="center" wrapText="1"/>
      <protection hidden="1"/>
    </xf>
    <xf numFmtId="0" fontId="23" fillId="4" borderId="19" xfId="0" applyNumberFormat="1" applyFont="1" applyFill="1" applyBorder="1" applyAlignment="1" applyProtection="1">
      <alignment horizontal="center" vertical="center"/>
      <protection hidden="1"/>
    </xf>
    <xf numFmtId="0" fontId="43" fillId="4" borderId="19" xfId="0" applyNumberFormat="1" applyFont="1" applyFill="1" applyBorder="1" applyAlignment="1" applyProtection="1">
      <alignment vertical="center"/>
      <protection hidden="1"/>
    </xf>
    <xf numFmtId="0" fontId="23" fillId="4" borderId="0" xfId="0" applyNumberFormat="1" applyFont="1" applyFill="1" applyAlignment="1" applyProtection="1">
      <alignment vertical="center"/>
      <protection hidden="1"/>
    </xf>
    <xf numFmtId="0" fontId="43" fillId="4" borderId="0" xfId="0" applyNumberFormat="1" applyFont="1" applyFill="1" applyAlignment="1" applyProtection="1">
      <alignment vertical="center"/>
      <protection hidden="1"/>
    </xf>
    <xf numFmtId="0" fontId="43" fillId="4" borderId="0" xfId="0" applyNumberFormat="1" applyFont="1" applyFill="1" applyAlignment="1" applyProtection="1">
      <alignment horizontal="center" vertical="center"/>
      <protection hidden="1"/>
    </xf>
    <xf numFmtId="181" fontId="23" fillId="4" borderId="4" xfId="0" applyNumberFormat="1" applyFont="1" applyFill="1" applyBorder="1" applyAlignment="1" applyProtection="1">
      <alignment horizontal="center" vertical="center"/>
      <protection hidden="1"/>
    </xf>
    <xf numFmtId="2" fontId="43" fillId="4" borderId="8" xfId="0" applyNumberFormat="1" applyFont="1" applyFill="1" applyBorder="1" applyAlignment="1" applyProtection="1">
      <alignment vertical="center"/>
      <protection hidden="1"/>
    </xf>
    <xf numFmtId="0" fontId="23" fillId="5" borderId="53" xfId="0" applyNumberFormat="1" applyFont="1" applyFill="1" applyBorder="1" applyAlignment="1" applyProtection="1">
      <alignment horizontal="center" vertical="center" wrapText="1"/>
      <protection locked="0" hidden="1"/>
    </xf>
    <xf numFmtId="0" fontId="23" fillId="5" borderId="10" xfId="0" applyNumberFormat="1" applyFont="1" applyFill="1" applyBorder="1" applyAlignment="1" applyProtection="1">
      <alignment horizontal="center" vertical="center" wrapText="1" shrinkToFit="1"/>
      <protection locked="0" hidden="1"/>
    </xf>
    <xf numFmtId="0" fontId="23" fillId="7" borderId="19" xfId="0" applyNumberFormat="1" applyFont="1" applyFill="1" applyBorder="1" applyAlignment="1" applyProtection="1">
      <alignment horizontal="center" vertical="center"/>
      <protection locked="0" hidden="1"/>
    </xf>
    <xf numFmtId="0" fontId="43" fillId="7" borderId="17" xfId="0" applyNumberFormat="1" applyFont="1" applyFill="1" applyBorder="1" applyAlignment="1" applyProtection="1">
      <alignment vertical="center"/>
      <protection locked="0" hidden="1"/>
    </xf>
    <xf numFmtId="0" fontId="23" fillId="4" borderId="0" xfId="0" applyNumberFormat="1" applyFont="1" applyFill="1" applyAlignment="1" applyProtection="1">
      <alignment horizontal="center" vertical="center"/>
      <protection hidden="1"/>
    </xf>
    <xf numFmtId="0" fontId="23" fillId="4" borderId="17" xfId="0" applyNumberFormat="1" applyFont="1" applyFill="1" applyBorder="1" applyAlignment="1" applyProtection="1">
      <alignment horizontal="center" vertical="center"/>
      <protection hidden="1"/>
    </xf>
    <xf numFmtId="2" fontId="43" fillId="4" borderId="10" xfId="0" applyNumberFormat="1" applyFont="1" applyFill="1" applyBorder="1" applyAlignment="1" applyProtection="1">
      <alignment vertical="center"/>
      <protection hidden="1"/>
    </xf>
    <xf numFmtId="0" fontId="23" fillId="5" borderId="25" xfId="0" applyNumberFormat="1" applyFont="1" applyFill="1" applyBorder="1" applyAlignment="1" applyProtection="1">
      <alignment horizontal="center" vertical="center" wrapText="1" shrinkToFit="1"/>
      <protection locked="0" hidden="1"/>
    </xf>
    <xf numFmtId="0" fontId="43" fillId="7" borderId="34" xfId="0" applyNumberFormat="1" applyFont="1" applyFill="1" applyBorder="1" applyAlignment="1" applyProtection="1">
      <alignment vertical="center"/>
      <protection locked="0" hidden="1"/>
    </xf>
    <xf numFmtId="181" fontId="23" fillId="4" borderId="26" xfId="0" applyNumberFormat="1" applyFont="1" applyFill="1" applyBorder="1" applyAlignment="1" applyProtection="1">
      <alignment horizontal="center" vertical="center"/>
      <protection hidden="1"/>
    </xf>
    <xf numFmtId="0" fontId="23" fillId="4" borderId="34" xfId="0" applyNumberFormat="1" applyFont="1" applyFill="1" applyBorder="1" applyAlignment="1" applyProtection="1">
      <alignment horizontal="center" vertical="center"/>
      <protection hidden="1"/>
    </xf>
    <xf numFmtId="2" fontId="43" fillId="4" borderId="25" xfId="0" applyNumberFormat="1" applyFont="1" applyFill="1" applyBorder="1" applyAlignment="1" applyProtection="1">
      <alignment vertical="center"/>
      <protection hidden="1"/>
    </xf>
    <xf numFmtId="0" fontId="20" fillId="4" borderId="0" xfId="0" applyNumberFormat="1" applyFont="1" applyFill="1" applyAlignment="1" applyProtection="1">
      <alignment vertical="center"/>
      <protection hidden="1"/>
    </xf>
    <xf numFmtId="181" fontId="23" fillId="4" borderId="0" xfId="0" applyNumberFormat="1" applyFont="1" applyFill="1" applyAlignment="1" applyProtection="1">
      <alignment horizontal="center" vertical="center"/>
      <protection hidden="1"/>
    </xf>
    <xf numFmtId="0" fontId="50" fillId="4" borderId="55" xfId="0" applyNumberFormat="1" applyFont="1" applyFill="1" applyBorder="1" applyAlignment="1" applyProtection="1">
      <alignment horizontal="center" vertical="center" wrapText="1"/>
      <protection hidden="1"/>
    </xf>
    <xf numFmtId="0" fontId="50" fillId="4" borderId="16" xfId="0" applyNumberFormat="1" applyFont="1" applyFill="1" applyBorder="1" applyAlignment="1" applyProtection="1">
      <alignment horizontal="center" vertical="center"/>
      <protection hidden="1"/>
    </xf>
    <xf numFmtId="0" fontId="50" fillId="4" borderId="0" xfId="0" applyNumberFormat="1" applyFont="1" applyFill="1" applyAlignment="1" applyProtection="1">
      <alignment vertical="center"/>
      <protection hidden="1"/>
    </xf>
    <xf numFmtId="0" fontId="50" fillId="4" borderId="0" xfId="0" applyNumberFormat="1" applyFont="1" applyFill="1" applyAlignment="1" applyProtection="1">
      <alignment horizontal="center" vertical="center"/>
      <protection hidden="1"/>
    </xf>
    <xf numFmtId="181" fontId="50" fillId="4" borderId="14" xfId="0" applyNumberFormat="1" applyFont="1" applyFill="1" applyBorder="1" applyAlignment="1" applyProtection="1">
      <alignment horizontal="center" vertical="center"/>
      <protection hidden="1"/>
    </xf>
    <xf numFmtId="181" fontId="50" fillId="4" borderId="15" xfId="0" applyNumberFormat="1" applyFont="1" applyFill="1" applyBorder="1" applyAlignment="1" applyProtection="1">
      <alignment horizontal="center" vertical="center"/>
      <protection hidden="1"/>
    </xf>
    <xf numFmtId="181" fontId="50" fillId="4" borderId="16" xfId="0" applyNumberFormat="1" applyFont="1" applyFill="1" applyBorder="1" applyAlignment="1" applyProtection="1">
      <alignment horizontal="center" vertical="center"/>
      <protection hidden="1"/>
    </xf>
    <xf numFmtId="2" fontId="50" fillId="4" borderId="40" xfId="0" applyNumberFormat="1" applyFont="1" applyFill="1" applyBorder="1" applyAlignment="1" applyProtection="1">
      <alignment vertical="center"/>
      <protection hidden="1"/>
    </xf>
    <xf numFmtId="2" fontId="50" fillId="4" borderId="15" xfId="0" applyNumberFormat="1" applyFont="1" applyFill="1" applyBorder="1" applyAlignment="1" applyProtection="1">
      <alignment vertical="center"/>
      <protection hidden="1"/>
    </xf>
    <xf numFmtId="2" fontId="50" fillId="4" borderId="16" xfId="0" applyNumberFormat="1" applyFont="1" applyFill="1" applyBorder="1" applyAlignment="1" applyProtection="1">
      <alignment vertical="center"/>
      <protection hidden="1"/>
    </xf>
    <xf numFmtId="0" fontId="50" fillId="4" borderId="14" xfId="0" applyNumberFormat="1" applyFont="1" applyFill="1" applyBorder="1" applyAlignment="1" applyProtection="1">
      <alignment vertical="center"/>
      <protection hidden="1"/>
    </xf>
    <xf numFmtId="0" fontId="50" fillId="4" borderId="16" xfId="0" applyNumberFormat="1" applyFont="1" applyFill="1" applyBorder="1" applyAlignment="1" applyProtection="1">
      <alignment vertical="center"/>
      <protection hidden="1"/>
    </xf>
    <xf numFmtId="10" fontId="50" fillId="4" borderId="15" xfId="0" applyNumberFormat="1" applyFont="1" applyFill="1" applyBorder="1" applyAlignment="1" applyProtection="1">
      <alignment vertical="center" wrapText="1"/>
      <protection hidden="1"/>
    </xf>
    <xf numFmtId="10" fontId="50" fillId="4" borderId="16" xfId="0" applyNumberFormat="1" applyFont="1" applyFill="1" applyBorder="1" applyAlignment="1" applyProtection="1">
      <alignment vertical="center" wrapText="1"/>
      <protection hidden="1"/>
    </xf>
    <xf numFmtId="0" fontId="23" fillId="5" borderId="10" xfId="0" applyNumberFormat="1" applyFont="1" applyFill="1" applyBorder="1" applyAlignment="1" applyProtection="1">
      <alignment horizontal="center" vertical="center"/>
      <protection locked="0" hidden="1"/>
    </xf>
    <xf numFmtId="0" fontId="43" fillId="4" borderId="2" xfId="0" applyNumberFormat="1" applyFont="1" applyFill="1" applyBorder="1" applyAlignment="1" applyProtection="1">
      <alignment vertical="center" wrapText="1"/>
      <protection hidden="1"/>
    </xf>
    <xf numFmtId="0" fontId="43" fillId="4" borderId="2" xfId="0" applyNumberFormat="1" applyFont="1" applyFill="1" applyBorder="1" applyAlignment="1" applyProtection="1">
      <alignment horizontal="center" vertical="center"/>
      <protection hidden="1"/>
    </xf>
    <xf numFmtId="0" fontId="43" fillId="5" borderId="17" xfId="0" applyNumberFormat="1" applyFont="1" applyFill="1" applyBorder="1" applyAlignment="1" applyProtection="1">
      <alignment vertical="center"/>
      <protection locked="0" hidden="1"/>
    </xf>
    <xf numFmtId="186" fontId="43" fillId="4" borderId="41" xfId="0" applyNumberFormat="1" applyFont="1" applyFill="1" applyBorder="1" applyAlignment="1" applyProtection="1">
      <alignment vertical="center"/>
      <protection hidden="1"/>
    </xf>
    <xf numFmtId="186" fontId="43" fillId="4" borderId="1" xfId="0" applyNumberFormat="1" applyFont="1" applyFill="1" applyBorder="1" applyAlignment="1" applyProtection="1">
      <alignment vertical="center"/>
      <protection hidden="1"/>
    </xf>
    <xf numFmtId="181" fontId="23" fillId="4" borderId="68" xfId="0" applyNumberFormat="1" applyFont="1" applyFill="1" applyBorder="1" applyAlignment="1" applyProtection="1">
      <alignment horizontal="center" vertical="center"/>
      <protection hidden="1"/>
    </xf>
    <xf numFmtId="0" fontId="23" fillId="4" borderId="54" xfId="0" applyNumberFormat="1" applyFont="1" applyFill="1" applyBorder="1" applyAlignment="1" applyProtection="1">
      <alignment horizontal="center" vertical="center"/>
      <protection hidden="1"/>
    </xf>
    <xf numFmtId="0" fontId="34" fillId="5" borderId="17" xfId="0" applyNumberFormat="1" applyFont="1" applyFill="1" applyBorder="1" applyAlignment="1" applyProtection="1">
      <alignment vertical="center"/>
      <protection locked="0" hidden="1"/>
    </xf>
    <xf numFmtId="0" fontId="50" fillId="4" borderId="35" xfId="0" applyNumberFormat="1" applyFont="1" applyFill="1" applyBorder="1" applyAlignment="1" applyProtection="1">
      <alignment horizontal="center" vertical="center" wrapText="1"/>
      <protection hidden="1"/>
    </xf>
    <xf numFmtId="0" fontId="50" fillId="4" borderId="36" xfId="0" applyNumberFormat="1" applyFont="1" applyFill="1" applyBorder="1" applyAlignment="1" applyProtection="1">
      <alignment horizontal="center" vertical="center" wrapText="1"/>
      <protection hidden="1"/>
    </xf>
    <xf numFmtId="0" fontId="50" fillId="4" borderId="39" xfId="0" applyNumberFormat="1" applyFont="1" applyFill="1" applyBorder="1" applyAlignment="1" applyProtection="1">
      <alignment horizontal="center" vertical="center" wrapText="1"/>
      <protection hidden="1"/>
    </xf>
    <xf numFmtId="181" fontId="50" fillId="4" borderId="40" xfId="0" applyNumberFormat="1" applyFont="1" applyFill="1" applyBorder="1" applyAlignment="1" applyProtection="1">
      <alignment horizontal="center" vertical="center"/>
      <protection hidden="1"/>
    </xf>
    <xf numFmtId="2" fontId="50" fillId="4" borderId="61" xfId="0" applyNumberFormat="1" applyFont="1" applyFill="1" applyBorder="1" applyAlignment="1" applyProtection="1">
      <alignment vertical="center"/>
      <protection hidden="1"/>
    </xf>
    <xf numFmtId="2" fontId="50" fillId="4" borderId="24" xfId="0" applyNumberFormat="1" applyFont="1" applyFill="1" applyBorder="1" applyAlignment="1" applyProtection="1">
      <alignment vertical="center"/>
      <protection hidden="1"/>
    </xf>
    <xf numFmtId="2" fontId="50" fillId="4" borderId="65" xfId="0" applyNumberFormat="1" applyFont="1" applyFill="1" applyBorder="1" applyAlignment="1" applyProtection="1">
      <alignment vertical="center"/>
      <protection hidden="1"/>
    </xf>
    <xf numFmtId="0" fontId="50" fillId="4" borderId="29" xfId="0" applyNumberFormat="1" applyFont="1" applyFill="1" applyBorder="1" applyAlignment="1" applyProtection="1">
      <alignment vertical="center"/>
      <protection hidden="1"/>
    </xf>
    <xf numFmtId="0" fontId="50" fillId="4" borderId="24" xfId="0" applyNumberFormat="1" applyFont="1" applyFill="1" applyBorder="1" applyAlignment="1" applyProtection="1">
      <alignment vertical="center"/>
      <protection hidden="1"/>
    </xf>
    <xf numFmtId="0" fontId="50" fillId="4" borderId="65" xfId="0" applyNumberFormat="1" applyFont="1" applyFill="1" applyBorder="1" applyAlignment="1" applyProtection="1">
      <alignment vertical="center"/>
      <protection hidden="1"/>
    </xf>
    <xf numFmtId="0" fontId="23" fillId="5" borderId="3" xfId="0" applyNumberFormat="1" applyFont="1" applyFill="1" applyBorder="1" applyAlignment="1" applyProtection="1">
      <alignment horizontal="center" vertical="center"/>
      <protection locked="0" hidden="1"/>
    </xf>
    <xf numFmtId="181" fontId="23" fillId="4" borderId="10" xfId="0" applyNumberFormat="1" applyFont="1" applyFill="1" applyBorder="1" applyAlignment="1" applyProtection="1">
      <alignment horizontal="center" vertical="center"/>
      <protection hidden="1"/>
    </xf>
    <xf numFmtId="0" fontId="43" fillId="4" borderId="40" xfId="0" applyNumberFormat="1" applyFont="1" applyFill="1" applyBorder="1" applyAlignment="1" applyProtection="1">
      <alignment vertical="center"/>
      <protection hidden="1"/>
    </xf>
    <xf numFmtId="0" fontId="43" fillId="4" borderId="16" xfId="0" applyNumberFormat="1" applyFont="1" applyFill="1" applyBorder="1" applyAlignment="1" applyProtection="1">
      <alignment vertical="center"/>
      <protection hidden="1"/>
    </xf>
    <xf numFmtId="0" fontId="23" fillId="4" borderId="48" xfId="0" applyNumberFormat="1" applyFont="1" applyFill="1" applyBorder="1" applyAlignment="1" applyProtection="1">
      <alignment horizontal="center" vertical="center"/>
      <protection hidden="1"/>
    </xf>
    <xf numFmtId="0" fontId="23" fillId="5" borderId="2" xfId="0" applyNumberFormat="1" applyFont="1" applyFill="1" applyBorder="1" applyAlignment="1" applyProtection="1">
      <alignment horizontal="center" vertical="center"/>
      <protection locked="0" hidden="1"/>
    </xf>
    <xf numFmtId="0" fontId="43" fillId="4" borderId="10" xfId="0" applyNumberFormat="1" applyFont="1" applyFill="1" applyBorder="1" applyAlignment="1" applyProtection="1">
      <alignment vertical="center"/>
      <protection hidden="1"/>
    </xf>
    <xf numFmtId="0" fontId="43" fillId="4" borderId="17" xfId="0" applyNumberFormat="1" applyFont="1" applyFill="1" applyBorder="1" applyAlignment="1" applyProtection="1">
      <alignment vertical="center"/>
      <protection hidden="1"/>
    </xf>
    <xf numFmtId="0" fontId="23" fillId="4" borderId="64" xfId="0" applyNumberFormat="1" applyFont="1" applyFill="1" applyBorder="1" applyAlignment="1" applyProtection="1">
      <alignment horizontal="center" vertical="center"/>
      <protection hidden="1"/>
    </xf>
    <xf numFmtId="0" fontId="23" fillId="5" borderId="6" xfId="0" applyNumberFormat="1" applyFont="1" applyFill="1" applyBorder="1" applyAlignment="1" applyProtection="1">
      <alignment horizontal="center" vertical="center"/>
      <protection locked="0" hidden="1"/>
    </xf>
    <xf numFmtId="0" fontId="43" fillId="4" borderId="25" xfId="0" applyNumberFormat="1" applyFont="1" applyFill="1" applyBorder="1" applyAlignment="1" applyProtection="1">
      <alignment vertical="center"/>
      <protection hidden="1"/>
    </xf>
    <xf numFmtId="0" fontId="43" fillId="4" borderId="34" xfId="0" applyNumberFormat="1" applyFont="1" applyFill="1" applyBorder="1" applyAlignment="1" applyProtection="1">
      <alignment vertical="center"/>
      <protection hidden="1"/>
    </xf>
    <xf numFmtId="0" fontId="23" fillId="4" borderId="35" xfId="0" applyNumberFormat="1" applyFont="1" applyFill="1" applyBorder="1" applyAlignment="1" applyProtection="1">
      <alignment horizontal="center" vertical="center"/>
      <protection hidden="1"/>
    </xf>
    <xf numFmtId="0" fontId="23" fillId="5" borderId="36" xfId="0" applyNumberFormat="1" applyFont="1" applyFill="1" applyBorder="1" applyAlignment="1" applyProtection="1">
      <alignment horizontal="center" vertical="center"/>
      <protection locked="0" hidden="1"/>
    </xf>
    <xf numFmtId="0" fontId="43" fillId="4" borderId="21" xfId="0" applyNumberFormat="1" applyFont="1" applyFill="1" applyBorder="1" applyAlignment="1" applyProtection="1">
      <alignment vertical="center"/>
      <protection hidden="1"/>
    </xf>
    <xf numFmtId="0" fontId="43" fillId="4" borderId="13" xfId="0" applyNumberFormat="1" applyFont="1" applyFill="1" applyBorder="1" applyAlignment="1" applyProtection="1">
      <alignment vertical="center"/>
      <protection hidden="1"/>
    </xf>
    <xf numFmtId="0" fontId="43" fillId="4" borderId="50" xfId="0" applyNumberFormat="1" applyFont="1" applyFill="1" applyBorder="1" applyAlignment="1" applyProtection="1">
      <alignment vertical="center"/>
      <protection hidden="1"/>
    </xf>
    <xf numFmtId="0" fontId="23" fillId="5" borderId="40" xfId="0" applyNumberFormat="1" applyFont="1" applyFill="1" applyBorder="1" applyAlignment="1" applyProtection="1">
      <alignment horizontal="center" vertical="center"/>
      <protection locked="0" hidden="1"/>
    </xf>
    <xf numFmtId="0" fontId="23" fillId="5" borderId="15" xfId="0" applyNumberFormat="1" applyFont="1" applyFill="1" applyBorder="1" applyAlignment="1" applyProtection="1">
      <alignment horizontal="center" vertical="center"/>
      <protection locked="0" hidden="1"/>
    </xf>
    <xf numFmtId="0" fontId="23" fillId="4" borderId="2" xfId="0" applyNumberFormat="1" applyFont="1" applyFill="1" applyBorder="1" applyAlignment="1" applyProtection="1">
      <alignment vertical="center"/>
      <protection hidden="1"/>
    </xf>
    <xf numFmtId="0" fontId="20" fillId="4" borderId="17" xfId="0" applyNumberFormat="1" applyFont="1" applyFill="1" applyBorder="1" applyAlignment="1" applyProtection="1">
      <alignment horizontal="center" vertical="center" wrapText="1" shrinkToFit="1"/>
      <protection hidden="1"/>
    </xf>
    <xf numFmtId="0" fontId="34" fillId="4" borderId="17" xfId="0" applyNumberFormat="1" applyFont="1" applyFill="1" applyBorder="1" applyAlignment="1" applyProtection="1">
      <alignment horizontal="center" vertical="center" wrapText="1" shrinkToFit="1"/>
      <protection hidden="1"/>
    </xf>
    <xf numFmtId="0" fontId="23" fillId="5" borderId="25" xfId="0" applyNumberFormat="1" applyFont="1" applyFill="1" applyBorder="1" applyAlignment="1" applyProtection="1">
      <alignment horizontal="center" vertical="center"/>
      <protection locked="0" hidden="1"/>
    </xf>
    <xf numFmtId="0" fontId="23" fillId="4" borderId="19" xfId="0" applyNumberFormat="1" applyFont="1" applyFill="1" applyBorder="1" applyAlignment="1" applyProtection="1">
      <alignment vertical="center" wrapText="1"/>
      <protection hidden="1"/>
    </xf>
    <xf numFmtId="0" fontId="43" fillId="4" borderId="19" xfId="0" applyNumberFormat="1" applyFont="1" applyFill="1" applyBorder="1" applyAlignment="1" applyProtection="1">
      <alignment horizontal="center" vertical="center"/>
      <protection hidden="1"/>
    </xf>
    <xf numFmtId="0" fontId="23" fillId="5" borderId="19" xfId="0" applyNumberFormat="1" applyFont="1" applyFill="1" applyBorder="1" applyAlignment="1" applyProtection="1">
      <alignment horizontal="center" vertical="center" wrapText="1"/>
      <protection locked="0"/>
    </xf>
    <xf numFmtId="0" fontId="23" fillId="4" borderId="19" xfId="0" applyNumberFormat="1" applyFont="1" applyFill="1" applyBorder="1" applyAlignment="1" applyProtection="1">
      <alignment vertical="center"/>
      <protection hidden="1"/>
    </xf>
    <xf numFmtId="0" fontId="34" fillId="4" borderId="34" xfId="0" applyNumberFormat="1" applyFont="1" applyFill="1" applyBorder="1" applyAlignment="1" applyProtection="1">
      <alignment horizontal="center" vertical="center" wrapText="1" shrinkToFit="1"/>
      <protection hidden="1"/>
    </xf>
    <xf numFmtId="0" fontId="23" fillId="4" borderId="3" xfId="0" applyNumberFormat="1" applyFont="1" applyFill="1" applyBorder="1" applyAlignment="1" applyProtection="1">
      <alignment vertical="center"/>
      <protection hidden="1"/>
    </xf>
    <xf numFmtId="0" fontId="43" fillId="4" borderId="3" xfId="0" applyNumberFormat="1" applyFont="1" applyFill="1" applyBorder="1" applyAlignment="1" applyProtection="1">
      <alignment horizontal="center" vertical="center"/>
      <protection hidden="1"/>
    </xf>
    <xf numFmtId="0" fontId="23" fillId="5" borderId="3" xfId="0" applyNumberFormat="1" applyFont="1" applyFill="1" applyBorder="1" applyAlignment="1" applyProtection="1">
      <alignment horizontal="center" vertical="center" wrapText="1"/>
      <protection locked="0"/>
    </xf>
    <xf numFmtId="0" fontId="23" fillId="4" borderId="6" xfId="0" applyNumberFormat="1" applyFont="1" applyFill="1" applyBorder="1" applyAlignment="1" applyProtection="1">
      <alignment vertical="center"/>
      <protection hidden="1"/>
    </xf>
    <xf numFmtId="181" fontId="23" fillId="4" borderId="12" xfId="0" applyNumberFormat="1" applyFont="1" applyFill="1" applyBorder="1" applyAlignment="1" applyProtection="1">
      <alignment horizontal="center" vertical="center"/>
      <protection hidden="1"/>
    </xf>
    <xf numFmtId="0" fontId="23" fillId="4" borderId="15" xfId="0" applyNumberFormat="1" applyFont="1" applyFill="1" applyBorder="1" applyAlignment="1" applyProtection="1">
      <alignment vertical="center" wrapText="1"/>
      <protection hidden="1"/>
    </xf>
    <xf numFmtId="0" fontId="34" fillId="4" borderId="2" xfId="0" applyNumberFormat="1" applyFont="1" applyFill="1" applyBorder="1" applyAlignment="1" applyProtection="1">
      <alignment horizontal="center" vertical="center" wrapText="1" shrinkToFit="1"/>
      <protection hidden="1"/>
    </xf>
    <xf numFmtId="0" fontId="23" fillId="4" borderId="2" xfId="0" applyNumberFormat="1" applyFont="1" applyFill="1" applyBorder="1" applyAlignment="1" applyProtection="1">
      <alignment vertical="center" wrapText="1"/>
      <protection hidden="1"/>
    </xf>
    <xf numFmtId="0" fontId="23" fillId="4" borderId="2" xfId="0" applyNumberFormat="1" applyFont="1" applyFill="1" applyBorder="1" applyAlignment="1" applyProtection="1">
      <alignment horizontal="center" vertical="center" wrapText="1" shrinkToFit="1"/>
      <protection hidden="1"/>
    </xf>
    <xf numFmtId="0" fontId="34" fillId="4" borderId="4" xfId="0" applyNumberFormat="1" applyFont="1" applyFill="1" applyBorder="1" applyAlignment="1" applyProtection="1">
      <alignment horizontal="center" vertical="center" wrapText="1" shrinkToFit="1"/>
      <protection hidden="1"/>
    </xf>
    <xf numFmtId="0" fontId="23" fillId="5" borderId="19" xfId="0" applyNumberFormat="1" applyFont="1" applyFill="1" applyBorder="1" applyAlignment="1" applyProtection="1">
      <alignment horizontal="center" vertical="center"/>
      <protection locked="0" hidden="1"/>
    </xf>
    <xf numFmtId="2" fontId="43" fillId="4" borderId="12" xfId="0" applyNumberFormat="1" applyFont="1" applyFill="1" applyBorder="1" applyAlignment="1" applyProtection="1">
      <alignment vertical="center"/>
      <protection hidden="1"/>
    </xf>
    <xf numFmtId="2" fontId="43" fillId="4" borderId="68" xfId="0" applyNumberFormat="1" applyFont="1" applyFill="1" applyBorder="1" applyAlignment="1" applyProtection="1">
      <alignment vertical="center"/>
      <protection hidden="1"/>
    </xf>
    <xf numFmtId="181" fontId="23" fillId="4" borderId="21" xfId="0" applyNumberFormat="1" applyFont="1" applyFill="1" applyBorder="1" applyAlignment="1" applyProtection="1">
      <alignment horizontal="center" vertical="center"/>
      <protection hidden="1"/>
    </xf>
    <xf numFmtId="2" fontId="43" fillId="4" borderId="35" xfId="0" applyNumberFormat="1" applyFont="1" applyFill="1" applyBorder="1" applyAlignment="1" applyProtection="1">
      <alignment vertical="center"/>
      <protection hidden="1"/>
    </xf>
    <xf numFmtId="2" fontId="43" fillId="4" borderId="36" xfId="0" applyNumberFormat="1" applyFont="1" applyFill="1" applyBorder="1" applyAlignment="1" applyProtection="1">
      <alignment vertical="center"/>
      <protection hidden="1"/>
    </xf>
    <xf numFmtId="2" fontId="43" fillId="4" borderId="39" xfId="0" applyNumberFormat="1" applyFont="1" applyFill="1" applyBorder="1" applyAlignment="1" applyProtection="1">
      <alignment vertical="center"/>
      <protection hidden="1"/>
    </xf>
    <xf numFmtId="0" fontId="43" fillId="4" borderId="37" xfId="0" applyNumberFormat="1" applyFont="1" applyFill="1" applyBorder="1" applyAlignment="1" applyProtection="1">
      <alignment vertical="center"/>
      <protection hidden="1"/>
    </xf>
    <xf numFmtId="0" fontId="43" fillId="4" borderId="36" xfId="0" applyNumberFormat="1" applyFont="1" applyFill="1" applyBorder="1" applyAlignment="1" applyProtection="1">
      <alignment vertical="center"/>
      <protection hidden="1"/>
    </xf>
    <xf numFmtId="0" fontId="43" fillId="4" borderId="39" xfId="0" applyNumberFormat="1" applyFont="1" applyFill="1" applyBorder="1" applyAlignment="1" applyProtection="1">
      <alignment vertical="center"/>
      <protection hidden="1"/>
    </xf>
    <xf numFmtId="0" fontId="43" fillId="4" borderId="35" xfId="0" applyNumberFormat="1" applyFont="1" applyFill="1" applyBorder="1" applyAlignment="1" applyProtection="1">
      <alignment vertical="center"/>
      <protection hidden="1"/>
    </xf>
    <xf numFmtId="10" fontId="43" fillId="4" borderId="39" xfId="0" applyNumberFormat="1" applyFont="1" applyFill="1" applyBorder="1" applyAlignment="1" applyProtection="1">
      <alignment vertical="center"/>
      <protection hidden="1"/>
    </xf>
    <xf numFmtId="0" fontId="23" fillId="5" borderId="13" xfId="0" applyNumberFormat="1" applyFont="1" applyFill="1" applyBorder="1" applyAlignment="1" applyProtection="1">
      <alignment horizontal="center" vertical="center"/>
      <protection locked="0" hidden="1"/>
    </xf>
    <xf numFmtId="181" fontId="23" fillId="4" borderId="35" xfId="0" applyNumberFormat="1" applyFont="1" applyFill="1" applyBorder="1" applyAlignment="1" applyProtection="1">
      <alignment horizontal="center" vertical="center"/>
      <protection hidden="1"/>
    </xf>
    <xf numFmtId="181" fontId="23" fillId="4" borderId="36" xfId="0" applyNumberFormat="1" applyFont="1" applyFill="1" applyBorder="1" applyAlignment="1" applyProtection="1">
      <alignment horizontal="center" vertical="center"/>
      <protection hidden="1"/>
    </xf>
    <xf numFmtId="181" fontId="23" fillId="4" borderId="39" xfId="0" applyNumberFormat="1" applyFont="1" applyFill="1" applyBorder="1" applyAlignment="1" applyProtection="1">
      <alignment horizontal="center" vertical="center"/>
      <protection hidden="1"/>
    </xf>
    <xf numFmtId="2" fontId="43" fillId="4" borderId="21" xfId="0" applyNumberFormat="1" applyFont="1" applyFill="1" applyBorder="1" applyAlignment="1" applyProtection="1">
      <alignment vertical="center"/>
      <protection hidden="1"/>
    </xf>
    <xf numFmtId="0" fontId="43" fillId="4" borderId="29" xfId="0" applyNumberFormat="1" applyFont="1" applyFill="1" applyBorder="1" applyAlignment="1" applyProtection="1">
      <alignment vertical="center"/>
      <protection hidden="1"/>
    </xf>
    <xf numFmtId="0" fontId="43" fillId="4" borderId="24" xfId="0" applyNumberFormat="1" applyFont="1" applyFill="1" applyBorder="1" applyAlignment="1" applyProtection="1">
      <alignment vertical="center"/>
      <protection hidden="1"/>
    </xf>
    <xf numFmtId="0" fontId="43" fillId="4" borderId="65" xfId="0" applyNumberFormat="1" applyFont="1" applyFill="1" applyBorder="1" applyAlignment="1" applyProtection="1">
      <alignment vertical="center"/>
      <protection hidden="1"/>
    </xf>
    <xf numFmtId="0" fontId="43" fillId="4" borderId="61" xfId="0" applyNumberFormat="1" applyFont="1" applyFill="1" applyBorder="1" applyAlignment="1" applyProtection="1">
      <alignment vertical="center"/>
      <protection hidden="1"/>
    </xf>
    <xf numFmtId="10" fontId="43" fillId="4" borderId="65" xfId="0" applyNumberFormat="1" applyFont="1" applyFill="1" applyBorder="1" applyAlignment="1" applyProtection="1">
      <alignment vertical="center"/>
      <protection hidden="1"/>
    </xf>
    <xf numFmtId="0" fontId="23" fillId="5" borderId="51" xfId="0" applyNumberFormat="1" applyFont="1" applyFill="1" applyBorder="1" applyAlignment="1" applyProtection="1">
      <alignment horizontal="center" vertical="center"/>
      <protection locked="0" hidden="1"/>
    </xf>
    <xf numFmtId="181" fontId="23" fillId="4" borderId="33" xfId="0" applyNumberFormat="1" applyFont="1" applyFill="1" applyBorder="1" applyAlignment="1" applyProtection="1">
      <alignment horizontal="center" vertical="center"/>
      <protection hidden="1"/>
    </xf>
    <xf numFmtId="181" fontId="23" fillId="4" borderId="69" xfId="0" applyNumberFormat="1" applyFont="1" applyFill="1" applyBorder="1" applyAlignment="1" applyProtection="1">
      <alignment horizontal="center" vertical="center"/>
      <protection hidden="1"/>
    </xf>
    <xf numFmtId="2" fontId="43" fillId="4" borderId="33" xfId="0" applyNumberFormat="1" applyFont="1" applyFill="1" applyBorder="1" applyAlignment="1" applyProtection="1">
      <alignment vertical="center"/>
      <protection hidden="1"/>
    </xf>
    <xf numFmtId="2" fontId="43" fillId="4" borderId="51" xfId="0" applyNumberFormat="1" applyFont="1" applyFill="1" applyBorder="1" applyAlignment="1" applyProtection="1">
      <alignment vertical="center"/>
      <protection hidden="1"/>
    </xf>
    <xf numFmtId="2" fontId="43" fillId="4" borderId="69" xfId="0" applyNumberFormat="1" applyFont="1" applyFill="1" applyBorder="1" applyAlignment="1" applyProtection="1">
      <alignment vertical="center"/>
      <protection hidden="1"/>
    </xf>
    <xf numFmtId="49" fontId="38" fillId="4" borderId="51" xfId="0" applyNumberFormat="1" applyFont="1" applyFill="1" applyBorder="1" applyAlignment="1" applyProtection="1">
      <alignment horizontal="center" vertical="center" wrapText="1"/>
      <protection hidden="1"/>
    </xf>
    <xf numFmtId="49" fontId="38" fillId="4" borderId="51" xfId="0" applyNumberFormat="1" applyFont="1" applyFill="1" applyBorder="1" applyAlignment="1" applyProtection="1">
      <alignment vertical="center" wrapText="1"/>
      <protection hidden="1"/>
    </xf>
    <xf numFmtId="49" fontId="38" fillId="4" borderId="19" xfId="0" applyNumberFormat="1" applyFont="1" applyFill="1" applyBorder="1" applyAlignment="1" applyProtection="1">
      <alignment vertical="center" wrapText="1"/>
      <protection hidden="1"/>
    </xf>
    <xf numFmtId="49" fontId="38" fillId="4" borderId="32" xfId="0" applyNumberFormat="1" applyFont="1" applyFill="1" applyBorder="1" applyAlignment="1" applyProtection="1">
      <alignment vertical="center" wrapText="1"/>
      <protection hidden="1"/>
    </xf>
    <xf numFmtId="49" fontId="38" fillId="4" borderId="34" xfId="0" applyNumberFormat="1" applyFont="1" applyFill="1" applyBorder="1" applyAlignment="1" applyProtection="1">
      <alignment vertical="center" wrapText="1"/>
      <protection hidden="1"/>
    </xf>
    <xf numFmtId="0" fontId="38" fillId="4" borderId="30" xfId="0" applyNumberFormat="1" applyFont="1" applyFill="1" applyBorder="1" applyAlignment="1" applyProtection="1">
      <alignment horizontal="center" vertical="center"/>
      <protection hidden="1"/>
    </xf>
    <xf numFmtId="0" fontId="41" fillId="4" borderId="15" xfId="0" applyNumberFormat="1" applyFont="1" applyFill="1" applyBorder="1" applyAlignment="1" applyProtection="1">
      <alignment vertical="top" wrapText="1"/>
      <protection hidden="1"/>
    </xf>
    <xf numFmtId="0" fontId="41" fillId="4" borderId="15" xfId="0" applyNumberFormat="1" applyFont="1" applyFill="1" applyBorder="1" applyAlignment="1" applyProtection="1">
      <alignment vertical="top"/>
      <protection hidden="1"/>
    </xf>
    <xf numFmtId="0" fontId="41" fillId="4" borderId="2" xfId="0" applyNumberFormat="1" applyFont="1" applyFill="1" applyBorder="1" applyAlignment="1" applyProtection="1">
      <alignment vertical="center" wrapText="1"/>
      <protection hidden="1"/>
    </xf>
    <xf numFmtId="0" fontId="41" fillId="4" borderId="2" xfId="0" applyNumberFormat="1" applyFont="1" applyFill="1" applyBorder="1" applyAlignment="1" applyProtection="1">
      <alignment vertical="center"/>
      <protection hidden="1"/>
    </xf>
    <xf numFmtId="0" fontId="41" fillId="4" borderId="19" xfId="0" applyNumberFormat="1" applyFont="1" applyFill="1" applyBorder="1" applyAlignment="1" applyProtection="1">
      <alignment vertical="center" wrapText="1"/>
      <protection hidden="1"/>
    </xf>
    <xf numFmtId="0" fontId="41" fillId="4" borderId="19" xfId="0" applyNumberFormat="1" applyFont="1" applyFill="1" applyBorder="1" applyAlignment="1" applyProtection="1">
      <alignment vertical="center"/>
      <protection hidden="1"/>
    </xf>
    <xf numFmtId="0" fontId="41" fillId="4" borderId="30" xfId="0" applyNumberFormat="1" applyFont="1" applyFill="1" applyBorder="1" applyAlignment="1" applyProtection="1">
      <alignment horizontal="center" vertical="center"/>
      <protection hidden="1"/>
    </xf>
    <xf numFmtId="0" fontId="41" fillId="4" borderId="15" xfId="0" applyNumberFormat="1" applyFont="1" applyFill="1" applyBorder="1" applyAlignment="1" applyProtection="1">
      <alignment horizontal="center" vertical="center"/>
      <protection hidden="1"/>
    </xf>
    <xf numFmtId="0" fontId="41" fillId="4" borderId="15" xfId="0" applyNumberFormat="1" applyFont="1" applyFill="1" applyBorder="1" applyAlignment="1" applyProtection="1">
      <alignment vertical="center" wrapText="1"/>
      <protection hidden="1"/>
    </xf>
    <xf numFmtId="0" fontId="41" fillId="4" borderId="15" xfId="0" applyNumberFormat="1" applyFont="1" applyFill="1" applyBorder="1" applyAlignment="1" applyProtection="1">
      <alignment vertical="center"/>
      <protection hidden="1"/>
    </xf>
    <xf numFmtId="0" fontId="41" fillId="4" borderId="45" xfId="0" applyNumberFormat="1" applyFont="1" applyFill="1" applyBorder="1" applyAlignment="1" applyProtection="1">
      <alignment vertical="center"/>
      <protection hidden="1"/>
    </xf>
    <xf numFmtId="0" fontId="41" fillId="4" borderId="16" xfId="0" applyNumberFormat="1" applyFont="1" applyFill="1" applyBorder="1" applyAlignment="1" applyProtection="1">
      <alignment vertical="center"/>
      <protection hidden="1"/>
    </xf>
    <xf numFmtId="0" fontId="38" fillId="4" borderId="4" xfId="0" applyNumberFormat="1" applyFont="1" applyFill="1" applyBorder="1" applyAlignment="1" applyProtection="1">
      <alignment vertical="center"/>
      <protection hidden="1"/>
    </xf>
    <xf numFmtId="0" fontId="38" fillId="4" borderId="2" xfId="0" applyNumberFormat="1" applyFont="1" applyFill="1" applyBorder="1" applyAlignment="1" applyProtection="1">
      <alignment vertical="center"/>
      <protection hidden="1"/>
    </xf>
    <xf numFmtId="0" fontId="38" fillId="4" borderId="15" xfId="0" applyNumberFormat="1" applyFont="1" applyFill="1" applyBorder="1" applyAlignment="1" applyProtection="1">
      <alignment horizontal="center" vertical="center"/>
      <protection hidden="1"/>
    </xf>
    <xf numFmtId="0" fontId="45" fillId="4" borderId="19" xfId="0" applyNumberFormat="1" applyFont="1" applyFill="1" applyBorder="1" applyAlignment="1" applyProtection="1">
      <alignment horizontal="center" vertical="center"/>
      <protection hidden="1"/>
    </xf>
    <xf numFmtId="0" fontId="38" fillId="4" borderId="15" xfId="0" applyNumberFormat="1" applyFont="1" applyFill="1" applyBorder="1" applyAlignment="1" applyProtection="1">
      <alignment horizontal="center" vertical="center" wrapText="1"/>
      <protection hidden="1"/>
    </xf>
    <xf numFmtId="0" fontId="45" fillId="4" borderId="19" xfId="0" applyNumberFormat="1" applyFont="1" applyFill="1" applyBorder="1" applyAlignment="1" applyProtection="1">
      <alignment horizontal="center" vertical="center" wrapText="1"/>
      <protection hidden="1"/>
    </xf>
    <xf numFmtId="0" fontId="38" fillId="4" borderId="14" xfId="0" applyNumberFormat="1" applyFont="1" applyFill="1" applyBorder="1" applyAlignment="1" applyProtection="1">
      <alignment vertical="center" wrapText="1"/>
      <protection hidden="1"/>
    </xf>
    <xf numFmtId="0" fontId="55" fillId="5" borderId="15" xfId="0" applyNumberFormat="1" applyFont="1" applyFill="1" applyBorder="1" applyAlignment="1" applyProtection="1">
      <alignment vertical="center" wrapText="1"/>
      <protection locked="0" hidden="1"/>
    </xf>
    <xf numFmtId="0" fontId="38" fillId="4" borderId="15" xfId="0" applyNumberFormat="1" applyFont="1" applyFill="1" applyBorder="1" applyAlignment="1" applyProtection="1">
      <alignment vertical="center" wrapText="1"/>
      <protection hidden="1"/>
    </xf>
    <xf numFmtId="0" fontId="54" fillId="5" borderId="15" xfId="0" applyNumberFormat="1" applyFont="1" applyFill="1" applyBorder="1" applyAlignment="1" applyProtection="1">
      <alignment horizontal="center" vertical="center"/>
      <protection locked="0" hidden="1"/>
    </xf>
    <xf numFmtId="0" fontId="38" fillId="4" borderId="1" xfId="0" applyNumberFormat="1" applyFont="1" applyFill="1" applyBorder="1" applyAlignment="1" applyProtection="1">
      <alignment horizontal="left" vertical="center" wrapText="1"/>
      <protection hidden="1"/>
    </xf>
    <xf numFmtId="0" fontId="38" fillId="4" borderId="2" xfId="0" applyNumberFormat="1" applyFont="1" applyFill="1" applyBorder="1" applyAlignment="1" applyProtection="1">
      <alignment vertical="center" wrapText="1"/>
      <protection hidden="1"/>
    </xf>
    <xf numFmtId="0" fontId="38" fillId="4" borderId="18" xfId="0" applyNumberFormat="1" applyFont="1" applyFill="1" applyBorder="1" applyAlignment="1" applyProtection="1">
      <alignment horizontal="left" vertical="center" wrapText="1"/>
      <protection hidden="1"/>
    </xf>
    <xf numFmtId="49" fontId="59" fillId="12" borderId="39" xfId="0" applyNumberFormat="1" applyFont="1" applyFill="1" applyBorder="1" applyAlignment="1" applyProtection="1">
      <alignment horizontal="center" vertical="center"/>
      <protection hidden="1"/>
    </xf>
    <xf numFmtId="49" fontId="59" fillId="12" borderId="39" xfId="0" applyNumberFormat="1" applyFont="1" applyFill="1" applyBorder="1" applyAlignment="1" applyProtection="1">
      <alignment horizontal="center" vertical="center" wrapText="1"/>
      <protection hidden="1"/>
    </xf>
    <xf numFmtId="49" fontId="40" fillId="4" borderId="16" xfId="0" applyNumberFormat="1" applyFont="1" applyFill="1" applyBorder="1" applyAlignment="1" applyProtection="1">
      <alignment horizontal="right" vertical="center" wrapText="1"/>
      <protection hidden="1"/>
    </xf>
    <xf numFmtId="184" fontId="35" fillId="4" borderId="16" xfId="0" applyNumberFormat="1" applyFont="1" applyFill="1" applyBorder="1" applyAlignment="1" applyProtection="1">
      <alignment vertical="center"/>
      <protection hidden="1"/>
    </xf>
    <xf numFmtId="49" fontId="40" fillId="3" borderId="2" xfId="0" applyNumberFormat="1" applyFont="1" applyFill="1" applyBorder="1" applyAlignment="1" applyProtection="1">
      <alignment horizontal="right" vertical="center" wrapText="1"/>
      <protection hidden="1"/>
    </xf>
    <xf numFmtId="49" fontId="40" fillId="3" borderId="17" xfId="0" applyNumberFormat="1" applyFont="1" applyFill="1" applyBorder="1" applyAlignment="1" applyProtection="1">
      <alignment horizontal="right" vertical="center" wrapText="1"/>
      <protection hidden="1"/>
    </xf>
    <xf numFmtId="49" fontId="40" fillId="8" borderId="2" xfId="0" applyNumberFormat="1" applyFont="1" applyFill="1" applyBorder="1" applyAlignment="1" applyProtection="1">
      <alignment horizontal="right" vertical="center" wrapText="1"/>
      <protection hidden="1"/>
    </xf>
    <xf numFmtId="49" fontId="40" fillId="8" borderId="17" xfId="0" applyNumberFormat="1" applyFont="1" applyFill="1" applyBorder="1" applyAlignment="1" applyProtection="1">
      <alignment horizontal="right" vertical="center" wrapText="1"/>
      <protection hidden="1"/>
    </xf>
    <xf numFmtId="49" fontId="40" fillId="8" borderId="19" xfId="0" applyNumberFormat="1" applyFont="1" applyFill="1" applyBorder="1" applyAlignment="1" applyProtection="1">
      <alignment horizontal="right" vertical="center" wrapText="1"/>
      <protection hidden="1"/>
    </xf>
    <xf numFmtId="49" fontId="40" fillId="8" borderId="34" xfId="0" applyNumberFormat="1" applyFont="1" applyFill="1" applyBorder="1" applyAlignment="1" applyProtection="1">
      <alignment horizontal="right" vertical="center" wrapText="1"/>
      <protection hidden="1"/>
    </xf>
    <xf numFmtId="49" fontId="40" fillId="4" borderId="17" xfId="0" applyNumberFormat="1" applyFont="1" applyFill="1" applyBorder="1" applyAlignment="1" applyProtection="1">
      <alignment horizontal="right" vertical="center" wrapText="1"/>
      <protection hidden="1"/>
    </xf>
    <xf numFmtId="184" fontId="35" fillId="4" borderId="17" xfId="0" applyNumberFormat="1" applyFont="1" applyFill="1" applyBorder="1" applyAlignment="1" applyProtection="1">
      <alignment vertical="center"/>
      <protection hidden="1"/>
    </xf>
    <xf numFmtId="49" fontId="38" fillId="3" borderId="2" xfId="0" applyNumberFormat="1" applyFont="1" applyFill="1" applyBorder="1" applyAlignment="1" applyProtection="1">
      <alignment horizontal="right" vertical="center" wrapText="1"/>
      <protection hidden="1"/>
    </xf>
    <xf numFmtId="49" fontId="38" fillId="3" borderId="17" xfId="0" applyNumberFormat="1" applyFont="1" applyFill="1" applyBorder="1" applyAlignment="1" applyProtection="1">
      <alignment horizontal="right" vertical="center" wrapText="1"/>
      <protection hidden="1"/>
    </xf>
    <xf numFmtId="49" fontId="40" fillId="3" borderId="25" xfId="0" applyNumberFormat="1" applyFont="1" applyFill="1" applyBorder="1" applyAlignment="1" applyProtection="1">
      <alignment horizontal="right" vertical="center" wrapText="1"/>
      <protection hidden="1"/>
    </xf>
    <xf numFmtId="49" fontId="40" fillId="3" borderId="34" xfId="0" applyNumberFormat="1" applyFont="1" applyFill="1" applyBorder="1" applyAlignment="1" applyProtection="1">
      <alignment horizontal="right" vertical="center" wrapText="1"/>
      <protection hidden="1"/>
    </xf>
    <xf numFmtId="49" fontId="40" fillId="4" borderId="65" xfId="0" applyNumberFormat="1" applyFont="1" applyFill="1" applyBorder="1" applyAlignment="1" applyProtection="1">
      <alignment horizontal="right" vertical="center" wrapText="1"/>
      <protection hidden="1"/>
    </xf>
    <xf numFmtId="186" fontId="35" fillId="4" borderId="16" xfId="0" applyNumberFormat="1" applyFont="1" applyFill="1" applyBorder="1" applyAlignment="1" applyProtection="1">
      <alignment vertical="center"/>
      <protection hidden="1"/>
    </xf>
    <xf numFmtId="49" fontId="40" fillId="8" borderId="68" xfId="0" applyNumberFormat="1" applyFont="1" applyFill="1" applyBorder="1" applyAlignment="1" applyProtection="1">
      <alignment horizontal="right" vertical="center" wrapText="1"/>
      <protection hidden="1"/>
    </xf>
    <xf numFmtId="49" fontId="40" fillId="14" borderId="70" xfId="0" applyNumberFormat="1" applyFont="1" applyFill="1" applyBorder="1" applyAlignment="1" applyProtection="1">
      <alignment horizontal="right" vertical="center" wrapText="1"/>
      <protection hidden="1"/>
    </xf>
    <xf numFmtId="0" fontId="59" fillId="8" borderId="2" xfId="0" applyNumberFormat="1" applyFont="1" applyFill="1" applyBorder="1" applyAlignment="1" applyProtection="1">
      <alignment horizontal="right" vertical="center" wrapText="1"/>
      <protection hidden="1"/>
    </xf>
    <xf numFmtId="0" fontId="59" fillId="8" borderId="19" xfId="0" applyNumberFormat="1" applyFont="1" applyFill="1" applyBorder="1" applyAlignment="1" applyProtection="1">
      <alignment horizontal="right" vertical="center" wrapText="1"/>
      <protection hidden="1"/>
    </xf>
    <xf numFmtId="49" fontId="40" fillId="14" borderId="71" xfId="0" applyNumberFormat="1" applyFont="1" applyFill="1" applyBorder="1" applyAlignment="1" applyProtection="1">
      <alignment horizontal="right" vertical="center" wrapText="1"/>
      <protection hidden="1"/>
    </xf>
    <xf numFmtId="49" fontId="40" fillId="3" borderId="40" xfId="0" applyNumberFormat="1" applyFont="1" applyFill="1" applyBorder="1" applyAlignment="1" applyProtection="1">
      <alignment horizontal="right" vertical="center" wrapText="1"/>
      <protection hidden="1"/>
    </xf>
    <xf numFmtId="49" fontId="40" fillId="3" borderId="16" xfId="0" applyNumberFormat="1" applyFont="1" applyFill="1" applyBorder="1" applyAlignment="1" applyProtection="1">
      <alignment horizontal="right" vertical="center" wrapText="1"/>
      <protection hidden="1"/>
    </xf>
    <xf numFmtId="49" fontId="40" fillId="3" borderId="8" xfId="0" applyNumberFormat="1" applyFont="1" applyFill="1" applyBorder="1" applyAlignment="1" applyProtection="1">
      <alignment horizontal="right" vertical="center" wrapText="1"/>
      <protection hidden="1"/>
    </xf>
    <xf numFmtId="49" fontId="40" fillId="3" borderId="20" xfId="0" applyNumberFormat="1" applyFont="1" applyFill="1" applyBorder="1" applyAlignment="1" applyProtection="1">
      <alignment horizontal="right" vertical="center" wrapText="1"/>
      <protection hidden="1"/>
    </xf>
    <xf numFmtId="49" fontId="40" fillId="3" borderId="10" xfId="0" applyNumberFormat="1" applyFont="1" applyFill="1" applyBorder="1" applyAlignment="1" applyProtection="1">
      <alignment horizontal="right" vertical="center" wrapText="1"/>
      <protection hidden="1"/>
    </xf>
    <xf numFmtId="0" fontId="53" fillId="11" borderId="0" xfId="0" applyNumberFormat="1" applyFont="1" applyFill="1" applyAlignment="1" applyProtection="1">
      <alignment vertical="center"/>
    </xf>
    <xf numFmtId="0" fontId="53" fillId="15" borderId="75" xfId="0" applyNumberFormat="1" applyFont="1" applyFill="1" applyBorder="1" applyAlignment="1" applyProtection="1">
      <alignment vertical="center"/>
      <protection locked="0"/>
    </xf>
    <xf numFmtId="0" fontId="61" fillId="16" borderId="74" xfId="0" applyNumberFormat="1" applyFont="1" applyFill="1" applyBorder="1" applyAlignment="1" applyProtection="1">
      <alignment horizontal="center" vertical="center"/>
    </xf>
    <xf numFmtId="0" fontId="43" fillId="18" borderId="0" xfId="0" applyNumberFormat="1" applyFont="1" applyFill="1" applyAlignment="1" applyProtection="1">
      <alignment vertical="center"/>
    </xf>
    <xf numFmtId="186" fontId="43" fillId="7" borderId="0" xfId="0" applyNumberFormat="1" applyFont="1" applyFill="1" applyAlignment="1" applyProtection="1">
      <alignment vertical="center"/>
    </xf>
    <xf numFmtId="0" fontId="34" fillId="7" borderId="0" xfId="0" applyNumberFormat="1" applyFont="1" applyFill="1" applyAlignment="1" applyProtection="1">
      <alignment vertical="center"/>
    </xf>
    <xf numFmtId="186" fontId="43" fillId="18" borderId="0" xfId="0" applyNumberFormat="1" applyFont="1" applyFill="1" applyAlignment="1" applyProtection="1">
      <alignment vertical="center"/>
    </xf>
    <xf numFmtId="0" fontId="43" fillId="18" borderId="0" xfId="0" applyNumberFormat="1" applyFont="1" applyFill="1" applyAlignment="1" applyProtection="1">
      <alignment horizontal="left" shrinkToFit="1"/>
    </xf>
    <xf numFmtId="0" fontId="1" fillId="18" borderId="0" xfId="0" applyNumberFormat="1" applyFont="1" applyFill="1" applyAlignment="1" applyProtection="1">
      <alignment vertical="center"/>
    </xf>
    <xf numFmtId="0" fontId="43" fillId="7" borderId="0" xfId="0" applyNumberFormat="1" applyFont="1" applyFill="1" applyAlignment="1" applyProtection="1">
      <alignment vertical="center"/>
    </xf>
    <xf numFmtId="0" fontId="23" fillId="7" borderId="0" xfId="0" applyNumberFormat="1" applyFont="1" applyFill="1" applyAlignment="1" applyProtection="1">
      <alignment vertical="center"/>
    </xf>
    <xf numFmtId="0" fontId="25" fillId="7" borderId="0" xfId="0" applyNumberFormat="1" applyFont="1" applyFill="1" applyAlignment="1" applyProtection="1">
      <alignment vertical="center"/>
    </xf>
    <xf numFmtId="182" fontId="43" fillId="3" borderId="0" xfId="0" applyNumberFormat="1" applyFont="1" applyFill="1" applyAlignment="1" applyProtection="1">
      <alignment horizontal="left" vertical="center" wrapText="1"/>
    </xf>
    <xf numFmtId="0" fontId="64" fillId="16" borderId="0" xfId="0" applyNumberFormat="1" applyFont="1" applyFill="1" applyAlignment="1" applyProtection="1">
      <alignment vertical="center" wrapText="1"/>
    </xf>
    <xf numFmtId="0" fontId="64" fillId="16" borderId="77" xfId="0" applyNumberFormat="1" applyFont="1" applyFill="1" applyBorder="1" applyAlignment="1" applyProtection="1">
      <alignment vertical="center" wrapText="1"/>
    </xf>
    <xf numFmtId="0" fontId="23" fillId="15" borderId="78" xfId="0" applyNumberFormat="1" applyFont="1" applyFill="1" applyBorder="1" applyAlignment="1" applyProtection="1">
      <alignment vertical="center"/>
    </xf>
    <xf numFmtId="0" fontId="23" fillId="15" borderId="79" xfId="0" applyNumberFormat="1" applyFont="1" applyFill="1" applyBorder="1" applyAlignment="1" applyProtection="1">
      <alignment vertical="center"/>
    </xf>
    <xf numFmtId="0" fontId="23" fillId="17" borderId="80" xfId="0" applyNumberFormat="1" applyFont="1" applyFill="1" applyBorder="1" applyAlignment="1" applyProtection="1">
      <alignment vertical="center"/>
    </xf>
    <xf numFmtId="0" fontId="23" fillId="17" borderId="76" xfId="0" applyNumberFormat="1" applyFont="1" applyFill="1" applyBorder="1" applyAlignment="1" applyProtection="1">
      <alignment vertical="center"/>
    </xf>
    <xf numFmtId="0" fontId="23" fillId="15" borderId="80" xfId="0" applyNumberFormat="1" applyFont="1" applyFill="1" applyBorder="1" applyAlignment="1" applyProtection="1">
      <alignment vertical="center"/>
    </xf>
    <xf numFmtId="0" fontId="23" fillId="15" borderId="76" xfId="0" applyNumberFormat="1" applyFont="1" applyFill="1" applyBorder="1" applyAlignment="1" applyProtection="1">
      <alignment vertical="center"/>
    </xf>
    <xf numFmtId="0" fontId="29" fillId="17" borderId="76" xfId="0" applyNumberFormat="1" applyFont="1" applyFill="1" applyBorder="1" applyAlignment="1" applyProtection="1">
      <alignment vertical="center"/>
    </xf>
    <xf numFmtId="4" fontId="62" fillId="15" borderId="76" xfId="0" applyNumberFormat="1" applyFont="1" applyFill="1" applyBorder="1" applyAlignment="1" applyProtection="1">
      <alignment vertical="center"/>
    </xf>
    <xf numFmtId="177" fontId="23" fillId="15" borderId="76" xfId="0" applyNumberFormat="1" applyFont="1" applyFill="1" applyBorder="1" applyAlignment="1" applyProtection="1">
      <alignment vertical="center"/>
    </xf>
    <xf numFmtId="177" fontId="23" fillId="17" borderId="76" xfId="0" applyNumberFormat="1" applyFont="1" applyFill="1" applyBorder="1" applyAlignment="1" applyProtection="1">
      <alignment vertical="center"/>
    </xf>
    <xf numFmtId="0" fontId="16" fillId="10" borderId="2" xfId="0" applyNumberFormat="1" applyFont="1" applyFill="1" applyBorder="1" applyAlignment="1" applyProtection="1">
      <alignment horizontal="center" vertical="center" wrapText="1"/>
    </xf>
    <xf numFmtId="180" fontId="16" fillId="6" borderId="2" xfId="0" applyNumberFormat="1" applyFont="1" applyFill="1" applyBorder="1" applyAlignment="1" applyProtection="1">
      <alignment horizontal="center" vertical="center" wrapText="1"/>
    </xf>
    <xf numFmtId="0" fontId="16" fillId="6" borderId="2" xfId="0" applyNumberFormat="1" applyFont="1" applyFill="1" applyBorder="1" applyAlignment="1" applyProtection="1">
      <alignment horizontal="center" vertical="center"/>
    </xf>
    <xf numFmtId="0" fontId="17" fillId="10" borderId="2" xfId="0" applyNumberFormat="1" applyFont="1" applyFill="1" applyBorder="1" applyAlignment="1" applyProtection="1">
      <alignment horizontal="center" vertical="center" wrapText="1"/>
    </xf>
    <xf numFmtId="0" fontId="16" fillId="10" borderId="6" xfId="0" applyNumberFormat="1" applyFont="1" applyFill="1" applyBorder="1" applyAlignment="1" applyProtection="1">
      <alignment horizontal="center" vertical="center" wrapText="1"/>
    </xf>
    <xf numFmtId="180" fontId="16" fillId="6" borderId="6" xfId="0" applyNumberFormat="1" applyFont="1" applyFill="1" applyBorder="1" applyAlignment="1" applyProtection="1">
      <alignment horizontal="center" vertical="center" wrapText="1"/>
    </xf>
    <xf numFmtId="0" fontId="16" fillId="6" borderId="6" xfId="0" applyNumberFormat="1" applyFont="1" applyFill="1" applyBorder="1" applyAlignment="1" applyProtection="1">
      <alignment horizontal="center" vertical="center"/>
    </xf>
    <xf numFmtId="0" fontId="50" fillId="4" borderId="2" xfId="0" applyNumberFormat="1" applyFont="1" applyFill="1" applyBorder="1" applyAlignment="1" applyProtection="1">
      <alignment horizontal="center" vertical="center" wrapText="1"/>
      <protection hidden="1"/>
    </xf>
    <xf numFmtId="0" fontId="43" fillId="4" borderId="56" xfId="0" applyNumberFormat="1" applyFont="1" applyFill="1" applyBorder="1" applyAlignment="1" applyProtection="1">
      <alignment horizontal="center" vertical="center" wrapText="1"/>
      <protection hidden="1"/>
    </xf>
    <xf numFmtId="0" fontId="43" fillId="4" borderId="58" xfId="0" applyNumberFormat="1" applyFont="1" applyFill="1" applyBorder="1" applyAlignment="1" applyProtection="1">
      <alignment horizontal="center" vertical="center" wrapText="1"/>
      <protection hidden="1"/>
    </xf>
    <xf numFmtId="0" fontId="23" fillId="4" borderId="38" xfId="0" applyNumberFormat="1" applyFont="1" applyFill="1" applyBorder="1" applyAlignment="1" applyProtection="1">
      <alignment horizontal="center" vertical="center" wrapText="1"/>
      <protection hidden="1"/>
    </xf>
    <xf numFmtId="0" fontId="23" fillId="4" borderId="37" xfId="0" applyNumberFormat="1" applyFont="1" applyFill="1" applyBorder="1" applyAlignment="1" applyProtection="1">
      <alignment horizontal="center" vertical="center" wrapText="1"/>
      <protection hidden="1"/>
    </xf>
    <xf numFmtId="0" fontId="43" fillId="4" borderId="57" xfId="0" applyNumberFormat="1" applyFont="1" applyFill="1" applyBorder="1" applyAlignment="1" applyProtection="1">
      <alignment horizontal="center" vertical="center" wrapText="1"/>
      <protection hidden="1"/>
    </xf>
    <xf numFmtId="0" fontId="23" fillId="4" borderId="61" xfId="0" applyNumberFormat="1" applyFont="1" applyFill="1" applyBorder="1" applyAlignment="1" applyProtection="1">
      <alignment horizontal="center" vertical="center"/>
      <protection hidden="1"/>
    </xf>
    <xf numFmtId="0" fontId="23" fillId="4" borderId="48" xfId="0" applyNumberFormat="1" applyFont="1" applyFill="1" applyBorder="1" applyAlignment="1" applyProtection="1">
      <alignment horizontal="center" vertical="center"/>
      <protection hidden="1"/>
    </xf>
    <xf numFmtId="0" fontId="23" fillId="4" borderId="64" xfId="0" applyNumberFormat="1" applyFont="1" applyFill="1" applyBorder="1" applyAlignment="1" applyProtection="1">
      <alignment horizontal="center" vertical="center"/>
      <protection hidden="1"/>
    </xf>
    <xf numFmtId="0" fontId="23" fillId="4" borderId="27" xfId="0" applyNumberFormat="1" applyFont="1" applyFill="1" applyBorder="1" applyAlignment="1" applyProtection="1">
      <alignment horizontal="center" vertical="center" wrapText="1"/>
      <protection hidden="1"/>
    </xf>
    <xf numFmtId="0" fontId="23" fillId="4" borderId="29" xfId="0" applyNumberFormat="1" applyFont="1" applyFill="1" applyBorder="1" applyAlignment="1" applyProtection="1">
      <alignment horizontal="center" vertical="center" wrapText="1"/>
      <protection hidden="1"/>
    </xf>
    <xf numFmtId="0" fontId="23" fillId="4" borderId="22" xfId="0" applyNumberFormat="1" applyFont="1" applyFill="1" applyBorder="1" applyAlignment="1" applyProtection="1">
      <alignment horizontal="center" vertical="center" wrapText="1"/>
      <protection hidden="1"/>
    </xf>
    <xf numFmtId="0" fontId="23" fillId="4" borderId="21" xfId="0" applyNumberFormat="1" applyFont="1" applyFill="1" applyBorder="1" applyAlignment="1" applyProtection="1">
      <alignment horizontal="center" vertical="center" wrapText="1"/>
      <protection hidden="1"/>
    </xf>
    <xf numFmtId="0" fontId="23" fillId="4" borderId="31" xfId="0" applyNumberFormat="1" applyFont="1" applyFill="1" applyBorder="1" applyAlignment="1" applyProtection="1">
      <alignment horizontal="center" vertical="center" wrapText="1"/>
      <protection hidden="1"/>
    </xf>
    <xf numFmtId="0" fontId="23" fillId="4" borderId="33" xfId="0" applyNumberFormat="1" applyFont="1" applyFill="1" applyBorder="1" applyAlignment="1" applyProtection="1">
      <alignment horizontal="center" vertical="center" wrapText="1"/>
      <protection hidden="1"/>
    </xf>
    <xf numFmtId="0" fontId="43" fillId="4" borderId="57" xfId="0" applyNumberFormat="1" applyFont="1" applyFill="1" applyBorder="1" applyAlignment="1" applyProtection="1">
      <alignment horizontal="center" vertical="center"/>
      <protection hidden="1"/>
    </xf>
    <xf numFmtId="0" fontId="43" fillId="4" borderId="58" xfId="0" applyNumberFormat="1" applyFont="1" applyFill="1" applyBorder="1" applyAlignment="1" applyProtection="1">
      <alignment horizontal="center" vertical="center"/>
      <protection hidden="1"/>
    </xf>
    <xf numFmtId="0" fontId="23" fillId="4" borderId="15" xfId="0" applyNumberFormat="1" applyFont="1" applyFill="1" applyBorder="1" applyAlignment="1" applyProtection="1">
      <alignment horizontal="center" vertical="center" wrapText="1"/>
      <protection hidden="1"/>
    </xf>
    <xf numFmtId="0" fontId="23" fillId="4" borderId="16" xfId="0" applyNumberFormat="1" applyFont="1" applyFill="1" applyBorder="1" applyAlignment="1" applyProtection="1">
      <alignment horizontal="center" vertical="center"/>
      <protection hidden="1"/>
    </xf>
    <xf numFmtId="0" fontId="23" fillId="4" borderId="2" xfId="0" applyNumberFormat="1" applyFont="1" applyFill="1" applyBorder="1" applyAlignment="1" applyProtection="1">
      <alignment horizontal="center" vertical="center"/>
      <protection hidden="1"/>
    </xf>
    <xf numFmtId="0" fontId="23" fillId="4" borderId="17" xfId="0" applyNumberFormat="1" applyFont="1" applyFill="1" applyBorder="1" applyAlignment="1" applyProtection="1">
      <alignment horizontal="center" vertical="center"/>
      <protection hidden="1"/>
    </xf>
    <xf numFmtId="0" fontId="23" fillId="4" borderId="19" xfId="0" applyNumberFormat="1" applyFont="1" applyFill="1" applyBorder="1" applyAlignment="1" applyProtection="1">
      <alignment horizontal="center" vertical="center"/>
      <protection hidden="1"/>
    </xf>
    <xf numFmtId="0" fontId="23" fillId="4" borderId="34" xfId="0" applyNumberFormat="1" applyFont="1" applyFill="1" applyBorder="1" applyAlignment="1" applyProtection="1">
      <alignment horizontal="center" vertical="center"/>
      <protection hidden="1"/>
    </xf>
    <xf numFmtId="0" fontId="43" fillId="4" borderId="14" xfId="0" applyNumberFormat="1" applyFont="1" applyFill="1" applyBorder="1" applyAlignment="1" applyProtection="1">
      <alignment horizontal="center" vertical="center"/>
      <protection hidden="1"/>
    </xf>
    <xf numFmtId="0" fontId="43" fillId="4" borderId="1" xfId="0" applyNumberFormat="1" applyFont="1" applyFill="1" applyBorder="1" applyAlignment="1" applyProtection="1">
      <alignment horizontal="center" vertical="center"/>
      <protection hidden="1"/>
    </xf>
    <xf numFmtId="0" fontId="43" fillId="4" borderId="18" xfId="0" applyNumberFormat="1" applyFont="1" applyFill="1" applyBorder="1" applyAlignment="1" applyProtection="1">
      <alignment horizontal="center" vertical="center"/>
      <protection hidden="1"/>
    </xf>
    <xf numFmtId="0" fontId="23" fillId="4" borderId="28" xfId="0" applyNumberFormat="1" applyFont="1" applyFill="1" applyBorder="1" applyAlignment="1" applyProtection="1">
      <alignment horizontal="center" vertical="center"/>
      <protection hidden="1"/>
    </xf>
    <xf numFmtId="0" fontId="23" fillId="4" borderId="22" xfId="0" applyNumberFormat="1" applyFont="1" applyFill="1" applyBorder="1" applyAlignment="1" applyProtection="1">
      <alignment horizontal="center" vertical="center"/>
      <protection hidden="1"/>
    </xf>
    <xf numFmtId="0" fontId="23" fillId="4" borderId="0" xfId="0" applyNumberFormat="1" applyFont="1" applyFill="1" applyAlignment="1" applyProtection="1">
      <alignment horizontal="center" vertical="center"/>
      <protection hidden="1"/>
    </xf>
    <xf numFmtId="0" fontId="23" fillId="4" borderId="31" xfId="0" applyNumberFormat="1" applyFont="1" applyFill="1" applyBorder="1" applyAlignment="1" applyProtection="1">
      <alignment horizontal="center" vertical="center"/>
      <protection hidden="1"/>
    </xf>
    <xf numFmtId="0" fontId="23" fillId="4" borderId="32" xfId="0" applyNumberFormat="1" applyFont="1" applyFill="1" applyBorder="1" applyAlignment="1" applyProtection="1">
      <alignment horizontal="center" vertical="center"/>
      <protection hidden="1"/>
    </xf>
    <xf numFmtId="0" fontId="50" fillId="4" borderId="14" xfId="0" applyNumberFormat="1" applyFont="1" applyFill="1" applyBorder="1" applyAlignment="1" applyProtection="1">
      <alignment horizontal="center" vertical="center" wrapText="1"/>
      <protection hidden="1"/>
    </xf>
    <xf numFmtId="0" fontId="50" fillId="4" borderId="16" xfId="0" applyNumberFormat="1" applyFont="1" applyFill="1" applyBorder="1" applyAlignment="1" applyProtection="1">
      <alignment horizontal="center" vertical="center"/>
      <protection hidden="1"/>
    </xf>
    <xf numFmtId="0" fontId="23" fillId="4" borderId="47" xfId="0" applyNumberFormat="1" applyFont="1" applyFill="1" applyBorder="1" applyAlignment="1" applyProtection="1">
      <alignment horizontal="center" vertical="center"/>
      <protection hidden="1"/>
    </xf>
    <xf numFmtId="0" fontId="23" fillId="4" borderId="11" xfId="0" applyNumberFormat="1" applyFont="1" applyFill="1" applyBorder="1" applyAlignment="1" applyProtection="1">
      <alignment horizontal="center" vertical="center" wrapText="1"/>
      <protection hidden="1"/>
    </xf>
    <xf numFmtId="0" fontId="50" fillId="4" borderId="13" xfId="0" applyNumberFormat="1" applyFont="1" applyFill="1" applyBorder="1" applyAlignment="1" applyProtection="1">
      <alignment horizontal="center" vertical="center" wrapText="1"/>
      <protection hidden="1"/>
    </xf>
    <xf numFmtId="0" fontId="50" fillId="4" borderId="51" xfId="0" applyNumberFormat="1" applyFont="1" applyFill="1" applyBorder="1" applyAlignment="1" applyProtection="1">
      <alignment horizontal="center" vertical="center" wrapText="1"/>
      <protection hidden="1"/>
    </xf>
    <xf numFmtId="0" fontId="50" fillId="4" borderId="50" xfId="0" applyNumberFormat="1" applyFont="1" applyFill="1" applyBorder="1" applyAlignment="1" applyProtection="1">
      <alignment horizontal="center" vertical="center" wrapText="1"/>
      <protection hidden="1"/>
    </xf>
    <xf numFmtId="0" fontId="50" fillId="4" borderId="69" xfId="0" applyNumberFormat="1" applyFont="1" applyFill="1" applyBorder="1" applyAlignment="1" applyProtection="1">
      <alignment horizontal="center" vertical="center" wrapText="1"/>
      <protection hidden="1"/>
    </xf>
    <xf numFmtId="0" fontId="43" fillId="4" borderId="44" xfId="0" applyNumberFormat="1" applyFont="1" applyFill="1" applyBorder="1" applyAlignment="1" applyProtection="1">
      <alignment horizontal="center" vertical="center" wrapText="1"/>
      <protection hidden="1"/>
    </xf>
    <xf numFmtId="0" fontId="43" fillId="4" borderId="59" xfId="0" applyNumberFormat="1" applyFont="1" applyFill="1" applyBorder="1" applyAlignment="1" applyProtection="1">
      <alignment horizontal="center" vertical="center" wrapText="1"/>
      <protection hidden="1"/>
    </xf>
    <xf numFmtId="0" fontId="23" fillId="4" borderId="53" xfId="0" applyNumberFormat="1" applyFont="1" applyFill="1" applyBorder="1" applyAlignment="1" applyProtection="1">
      <alignment horizontal="center" vertical="center"/>
      <protection hidden="1"/>
    </xf>
    <xf numFmtId="0" fontId="23" fillId="4" borderId="1" xfId="0" applyNumberFormat="1" applyFont="1" applyFill="1" applyBorder="1" applyAlignment="1" applyProtection="1">
      <alignment horizontal="center" vertical="center" wrapText="1"/>
      <protection hidden="1"/>
    </xf>
    <xf numFmtId="0" fontId="23" fillId="4" borderId="1" xfId="0" applyNumberFormat="1" applyFont="1" applyFill="1" applyBorder="1" applyAlignment="1" applyProtection="1">
      <alignment horizontal="center" vertical="center"/>
      <protection hidden="1"/>
    </xf>
    <xf numFmtId="0" fontId="23" fillId="4" borderId="18" xfId="0" applyNumberFormat="1" applyFont="1" applyFill="1" applyBorder="1" applyAlignment="1" applyProtection="1">
      <alignment horizontal="center" vertical="center" wrapText="1"/>
      <protection hidden="1"/>
    </xf>
    <xf numFmtId="0" fontId="50" fillId="4" borderId="20" xfId="0" applyNumberFormat="1" applyFont="1" applyFill="1" applyBorder="1" applyAlignment="1" applyProtection="1">
      <alignment horizontal="center" vertical="center" wrapText="1"/>
      <protection hidden="1"/>
    </xf>
    <xf numFmtId="0" fontId="50" fillId="4" borderId="17" xfId="0" applyNumberFormat="1" applyFont="1" applyFill="1" applyBorder="1" applyAlignment="1" applyProtection="1">
      <alignment horizontal="center" vertical="center"/>
      <protection hidden="1"/>
    </xf>
    <xf numFmtId="0" fontId="43" fillId="4" borderId="66" xfId="0" applyNumberFormat="1" applyFont="1" applyFill="1" applyBorder="1" applyAlignment="1" applyProtection="1">
      <alignment horizontal="center" vertical="center"/>
      <protection hidden="1"/>
    </xf>
    <xf numFmtId="0" fontId="43" fillId="4" borderId="5" xfId="0" applyNumberFormat="1" applyFont="1" applyFill="1" applyBorder="1" applyAlignment="1" applyProtection="1">
      <alignment horizontal="center" vertical="center"/>
      <protection hidden="1"/>
    </xf>
    <xf numFmtId="0" fontId="43" fillId="4" borderId="82" xfId="0" applyNumberFormat="1" applyFont="1" applyFill="1" applyBorder="1" applyAlignment="1" applyProtection="1">
      <alignment horizontal="center" vertical="center"/>
      <protection hidden="1"/>
    </xf>
    <xf numFmtId="0" fontId="43" fillId="4" borderId="59" xfId="0" applyNumberFormat="1" applyFont="1" applyFill="1" applyBorder="1" applyAlignment="1" applyProtection="1">
      <alignment horizontal="center" vertical="center"/>
      <protection hidden="1"/>
    </xf>
    <xf numFmtId="0" fontId="43" fillId="4" borderId="32" xfId="0" applyNumberFormat="1" applyFont="1" applyFill="1" applyBorder="1" applyAlignment="1" applyProtection="1">
      <alignment horizontal="center" vertical="center"/>
      <protection hidden="1"/>
    </xf>
    <xf numFmtId="0" fontId="43" fillId="4" borderId="60" xfId="0" applyNumberFormat="1" applyFont="1" applyFill="1" applyBorder="1" applyAlignment="1" applyProtection="1">
      <alignment horizontal="center" vertical="center"/>
      <protection hidden="1"/>
    </xf>
    <xf numFmtId="0" fontId="50" fillId="4" borderId="44" xfId="0" applyNumberFormat="1" applyFont="1" applyFill="1" applyBorder="1" applyAlignment="1" applyProtection="1">
      <alignment horizontal="center" vertical="center" wrapText="1"/>
      <protection hidden="1"/>
    </xf>
    <xf numFmtId="0" fontId="50" fillId="4" borderId="66" xfId="0" applyNumberFormat="1" applyFont="1" applyFill="1" applyBorder="1" applyAlignment="1" applyProtection="1">
      <alignment horizontal="center" vertical="center" wrapText="1"/>
      <protection hidden="1"/>
    </xf>
    <xf numFmtId="0" fontId="50" fillId="4" borderId="3" xfId="0" applyNumberFormat="1" applyFont="1" applyFill="1" applyBorder="1" applyAlignment="1" applyProtection="1">
      <alignment horizontal="center" vertical="center" wrapText="1"/>
      <protection hidden="1"/>
    </xf>
    <xf numFmtId="0" fontId="50" fillId="4" borderId="2" xfId="0" applyNumberFormat="1" applyFont="1" applyFill="1" applyBorder="1" applyAlignment="1" applyProtection="1">
      <alignment horizontal="center" vertical="center"/>
      <protection hidden="1"/>
    </xf>
    <xf numFmtId="0" fontId="24" fillId="4" borderId="66" xfId="0" applyNumberFormat="1" applyFont="1" applyFill="1" applyBorder="1" applyAlignment="1" applyProtection="1">
      <alignment horizontal="center" vertical="center" wrapText="1"/>
      <protection hidden="1"/>
    </xf>
    <xf numFmtId="0" fontId="24" fillId="4" borderId="53" xfId="0" applyNumberFormat="1" applyFont="1" applyFill="1" applyBorder="1" applyAlignment="1" applyProtection="1">
      <alignment horizontal="center" vertical="center" wrapText="1"/>
      <protection hidden="1"/>
    </xf>
    <xf numFmtId="0" fontId="50" fillId="4" borderId="8" xfId="0" applyNumberFormat="1" applyFont="1" applyFill="1" applyBorder="1" applyAlignment="1" applyProtection="1">
      <alignment horizontal="center" vertical="center" wrapText="1"/>
      <protection hidden="1"/>
    </xf>
    <xf numFmtId="0" fontId="50" fillId="4" borderId="10" xfId="0" applyNumberFormat="1" applyFont="1" applyFill="1" applyBorder="1" applyAlignment="1" applyProtection="1">
      <alignment horizontal="center" vertical="center" wrapText="1"/>
      <protection hidden="1"/>
    </xf>
    <xf numFmtId="0" fontId="50" fillId="4" borderId="15" xfId="0" applyNumberFormat="1" applyFont="1" applyFill="1" applyBorder="1" applyAlignment="1" applyProtection="1">
      <alignment horizontal="center" vertical="center"/>
      <protection hidden="1"/>
    </xf>
    <xf numFmtId="0" fontId="50" fillId="4" borderId="30" xfId="0" applyNumberFormat="1" applyFont="1" applyFill="1" applyBorder="1" applyAlignment="1" applyProtection="1">
      <alignment horizontal="center" vertical="center"/>
      <protection hidden="1"/>
    </xf>
    <xf numFmtId="0" fontId="50" fillId="4" borderId="61" xfId="0" applyNumberFormat="1" applyFont="1" applyFill="1" applyBorder="1" applyAlignment="1" applyProtection="1">
      <alignment horizontal="center" vertical="center" wrapText="1"/>
      <protection hidden="1"/>
    </xf>
    <xf numFmtId="0" fontId="50" fillId="4" borderId="64" xfId="0" applyNumberFormat="1" applyFont="1" applyFill="1" applyBorder="1" applyAlignment="1" applyProtection="1">
      <alignment horizontal="center" vertical="center" wrapText="1"/>
      <protection hidden="1"/>
    </xf>
    <xf numFmtId="0" fontId="50" fillId="4" borderId="24" xfId="0" applyNumberFormat="1" applyFont="1" applyFill="1" applyBorder="1" applyAlignment="1" applyProtection="1">
      <alignment horizontal="center" vertical="center" wrapText="1"/>
      <protection hidden="1"/>
    </xf>
    <xf numFmtId="0" fontId="50" fillId="4" borderId="65" xfId="0" applyNumberFormat="1" applyFont="1" applyFill="1" applyBorder="1" applyAlignment="1" applyProtection="1">
      <alignment horizontal="center" vertical="center" wrapText="1"/>
      <protection hidden="1"/>
    </xf>
    <xf numFmtId="0" fontId="23" fillId="4" borderId="66" xfId="0" applyNumberFormat="1" applyFont="1" applyFill="1" applyBorder="1" applyAlignment="1" applyProtection="1">
      <alignment horizontal="center" vertical="center" wrapText="1"/>
      <protection hidden="1"/>
    </xf>
    <xf numFmtId="0" fontId="23" fillId="4" borderId="53" xfId="0" applyNumberFormat="1" applyFont="1" applyFill="1" applyBorder="1" applyAlignment="1" applyProtection="1">
      <alignment horizontal="center" vertical="center" wrapText="1"/>
      <protection hidden="1"/>
    </xf>
    <xf numFmtId="0" fontId="23" fillId="4" borderId="81" xfId="0" applyNumberFormat="1" applyFont="1" applyFill="1" applyBorder="1" applyAlignment="1" applyProtection="1">
      <alignment horizontal="center" vertical="center" wrapText="1"/>
      <protection hidden="1"/>
    </xf>
    <xf numFmtId="0" fontId="43" fillId="4" borderId="0" xfId="0" applyNumberFormat="1" applyFont="1" applyFill="1" applyAlignment="1" applyProtection="1">
      <alignment horizontal="center" vertical="center" wrapText="1"/>
      <protection hidden="1"/>
    </xf>
    <xf numFmtId="0" fontId="43" fillId="4" borderId="49" xfId="0" applyNumberFormat="1" applyFont="1" applyFill="1" applyBorder="1" applyAlignment="1" applyProtection="1">
      <alignment horizontal="center" vertical="center" wrapText="1"/>
      <protection hidden="1"/>
    </xf>
    <xf numFmtId="0" fontId="23" fillId="4" borderId="14" xfId="0" applyNumberFormat="1" applyFont="1" applyFill="1" applyBorder="1" applyAlignment="1" applyProtection="1">
      <alignment horizontal="center" vertical="center" wrapText="1"/>
      <protection hidden="1"/>
    </xf>
    <xf numFmtId="0" fontId="23" fillId="4" borderId="47" xfId="0" applyNumberFormat="1" applyFont="1" applyFill="1" applyBorder="1" applyAlignment="1" applyProtection="1">
      <alignment horizontal="center" vertical="center" wrapText="1"/>
      <protection hidden="1"/>
    </xf>
    <xf numFmtId="0" fontId="43" fillId="4" borderId="15" xfId="0" applyNumberFormat="1" applyFont="1" applyFill="1" applyBorder="1" applyAlignment="1" applyProtection="1">
      <alignment horizontal="center" vertical="center" wrapText="1"/>
      <protection hidden="1"/>
    </xf>
    <xf numFmtId="0" fontId="43" fillId="4" borderId="2" xfId="0" applyNumberFormat="1" applyFont="1" applyFill="1" applyBorder="1" applyAlignment="1" applyProtection="1">
      <alignment horizontal="center" vertical="center" wrapText="1"/>
      <protection hidden="1"/>
    </xf>
    <xf numFmtId="0" fontId="43" fillId="4" borderId="6" xfId="0" applyNumberFormat="1" applyFont="1" applyFill="1" applyBorder="1" applyAlignment="1" applyProtection="1">
      <alignment horizontal="center" vertical="center" wrapText="1"/>
      <protection hidden="1"/>
    </xf>
    <xf numFmtId="0" fontId="23" fillId="4" borderId="52" xfId="0" applyNumberFormat="1" applyFont="1" applyFill="1" applyBorder="1" applyAlignment="1" applyProtection="1">
      <alignment horizontal="center" vertical="center" wrapText="1"/>
      <protection hidden="1"/>
    </xf>
    <xf numFmtId="0" fontId="23" fillId="4" borderId="54" xfId="0" applyNumberFormat="1" applyFont="1" applyFill="1" applyBorder="1" applyAlignment="1" applyProtection="1">
      <alignment horizontal="center" vertical="center" wrapText="1"/>
      <protection hidden="1"/>
    </xf>
    <xf numFmtId="0" fontId="43" fillId="4" borderId="42" xfId="0" applyNumberFormat="1" applyFont="1" applyFill="1" applyBorder="1" applyAlignment="1" applyProtection="1">
      <alignment horizontal="center" vertical="center" wrapText="1"/>
      <protection hidden="1"/>
    </xf>
    <xf numFmtId="0" fontId="43" fillId="4" borderId="28" xfId="0" applyNumberFormat="1" applyFont="1" applyFill="1" applyBorder="1" applyAlignment="1" applyProtection="1">
      <alignment horizontal="center" vertical="center" wrapText="1"/>
      <protection hidden="1"/>
    </xf>
    <xf numFmtId="0" fontId="43" fillId="4" borderId="43" xfId="0" applyNumberFormat="1" applyFont="1" applyFill="1" applyBorder="1" applyAlignment="1" applyProtection="1">
      <alignment horizontal="center" vertical="center" wrapText="1"/>
      <protection hidden="1"/>
    </xf>
    <xf numFmtId="0" fontId="43" fillId="4" borderId="32" xfId="0" applyNumberFormat="1" applyFont="1" applyFill="1" applyBorder="1" applyAlignment="1" applyProtection="1">
      <alignment horizontal="center" vertical="center" wrapText="1"/>
      <protection hidden="1"/>
    </xf>
    <xf numFmtId="0" fontId="43" fillId="4" borderId="60" xfId="0" applyNumberFormat="1" applyFont="1" applyFill="1" applyBorder="1" applyAlignment="1" applyProtection="1">
      <alignment horizontal="center" vertical="center" wrapText="1"/>
      <protection hidden="1"/>
    </xf>
    <xf numFmtId="0" fontId="23" fillId="4" borderId="56" xfId="0" applyNumberFormat="1" applyFont="1" applyFill="1" applyBorder="1" applyAlignment="1" applyProtection="1">
      <alignment horizontal="center" vertical="center" wrapText="1"/>
      <protection hidden="1"/>
    </xf>
    <xf numFmtId="0" fontId="23" fillId="4" borderId="57" xfId="0" applyNumberFormat="1" applyFont="1" applyFill="1" applyBorder="1" applyAlignment="1" applyProtection="1">
      <alignment horizontal="center" vertical="center" wrapText="1"/>
      <protection hidden="1"/>
    </xf>
    <xf numFmtId="0" fontId="23" fillId="4" borderId="58" xfId="0" applyNumberFormat="1" applyFont="1" applyFill="1" applyBorder="1" applyAlignment="1" applyProtection="1">
      <alignment horizontal="center" vertical="center" wrapText="1"/>
      <protection hidden="1"/>
    </xf>
    <xf numFmtId="0" fontId="43" fillId="4" borderId="14" xfId="0" applyNumberFormat="1" applyFont="1" applyFill="1" applyBorder="1" applyAlignment="1" applyProtection="1">
      <alignment horizontal="center" vertical="center" wrapText="1"/>
      <protection hidden="1"/>
    </xf>
    <xf numFmtId="0" fontId="43" fillId="4" borderId="1" xfId="0" applyNumberFormat="1" applyFont="1" applyFill="1" applyBorder="1" applyAlignment="1" applyProtection="1">
      <alignment horizontal="center" vertical="center" wrapText="1"/>
      <protection hidden="1"/>
    </xf>
    <xf numFmtId="0" fontId="43" fillId="4" borderId="18" xfId="0" applyNumberFormat="1" applyFont="1" applyFill="1" applyBorder="1" applyAlignment="1" applyProtection="1">
      <alignment horizontal="center" vertical="center" wrapText="1"/>
      <protection hidden="1"/>
    </xf>
    <xf numFmtId="0" fontId="50" fillId="4" borderId="40" xfId="0" applyNumberFormat="1" applyFont="1" applyFill="1" applyBorder="1" applyAlignment="1" applyProtection="1">
      <alignment horizontal="center" vertical="center" wrapText="1"/>
      <protection hidden="1"/>
    </xf>
    <xf numFmtId="0" fontId="50" fillId="4" borderId="15" xfId="0" applyNumberFormat="1" applyFont="1" applyFill="1" applyBorder="1" applyAlignment="1" applyProtection="1">
      <alignment horizontal="center" vertical="center" wrapText="1"/>
      <protection hidden="1"/>
    </xf>
    <xf numFmtId="0" fontId="44" fillId="0" borderId="4" xfId="24" applyFont="1" applyBorder="1" applyAlignment="1" applyProtection="1">
      <alignment horizontal="left" vertical="center" wrapText="1"/>
      <protection locked="0"/>
    </xf>
    <xf numFmtId="0" fontId="48" fillId="0" borderId="9" xfId="0" applyFont="1" applyBorder="1" applyAlignment="1" applyProtection="1">
      <alignment horizontal="left" vertical="center" wrapText="1"/>
      <protection locked="0"/>
    </xf>
    <xf numFmtId="0" fontId="48" fillId="0" borderId="62" xfId="0" applyFont="1" applyBorder="1" applyAlignment="1" applyProtection="1">
      <alignment horizontal="left" vertical="center" wrapText="1"/>
      <protection locked="0"/>
    </xf>
    <xf numFmtId="0" fontId="48" fillId="0" borderId="4" xfId="0" applyFont="1" applyBorder="1" applyAlignment="1" applyProtection="1">
      <alignment horizontal="left" vertical="center" wrapText="1"/>
      <protection locked="0"/>
    </xf>
    <xf numFmtId="0" fontId="48" fillId="0" borderId="26" xfId="0" applyFont="1" applyBorder="1" applyAlignment="1" applyProtection="1">
      <alignment horizontal="left" vertical="center" wrapText="1"/>
      <protection locked="0"/>
    </xf>
    <xf numFmtId="0" fontId="48" fillId="0" borderId="46" xfId="0" applyFont="1" applyBorder="1" applyAlignment="1" applyProtection="1">
      <alignment horizontal="left" vertical="center" wrapText="1"/>
      <protection locked="0"/>
    </xf>
    <xf numFmtId="0" fontId="48" fillId="0" borderId="63" xfId="0" applyFont="1" applyBorder="1" applyAlignment="1" applyProtection="1">
      <alignment horizontal="left" vertical="center" wrapText="1"/>
      <protection locked="0"/>
    </xf>
    <xf numFmtId="0" fontId="50" fillId="4" borderId="52" xfId="0" applyNumberFormat="1" applyFont="1" applyFill="1" applyBorder="1" applyAlignment="1" applyProtection="1">
      <alignment horizontal="center" vertical="center" wrapText="1"/>
      <protection hidden="1"/>
    </xf>
    <xf numFmtId="0" fontId="50" fillId="4" borderId="54" xfId="0" applyNumberFormat="1" applyFont="1" applyFill="1" applyBorder="1" applyAlignment="1" applyProtection="1">
      <alignment horizontal="center" vertical="center" wrapText="1"/>
      <protection hidden="1"/>
    </xf>
    <xf numFmtId="0" fontId="50" fillId="4" borderId="72" xfId="0" applyNumberFormat="1" applyFont="1" applyFill="1" applyBorder="1" applyAlignment="1" applyProtection="1">
      <alignment horizontal="center" vertical="center" wrapText="1"/>
      <protection hidden="1"/>
    </xf>
    <xf numFmtId="0" fontId="50" fillId="4" borderId="73" xfId="0" applyNumberFormat="1" applyFont="1" applyFill="1" applyBorder="1" applyAlignment="1" applyProtection="1">
      <alignment horizontal="center" vertical="center" wrapText="1"/>
      <protection hidden="1"/>
    </xf>
    <xf numFmtId="0" fontId="50" fillId="4" borderId="16" xfId="0" applyNumberFormat="1" applyFont="1" applyFill="1" applyBorder="1" applyAlignment="1" applyProtection="1">
      <alignment horizontal="center" vertical="center" wrapText="1"/>
      <protection hidden="1"/>
    </xf>
    <xf numFmtId="0" fontId="50" fillId="4" borderId="18" xfId="0" applyNumberFormat="1" applyFont="1" applyFill="1" applyBorder="1" applyAlignment="1" applyProtection="1">
      <alignment horizontal="center" vertical="center" wrapText="1"/>
      <protection hidden="1"/>
    </xf>
    <xf numFmtId="0" fontId="50" fillId="4" borderId="19" xfId="0" applyNumberFormat="1" applyFont="1" applyFill="1" applyBorder="1" applyAlignment="1" applyProtection="1">
      <alignment horizontal="center" vertical="center" wrapText="1"/>
      <protection hidden="1"/>
    </xf>
    <xf numFmtId="0" fontId="50" fillId="4" borderId="34" xfId="0" applyNumberFormat="1" applyFont="1" applyFill="1" applyBorder="1" applyAlignment="1" applyProtection="1">
      <alignment horizontal="center" vertical="center" wrapText="1"/>
      <protection hidden="1"/>
    </xf>
    <xf numFmtId="0" fontId="38" fillId="4" borderId="61" xfId="0" applyNumberFormat="1" applyFont="1" applyFill="1" applyBorder="1" applyAlignment="1" applyProtection="1">
      <alignment horizontal="center" vertical="center" wrapText="1"/>
      <protection hidden="1"/>
    </xf>
    <xf numFmtId="0" fontId="38" fillId="4" borderId="64" xfId="0" applyNumberFormat="1" applyFont="1" applyFill="1" applyBorder="1" applyAlignment="1" applyProtection="1">
      <alignment horizontal="center" vertical="center" wrapText="1"/>
      <protection hidden="1"/>
    </xf>
    <xf numFmtId="0" fontId="38" fillId="4" borderId="30" xfId="0" applyNumberFormat="1" applyFont="1" applyFill="1" applyBorder="1" applyAlignment="1" applyProtection="1">
      <alignment horizontal="center" vertical="center"/>
      <protection hidden="1"/>
    </xf>
    <xf numFmtId="0" fontId="38" fillId="4" borderId="45" xfId="0" applyNumberFormat="1" applyFont="1" applyFill="1" applyBorder="1" applyAlignment="1" applyProtection="1">
      <alignment horizontal="center" vertical="center"/>
      <protection hidden="1"/>
    </xf>
    <xf numFmtId="0" fontId="38" fillId="4" borderId="67" xfId="0" applyNumberFormat="1" applyFont="1" applyFill="1" applyBorder="1" applyAlignment="1" applyProtection="1">
      <alignment horizontal="center" vertical="center"/>
      <protection hidden="1"/>
    </xf>
    <xf numFmtId="0" fontId="45" fillId="4" borderId="26" xfId="0" applyNumberFormat="1" applyFont="1" applyFill="1" applyBorder="1" applyAlignment="1" applyProtection="1">
      <alignment horizontal="center" vertical="center"/>
      <protection hidden="1"/>
    </xf>
    <xf numFmtId="0" fontId="45" fillId="4" borderId="46" xfId="0" applyNumberFormat="1" applyFont="1" applyFill="1" applyBorder="1" applyAlignment="1" applyProtection="1">
      <alignment horizontal="center" vertical="center"/>
      <protection hidden="1"/>
    </xf>
    <xf numFmtId="0" fontId="45" fillId="4" borderId="63" xfId="0" applyNumberFormat="1" applyFont="1" applyFill="1" applyBorder="1" applyAlignment="1" applyProtection="1">
      <alignment horizontal="center" vertical="center"/>
      <protection hidden="1"/>
    </xf>
    <xf numFmtId="0" fontId="41" fillId="4" borderId="3" xfId="0" applyNumberFormat="1" applyFont="1" applyFill="1" applyBorder="1" applyAlignment="1" applyProtection="1">
      <alignment horizontal="left" vertical="top" wrapText="1"/>
      <protection hidden="1"/>
    </xf>
    <xf numFmtId="0" fontId="41" fillId="0" borderId="0" xfId="0" applyFont="1" applyAlignment="1" applyProtection="1">
      <alignment horizontal="left" vertical="center"/>
      <protection hidden="1"/>
    </xf>
    <xf numFmtId="0" fontId="38" fillId="4" borderId="42" xfId="0" applyNumberFormat="1" applyFont="1" applyFill="1" applyBorder="1" applyAlignment="1" applyProtection="1">
      <alignment horizontal="center" vertical="center" wrapText="1"/>
      <protection hidden="1"/>
    </xf>
    <xf numFmtId="0" fontId="38" fillId="4" borderId="28" xfId="0" applyNumberFormat="1" applyFont="1" applyFill="1" applyBorder="1" applyAlignment="1" applyProtection="1">
      <alignment horizontal="center" vertical="center" wrapText="1"/>
      <protection hidden="1"/>
    </xf>
    <xf numFmtId="0" fontId="38" fillId="4" borderId="29" xfId="0" applyNumberFormat="1" applyFont="1" applyFill="1" applyBorder="1" applyAlignment="1" applyProtection="1">
      <alignment horizontal="center" vertical="center" wrapText="1"/>
      <protection hidden="1"/>
    </xf>
    <xf numFmtId="0" fontId="38" fillId="4" borderId="59" xfId="0" applyNumberFormat="1" applyFont="1" applyFill="1" applyBorder="1" applyAlignment="1" applyProtection="1">
      <alignment horizontal="center" vertical="center" wrapText="1"/>
      <protection hidden="1"/>
    </xf>
    <xf numFmtId="0" fontId="38" fillId="4" borderId="32" xfId="0" applyNumberFormat="1" applyFont="1" applyFill="1" applyBorder="1" applyAlignment="1" applyProtection="1">
      <alignment horizontal="center" vertical="center" wrapText="1"/>
      <protection hidden="1"/>
    </xf>
    <xf numFmtId="0" fontId="38" fillId="4" borderId="33" xfId="0" applyNumberFormat="1" applyFont="1" applyFill="1" applyBorder="1" applyAlignment="1" applyProtection="1">
      <alignment horizontal="center" vertical="center" wrapText="1"/>
      <protection hidden="1"/>
    </xf>
    <xf numFmtId="0" fontId="38" fillId="4" borderId="30" xfId="0" applyNumberFormat="1" applyFont="1" applyFill="1" applyBorder="1" applyAlignment="1" applyProtection="1">
      <alignment horizontal="left" vertical="center"/>
      <protection hidden="1"/>
    </xf>
    <xf numFmtId="0" fontId="38" fillId="4" borderId="45" xfId="0" applyNumberFormat="1" applyFont="1" applyFill="1" applyBorder="1" applyAlignment="1" applyProtection="1">
      <alignment horizontal="left" vertical="center"/>
      <protection hidden="1"/>
    </xf>
    <xf numFmtId="0" fontId="38" fillId="4" borderId="67" xfId="0" applyNumberFormat="1" applyFont="1" applyFill="1" applyBorder="1" applyAlignment="1" applyProtection="1">
      <alignment horizontal="left" vertical="center"/>
      <protection hidden="1"/>
    </xf>
    <xf numFmtId="0" fontId="38" fillId="4" borderId="26" xfId="0" applyNumberFormat="1" applyFont="1" applyFill="1" applyBorder="1" applyAlignment="1" applyProtection="1">
      <alignment horizontal="left" vertical="center"/>
      <protection hidden="1"/>
    </xf>
    <xf numFmtId="0" fontId="38" fillId="4" borderId="46" xfId="0" applyNumberFormat="1" applyFont="1" applyFill="1" applyBorder="1" applyAlignment="1" applyProtection="1">
      <alignment horizontal="left" vertical="center"/>
      <protection hidden="1"/>
    </xf>
    <xf numFmtId="0" fontId="38" fillId="4" borderId="63" xfId="0" applyNumberFormat="1" applyFont="1" applyFill="1" applyBorder="1" applyAlignment="1" applyProtection="1">
      <alignment horizontal="left" vertical="center"/>
      <protection hidden="1"/>
    </xf>
    <xf numFmtId="185" fontId="45" fillId="4" borderId="26" xfId="0" applyNumberFormat="1" applyFont="1" applyFill="1" applyBorder="1" applyAlignment="1" applyProtection="1">
      <alignment horizontal="center" vertical="center"/>
      <protection hidden="1"/>
    </xf>
    <xf numFmtId="185" fontId="45" fillId="4" borderId="46" xfId="0" applyNumberFormat="1" applyFont="1" applyFill="1" applyBorder="1" applyAlignment="1" applyProtection="1">
      <alignment horizontal="center" vertical="center"/>
      <protection hidden="1"/>
    </xf>
    <xf numFmtId="185" fontId="45" fillId="4" borderId="63" xfId="0" applyNumberFormat="1" applyFont="1" applyFill="1" applyBorder="1" applyAlignment="1" applyProtection="1">
      <alignment horizontal="center" vertical="center"/>
      <protection hidden="1"/>
    </xf>
    <xf numFmtId="0" fontId="41" fillId="4" borderId="14" xfId="0" applyNumberFormat="1" applyFont="1" applyFill="1" applyBorder="1" applyAlignment="1" applyProtection="1">
      <alignment horizontal="left" vertical="center" wrapText="1"/>
      <protection hidden="1"/>
    </xf>
    <xf numFmtId="0" fontId="41" fillId="4" borderId="18" xfId="0" applyNumberFormat="1" applyFont="1" applyFill="1" applyBorder="1" applyAlignment="1" applyProtection="1">
      <alignment horizontal="left" vertical="center" wrapText="1"/>
      <protection hidden="1"/>
    </xf>
    <xf numFmtId="0" fontId="41" fillId="4" borderId="30" xfId="0" applyNumberFormat="1" applyFont="1" applyFill="1" applyBorder="1" applyAlignment="1" applyProtection="1">
      <alignment horizontal="left" vertical="center" wrapText="1"/>
      <protection hidden="1"/>
    </xf>
    <xf numFmtId="0" fontId="41" fillId="4" borderId="40" xfId="0" applyNumberFormat="1" applyFont="1" applyFill="1" applyBorder="1" applyAlignment="1" applyProtection="1">
      <alignment horizontal="left" vertical="center" wrapText="1"/>
      <protection hidden="1"/>
    </xf>
    <xf numFmtId="0" fontId="38" fillId="4" borderId="40" xfId="0" applyNumberFormat="1" applyFont="1" applyFill="1" applyBorder="1" applyAlignment="1" applyProtection="1">
      <alignment horizontal="center" vertical="center"/>
      <protection hidden="1"/>
    </xf>
    <xf numFmtId="0" fontId="41" fillId="4" borderId="26" xfId="0" applyNumberFormat="1" applyFont="1" applyFill="1" applyBorder="1" applyAlignment="1" applyProtection="1">
      <alignment horizontal="left" vertical="center" wrapText="1"/>
      <protection hidden="1"/>
    </xf>
    <xf numFmtId="0" fontId="41" fillId="4" borderId="25" xfId="0" applyNumberFormat="1" applyFont="1" applyFill="1" applyBorder="1" applyAlignment="1" applyProtection="1">
      <alignment horizontal="left" vertical="center" wrapText="1"/>
      <protection hidden="1"/>
    </xf>
    <xf numFmtId="0" fontId="38" fillId="4" borderId="26" xfId="0" applyNumberFormat="1" applyFont="1" applyFill="1" applyBorder="1" applyAlignment="1" applyProtection="1">
      <alignment horizontal="center" vertical="center"/>
      <protection hidden="1"/>
    </xf>
    <xf numFmtId="0" fontId="38" fillId="4" borderId="25" xfId="0" applyNumberFormat="1" applyFont="1" applyFill="1" applyBorder="1" applyAlignment="1" applyProtection="1">
      <alignment horizontal="center" vertical="center"/>
      <protection hidden="1"/>
    </xf>
    <xf numFmtId="0" fontId="41" fillId="4" borderId="61" xfId="0" applyNumberFormat="1" applyFont="1" applyFill="1" applyBorder="1" applyAlignment="1" applyProtection="1">
      <alignment horizontal="left" vertical="center" wrapText="1"/>
      <protection hidden="1"/>
    </xf>
    <xf numFmtId="0" fontId="41" fillId="4" borderId="48" xfId="0" applyNumberFormat="1" applyFont="1" applyFill="1" applyBorder="1" applyAlignment="1" applyProtection="1">
      <alignment horizontal="left" vertical="center" wrapText="1"/>
      <protection hidden="1"/>
    </xf>
    <xf numFmtId="0" fontId="41" fillId="4" borderId="64" xfId="0" applyNumberFormat="1" applyFont="1" applyFill="1" applyBorder="1" applyAlignment="1" applyProtection="1">
      <alignment horizontal="left" vertical="center" wrapText="1"/>
      <protection hidden="1"/>
    </xf>
    <xf numFmtId="0" fontId="41" fillId="4" borderId="40" xfId="0" applyNumberFormat="1" applyFont="1" applyFill="1" applyBorder="1" applyAlignment="1" applyProtection="1">
      <alignment horizontal="left" vertical="center"/>
      <protection hidden="1"/>
    </xf>
    <xf numFmtId="0" fontId="41" fillId="4" borderId="4" xfId="0" applyNumberFormat="1" applyFont="1" applyFill="1" applyBorder="1" applyAlignment="1" applyProtection="1">
      <alignment horizontal="left" vertical="center" wrapText="1"/>
      <protection hidden="1"/>
    </xf>
    <xf numFmtId="0" fontId="41" fillId="4" borderId="10" xfId="0" applyNumberFormat="1" applyFont="1" applyFill="1" applyBorder="1" applyAlignment="1" applyProtection="1">
      <alignment horizontal="left" vertical="center"/>
      <protection hidden="1"/>
    </xf>
    <xf numFmtId="0" fontId="38" fillId="4" borderId="4" xfId="0" applyNumberFormat="1" applyFont="1" applyFill="1" applyBorder="1" applyAlignment="1" applyProtection="1">
      <alignment horizontal="center" vertical="center"/>
      <protection hidden="1"/>
    </xf>
    <xf numFmtId="0" fontId="38" fillId="4" borderId="10" xfId="0" applyNumberFormat="1" applyFont="1" applyFill="1" applyBorder="1" applyAlignment="1" applyProtection="1">
      <alignment horizontal="center" vertical="center"/>
      <protection hidden="1"/>
    </xf>
    <xf numFmtId="0" fontId="41" fillId="4" borderId="25" xfId="0" applyNumberFormat="1" applyFont="1" applyFill="1" applyBorder="1" applyAlignment="1" applyProtection="1">
      <alignment horizontal="left" vertical="center"/>
      <protection hidden="1"/>
    </xf>
    <xf numFmtId="0" fontId="41" fillId="4" borderId="61" xfId="0" applyNumberFormat="1" applyFont="1" applyFill="1" applyBorder="1" applyAlignment="1" applyProtection="1">
      <alignment horizontal="center" vertical="center" wrapText="1"/>
      <protection hidden="1"/>
    </xf>
    <xf numFmtId="0" fontId="41" fillId="4" borderId="48" xfId="0" applyNumberFormat="1" applyFont="1" applyFill="1" applyBorder="1" applyAlignment="1" applyProtection="1">
      <alignment horizontal="center" vertical="center" wrapText="1"/>
      <protection hidden="1"/>
    </xf>
    <xf numFmtId="0" fontId="41" fillId="4" borderId="64" xfId="0" applyNumberFormat="1" applyFont="1" applyFill="1" applyBorder="1" applyAlignment="1" applyProtection="1">
      <alignment horizontal="center" vertical="center" wrapText="1"/>
      <protection hidden="1"/>
    </xf>
    <xf numFmtId="0" fontId="41" fillId="4" borderId="27" xfId="0" applyNumberFormat="1" applyFont="1" applyFill="1" applyBorder="1" applyAlignment="1" applyProtection="1">
      <alignment horizontal="left" vertical="center" wrapText="1"/>
      <protection hidden="1"/>
    </xf>
    <xf numFmtId="0" fontId="41" fillId="4" borderId="29" xfId="0" applyNumberFormat="1" applyFont="1" applyFill="1" applyBorder="1" applyAlignment="1" applyProtection="1">
      <alignment horizontal="left" vertical="center" wrapText="1"/>
      <protection hidden="1"/>
    </xf>
    <xf numFmtId="0" fontId="41" fillId="4" borderId="7" xfId="0" applyNumberFormat="1" applyFont="1" applyFill="1" applyBorder="1" applyAlignment="1" applyProtection="1">
      <alignment horizontal="left" vertical="center" wrapText="1"/>
      <protection hidden="1"/>
    </xf>
    <xf numFmtId="0" fontId="41" fillId="4" borderId="8" xfId="0" applyNumberFormat="1" applyFont="1" applyFill="1" applyBorder="1" applyAlignment="1" applyProtection="1">
      <alignment horizontal="left" vertical="center" wrapText="1"/>
      <protection hidden="1"/>
    </xf>
    <xf numFmtId="0" fontId="40" fillId="4" borderId="42" xfId="0" applyNumberFormat="1" applyFont="1" applyFill="1" applyBorder="1" applyAlignment="1" applyProtection="1">
      <alignment horizontal="center" vertical="center" wrapText="1"/>
      <protection hidden="1"/>
    </xf>
    <xf numFmtId="0" fontId="40" fillId="4" borderId="28" xfId="0" applyNumberFormat="1" applyFont="1" applyFill="1" applyBorder="1" applyAlignment="1" applyProtection="1">
      <alignment horizontal="center" vertical="center" wrapText="1"/>
      <protection hidden="1"/>
    </xf>
    <xf numFmtId="0" fontId="40" fillId="4" borderId="29" xfId="0" applyNumberFormat="1" applyFont="1" applyFill="1" applyBorder="1" applyAlignment="1" applyProtection="1">
      <alignment horizontal="center" vertical="center" wrapText="1"/>
      <protection hidden="1"/>
    </xf>
    <xf numFmtId="0" fontId="40" fillId="4" borderId="59" xfId="0" applyNumberFormat="1" applyFont="1" applyFill="1" applyBorder="1" applyAlignment="1" applyProtection="1">
      <alignment horizontal="center" vertical="center" wrapText="1"/>
      <protection hidden="1"/>
    </xf>
    <xf numFmtId="0" fontId="40" fillId="4" borderId="32" xfId="0" applyNumberFormat="1" applyFont="1" applyFill="1" applyBorder="1" applyAlignment="1" applyProtection="1">
      <alignment horizontal="center" vertical="center" wrapText="1"/>
      <protection hidden="1"/>
    </xf>
    <xf numFmtId="0" fontId="40" fillId="4" borderId="33" xfId="0" applyNumberFormat="1" applyFont="1" applyFill="1" applyBorder="1" applyAlignment="1" applyProtection="1">
      <alignment horizontal="center" vertical="center" wrapText="1"/>
      <protection hidden="1"/>
    </xf>
    <xf numFmtId="0" fontId="40" fillId="4" borderId="30" xfId="0" applyNumberFormat="1" applyFont="1" applyFill="1" applyBorder="1" applyAlignment="1" applyProtection="1">
      <alignment horizontal="center" vertical="center" wrapText="1"/>
      <protection hidden="1"/>
    </xf>
    <xf numFmtId="0" fontId="40" fillId="4" borderId="40" xfId="0" applyNumberFormat="1" applyFont="1" applyFill="1" applyBorder="1" applyAlignment="1" applyProtection="1">
      <alignment horizontal="center" vertical="center" wrapText="1"/>
      <protection hidden="1"/>
    </xf>
    <xf numFmtId="49" fontId="38" fillId="4" borderId="15" xfId="0" applyNumberFormat="1" applyFont="1" applyFill="1" applyBorder="1" applyAlignment="1" applyProtection="1">
      <alignment horizontal="center" vertical="center" wrapText="1"/>
      <protection hidden="1"/>
    </xf>
    <xf numFmtId="49" fontId="38" fillId="4" borderId="16" xfId="0" applyNumberFormat="1" applyFont="1" applyFill="1" applyBorder="1" applyAlignment="1" applyProtection="1">
      <alignment horizontal="center" vertical="center" wrapText="1"/>
      <protection hidden="1"/>
    </xf>
    <xf numFmtId="0" fontId="38" fillId="4" borderId="26" xfId="0" applyNumberFormat="1" applyFont="1" applyFill="1" applyBorder="1" applyAlignment="1" applyProtection="1">
      <alignment horizontal="center" vertical="center" wrapText="1"/>
      <protection hidden="1"/>
    </xf>
    <xf numFmtId="0" fontId="38" fillId="4" borderId="25" xfId="0" applyNumberFormat="1" applyFont="1" applyFill="1" applyBorder="1" applyAlignment="1" applyProtection="1">
      <alignment horizontal="center" vertical="center" wrapText="1"/>
      <protection hidden="1"/>
    </xf>
    <xf numFmtId="0" fontId="41" fillId="4" borderId="10" xfId="0" applyNumberFormat="1" applyFont="1" applyFill="1" applyBorder="1" applyAlignment="1" applyProtection="1">
      <alignment horizontal="left" vertical="center" wrapText="1"/>
      <protection hidden="1"/>
    </xf>
    <xf numFmtId="49" fontId="40" fillId="4" borderId="1" xfId="0" applyNumberFormat="1" applyFont="1" applyFill="1" applyBorder="1" applyAlignment="1" applyProtection="1">
      <alignment horizontal="center" vertical="center" wrapText="1"/>
      <protection hidden="1"/>
    </xf>
    <xf numFmtId="49" fontId="40" fillId="4" borderId="2" xfId="0" applyNumberFormat="1" applyFont="1" applyFill="1" applyBorder="1" applyAlignment="1" applyProtection="1">
      <alignment horizontal="center" vertical="center" wrapText="1"/>
      <protection hidden="1"/>
    </xf>
    <xf numFmtId="0" fontId="37" fillId="0" borderId="47" xfId="31" applyFont="1" applyBorder="1" applyAlignment="1" applyProtection="1">
      <alignment horizontal="center" vertical="center" wrapText="1"/>
      <protection hidden="1"/>
    </xf>
    <xf numFmtId="0" fontId="37" fillId="0" borderId="48" xfId="31" applyFont="1" applyBorder="1" applyAlignment="1" applyProtection="1">
      <alignment horizontal="center" vertical="center"/>
      <protection hidden="1"/>
    </xf>
    <xf numFmtId="0" fontId="37" fillId="0" borderId="64" xfId="31" applyFont="1" applyBorder="1" applyAlignment="1" applyProtection="1">
      <alignment horizontal="center" vertical="center"/>
      <protection hidden="1"/>
    </xf>
    <xf numFmtId="49" fontId="40" fillId="13" borderId="42" xfId="0" applyNumberFormat="1" applyFont="1" applyFill="1" applyBorder="1" applyAlignment="1" applyProtection="1">
      <alignment horizontal="center" vertical="center" wrapText="1"/>
      <protection hidden="1"/>
    </xf>
    <xf numFmtId="49" fontId="40" fillId="13" borderId="29" xfId="0" applyNumberFormat="1" applyFont="1" applyFill="1" applyBorder="1" applyAlignment="1" applyProtection="1">
      <alignment horizontal="center" vertical="center" wrapText="1"/>
      <protection hidden="1"/>
    </xf>
    <xf numFmtId="0" fontId="59" fillId="0" borderId="47" xfId="0" applyFont="1" applyBorder="1" applyAlignment="1" applyProtection="1">
      <alignment horizontal="center" vertical="center" wrapText="1"/>
      <protection hidden="1"/>
    </xf>
    <xf numFmtId="0" fontId="59" fillId="0" borderId="48" xfId="0" applyFont="1" applyBorder="1" applyAlignment="1" applyProtection="1">
      <alignment horizontal="center" vertical="center" wrapText="1"/>
      <protection hidden="1"/>
    </xf>
    <xf numFmtId="0" fontId="59" fillId="0" borderId="64" xfId="0" applyFont="1" applyBorder="1" applyAlignment="1" applyProtection="1">
      <alignment horizontal="center" vertical="center" wrapText="1"/>
      <protection hidden="1"/>
    </xf>
    <xf numFmtId="0" fontId="59" fillId="0" borderId="14" xfId="0" applyFont="1" applyBorder="1" applyAlignment="1" applyProtection="1">
      <alignment horizontal="center" vertical="center" wrapText="1"/>
      <protection hidden="1"/>
    </xf>
    <xf numFmtId="0" fontId="59" fillId="0" borderId="1" xfId="0" applyFont="1" applyBorder="1" applyAlignment="1" applyProtection="1">
      <alignment horizontal="center" vertical="center"/>
      <protection hidden="1"/>
    </xf>
    <xf numFmtId="0" fontId="59" fillId="0" borderId="18" xfId="0" applyFont="1" applyBorder="1" applyAlignment="1" applyProtection="1">
      <alignment horizontal="center" vertical="center"/>
      <protection hidden="1"/>
    </xf>
    <xf numFmtId="0" fontId="55" fillId="5" borderId="30" xfId="0" applyNumberFormat="1" applyFont="1" applyFill="1" applyBorder="1" applyAlignment="1" applyProtection="1">
      <alignment horizontal="center" vertical="center" wrapText="1"/>
      <protection locked="0" hidden="1"/>
    </xf>
    <xf numFmtId="0" fontId="55" fillId="5" borderId="45" xfId="0" applyNumberFormat="1" applyFont="1" applyFill="1" applyBorder="1" applyAlignment="1" applyProtection="1">
      <alignment horizontal="center" vertical="center" wrapText="1"/>
      <protection locked="0" hidden="1"/>
    </xf>
    <xf numFmtId="0" fontId="55" fillId="5" borderId="40" xfId="0" applyNumberFormat="1" applyFont="1" applyFill="1" applyBorder="1" applyAlignment="1" applyProtection="1">
      <alignment horizontal="center" vertical="center" wrapText="1"/>
      <protection locked="0" hidden="1"/>
    </xf>
    <xf numFmtId="49" fontId="59" fillId="12" borderId="35" xfId="0" applyNumberFormat="1" applyFont="1" applyFill="1" applyBorder="1" applyAlignment="1" applyProtection="1">
      <alignment horizontal="center" vertical="center" wrapText="1"/>
      <protection hidden="1"/>
    </xf>
    <xf numFmtId="49" fontId="59" fillId="12" borderId="36" xfId="0" applyNumberFormat="1" applyFont="1" applyFill="1" applyBorder="1" applyAlignment="1" applyProtection="1">
      <alignment horizontal="center" vertical="center" wrapText="1"/>
      <protection hidden="1"/>
    </xf>
    <xf numFmtId="49" fontId="40" fillId="4" borderId="14" xfId="0" applyNumberFormat="1" applyFont="1" applyFill="1" applyBorder="1" applyAlignment="1" applyProtection="1">
      <alignment horizontal="center" vertical="center" wrapText="1"/>
      <protection hidden="1"/>
    </xf>
    <xf numFmtId="49" fontId="40" fillId="4" borderId="15" xfId="0" applyNumberFormat="1" applyFont="1" applyFill="1" applyBorder="1" applyAlignment="1" applyProtection="1">
      <alignment horizontal="center" vertical="center" wrapText="1"/>
      <protection hidden="1"/>
    </xf>
    <xf numFmtId="49" fontId="91" fillId="0" borderId="17" xfId="0" applyNumberFormat="1" applyFont="1" applyBorder="1" applyAlignment="1" applyProtection="1">
      <alignment vertical="center" wrapText="1"/>
      <protection locked="0"/>
    </xf>
  </cellXfs>
  <cellStyles count="39">
    <cellStyle name="0,0_x000a__x000a_NA_x000a__x000a_" xfId="1" xr:uid="{00000000-0005-0000-0000-000000000000}"/>
    <cellStyle name="Articles" xfId="2" xr:uid="{00000000-0005-0000-0000-000001000000}"/>
    <cellStyle name="Comma 5" xfId="32" xr:uid="{4882F035-FC73-B145-A32E-11E3295F39E6}"/>
    <cellStyle name="Hyperlink 4" xfId="37" xr:uid="{7FFE3747-7CD3-460E-B0DD-A96CDA1DC8E8}"/>
    <cellStyle name="Normal 3" xfId="36" xr:uid="{4A8E2004-B9B1-46AC-BEF1-31DF71CC1FA5}"/>
    <cellStyle name="s]_x000a__x000a_;run=c:\smartctr\SmartCtr_x000a__x000a_Beep=yes_x000a__x000a_NullPort=None_x000a__x000a_BorderWidth=1_x000a__x000a_CursorBlinkRate=590_x000a__x000a_DoubleClickSpeed=452_x000a__x000a_Progr" xfId="3" xr:uid="{00000000-0005-0000-0000-000002000000}"/>
    <cellStyle name="一般" xfId="0" builtinId="0"/>
    <cellStyle name="一般 10" xfId="38" xr:uid="{75936D8D-6774-48D9-AA44-FE1D34E68A8C}"/>
    <cellStyle name="一般 12" xfId="34" xr:uid="{2FCCADA1-9660-6D4A-8861-7F1E1FBEE1AC}"/>
    <cellStyle name="一般 2" xfId="4" xr:uid="{00000000-0005-0000-0000-000004000000}"/>
    <cellStyle name="一般 2 2" xfId="12" xr:uid="{00000000-0005-0000-0000-000005000000}"/>
    <cellStyle name="一般 2 2 2" xfId="15" xr:uid="{00000000-0005-0000-0000-000006000000}"/>
    <cellStyle name="一般 2 3" xfId="14" xr:uid="{00000000-0005-0000-0000-000007000000}"/>
    <cellStyle name="一般 2 4" xfId="20" xr:uid="{00000000-0005-0000-0000-000008000000}"/>
    <cellStyle name="一般 3" xfId="5" xr:uid="{00000000-0005-0000-0000-000009000000}"/>
    <cellStyle name="一般 3 2" xfId="13" xr:uid="{00000000-0005-0000-0000-00000A000000}"/>
    <cellStyle name="一般 30" xfId="19" xr:uid="{00000000-0005-0000-0000-00000B000000}"/>
    <cellStyle name="一般 4" xfId="7" xr:uid="{00000000-0005-0000-0000-00000C000000}"/>
    <cellStyle name="一般 4 2" xfId="27" xr:uid="{00000000-0005-0000-0000-00000D000000}"/>
    <cellStyle name="一般 5" xfId="17" xr:uid="{00000000-0005-0000-0000-00000E000000}"/>
    <cellStyle name="一般 5 2" xfId="21" xr:uid="{00000000-0005-0000-0000-00000F000000}"/>
    <cellStyle name="一般 5 4" xfId="25" xr:uid="{00000000-0005-0000-0000-000010000000}"/>
    <cellStyle name="一般 6" xfId="28" xr:uid="{00000000-0005-0000-0000-000011000000}"/>
    <cellStyle name="一般 6 2 3" xfId="22" xr:uid="{00000000-0005-0000-0000-000012000000}"/>
    <cellStyle name="一般 6 2 4" xfId="26" xr:uid="{00000000-0005-0000-0000-000013000000}"/>
    <cellStyle name="一般 7" xfId="29" xr:uid="{00000000-0005-0000-0000-000014000000}"/>
    <cellStyle name="一般 8" xfId="31" xr:uid="{711CCBFE-3BAD-B849-B062-E7ECA1D77E0A}"/>
    <cellStyle name="一般 8 3" xfId="33" xr:uid="{483B6BDB-7738-6544-B5F8-786B79C407A0}"/>
    <cellStyle name="一般 9" xfId="35" xr:uid="{71286C14-2DBE-4644-B1EA-4687E251AAA3}"/>
    <cellStyle name="千分位 2" xfId="8" xr:uid="{00000000-0005-0000-0000-000016000000}"/>
    <cellStyle name="千分位 2 2" xfId="16" xr:uid="{00000000-0005-0000-0000-000017000000}"/>
    <cellStyle name="千分位 3" xfId="30" xr:uid="{00000000-0005-0000-0000-000018000000}"/>
    <cellStyle name="千分位 4" xfId="23" xr:uid="{00000000-0005-0000-0000-000019000000}"/>
    <cellStyle name="百分比 2" xfId="10" xr:uid="{00000000-0005-0000-0000-00001B000000}"/>
    <cellStyle name="備註 2" xfId="11" xr:uid="{00000000-0005-0000-0000-00001C000000}"/>
    <cellStyle name="超連結" xfId="24" builtinId="8"/>
    <cellStyle name="超連結 2" xfId="6" xr:uid="{00000000-0005-0000-0000-00001E000000}"/>
    <cellStyle name="超連結 3" xfId="9" xr:uid="{00000000-0005-0000-0000-00001F000000}"/>
    <cellStyle name="超連結 4" xfId="18" xr:uid="{00000000-0005-0000-0000-000020000000}"/>
  </cellStyles>
  <dxfs count="37">
    <dxf>
      <fill>
        <patternFill patternType="solid">
          <fgColor auto="1"/>
          <bgColor theme="1"/>
        </patternFill>
      </fill>
    </dxf>
    <dxf>
      <fill>
        <patternFill patternType="solid">
          <fgColor auto="1"/>
          <bgColor theme="1"/>
        </patternFill>
      </fill>
    </dxf>
    <dxf>
      <font>
        <sz val="12"/>
        <name val="新細明體"/>
        <family val="1"/>
      </font>
    </dxf>
    <dxf>
      <font>
        <sz val="12"/>
        <name val="新細明體"/>
        <family val="1"/>
      </font>
    </dxf>
    <dxf>
      <font>
        <sz val="12"/>
        <name val="新細明體"/>
        <family val="1"/>
      </font>
    </dxf>
    <dxf>
      <font>
        <sz val="12"/>
        <name val="新細明體"/>
        <family val="1"/>
      </font>
    </dxf>
    <dxf>
      <font>
        <sz val="12"/>
        <name val="新細明體"/>
        <family val="1"/>
      </font>
    </dxf>
    <dxf>
      <font>
        <sz val="10"/>
        <name val="Times New Roman"/>
        <family val="1"/>
      </font>
      <fill>
        <patternFill patternType="solid">
          <fgColor auto="1"/>
          <bgColor rgb="FFCCFF66"/>
        </patternFill>
      </fill>
      <border>
        <left style="thin">
          <color rgb="FF000000"/>
        </left>
        <right style="thin">
          <color rgb="FF000000"/>
        </right>
        <top style="thin">
          <color rgb="FF000000"/>
        </top>
        <bottom style="thin">
          <color rgb="FF000000"/>
        </bottom>
      </border>
    </dxf>
    <dxf>
      <font>
        <sz val="12"/>
        <name val="微軟正黑體"/>
      </font>
    </dxf>
    <dxf>
      <font>
        <sz val="12"/>
        <name val="微軟正黑體"/>
      </font>
    </dxf>
    <dxf>
      <font>
        <sz val="12"/>
        <name val="微軟正黑體"/>
      </font>
    </dxf>
    <dxf>
      <font>
        <sz val="12"/>
        <name val="Microsoft JhengHei Light"/>
      </font>
      <fill>
        <patternFill patternType="solid">
          <fgColor auto="1"/>
          <bgColor rgb="FF92D050"/>
        </patternFill>
      </fill>
    </dxf>
    <dxf>
      <font>
        <sz val="12"/>
        <name val="Microsoft JhengHei Light"/>
      </font>
      <fill>
        <patternFill patternType="solid">
          <fgColor auto="1"/>
          <bgColor rgb="FF92D050"/>
        </patternFill>
      </fill>
    </dxf>
    <dxf>
      <fill>
        <patternFill patternType="solid">
          <fgColor auto="1"/>
          <bgColor theme="0" tint="-0.1499679555650502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s>
  <tableStyles count="1" defaultTableStyle="TableStyleMedium9" defaultPivotStyle="PivotStyleLight16">
    <tableStyle name="Invisible" pivot="0" table="0" count="0" xr9:uid="{CD7D2D95-61B9-4F9B-AD9B-88DCD872E002}"/>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777777"/>
      <color rgb="FFEBF1DE"/>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oneCellAnchor>
    <xdr:from>
      <xdr:col>1</xdr:col>
      <xdr:colOff>28575</xdr:colOff>
      <xdr:row>2</xdr:row>
      <xdr:rowOff>161925</xdr:rowOff>
    </xdr:from>
    <xdr:ext cx="3848100" cy="1628775"/>
    <xdr:pic>
      <xdr:nvPicPr>
        <xdr:cNvPr id="2" name="圖片 2">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stretch>
          <a:fillRect/>
        </a:stretch>
      </xdr:blipFill>
      <xdr:spPr>
        <a:xfrm>
          <a:off x="0" y="0"/>
          <a:ext cx="3848100" cy="1628775"/>
        </a:xfrm>
        <a:prstGeom prst="rect">
          <a:avLst/>
        </a:prstGeom>
      </xdr:spPr>
    </xdr:pic>
    <xdr:clientData/>
  </xdr:oneCellAnchor>
  <xdr:oneCellAnchor>
    <xdr:from>
      <xdr:col>1</xdr:col>
      <xdr:colOff>19050</xdr:colOff>
      <xdr:row>13</xdr:row>
      <xdr:rowOff>38100</xdr:rowOff>
    </xdr:from>
    <xdr:ext cx="3971925" cy="2028825"/>
    <xdr:pic>
      <xdr:nvPicPr>
        <xdr:cNvPr id="3" name="圖片 3">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cstate="print"/>
        <a:stretch>
          <a:fillRect/>
        </a:stretch>
      </xdr:blipFill>
      <xdr:spPr>
        <a:xfrm>
          <a:off x="0" y="0"/>
          <a:ext cx="3971925" cy="2028825"/>
        </a:xfrm>
        <a:prstGeom prst="rect">
          <a:avLst/>
        </a:prstGeom>
      </xdr:spPr>
    </xdr:pic>
    <xdr:clientData/>
  </xdr:oneCellAnchor>
  <xdr:oneCellAnchor>
    <xdr:from>
      <xdr:col>1</xdr:col>
      <xdr:colOff>133350</xdr:colOff>
      <xdr:row>25</xdr:row>
      <xdr:rowOff>190500</xdr:rowOff>
    </xdr:from>
    <xdr:ext cx="5867400" cy="2362200"/>
    <xdr:pic>
      <xdr:nvPicPr>
        <xdr:cNvPr id="4" name="圖片 4">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3" cstate="print"/>
        <a:stretch>
          <a:fillRect/>
        </a:stretch>
      </xdr:blipFill>
      <xdr:spPr>
        <a:xfrm>
          <a:off x="0" y="0"/>
          <a:ext cx="5867400" cy="2362200"/>
        </a:xfrm>
        <a:prstGeom prst="rect">
          <a:avLst/>
        </a:prstGeom>
      </xdr:spPr>
    </xdr:pic>
    <xdr:clientData/>
  </xdr:oneCellAnchor>
  <xdr:oneCellAnchor>
    <xdr:from>
      <xdr:col>0</xdr:col>
      <xdr:colOff>600075</xdr:colOff>
      <xdr:row>39</xdr:row>
      <xdr:rowOff>142875</xdr:rowOff>
    </xdr:from>
    <xdr:ext cx="5981700" cy="2171700"/>
    <xdr:pic>
      <xdr:nvPicPr>
        <xdr:cNvPr id="5" name="圖片 7">
          <a:extLst>
            <a:ext uri="{FF2B5EF4-FFF2-40B4-BE49-F238E27FC236}">
              <a16:creationId xmlns:a16="http://schemas.microsoft.com/office/drawing/2014/main" id="{00000000-0008-0000-0C00-000005000000}"/>
            </a:ext>
          </a:extLst>
        </xdr:cNvPr>
        <xdr:cNvPicPr>
          <a:picLocks noChangeAspect="1"/>
        </xdr:cNvPicPr>
      </xdr:nvPicPr>
      <xdr:blipFill>
        <a:blip xmlns:r="http://schemas.openxmlformats.org/officeDocument/2006/relationships" r:embed="rId4" cstate="print"/>
        <a:stretch>
          <a:fillRect/>
        </a:stretch>
      </xdr:blipFill>
      <xdr:spPr>
        <a:xfrm>
          <a:off x="0" y="0"/>
          <a:ext cx="5981700" cy="2171700"/>
        </a:xfrm>
        <a:prstGeom prst="rect">
          <a:avLst/>
        </a:prstGeom>
      </xdr:spPr>
    </xdr:pic>
    <xdr:clientData/>
  </xdr:oneCellAnchor>
  <xdr:oneCellAnchor>
    <xdr:from>
      <xdr:col>1</xdr:col>
      <xdr:colOff>95250</xdr:colOff>
      <xdr:row>52</xdr:row>
      <xdr:rowOff>114300</xdr:rowOff>
    </xdr:from>
    <xdr:ext cx="5905500" cy="2200275"/>
    <xdr:pic>
      <xdr:nvPicPr>
        <xdr:cNvPr id="6" name="圖片 8">
          <a:extLst>
            <a:ext uri="{FF2B5EF4-FFF2-40B4-BE49-F238E27FC236}">
              <a16:creationId xmlns:a16="http://schemas.microsoft.com/office/drawing/2014/main" id="{00000000-0008-0000-0C00-000006000000}"/>
            </a:ext>
          </a:extLst>
        </xdr:cNvPr>
        <xdr:cNvPicPr>
          <a:picLocks noChangeAspect="1"/>
        </xdr:cNvPicPr>
      </xdr:nvPicPr>
      <xdr:blipFill>
        <a:blip xmlns:r="http://schemas.openxmlformats.org/officeDocument/2006/relationships" r:embed="rId5" cstate="print"/>
        <a:stretch>
          <a:fillRect/>
        </a:stretch>
      </xdr:blipFill>
      <xdr:spPr>
        <a:xfrm>
          <a:off x="0" y="0"/>
          <a:ext cx="5905500" cy="2200275"/>
        </a:xfrm>
        <a:prstGeom prst="rect">
          <a:avLst/>
        </a:prstGeom>
      </xdr:spPr>
    </xdr:pic>
    <xdr:clientData/>
  </xdr:oneCellAnchor>
  <xdr:oneCellAnchor>
    <xdr:from>
      <xdr:col>1</xdr:col>
      <xdr:colOff>47625</xdr:colOff>
      <xdr:row>65</xdr:row>
      <xdr:rowOff>123825</xdr:rowOff>
    </xdr:from>
    <xdr:ext cx="5705475" cy="2247900"/>
    <xdr:pic>
      <xdr:nvPicPr>
        <xdr:cNvPr id="7" name="圖片 9">
          <a:extLst>
            <a:ext uri="{FF2B5EF4-FFF2-40B4-BE49-F238E27FC236}">
              <a16:creationId xmlns:a16="http://schemas.microsoft.com/office/drawing/2014/main" id="{00000000-0008-0000-0C00-000007000000}"/>
            </a:ext>
          </a:extLst>
        </xdr:cNvPr>
        <xdr:cNvPicPr>
          <a:picLocks noChangeAspect="1"/>
        </xdr:cNvPicPr>
      </xdr:nvPicPr>
      <xdr:blipFill>
        <a:blip xmlns:r="http://schemas.openxmlformats.org/officeDocument/2006/relationships" r:embed="rId6" cstate="print"/>
        <a:stretch>
          <a:fillRect/>
        </a:stretch>
      </xdr:blipFill>
      <xdr:spPr>
        <a:xfrm>
          <a:off x="0" y="0"/>
          <a:ext cx="5705475" cy="2247900"/>
        </a:xfrm>
        <a:prstGeom prst="rect">
          <a:avLst/>
        </a:prstGeom>
      </xdr:spPr>
    </xdr:pic>
    <xdr:clientData/>
  </xdr:oneCellAnchor>
  <xdr:oneCellAnchor>
    <xdr:from>
      <xdr:col>0</xdr:col>
      <xdr:colOff>600075</xdr:colOff>
      <xdr:row>77</xdr:row>
      <xdr:rowOff>209550</xdr:rowOff>
    </xdr:from>
    <xdr:ext cx="6505575" cy="2876550"/>
    <xdr:pic>
      <xdr:nvPicPr>
        <xdr:cNvPr id="8" name="圖片 10">
          <a:extLst>
            <a:ext uri="{FF2B5EF4-FFF2-40B4-BE49-F238E27FC236}">
              <a16:creationId xmlns:a16="http://schemas.microsoft.com/office/drawing/2014/main" id="{00000000-0008-0000-0C00-000008000000}"/>
            </a:ext>
          </a:extLst>
        </xdr:cNvPr>
        <xdr:cNvPicPr>
          <a:picLocks noChangeAspect="1"/>
        </xdr:cNvPicPr>
      </xdr:nvPicPr>
      <xdr:blipFill>
        <a:blip xmlns:r="http://schemas.openxmlformats.org/officeDocument/2006/relationships" r:embed="rId7" cstate="print"/>
        <a:stretch>
          <a:fillRect/>
        </a:stretch>
      </xdr:blipFill>
      <xdr:spPr>
        <a:xfrm>
          <a:off x="0" y="0"/>
          <a:ext cx="6505575" cy="2876550"/>
        </a:xfrm>
        <a:prstGeom prst="rect">
          <a:avLst/>
        </a:prstGeom>
      </xdr:spPr>
    </xdr:pic>
    <xdr:clientData/>
  </xdr:oneCellAnchor>
  <xdr:oneCellAnchor>
    <xdr:from>
      <xdr:col>0</xdr:col>
      <xdr:colOff>609600</xdr:colOff>
      <xdr:row>94</xdr:row>
      <xdr:rowOff>114300</xdr:rowOff>
    </xdr:from>
    <xdr:ext cx="6315075" cy="3924300"/>
    <xdr:pic>
      <xdr:nvPicPr>
        <xdr:cNvPr id="9" name="圖片 8">
          <a:extLst>
            <a:ext uri="{FF2B5EF4-FFF2-40B4-BE49-F238E27FC236}">
              <a16:creationId xmlns:a16="http://schemas.microsoft.com/office/drawing/2014/main" id="{00000000-0008-0000-0C00-000009000000}"/>
            </a:ext>
          </a:extLst>
        </xdr:cNvPr>
        <xdr:cNvPicPr>
          <a:picLocks noChangeAspect="1"/>
        </xdr:cNvPicPr>
      </xdr:nvPicPr>
      <xdr:blipFill>
        <a:blip xmlns:r="http://schemas.openxmlformats.org/officeDocument/2006/relationships" r:embed="rId8" cstate="print"/>
        <a:stretch>
          <a:fillRect/>
        </a:stretch>
      </xdr:blipFill>
      <xdr:spPr>
        <a:xfrm>
          <a:off x="0" y="0"/>
          <a:ext cx="6315075" cy="3924300"/>
        </a:xfrm>
        <a:prstGeom prst="rect">
          <a:avLst/>
        </a:prstGeom>
      </xdr:spPr>
    </xdr:pic>
    <xdr:clientData/>
  </xdr:oneCellAnchor>
  <xdr:oneCellAnchor>
    <xdr:from>
      <xdr:col>0</xdr:col>
      <xdr:colOff>609600</xdr:colOff>
      <xdr:row>114</xdr:row>
      <xdr:rowOff>66675</xdr:rowOff>
    </xdr:from>
    <xdr:ext cx="6496050" cy="2857500"/>
    <xdr:pic>
      <xdr:nvPicPr>
        <xdr:cNvPr id="10" name="圖片 10">
          <a:extLst>
            <a:ext uri="{FF2B5EF4-FFF2-40B4-BE49-F238E27FC236}">
              <a16:creationId xmlns:a16="http://schemas.microsoft.com/office/drawing/2014/main" id="{00000000-0008-0000-0C00-00000A000000}"/>
            </a:ext>
          </a:extLst>
        </xdr:cNvPr>
        <xdr:cNvPicPr>
          <a:picLocks noChangeAspect="1"/>
        </xdr:cNvPicPr>
      </xdr:nvPicPr>
      <xdr:blipFill>
        <a:blip xmlns:r="http://schemas.openxmlformats.org/officeDocument/2006/relationships" r:embed="rId9" cstate="print"/>
        <a:stretch>
          <a:fillRect/>
        </a:stretch>
      </xdr:blipFill>
      <xdr:spPr>
        <a:xfrm>
          <a:off x="0" y="0"/>
          <a:ext cx="6496050" cy="2857500"/>
        </a:xfrm>
        <a:prstGeom prst="rect">
          <a:avLst/>
        </a:prstGeom>
      </xdr:spPr>
    </xdr:pic>
    <xdr:clientData/>
  </xdr:oneCellAnchor>
  <xdr:oneCellAnchor>
    <xdr:from>
      <xdr:col>1</xdr:col>
      <xdr:colOff>66675</xdr:colOff>
      <xdr:row>129</xdr:row>
      <xdr:rowOff>114300</xdr:rowOff>
    </xdr:from>
    <xdr:ext cx="5724525" cy="3324225"/>
    <xdr:pic>
      <xdr:nvPicPr>
        <xdr:cNvPr id="11" name="圖片 11">
          <a:extLst>
            <a:ext uri="{FF2B5EF4-FFF2-40B4-BE49-F238E27FC236}">
              <a16:creationId xmlns:a16="http://schemas.microsoft.com/office/drawing/2014/main" id="{00000000-0008-0000-0C00-00000B000000}"/>
            </a:ext>
          </a:extLst>
        </xdr:cNvPr>
        <xdr:cNvPicPr>
          <a:picLocks noChangeAspect="1"/>
        </xdr:cNvPicPr>
      </xdr:nvPicPr>
      <xdr:blipFill>
        <a:blip xmlns:r="http://schemas.openxmlformats.org/officeDocument/2006/relationships" r:embed="rId10" cstate="print"/>
        <a:stretch>
          <a:fillRect/>
        </a:stretch>
      </xdr:blipFill>
      <xdr:spPr>
        <a:xfrm>
          <a:off x="0" y="0"/>
          <a:ext cx="5724525" cy="3324225"/>
        </a:xfrm>
        <a:prstGeom prst="rect">
          <a:avLst/>
        </a:prstGeom>
      </xdr:spPr>
    </xdr:pic>
    <xdr:clientData/>
  </xdr:oneCellAnchor>
  <xdr:oneCellAnchor>
    <xdr:from>
      <xdr:col>0</xdr:col>
      <xdr:colOff>619125</xdr:colOff>
      <xdr:row>146</xdr:row>
      <xdr:rowOff>38100</xdr:rowOff>
    </xdr:from>
    <xdr:ext cx="6581775" cy="3009900"/>
    <xdr:pic>
      <xdr:nvPicPr>
        <xdr:cNvPr id="12" name="圖片 12">
          <a:extLst>
            <a:ext uri="{FF2B5EF4-FFF2-40B4-BE49-F238E27FC236}">
              <a16:creationId xmlns:a16="http://schemas.microsoft.com/office/drawing/2014/main" id="{00000000-0008-0000-0C00-00000C000000}"/>
            </a:ext>
          </a:extLst>
        </xdr:cNvPr>
        <xdr:cNvPicPr>
          <a:picLocks noChangeAspect="1"/>
        </xdr:cNvPicPr>
      </xdr:nvPicPr>
      <xdr:blipFill>
        <a:blip xmlns:r="http://schemas.openxmlformats.org/officeDocument/2006/relationships" r:embed="rId11" cstate="print"/>
        <a:stretch>
          <a:fillRect/>
        </a:stretch>
      </xdr:blipFill>
      <xdr:spPr>
        <a:xfrm>
          <a:off x="0" y="0"/>
          <a:ext cx="6581775" cy="3009900"/>
        </a:xfrm>
        <a:prstGeom prst="rect">
          <a:avLst/>
        </a:prstGeom>
      </xdr:spPr>
    </xdr:pic>
    <xdr:clientData/>
  </xdr:oneCellAnchor>
  <xdr:oneCellAnchor>
    <xdr:from>
      <xdr:col>1</xdr:col>
      <xdr:colOff>76200</xdr:colOff>
      <xdr:row>161</xdr:row>
      <xdr:rowOff>19050</xdr:rowOff>
    </xdr:from>
    <xdr:ext cx="5915025" cy="3429000"/>
    <xdr:pic>
      <xdr:nvPicPr>
        <xdr:cNvPr id="13" name="圖片 13">
          <a:extLst>
            <a:ext uri="{FF2B5EF4-FFF2-40B4-BE49-F238E27FC236}">
              <a16:creationId xmlns:a16="http://schemas.microsoft.com/office/drawing/2014/main" id="{00000000-0008-0000-0C00-00000D000000}"/>
            </a:ext>
          </a:extLst>
        </xdr:cNvPr>
        <xdr:cNvPicPr>
          <a:picLocks noChangeAspect="1"/>
        </xdr:cNvPicPr>
      </xdr:nvPicPr>
      <xdr:blipFill>
        <a:blip xmlns:r="http://schemas.openxmlformats.org/officeDocument/2006/relationships" r:embed="rId12" cstate="print"/>
        <a:stretch>
          <a:fillRect/>
        </a:stretch>
      </xdr:blipFill>
      <xdr:spPr>
        <a:xfrm>
          <a:off x="0" y="0"/>
          <a:ext cx="5915025" cy="34290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18</xdr:col>
      <xdr:colOff>214312</xdr:colOff>
      <xdr:row>24</xdr:row>
      <xdr:rowOff>190500</xdr:rowOff>
    </xdr:from>
    <xdr:to>
      <xdr:col>25</xdr:col>
      <xdr:colOff>761999</xdr:colOff>
      <xdr:row>28</xdr:row>
      <xdr:rowOff>190500</xdr:rowOff>
    </xdr:to>
    <xdr:sp macro="" textlink="">
      <xdr:nvSpPr>
        <xdr:cNvPr id="2" name="矩形 5">
          <a:extLst>
            <a:ext uri="{FF2B5EF4-FFF2-40B4-BE49-F238E27FC236}">
              <a16:creationId xmlns:a16="http://schemas.microsoft.com/office/drawing/2014/main" id="{00000000-0008-0000-0D00-000002000000}"/>
            </a:ext>
          </a:extLst>
        </xdr:cNvPr>
        <xdr:cNvSpPr/>
      </xdr:nvSpPr>
      <xdr:spPr>
        <a:xfrm>
          <a:off x="17668875" y="6381750"/>
          <a:ext cx="7881937" cy="857250"/>
        </a:xfrm>
        <a:prstGeom prst="rect">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zh-TW" altLang="en-US" sz="1100"/>
        </a:p>
      </xdr:txBody>
    </xdr:sp>
    <xdr:clientData/>
  </xdr:twoCellAnchor>
  <xdr:twoCellAnchor>
    <xdr:from>
      <xdr:col>18</xdr:col>
      <xdr:colOff>792162</xdr:colOff>
      <xdr:row>69</xdr:row>
      <xdr:rowOff>142874</xdr:rowOff>
    </xdr:from>
    <xdr:to>
      <xdr:col>22</xdr:col>
      <xdr:colOff>666749</xdr:colOff>
      <xdr:row>71</xdr:row>
      <xdr:rowOff>122237</xdr:rowOff>
    </xdr:to>
    <xdr:sp macro="" textlink="">
      <xdr:nvSpPr>
        <xdr:cNvPr id="3" name="矩形 6">
          <a:extLst>
            <a:ext uri="{FF2B5EF4-FFF2-40B4-BE49-F238E27FC236}">
              <a16:creationId xmlns:a16="http://schemas.microsoft.com/office/drawing/2014/main" id="{00000000-0008-0000-0D00-000003000000}"/>
            </a:ext>
          </a:extLst>
        </xdr:cNvPr>
        <xdr:cNvSpPr/>
      </xdr:nvSpPr>
      <xdr:spPr>
        <a:xfrm>
          <a:off x="18246725" y="15978187"/>
          <a:ext cx="4065587" cy="407988"/>
        </a:xfrm>
        <a:prstGeom prst="rect">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zh-TW" altLang="en-US" sz="1100"/>
        </a:p>
      </xdr:txBody>
    </xdr:sp>
    <xdr:clientData/>
  </xdr:twoCellAnchor>
  <xdr:oneCellAnchor>
    <xdr:from>
      <xdr:col>18</xdr:col>
      <xdr:colOff>0</xdr:colOff>
      <xdr:row>4</xdr:row>
      <xdr:rowOff>0</xdr:rowOff>
    </xdr:from>
    <xdr:ext cx="10191750" cy="6562725"/>
    <xdr:pic>
      <xdr:nvPicPr>
        <xdr:cNvPr id="4" name="圖片 2">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1" cstate="print"/>
        <a:stretch>
          <a:fillRect/>
        </a:stretch>
      </xdr:blipFill>
      <xdr:spPr>
        <a:xfrm>
          <a:off x="0" y="0"/>
          <a:ext cx="10191750" cy="6562725"/>
        </a:xfrm>
        <a:prstGeom prst="rect">
          <a:avLst/>
        </a:prstGeom>
      </xdr:spPr>
    </xdr:pic>
    <xdr:clientData/>
  </xdr:oneCellAnchor>
  <xdr:oneCellAnchor>
    <xdr:from>
      <xdr:col>18</xdr:col>
      <xdr:colOff>0</xdr:colOff>
      <xdr:row>31</xdr:row>
      <xdr:rowOff>0</xdr:rowOff>
    </xdr:from>
    <xdr:ext cx="9906000" cy="4867275"/>
    <xdr:pic>
      <xdr:nvPicPr>
        <xdr:cNvPr id="5" name="圖片 3">
          <a:extLst>
            <a:ext uri="{FF2B5EF4-FFF2-40B4-BE49-F238E27FC236}">
              <a16:creationId xmlns:a16="http://schemas.microsoft.com/office/drawing/2014/main" id="{00000000-0008-0000-0D00-000005000000}"/>
            </a:ext>
          </a:extLst>
        </xdr:cNvPr>
        <xdr:cNvPicPr>
          <a:picLocks noChangeAspect="1"/>
        </xdr:cNvPicPr>
      </xdr:nvPicPr>
      <xdr:blipFill>
        <a:blip xmlns:r="http://schemas.openxmlformats.org/officeDocument/2006/relationships" r:embed="rId2" cstate="print"/>
        <a:stretch>
          <a:fillRect/>
        </a:stretch>
      </xdr:blipFill>
      <xdr:spPr>
        <a:xfrm>
          <a:off x="0" y="0"/>
          <a:ext cx="9906000" cy="4867275"/>
        </a:xfrm>
        <a:prstGeom prst="rect">
          <a:avLst/>
        </a:prstGeom>
      </xdr:spPr>
    </xdr:pic>
    <xdr:clientData/>
  </xdr:oneCellAnchor>
  <xdr:oneCellAnchor>
    <xdr:from>
      <xdr:col>18</xdr:col>
      <xdr:colOff>0</xdr:colOff>
      <xdr:row>53</xdr:row>
      <xdr:rowOff>0</xdr:rowOff>
    </xdr:from>
    <xdr:ext cx="10591800" cy="4953000"/>
    <xdr:pic>
      <xdr:nvPicPr>
        <xdr:cNvPr id="6" name="圖片 4">
          <a:extLst>
            <a:ext uri="{FF2B5EF4-FFF2-40B4-BE49-F238E27FC236}">
              <a16:creationId xmlns:a16="http://schemas.microsoft.com/office/drawing/2014/main" id="{00000000-0008-0000-0D00-000006000000}"/>
            </a:ext>
          </a:extLst>
        </xdr:cNvPr>
        <xdr:cNvPicPr>
          <a:picLocks noChangeAspect="1"/>
        </xdr:cNvPicPr>
      </xdr:nvPicPr>
      <xdr:blipFill>
        <a:blip xmlns:r="http://schemas.openxmlformats.org/officeDocument/2006/relationships" r:embed="rId3" cstate="print"/>
        <a:stretch>
          <a:fillRect/>
        </a:stretch>
      </xdr:blipFill>
      <xdr:spPr>
        <a:xfrm>
          <a:off x="0" y="0"/>
          <a:ext cx="10591800" cy="4953000"/>
        </a:xfrm>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表格2" displayName="表格2" ref="B1:V67" totalsRowShown="0">
  <tableColumns count="21">
    <tableColumn id="1" xr3:uid="{00000000-0010-0000-0100-000001000000}" name="區域Region" dataDxfId="12"/>
    <tableColumn id="2" xr3:uid="{00000000-0010-0000-0100-000002000000}" name="國家別Country" dataDxfId="11"/>
    <tableColumn id="3" xr3:uid="{00000000-0010-0000-0100-000003000000}" name="排放源名稱Emission Source"/>
    <tableColumn id="4" xr3:uid="{00000000-0010-0000-0100-000004000000}" name="CO2係數"/>
    <tableColumn id="5" xr3:uid="{00000000-0010-0000-0100-000005000000}" name="CO2係數單位"/>
    <tableColumn id="6" xr3:uid="{00000000-0010-0000-0100-000006000000}" name="CH4係數"/>
    <tableColumn id="7" xr3:uid="{00000000-0010-0000-0100-000007000000}" name="CH4係數單位"/>
    <tableColumn id="8" xr3:uid="{00000000-0010-0000-0100-000008000000}" name="N2O係數"/>
    <tableColumn id="9" xr3:uid="{00000000-0010-0000-0100-000009000000}" name="N2O係數單位"/>
    <tableColumn id="10" xr3:uid="{00000000-0010-0000-0100-00000A000000}" name="HFCs係數"/>
    <tableColumn id="11" xr3:uid="{00000000-0010-0000-0100-00000B000000}" name="HFCs係數單位"/>
    <tableColumn id="12" xr3:uid="{00000000-0010-0000-0100-00000C000000}" name="PFCs係數"/>
    <tableColumn id="13" xr3:uid="{00000000-0010-0000-0100-00000D000000}" name="PFCs係數單位"/>
    <tableColumn id="14" xr3:uid="{00000000-0010-0000-0100-00000E000000}" name="SF6係數"/>
    <tableColumn id="15" xr3:uid="{00000000-0010-0000-0100-00000F000000}" name="SF6係數單位Factor Unit"/>
    <tableColumn id="16" xr3:uid="{00000000-0010-0000-0100-000010000000}" name="NF3係數Factor Unit"/>
    <tableColumn id="17" xr3:uid="{00000000-0010-0000-0100-000011000000}" name="NF3係數單位"/>
    <tableColumn id="18" xr3:uid="{00000000-0010-0000-0100-000012000000}" name="預設活數數據單位"/>
    <tableColumn id="19" xr3:uid="{00000000-0010-0000-0100-000013000000}" name="係數來源Reference"/>
    <tableColumn id="20" xr3:uid="{00000000-0010-0000-0100-000014000000}" name="係數年份Year"/>
    <tableColumn id="21" xr3:uid="{00000000-0010-0000-0100-000015000000}" name="熱值Caloric Valu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表格13" displayName="表格13" ref="A2:L245" totalsRowShown="0">
  <tableColumns count="12">
    <tableColumn id="1" xr3:uid="{00000000-0010-0000-0200-000001000000}" name="區域"/>
    <tableColumn id="2" xr3:uid="{00000000-0010-0000-0200-000002000000}" name="國家/市場"/>
    <tableColumn id="3" xr3:uid="{00000000-0010-0000-0200-000003000000}" name="電網"/>
    <tableColumn id="4" xr3:uid="{00000000-0010-0000-0200-000004000000}" name="電力係數"/>
    <tableColumn id="5" xr3:uid="{00000000-0010-0000-0200-000005000000}" name="係數單位"/>
    <tableColumn id="6" xr3:uid="{00000000-0010-0000-0200-000006000000}" name="電力係數年度"/>
    <tableColumn id="7" xr3:uid="{00000000-0010-0000-0200-000007000000}" name="電力係數來源"/>
    <tableColumn id="8" xr3:uid="{00000000-0010-0000-0200-000008000000}" name="國家&amp;電網" dataDxfId="10">
      <calculatedColumnFormula>表格13[[#This Row],[國家/市場]]&amp;表格13[[#This Row],[電網]]&amp;表格13[[#This Row],[電力係數年度]]</calculatedColumnFormula>
    </tableColumn>
    <tableColumn id="9" xr3:uid="{00000000-0010-0000-0200-000009000000}" name="電力係數2" dataDxfId="9">
      <calculatedColumnFormula>表格13[[#This Row],[電力係數]]</calculatedColumnFormula>
    </tableColumn>
    <tableColumn id="10" xr3:uid="{00000000-0010-0000-0200-00000A000000}" name="電力係數來源2">
      <calculatedColumnFormula>表格13[[#This Row],[電力係數來源]]</calculatedColumnFormula>
    </tableColumn>
    <tableColumn id="11" xr3:uid="{00000000-0010-0000-0200-00000B000000}" name="電力係數單位" dataDxfId="8">
      <calculatedColumnFormula>MID(表格13[[#This Row],[係數單位]],FIND("/",表格13[[#This Row],[係數單位]])+1,4)</calculatedColumnFormula>
    </tableColumn>
    <tableColumn id="12" xr3:uid="{00000000-0010-0000-0200-00000C000000}" name="欄1"/>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表格12" displayName="表格12" ref="F3:I11" totalsRowShown="0">
  <autoFilter ref="F3:I11" xr:uid="{00000000-0009-0000-0100-000006000000}"/>
  <tableColumns count="4">
    <tableColumn id="1" xr3:uid="{00000000-0010-0000-0300-000001000000}" name="冷媒設備Factor in Equation"/>
    <tableColumn id="2" xr3:uid="{00000000-0010-0000-0300-000002000000}" name="逸散率Emission Factor"/>
    <tableColumn id="3" xr3:uid="{00000000-0010-0000-0300-000003000000}" name="單位Unit"/>
    <tableColumn id="4" xr3:uid="{00000000-0010-0000-0300-000004000000}" name="逸散率來源References" dataDxfId="7"/>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表格1" displayName="表格1" ref="M3:M13" totalsRowShown="0">
  <autoFilter ref="M3:M13" xr:uid="{00000000-0009-0000-0100-000004000000}"/>
  <tableColumns count="1">
    <tableColumn id="1" xr3:uid="{00000000-0010-0000-0400-000001000000}" name="Asia" dataDxfId="6"/>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5000000}" name="表格5" displayName="表格5" ref="N3:N10" totalsRowShown="0">
  <autoFilter ref="N3:N10" xr:uid="{00000000-0009-0000-0100-000009000000}"/>
  <tableColumns count="1">
    <tableColumn id="1" xr3:uid="{00000000-0010-0000-0500-000001000000}" name="Americas" dataDxfId="5"/>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表格8" displayName="表格8" ref="O3:O4" totalsRowShown="0">
  <autoFilter ref="O3:O4" xr:uid="{00000000-0009-0000-0100-000008000000}"/>
  <tableColumns count="1">
    <tableColumn id="1" xr3:uid="{00000000-0010-0000-0600-000001000000}" name="Africa" dataDxfId="4"/>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7000000}" name="表格9" displayName="表格9" ref="P3:P19" totalsRowShown="0">
  <autoFilter ref="P3:P19" xr:uid="{00000000-0009-0000-0100-000007000000}"/>
  <tableColumns count="1">
    <tableColumn id="1" xr3:uid="{00000000-0010-0000-0700-000001000000}" name="Europe" dataDxfId="3"/>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8000000}" name="表格10" displayName="表格10" ref="Q3:Q4" totalsRowShown="0">
  <autoFilter ref="Q3:Q4" xr:uid="{00000000-0009-0000-0100-000005000000}"/>
  <tableColumns count="1">
    <tableColumn id="1" xr3:uid="{00000000-0010-0000-0800-000001000000}" name="Oceania" dataDxfId="2"/>
  </tableColumns>
  <tableStyleInfo name="TableStyleMedium9" showFirstColumn="0" showLastColumn="0" showRowStripes="1" showColumnStripes="0"/>
</table>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s://www.tepco.co.jp/en/corpinfo/illustrated/environment/emissions-co2-e.html" TargetMode="External"/><Relationship Id="rId13" Type="http://schemas.openxmlformats.org/officeDocument/2006/relationships/printerSettings" Target="../printerSettings/printerSettings5.bin"/><Relationship Id="rId3" Type="http://schemas.openxmlformats.org/officeDocument/2006/relationships/hyperlink" Target="https://lowcarbonpower.org/region/United_Arab_Emirates" TargetMode="External"/><Relationship Id="rId7" Type="http://schemas.openxmlformats.org/officeDocument/2006/relationships/hyperlink" Target="https://www.tepco.co.jp/en/corpinfo/illustrated/environment/emissions-co2-e.html" TargetMode="External"/><Relationship Id="rId12" Type="http://schemas.openxmlformats.org/officeDocument/2006/relationships/hyperlink" Target="https://www.gov.uk/government/publications/greenhouse-gas-reporting-conversion-factors-2023" TargetMode="External"/><Relationship Id="rId2" Type="http://schemas.openxmlformats.org/officeDocument/2006/relationships/hyperlink" Target="https://lowcarbonpower.org/region/Egypt" TargetMode="External"/><Relationship Id="rId1" Type="http://schemas.openxmlformats.org/officeDocument/2006/relationships/hyperlink" Target="https://app.electricitymaps.com/zone/CH" TargetMode="External"/><Relationship Id="rId6" Type="http://schemas.openxmlformats.org/officeDocument/2006/relationships/hyperlink" Target="https://app.electricitymaps.com/zone/CH" TargetMode="External"/><Relationship Id="rId11" Type="http://schemas.openxmlformats.org/officeDocument/2006/relationships/hyperlink" Target="https://www.gov.uk/government/publications/greenhouse-gas-reporting-conversion-factors-2023" TargetMode="External"/><Relationship Id="rId5" Type="http://schemas.openxmlformats.org/officeDocument/2006/relationships/hyperlink" Target="https://www.entsoe.eu/" TargetMode="External"/><Relationship Id="rId10" Type="http://schemas.openxmlformats.org/officeDocument/2006/relationships/hyperlink" Target="https://www.ema.gov.sg/resources/singapore-energy-statistics/chapter2" TargetMode="External"/><Relationship Id="rId4" Type="http://schemas.openxmlformats.org/officeDocument/2006/relationships/hyperlink" Target="https://app.electricitymaps.com/zone/NO-NO1" TargetMode="External"/><Relationship Id="rId9" Type="http://schemas.openxmlformats.org/officeDocument/2006/relationships/hyperlink" Target="https://www.ema.gov.sg/resources/singapore-energy-statistics/chapter2" TargetMode="External"/><Relationship Id="rId1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drawing" Target="../drawings/drawing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B0B5C-17B5-B648-9498-6CFBA94A6339}">
  <sheetPr codeName="工作表6">
    <tabColor rgb="FF00B050"/>
  </sheetPr>
  <dimension ref="A1:BR169"/>
  <sheetViews>
    <sheetView showGridLines="0" tabSelected="1" zoomScale="55" zoomScaleNormal="55" workbookViewId="0">
      <pane xSplit="7" topLeftCell="H1" activePane="topRight" state="frozenSplit"/>
      <selection activeCell="A33" sqref="A33"/>
      <selection pane="topRight" activeCell="H7" sqref="H7"/>
    </sheetView>
  </sheetViews>
  <sheetFormatPr defaultColWidth="10.81640625" defaultRowHeight="15.5"/>
  <cols>
    <col min="1" max="1" width="10.81640625" style="86" customWidth="1"/>
    <col min="2" max="2" width="23.81640625" style="86" customWidth="1"/>
    <col min="3" max="3" width="42.08984375" style="86" customWidth="1"/>
    <col min="4" max="4" width="37.6328125" style="86" customWidth="1"/>
    <col min="5" max="5" width="45.26953125" style="86" customWidth="1"/>
    <col min="6" max="6" width="16" style="86" customWidth="1"/>
    <col min="7" max="7" width="31.453125" style="86" customWidth="1"/>
    <col min="8" max="8" width="52.81640625" style="86" customWidth="1"/>
    <col min="9" max="9" width="30.81640625" style="86" customWidth="1"/>
    <col min="10" max="10" width="41.90625" style="86" customWidth="1"/>
    <col min="11" max="11" width="67.453125" style="86" customWidth="1"/>
    <col min="12" max="12" width="31.1796875" style="86" customWidth="1"/>
    <col min="13" max="13" width="27" style="86" customWidth="1"/>
    <col min="14" max="14" width="28.6328125" style="86" customWidth="1"/>
    <col min="15" max="15" width="32.453125" style="86" customWidth="1"/>
    <col min="16" max="16" width="33.6328125" style="86" customWidth="1"/>
    <col min="17" max="17" width="36.1796875" style="86" customWidth="1"/>
    <col min="18" max="18" width="41.36328125" style="86" customWidth="1"/>
    <col min="19" max="19" width="26" style="86" customWidth="1"/>
    <col min="20" max="20" width="29.36328125" style="86" customWidth="1"/>
    <col min="21" max="21" width="26.453125" style="86" customWidth="1"/>
    <col min="22" max="23" width="22.36328125" style="86" customWidth="1"/>
    <col min="24" max="24" width="36.453125" style="86" customWidth="1"/>
    <col min="25" max="25" width="16.81640625" style="86" customWidth="1"/>
    <col min="26" max="26" width="14.1796875" style="86" customWidth="1"/>
    <col min="27" max="27" width="15.6328125" style="86" customWidth="1"/>
    <col min="28" max="28" width="17.6328125" style="86" customWidth="1"/>
    <col min="29" max="29" width="15.6328125" style="86" customWidth="1"/>
    <col min="30" max="30" width="16.453125" style="86" customWidth="1"/>
    <col min="31" max="31" width="15.6328125" style="86" customWidth="1"/>
    <col min="32" max="34" width="17.90625" style="86" bestFit="1" customWidth="1"/>
    <col min="35" max="35" width="37" style="86" customWidth="1"/>
    <col min="36" max="36" width="16.6328125" style="86" customWidth="1"/>
    <col min="37" max="37" width="17.36328125" style="86" customWidth="1"/>
    <col min="38" max="38" width="35.453125" style="86" customWidth="1"/>
    <col min="39" max="39" width="102.36328125" style="86" customWidth="1"/>
    <col min="40" max="40" width="10.81640625" style="86" customWidth="1"/>
    <col min="41" max="41" width="11.81640625" style="86" customWidth="1"/>
    <col min="42" max="44" width="13" style="86" customWidth="1"/>
    <col min="45" max="45" width="13.1796875" style="86" customWidth="1"/>
    <col min="46" max="46" width="12" style="86" customWidth="1"/>
    <col min="47" max="47" width="18.54296875" style="86" bestFit="1" customWidth="1"/>
    <col min="48" max="48" width="14.1796875" style="86" customWidth="1"/>
    <col min="49" max="49" width="12.81640625" style="86" customWidth="1"/>
    <col min="50" max="50" width="18.36328125" style="86" customWidth="1"/>
    <col min="51" max="51" width="14.36328125" style="86" customWidth="1"/>
    <col min="52" max="52" width="18" style="86" customWidth="1"/>
    <col min="53" max="53" width="10.81640625" style="86" customWidth="1"/>
    <col min="54" max="54" width="15.36328125" style="86" customWidth="1"/>
    <col min="55" max="55" width="20" style="86" customWidth="1"/>
    <col min="56" max="56" width="19.36328125" style="86" customWidth="1"/>
    <col min="57" max="60" width="10.81640625" style="86" hidden="1" customWidth="1"/>
    <col min="61" max="61" width="43" style="86" hidden="1" customWidth="1"/>
    <col min="62" max="62" width="31.453125" style="86" hidden="1" customWidth="1"/>
    <col min="63" max="63" width="32.6328125" style="86" hidden="1" customWidth="1"/>
    <col min="64" max="65" width="10.81640625" style="86" hidden="1" customWidth="1"/>
    <col min="66" max="66" width="10.81640625" style="86" customWidth="1"/>
    <col min="67" max="16384" width="10.81640625" style="86"/>
  </cols>
  <sheetData>
    <row r="1" spans="1:70" customFormat="1" ht="27" customHeight="1">
      <c r="B1" s="17" t="s">
        <v>244</v>
      </c>
      <c r="D1" s="17"/>
      <c r="E1" s="17"/>
      <c r="F1" s="17"/>
      <c r="G1" s="17"/>
      <c r="H1" s="17"/>
      <c r="I1" s="17"/>
      <c r="J1" s="17"/>
      <c r="K1" s="17"/>
      <c r="L1" s="88"/>
      <c r="M1" s="88"/>
      <c r="N1" s="88"/>
    </row>
    <row r="2" spans="1:70" customFormat="1" ht="6" customHeight="1" thickBot="1">
      <c r="C2" s="79"/>
      <c r="D2" s="79"/>
      <c r="E2" s="80"/>
      <c r="F2" s="80"/>
      <c r="G2" s="80"/>
      <c r="H2" s="80"/>
      <c r="I2" s="80"/>
      <c r="J2" s="80"/>
      <c r="K2" s="80"/>
      <c r="L2" s="88"/>
      <c r="M2" s="88"/>
      <c r="N2" s="88"/>
    </row>
    <row r="3" spans="1:70" customFormat="1" ht="32" customHeight="1">
      <c r="B3" s="303" t="s">
        <v>245</v>
      </c>
      <c r="C3" s="229"/>
      <c r="D3" s="304" t="s">
        <v>246</v>
      </c>
      <c r="E3" s="305"/>
      <c r="G3" s="16"/>
      <c r="H3" s="80"/>
      <c r="I3" s="80"/>
      <c r="J3" s="80"/>
      <c r="K3" s="80"/>
      <c r="L3" s="88"/>
      <c r="M3" s="88"/>
      <c r="N3" s="88"/>
    </row>
    <row r="4" spans="1:70" customFormat="1" ht="32" customHeight="1">
      <c r="B4" s="306" t="s">
        <v>247</v>
      </c>
      <c r="C4" s="230"/>
      <c r="D4" s="302" t="s">
        <v>248</v>
      </c>
      <c r="E4" s="233"/>
      <c r="G4" s="16"/>
      <c r="H4" s="80"/>
      <c r="I4" s="80"/>
      <c r="J4" s="80"/>
      <c r="K4" s="80"/>
      <c r="L4" s="88"/>
      <c r="M4" s="88"/>
      <c r="N4" s="88"/>
    </row>
    <row r="5" spans="1:70" customFormat="1" ht="32">
      <c r="B5" s="306" t="s">
        <v>249</v>
      </c>
      <c r="C5" s="231" t="s">
        <v>27</v>
      </c>
      <c r="D5" s="302" t="s">
        <v>250</v>
      </c>
      <c r="E5" s="307">
        <v>2023</v>
      </c>
      <c r="G5" s="89"/>
      <c r="H5" s="90"/>
      <c r="I5" s="90"/>
      <c r="J5" s="90"/>
      <c r="K5" s="90"/>
      <c r="L5" s="90"/>
      <c r="M5" s="90"/>
      <c r="N5" s="90"/>
    </row>
    <row r="6" spans="1:70" customFormat="1" ht="32">
      <c r="B6" s="306" t="s">
        <v>251</v>
      </c>
      <c r="C6" s="231"/>
      <c r="D6" s="302" t="s">
        <v>252</v>
      </c>
      <c r="E6" s="308" t="s">
        <v>239</v>
      </c>
      <c r="G6" s="89"/>
      <c r="H6" s="89"/>
      <c r="I6" s="89"/>
      <c r="J6" s="89"/>
      <c r="K6" s="89"/>
      <c r="L6" s="89"/>
      <c r="M6" s="89"/>
      <c r="N6" s="89"/>
    </row>
    <row r="7" spans="1:70" customFormat="1" ht="44.5" customHeight="1">
      <c r="B7" s="306" t="s">
        <v>253</v>
      </c>
      <c r="C7" s="232" t="s">
        <v>77</v>
      </c>
      <c r="D7" s="302" t="s">
        <v>254</v>
      </c>
      <c r="E7" s="819"/>
      <c r="G7" s="81"/>
      <c r="H7" s="81"/>
      <c r="I7" s="81"/>
      <c r="J7" s="81"/>
      <c r="K7" s="81"/>
      <c r="L7" s="81"/>
      <c r="M7" s="81"/>
      <c r="N7" s="81"/>
    </row>
    <row r="8" spans="1:70" customFormat="1" ht="55.5" customHeight="1">
      <c r="B8" s="306" t="s">
        <v>255</v>
      </c>
      <c r="C8" s="721" t="s">
        <v>78</v>
      </c>
      <c r="D8" s="722"/>
      <c r="E8" s="723"/>
      <c r="G8" s="16"/>
      <c r="H8" s="16"/>
      <c r="I8" s="16"/>
      <c r="J8" s="16"/>
      <c r="K8" s="16"/>
      <c r="L8" s="16"/>
      <c r="M8" s="16"/>
      <c r="N8" s="16"/>
    </row>
    <row r="9" spans="1:70" customFormat="1" ht="22.5" customHeight="1">
      <c r="B9" s="309" t="s">
        <v>256</v>
      </c>
      <c r="C9" s="724" t="s">
        <v>76</v>
      </c>
      <c r="D9" s="722"/>
      <c r="E9" s="723"/>
      <c r="G9" s="16"/>
      <c r="H9" s="16"/>
      <c r="I9" s="16"/>
      <c r="J9" s="16"/>
      <c r="K9" s="16"/>
      <c r="L9" s="16"/>
      <c r="M9" s="16"/>
      <c r="N9" s="16"/>
    </row>
    <row r="10" spans="1:70" customFormat="1" ht="90" customHeight="1" thickBot="1">
      <c r="B10" s="310" t="s">
        <v>257</v>
      </c>
      <c r="C10" s="725">
        <v>0</v>
      </c>
      <c r="D10" s="726"/>
      <c r="E10" s="727"/>
      <c r="G10" s="81"/>
      <c r="H10" s="81"/>
      <c r="I10" s="81"/>
      <c r="J10" s="81"/>
      <c r="K10" s="81"/>
      <c r="L10" s="81"/>
      <c r="M10" s="81"/>
      <c r="N10" s="81"/>
    </row>
    <row r="11" spans="1:70" customFormat="1" ht="10.5" customHeight="1"/>
    <row r="12" spans="1:70" customFormat="1" ht="23.5" customHeight="1">
      <c r="B12" s="17" t="s">
        <v>258</v>
      </c>
      <c r="D12" s="17"/>
      <c r="E12" s="17"/>
      <c r="F12" s="17"/>
      <c r="G12" s="17"/>
      <c r="H12" s="17"/>
      <c r="I12" s="17"/>
      <c r="J12" s="17"/>
      <c r="K12" s="17"/>
      <c r="L12" s="18"/>
      <c r="M12" s="19"/>
      <c r="N12" s="19"/>
      <c r="O12" s="20"/>
      <c r="P12" s="20"/>
      <c r="Q12" s="17"/>
      <c r="R12" s="17"/>
      <c r="S12" s="17"/>
      <c r="T12" s="20"/>
      <c r="U12" s="20"/>
      <c r="V12" s="20"/>
      <c r="W12" s="20"/>
      <c r="X12" s="20"/>
      <c r="Y12" s="20"/>
      <c r="Z12" s="20"/>
      <c r="AA12" s="20"/>
      <c r="AB12" s="20"/>
      <c r="AC12" s="20"/>
      <c r="AD12" s="20"/>
      <c r="AE12" s="20"/>
      <c r="AF12" s="20"/>
      <c r="AG12" s="20"/>
      <c r="AH12" s="20"/>
      <c r="AI12" s="20"/>
    </row>
    <row r="13" spans="1:70" customFormat="1" ht="24" customHeight="1" thickBot="1">
      <c r="B13" s="134" t="s">
        <v>259</v>
      </c>
      <c r="D13" s="17"/>
      <c r="E13" s="17"/>
      <c r="F13" s="17"/>
      <c r="G13" s="17"/>
      <c r="H13" s="17"/>
      <c r="I13" s="17"/>
      <c r="J13" s="17"/>
      <c r="K13" s="17"/>
      <c r="L13" s="18"/>
      <c r="M13" s="19"/>
      <c r="N13" s="19"/>
      <c r="O13" s="20"/>
      <c r="P13" s="20"/>
      <c r="Q13" s="17"/>
      <c r="R13" s="17"/>
      <c r="S13" s="17"/>
      <c r="T13" s="20"/>
      <c r="U13" s="20"/>
      <c r="V13" s="20"/>
      <c r="W13" s="20"/>
      <c r="X13" s="20"/>
      <c r="Y13" s="20"/>
      <c r="Z13" s="20"/>
      <c r="AA13" s="20"/>
      <c r="AB13" s="20"/>
      <c r="AC13" s="20"/>
      <c r="AD13" s="20"/>
      <c r="AE13" s="20"/>
      <c r="AF13" s="20"/>
      <c r="AG13" s="20"/>
      <c r="AH13" s="20"/>
      <c r="AI13" s="20"/>
    </row>
    <row r="14" spans="1:70" s="133" customFormat="1" ht="18" customHeight="1">
      <c r="B14" s="728" t="s">
        <v>260</v>
      </c>
      <c r="C14" s="730" t="s">
        <v>261</v>
      </c>
      <c r="D14" s="660" t="s">
        <v>262</v>
      </c>
      <c r="E14" s="720"/>
      <c r="F14" s="732"/>
      <c r="G14" s="719" t="s">
        <v>263</v>
      </c>
      <c r="H14" s="720"/>
      <c r="I14" s="720"/>
      <c r="J14" s="720"/>
      <c r="K14" s="720"/>
      <c r="L14" s="720"/>
      <c r="M14" s="720"/>
      <c r="N14" s="720"/>
      <c r="O14" s="720"/>
      <c r="P14" s="690" t="s">
        <v>264</v>
      </c>
      <c r="Q14" s="690"/>
      <c r="R14" s="690"/>
      <c r="S14" s="690"/>
      <c r="T14" s="690"/>
      <c r="U14" s="690"/>
      <c r="V14" s="690"/>
      <c r="W14" s="690"/>
      <c r="X14" s="690"/>
      <c r="Y14" s="690" t="s">
        <v>265</v>
      </c>
      <c r="Z14" s="690"/>
      <c r="AA14" s="690"/>
      <c r="AB14" s="690"/>
      <c r="AC14" s="690"/>
      <c r="AD14" s="690"/>
      <c r="AE14" s="690"/>
      <c r="AF14" s="690" t="s">
        <v>266</v>
      </c>
      <c r="AG14" s="690"/>
      <c r="AH14" s="690"/>
      <c r="AI14" s="690"/>
      <c r="AJ14" s="690"/>
      <c r="AK14" s="690"/>
      <c r="AL14" s="690"/>
      <c r="AM14" s="315"/>
      <c r="AN14" s="690" t="s">
        <v>267</v>
      </c>
      <c r="AO14" s="690"/>
      <c r="AP14" s="690"/>
      <c r="AQ14" s="690"/>
      <c r="AR14" s="690"/>
      <c r="AS14" s="690"/>
      <c r="AT14" s="690"/>
      <c r="AU14" s="690" t="s">
        <v>268</v>
      </c>
      <c r="AV14" s="690"/>
      <c r="AW14" s="690"/>
      <c r="AX14" s="690"/>
      <c r="AY14" s="690"/>
      <c r="AZ14" s="690"/>
      <c r="BA14" s="691"/>
      <c r="BB14" s="692" t="s">
        <v>269</v>
      </c>
      <c r="BC14" s="694" t="s">
        <v>270</v>
      </c>
      <c r="BD14" s="695" t="s">
        <v>271</v>
      </c>
    </row>
    <row r="15" spans="1:70" s="133" customFormat="1" ht="79" customHeight="1" thickBot="1">
      <c r="B15" s="729"/>
      <c r="C15" s="731"/>
      <c r="D15" s="733"/>
      <c r="E15" s="734"/>
      <c r="F15" s="735"/>
      <c r="G15" s="317" t="s">
        <v>272</v>
      </c>
      <c r="H15" s="316" t="s">
        <v>273</v>
      </c>
      <c r="I15" s="316" t="s">
        <v>274</v>
      </c>
      <c r="J15" s="318" t="s">
        <v>275</v>
      </c>
      <c r="K15" s="316" t="s">
        <v>276</v>
      </c>
      <c r="L15" s="316" t="s">
        <v>277</v>
      </c>
      <c r="M15" s="316" t="s">
        <v>278</v>
      </c>
      <c r="N15" s="316" t="s">
        <v>279</v>
      </c>
      <c r="O15" s="316" t="s">
        <v>280</v>
      </c>
      <c r="P15" s="319" t="s">
        <v>281</v>
      </c>
      <c r="Q15" s="319" t="s">
        <v>282</v>
      </c>
      <c r="R15" s="319" t="s">
        <v>283</v>
      </c>
      <c r="S15" s="319" t="s">
        <v>284</v>
      </c>
      <c r="T15" s="319" t="s">
        <v>285</v>
      </c>
      <c r="U15" s="319" t="s">
        <v>286</v>
      </c>
      <c r="V15" s="319" t="s">
        <v>287</v>
      </c>
      <c r="W15" s="316" t="s">
        <v>288</v>
      </c>
      <c r="X15" s="316" t="s">
        <v>289</v>
      </c>
      <c r="Y15" s="319" t="s">
        <v>290</v>
      </c>
      <c r="Z15" s="319" t="s">
        <v>291</v>
      </c>
      <c r="AA15" s="319" t="s">
        <v>292</v>
      </c>
      <c r="AB15" s="319" t="s">
        <v>293</v>
      </c>
      <c r="AC15" s="320" t="s">
        <v>294</v>
      </c>
      <c r="AD15" s="320" t="s">
        <v>295</v>
      </c>
      <c r="AE15" s="320" t="s">
        <v>296</v>
      </c>
      <c r="AF15" s="320" t="s">
        <v>297</v>
      </c>
      <c r="AG15" s="320" t="s">
        <v>298</v>
      </c>
      <c r="AH15" s="319" t="s">
        <v>299</v>
      </c>
      <c r="AI15" s="319" t="s">
        <v>300</v>
      </c>
      <c r="AJ15" s="319" t="s">
        <v>301</v>
      </c>
      <c r="AK15" s="319" t="s">
        <v>302</v>
      </c>
      <c r="AL15" s="319" t="s">
        <v>303</v>
      </c>
      <c r="AM15" s="316" t="s">
        <v>304</v>
      </c>
      <c r="AN15" s="319" t="s">
        <v>305</v>
      </c>
      <c r="AO15" s="319" t="s">
        <v>306</v>
      </c>
      <c r="AP15" s="319" t="s">
        <v>307</v>
      </c>
      <c r="AQ15" s="319" t="s">
        <v>308</v>
      </c>
      <c r="AR15" s="319" t="s">
        <v>309</v>
      </c>
      <c r="AS15" s="319" t="s">
        <v>310</v>
      </c>
      <c r="AT15" s="319" t="s">
        <v>311</v>
      </c>
      <c r="AU15" s="319" t="s">
        <v>312</v>
      </c>
      <c r="AV15" s="319" t="s">
        <v>313</v>
      </c>
      <c r="AW15" s="319" t="s">
        <v>314</v>
      </c>
      <c r="AX15" s="319" t="s">
        <v>315</v>
      </c>
      <c r="AY15" s="319" t="s">
        <v>316</v>
      </c>
      <c r="AZ15" s="319" t="s">
        <v>317</v>
      </c>
      <c r="BA15" s="321" t="s">
        <v>318</v>
      </c>
      <c r="BB15" s="693"/>
      <c r="BC15" s="665"/>
      <c r="BD15" s="667"/>
      <c r="BE15"/>
      <c r="BF15"/>
      <c r="BG15"/>
      <c r="BH15"/>
      <c r="BI15" s="133" t="s">
        <v>319</v>
      </c>
      <c r="BJ15" s="133" t="s">
        <v>320</v>
      </c>
      <c r="BK15" s="133" t="s">
        <v>321</v>
      </c>
      <c r="BL15"/>
      <c r="BM15"/>
      <c r="BN15"/>
      <c r="BO15"/>
      <c r="BP15"/>
      <c r="BQ15"/>
      <c r="BR15"/>
    </row>
    <row r="16" spans="1:70" customFormat="1" ht="40" customHeight="1">
      <c r="A16">
        <v>1</v>
      </c>
      <c r="B16" s="634" t="s">
        <v>322</v>
      </c>
      <c r="C16" s="696">
        <v>1.1000000000000001</v>
      </c>
      <c r="D16" s="668" t="s">
        <v>323</v>
      </c>
      <c r="E16" s="699"/>
      <c r="F16" s="700"/>
      <c r="G16" s="322" t="s">
        <v>386</v>
      </c>
      <c r="H16" s="323" t="s">
        <v>67</v>
      </c>
      <c r="I16" s="324" t="s">
        <v>324</v>
      </c>
      <c r="J16" s="325" t="s">
        <v>90</v>
      </c>
      <c r="K16" s="59"/>
      <c r="L16" s="265">
        <v>265.97721640960884</v>
      </c>
      <c r="M16" s="326" t="str">
        <f>IFERROR(IF(I16="預設值Default",VLOOKUP($J16,'4.Default Emission Factor'!$D:$V,16,FALSE),"請填寫自訂活動數據單位Please fill in Custom Unit"),"請選擇預設排放係數名稱Please Choose Default Fuel or Greenhouse Gas")</f>
        <v>KM3</v>
      </c>
      <c r="N16" s="235"/>
      <c r="O16" s="235"/>
      <c r="P16" s="23"/>
      <c r="Q16" s="23"/>
      <c r="R16" s="23"/>
      <c r="S16" s="23"/>
      <c r="T16" s="23"/>
      <c r="U16" s="23"/>
      <c r="V16" s="23"/>
      <c r="W16" s="198"/>
      <c r="X16" s="91"/>
      <c r="Y16" s="327" t="str">
        <f t="shared" ref="Y16:Y56" si="0">IF(AF16&gt;0.0000000001,"V","")</f>
        <v>V</v>
      </c>
      <c r="Z16" s="328" t="str">
        <f t="shared" ref="Z16:Z56" si="1">IF(AG16&gt;0.0000000001,"V","")</f>
        <v>V</v>
      </c>
      <c r="AA16" s="328" t="str">
        <f t="shared" ref="AA16:AA56" si="2">IF(AH16&gt;0.0000000001,"V","")</f>
        <v>V</v>
      </c>
      <c r="AB16" s="328" t="str">
        <f t="shared" ref="AB16:AB56" si="3">IF(AI16&gt;0.0000000001,"V","")</f>
        <v/>
      </c>
      <c r="AC16" s="328" t="str">
        <f t="shared" ref="AC16:AC56" si="4">IF(AJ16&gt;0.0000000001,"V","")</f>
        <v/>
      </c>
      <c r="AD16" s="328" t="str">
        <f t="shared" ref="AD16:AD56" si="5">IF(AK16&gt;0.0000000001,"V","")</f>
        <v/>
      </c>
      <c r="AE16" s="329" t="str">
        <f t="shared" ref="AE16:AE56" si="6">IF(AL16&gt;0.0000000001,"V","")</f>
        <v/>
      </c>
      <c r="AF16" s="327">
        <f>IFERROR(IF($I16="預設值Default",ROUND(VLOOKUP($J16,'4.Default Emission Factor'!$D:$V,2,FALSE),10),IF($I16="自訂值Custom Value",P16,0)),0)</f>
        <v>1.87903584</v>
      </c>
      <c r="AG16" s="328">
        <f>IFERROR(IF($I16="預設值Default",ROUND(VLOOKUP($J16,'4.Default Emission Factor'!$D:$V,4,FALSE),10),IF($I16="自訂值Custom Value",Q16,0)),0)</f>
        <v>3.3494400000000002E-5</v>
      </c>
      <c r="AH16" s="328">
        <f>IFERROR(IF($I16="預設值Default",ROUND(VLOOKUP($J16,'4.Default Emission Factor'!$D:$V,6,FALSE),10),IF($I16="自訂值Custom Value",R16,0)),0)</f>
        <v>3.3494000000000001E-6</v>
      </c>
      <c r="AI16" s="328">
        <f>IFERROR(IF($I16="預設值Default",ROUND(VLOOKUP($J16,'4.Default Emission Factor'!$D:$V,8,FALSE),10),IF($I16="自訂值Custom Value",S16,0)),0)</f>
        <v>0</v>
      </c>
      <c r="AJ16" s="328">
        <f>IFERROR(IF($I16="預設值Default",ROUND(VLOOKUP($J16,'4.Default Emission Factor'!$D:$V,10,FALSE),10),IF($I16="自訂值Custom Value",T16,0)),0)</f>
        <v>0</v>
      </c>
      <c r="AK16" s="328">
        <f>IFERROR(IF($I16="預設值Default",ROUND(VLOOKUP($J16,'4.Default Emission Factor'!$D:$V,12,FALSE),10),IF($I16="自訂值Custom Value",U16,0)),0)</f>
        <v>0</v>
      </c>
      <c r="AL16" s="328">
        <f>IFERROR(IF($I16="預設值Default",ROUND(VLOOKUP($J16,'4.Default Emission Factor'!$D:$V,14,FALSE),10),IF($I16="自訂值Custom Value",V16,0)),0)</f>
        <v>0</v>
      </c>
      <c r="AM16" s="330" t="str">
        <f>IFERROR(IF(I16="預設值Default",VLOOKUP($J16,'4.Default Emission Factor'!$D:$V,17,FALSE),IF(I16="自訂值Custom Value",X16,"")),"")</f>
        <v>環保署排放係管理表6.0.4Taiwan EPA GHG coefficient table 6.0.4</v>
      </c>
      <c r="AN16" s="331">
        <f t="shared" ref="AN16:AN56" si="7">IF(Y16="V",1,0)</f>
        <v>1</v>
      </c>
      <c r="AO16" s="332">
        <f>IF(Z16="V",IF('1.GHG Inventory Form'!$E$6="IPCC AR2 Report(1995)",'6.GWP'!$C$2,IF('1.GHG Inventory Form'!$E$6="IPCC AR3 Report(2001)",'6.GWP'!$D$2,IF('1.GHG Inventory Form'!$E$6="IPCC AR4 Report(2007)",'6.GWP'!$E$2,IF('1.GHG Inventory Form'!$E$6="IPCC AR5 Report(2013)",'6.GWP'!$F$2,IF('1.GHG Inventory Form'!$E$6="IPCC AR6 Report(2021)",'6.GWP'!$G$2,0))))),0)</f>
        <v>27.9</v>
      </c>
      <c r="AP16" s="332">
        <f>IF(AA16="V",IF('1.GHG Inventory Form'!$E$6="IPCC AR2 Report(1995)",'6.GWP'!$C$3,IF('1.GHG Inventory Form'!$E$6="IPCC AR3 Report(2001)",'6.GWP'!$D$3,IF('1.GHG Inventory Form'!$E$6="IPCC AR4 Report(2007)",'6.GWP'!$E$3,IF('1.GHG Inventory Form'!$E$6="IPCC AR5 Report(2013)",'6.GWP'!$F$3,IF('1.GHG Inventory Form'!$E$6="IPCC AR6 Report(2021)",'6.GWP'!$G$3,0))))),0)</f>
        <v>273</v>
      </c>
      <c r="AQ16" s="332">
        <f>IFERROR(IF(AND(AB16="V",$I16="預設值"),IF('1.GHG Inventory Form'!$E$6="IPCC AR2 Report(1995)",VLOOKUP($J16,'6.GWP'!$B$1:$G$173,2,FALSE),IF('1.GHG Inventory Form'!$E$6="IPCC AR3 Report(2001)",VLOOKUP($J16,'6.GWP'!$B$1:$G$173,3,FALSE),IF('1.GHG Inventory Form'!$E$6="IPCC AR4 Report(2007)",VLOOKUP($J16,'6.GWP'!$B$1:$G$173,4,FALSE),IF('1.GHG Inventory Form'!$E$6="IPCC AR5 Report(2013)",VLOOKUP($J16,'6.GWP'!$B$1:$G$173,5,FALSE),IF('1.GHG Inventory Form'!$E$6="IPCC AR6 Report(2021)",VLOOKUP($J16,'6.GWP'!$B$2:$G$173,6,FALSE),0))))),IF(AND(AB16="V",$I16="自訂值"),IF('1.GHG Inventory Form'!$E$6="IPCC AR2 Report(1995)",VLOOKUP($K16,'6.GWP'!$B$1:$G$173,2,FALSE),IF('1.GHG Inventory Form'!$E$6="IPCC AR3 Report(2001)",VLOOKUP($K16,'6.GWP'!$B$1:$G$173,3,FALSE),IF('1.GHG Inventory Form'!$E$6="IPCC AR4 Report(2007)",VLOOKUP($K16,'6.GWP'!$B$1:$G$173,4,FALSE),IF('1.GHG Inventory Form'!$E$6="IPCC AR5 Report(2013)",VLOOKUP($K16,'6.GWP'!$B$1:$G$173,5,FALSE),IF('1.GHG Inventory Form'!$E$6="IPCC AR6 Report(2021)",VLOOKUP($K16,'6.GWP'!$B$2:$G$173,6,FALSE),0))))),0)),0)</f>
        <v>0</v>
      </c>
      <c r="AR16" s="332">
        <f>IFERROR(IF(AND(AC16="V",$I16="預設值"),IF('1.GHG Inventory Form'!$E$6="IPCC AR2 Report(1995)",VLOOKUP($J16,'6.GWP'!$B$1:$G$173,2,FALSE),IF('1.GHG Inventory Form'!$E$6="IPCC AR3 Report(2001)",VLOOKUP($J16,'6.GWP'!$B$1:$G$173,3,FALSE),IF('1.GHG Inventory Form'!$E$6="IPCC AR4 Report(2007)",VLOOKUP($J16,'6.GWP'!$B$1:$G$173,4,FALSE),IF('1.GHG Inventory Form'!$E$6="IPCC AR5 Report(2013)",VLOOKUP($J16,'6.GWP'!$B$1:$G$173,5,FALSE),IF('1.GHG Inventory Form'!$E$6="IPCC AR6 Report(2021)",VLOOKUP($J16,'6.GWP'!$B$2:$G$173,6,FALSE),0))))),IF(AND(AC16="V",$I16="自訂值"),IF('1.GHG Inventory Form'!$E$6="IPCC AR2 Report(1995)",VLOOKUP($K16,'6.GWP'!$B$1:$G$173,2,FALSE),IF('1.GHG Inventory Form'!$E$6="IPCC AR3 Report(2001)",VLOOKUP($K16,'6.GWP'!$B$1:$G$173,3,FALSE),IF('1.GHG Inventory Form'!$E$6="IPCC AR4 Report(2007)",VLOOKUP($K16,'6.GWP'!$B$1:$G$173,4,FALSE),IF('1.GHG Inventory Form'!$E$6="IPCC AR5 Report(2013)",VLOOKUP($K16,'6.GWP'!$B$1:$G$173,5,FALSE),IF('1.GHG Inventory Form'!$E$6="IPCC AR6 Report(2021)",VLOOKUP($K16,'6.GWP'!$B$2:$G$173,6,FALSE),0))))),0)),0)</f>
        <v>0</v>
      </c>
      <c r="AS16" s="332">
        <f>IF(AD16="V",IF('1.GHG Inventory Form'!$E$6="IPCC AR2 Report(1995)",'6.GWP'!$C$5,IF('1.GHG Inventory Form'!$E$6="IPCC AR3 Report(2001)",'6.GWP'!$D$5,IF('1.GHG Inventory Form'!$E$6="IPCC AR4 Report(2007)",'6.GWP'!$E$5,IF('1.GHG Inventory Form'!$E$6="IPCC AR5 Report(2013)",'6.GWP'!$F$5,IF('1.GHG Inventory Form'!$E$6="IPCC AR6 Report(2021)",'6.GWP'!$G$5,0))))),0)</f>
        <v>0</v>
      </c>
      <c r="AT16" s="333">
        <f>IF(AE16="V",IF('1.GHG Inventory Form'!$E$6="IPCC AR2 Report(1995)",'6.GWP'!$C$4,IF('1.GHG Inventory Form'!$E$6="IPCC AR3 Report(2001)",'6.GWP'!$D$4,IF('1.GHG Inventory Form'!$E$6="IPCC AR4 Report(2007)",'6.GWP'!$E$4,IF('1.GHG Inventory Form'!$E$6="IPCC AR5 Report(2013)",'6.GWP'!$F$4,IF('1.GHG Inventory Form'!$E$6="IPCC AR6 Report(2021)",'6.GWP'!$G$4,0))))),0)</f>
        <v>0</v>
      </c>
      <c r="AU16" s="334">
        <f t="shared" ref="AU16:AU47" si="8">IFERROR($L16*AF16*AN16,"")</f>
        <v>499.78072225709116</v>
      </c>
      <c r="AV16" s="334">
        <f t="shared" ref="AV16:AV47" si="9">IFERROR($L16*AG16*AO16,"")</f>
        <v>0.24855404903694908</v>
      </c>
      <c r="AW16" s="334">
        <f t="shared" ref="AW16:AW47" si="10">IFERROR($L16*AH16*AP16,"")</f>
        <v>0.24320589619935989</v>
      </c>
      <c r="AX16" s="334">
        <f t="shared" ref="AX16:AX47" si="11">IFERROR($L16*AI16*AQ16,"")</f>
        <v>0</v>
      </c>
      <c r="AY16" s="334">
        <f t="shared" ref="AY16:AY47" si="12">IFERROR($L16*AJ16*AR16,"")</f>
        <v>0</v>
      </c>
      <c r="AZ16" s="334">
        <f t="shared" ref="AZ16:AZ47" si="13">IFERROR($L16*AK16*AS16,"")</f>
        <v>0</v>
      </c>
      <c r="BA16" s="334">
        <f t="shared" ref="BA16:BA47" si="14">IFERROR($L16*AL16*AT16,"")</f>
        <v>0</v>
      </c>
      <c r="BB16" s="334">
        <f t="shared" ref="BB16:BB56" si="15">ROUND(SUM(AU16:BA16),4)</f>
        <v>500.27249999999998</v>
      </c>
      <c r="BC16" s="335">
        <f t="shared" ref="BC16:BC56" si="16">BB16/SUM($BB$16:$BB$99)</f>
        <v>0.35001280698905485</v>
      </c>
      <c r="BD16" s="336">
        <f t="shared" ref="BD16:BD56" si="17">BB16/$BB$169</f>
        <v>0.31544818868054447</v>
      </c>
      <c r="BI16" s="86" t="str">
        <f t="shared" ref="BI16:BI56" si="18">IF(H16="","",IF(I16="預設值Default",H16&amp;J16,IF(I16="自訂值Custom Value",H16&amp;K16,"")))</f>
        <v>鍋爐-發電機 Boiler-Generator天然氣Natural Gas</v>
      </c>
      <c r="BJ16" s="86" t="str">
        <f t="shared" ref="BJ16:BJ56" si="19">IF(H16="其它設備，請說明","",IF(O16=0,"",O16))</f>
        <v/>
      </c>
      <c r="BK16" s="86" t="str">
        <f t="shared" ref="BK16:BK56" si="20">IF(H16="","",IF(I16="預設值Default",AM16,IF(I16="自訂值Custom Value",X16,"")))</f>
        <v>環保署排放係管理表6.0.4Taiwan EPA GHG coefficient table 6.0.4</v>
      </c>
    </row>
    <row r="17" spans="1:63" customFormat="1" ht="38.5" customHeight="1">
      <c r="A17">
        <v>2</v>
      </c>
      <c r="B17" s="634"/>
      <c r="C17" s="697"/>
      <c r="D17" s="668"/>
      <c r="E17" s="699"/>
      <c r="F17" s="700"/>
      <c r="G17" s="322"/>
      <c r="H17" s="323" t="s">
        <v>240</v>
      </c>
      <c r="I17" s="324" t="s">
        <v>325</v>
      </c>
      <c r="J17" s="325" t="s">
        <v>240</v>
      </c>
      <c r="K17" s="59"/>
      <c r="L17" s="265" t="s">
        <v>240</v>
      </c>
      <c r="M17" s="326" t="str">
        <f>IFERROR(IF(I17="預設值Default",VLOOKUP($J17,'4.Default Emission Factor'!$D:$V,16,FALSE),"請填寫自訂活動數據單位Please fill in Custom Unit"),"請選擇預設排放係數名稱Please Choose Default Fuel or Greenhouse Gas")</f>
        <v>請選擇預設排放係數名稱Please Choose Default Fuel or Greenhouse Gas</v>
      </c>
      <c r="N17" s="235"/>
      <c r="O17" s="235"/>
      <c r="P17" s="23"/>
      <c r="Q17" s="23"/>
      <c r="R17" s="23"/>
      <c r="S17" s="23"/>
      <c r="T17" s="23"/>
      <c r="U17" s="23"/>
      <c r="V17" s="23"/>
      <c r="W17" s="198"/>
      <c r="X17" s="91"/>
      <c r="Y17" s="327" t="str">
        <f t="shared" si="0"/>
        <v/>
      </c>
      <c r="Z17" s="328" t="str">
        <f t="shared" si="1"/>
        <v/>
      </c>
      <c r="AA17" s="328" t="str">
        <f t="shared" si="2"/>
        <v/>
      </c>
      <c r="AB17" s="328" t="str">
        <f t="shared" si="3"/>
        <v/>
      </c>
      <c r="AC17" s="328" t="str">
        <f t="shared" si="4"/>
        <v/>
      </c>
      <c r="AD17" s="328" t="str">
        <f t="shared" si="5"/>
        <v/>
      </c>
      <c r="AE17" s="329" t="str">
        <f t="shared" si="6"/>
        <v/>
      </c>
      <c r="AF17" s="327">
        <f>IFERROR(IF($I17="預設值Default",ROUND(VLOOKUP($J17,'4.Default Emission Factor'!$D:$V,2,FALSE),10),IF($I17="自訂值Custom Value",P17,0)),0)</f>
        <v>0</v>
      </c>
      <c r="AG17" s="328">
        <f>IFERROR(IF($I17="預設值Default",ROUND(VLOOKUP($J17,'4.Default Emission Factor'!$D:$V,4,FALSE),10),IF($I17="自訂值Custom Value",Q17,0)),0)</f>
        <v>0</v>
      </c>
      <c r="AH17" s="328">
        <f>IFERROR(IF($I17="預設值Default",ROUND(VLOOKUP($J17,'4.Default Emission Factor'!$D:$V,6,FALSE),10),IF($I17="自訂值Custom Value",R17,0)),0)</f>
        <v>0</v>
      </c>
      <c r="AI17" s="328">
        <f>IFERROR(IF($I17="預設值Default",ROUND(VLOOKUP($J17,'4.Default Emission Factor'!$D:$V,8,FALSE),10),IF($I17="自訂值Custom Value",S17,0)),0)</f>
        <v>0</v>
      </c>
      <c r="AJ17" s="328">
        <f>IFERROR(IF($I17="預設值Default",ROUND(VLOOKUP($J17,'4.Default Emission Factor'!$D:$V,10,FALSE),10),IF($I17="自訂值Custom Value",T17,0)),0)</f>
        <v>0</v>
      </c>
      <c r="AK17" s="328">
        <f>IFERROR(IF($I17="預設值Default",ROUND(VLOOKUP($J17,'4.Default Emission Factor'!$D:$V,12,FALSE),10),IF($I17="自訂值Custom Value",U17,0)),0)</f>
        <v>0</v>
      </c>
      <c r="AL17" s="328">
        <f>IFERROR(IF($I17="預設值Default",ROUND(VLOOKUP($J17,'4.Default Emission Factor'!$D:$V,14,FALSE),10),IF($I17="自訂值Custom Value",V17,0)),0)</f>
        <v>0</v>
      </c>
      <c r="AM17" s="330" t="str">
        <f>IFERROR(IF(I17="預設值Default",VLOOKUP($J17,'4.Default Emission Factor'!$D:$V,17,FALSE),IF(I17="自訂值Custom Value",X17,"")),"")</f>
        <v/>
      </c>
      <c r="AN17" s="331">
        <f t="shared" si="7"/>
        <v>0</v>
      </c>
      <c r="AO17" s="332">
        <f>IF(Z17="V",IF('1.GHG Inventory Form'!$E$6="IPCC AR2 Report(1995)",'6.GWP'!$C$2,IF('1.GHG Inventory Form'!$E$6="IPCC AR3 Report(2001)",'6.GWP'!$D$2,IF('1.GHG Inventory Form'!$E$6="IPCC AR4 Report(2007)",'6.GWP'!$E$2,IF('1.GHG Inventory Form'!$E$6="IPCC AR5 Report(2013)",'6.GWP'!$F$2,IF('1.GHG Inventory Form'!$E$6="IPCC AR6 Report(2021)",'6.GWP'!$G$2,0))))),0)</f>
        <v>0</v>
      </c>
      <c r="AP17" s="332">
        <f>IF(AA17="V",IF('1.GHG Inventory Form'!$E$6="IPCC AR2 Report(1995)",'6.GWP'!$C$3,IF('1.GHG Inventory Form'!$E$6="IPCC AR3 Report(2001)",'6.GWP'!$D$3,IF('1.GHG Inventory Form'!$E$6="IPCC AR4 Report(2007)",'6.GWP'!$E$3,IF('1.GHG Inventory Form'!$E$6="IPCC AR5 Report(2013)",'6.GWP'!$F$3,IF('1.GHG Inventory Form'!$E$6="IPCC AR6 Report(2021)",'6.GWP'!$G$3,0))))),0)</f>
        <v>0</v>
      </c>
      <c r="AQ17" s="332">
        <f>IFERROR(IF(AND(AB17="V",$I17="預設值"),IF('1.GHG Inventory Form'!$E$6="IPCC AR2 Report(1995)",VLOOKUP($J17,'6.GWP'!$B$1:$G$173,2,FALSE),IF('1.GHG Inventory Form'!$E$6="IPCC AR3 Report(2001)",VLOOKUP($J17,'6.GWP'!$B$1:$G$173,3,FALSE),IF('1.GHG Inventory Form'!$E$6="IPCC AR4 Report(2007)",VLOOKUP($J17,'6.GWP'!$B$1:$G$173,4,FALSE),IF('1.GHG Inventory Form'!$E$6="IPCC AR5 Report(2013)",VLOOKUP($J17,'6.GWP'!$B$1:$G$173,5,FALSE),IF('1.GHG Inventory Form'!$E$6="IPCC AR6 Report(2021)",VLOOKUP($J17,'6.GWP'!$B$2:$G$173,6,FALSE),0))))),IF(AND(AB17="V",$I17="自訂值"),IF('1.GHG Inventory Form'!$E$6="IPCC AR2 Report(1995)",VLOOKUP($K17,'6.GWP'!$B$1:$G$173,2,FALSE),IF('1.GHG Inventory Form'!$E$6="IPCC AR3 Report(2001)",VLOOKUP($K17,'6.GWP'!$B$1:$G$173,3,FALSE),IF('1.GHG Inventory Form'!$E$6="IPCC AR4 Report(2007)",VLOOKUP($K17,'6.GWP'!$B$1:$G$173,4,FALSE),IF('1.GHG Inventory Form'!$E$6="IPCC AR5 Report(2013)",VLOOKUP($K17,'6.GWP'!$B$1:$G$173,5,FALSE),IF('1.GHG Inventory Form'!$E$6="IPCC AR6 Report(2021)",VLOOKUP($K17,'6.GWP'!$B$2:$G$173,6,FALSE),0))))),0)),0)</f>
        <v>0</v>
      </c>
      <c r="AR17" s="332">
        <f>IFERROR(IF(AND(AC17="V",$I17="預設值"),IF('1.GHG Inventory Form'!$E$6="IPCC AR2 Report(1995)",VLOOKUP($J17,'6.GWP'!$B$1:$G$173,2,FALSE),IF('1.GHG Inventory Form'!$E$6="IPCC AR3 Report(2001)",VLOOKUP($J17,'6.GWP'!$B$1:$G$173,3,FALSE),IF('1.GHG Inventory Form'!$E$6="IPCC AR4 Report(2007)",VLOOKUP($J17,'6.GWP'!$B$1:$G$173,4,FALSE),IF('1.GHG Inventory Form'!$E$6="IPCC AR5 Report(2013)",VLOOKUP($J17,'6.GWP'!$B$1:$G$173,5,FALSE),IF('1.GHG Inventory Form'!$E$6="IPCC AR6 Report(2021)",VLOOKUP($J17,'6.GWP'!$B$2:$G$173,6,FALSE),0))))),IF(AND(AC17="V",$I17="自訂值"),IF('1.GHG Inventory Form'!$E$6="IPCC AR2 Report(1995)",VLOOKUP($K17,'6.GWP'!$B$1:$G$173,2,FALSE),IF('1.GHG Inventory Form'!$E$6="IPCC AR3 Report(2001)",VLOOKUP($K17,'6.GWP'!$B$1:$G$173,3,FALSE),IF('1.GHG Inventory Form'!$E$6="IPCC AR4 Report(2007)",VLOOKUP($K17,'6.GWP'!$B$1:$G$173,4,FALSE),IF('1.GHG Inventory Form'!$E$6="IPCC AR5 Report(2013)",VLOOKUP($K17,'6.GWP'!$B$1:$G$173,5,FALSE),IF('1.GHG Inventory Form'!$E$6="IPCC AR6 Report(2021)",VLOOKUP($K17,'6.GWP'!$B$2:$G$173,6,FALSE),0))))),0)),0)</f>
        <v>0</v>
      </c>
      <c r="AS17" s="332">
        <f>IF(AD17="V",IF('1.GHG Inventory Form'!$E$6="IPCC AR2 Report(1995)",'6.GWP'!$C$5,IF('1.GHG Inventory Form'!$E$6="IPCC AR3 Report(2001)",'6.GWP'!$D$5,IF('1.GHG Inventory Form'!$E$6="IPCC AR4 Report(2007)",'6.GWP'!$E$5,IF('1.GHG Inventory Form'!$E$6="IPCC AR5 Report(2013)",'6.GWP'!$F$5,IF('1.GHG Inventory Form'!$E$6="IPCC AR6 Report(2021)",'6.GWP'!$G$5,0))))),0)</f>
        <v>0</v>
      </c>
      <c r="AT17" s="333">
        <f>IF(AE17="V",IF('1.GHG Inventory Form'!$E$6="IPCC AR2 Report(1995)",'6.GWP'!$C$4,IF('1.GHG Inventory Form'!$E$6="IPCC AR3 Report(2001)",'6.GWP'!$D$4,IF('1.GHG Inventory Form'!$E$6="IPCC AR4 Report(2007)",'6.GWP'!$E$4,IF('1.GHG Inventory Form'!$E$6="IPCC AR5 Report(2013)",'6.GWP'!$F$4,IF('1.GHG Inventory Form'!$E$6="IPCC AR6 Report(2021)",'6.GWP'!$G$4,0))))),0)</f>
        <v>0</v>
      </c>
      <c r="AU17" s="334" t="str">
        <f t="shared" si="8"/>
        <v/>
      </c>
      <c r="AV17" s="334" t="str">
        <f t="shared" si="9"/>
        <v/>
      </c>
      <c r="AW17" s="334" t="str">
        <f t="shared" si="10"/>
        <v/>
      </c>
      <c r="AX17" s="334" t="str">
        <f t="shared" si="11"/>
        <v/>
      </c>
      <c r="AY17" s="334" t="str">
        <f t="shared" si="12"/>
        <v/>
      </c>
      <c r="AZ17" s="334" t="str">
        <f t="shared" si="13"/>
        <v/>
      </c>
      <c r="BA17" s="334" t="str">
        <f t="shared" si="14"/>
        <v/>
      </c>
      <c r="BB17" s="334">
        <f t="shared" si="15"/>
        <v>0</v>
      </c>
      <c r="BC17" s="335">
        <f t="shared" si="16"/>
        <v>0</v>
      </c>
      <c r="BD17" s="336">
        <f t="shared" si="17"/>
        <v>0</v>
      </c>
      <c r="BI17" s="86" t="str">
        <f t="shared" si="18"/>
        <v/>
      </c>
      <c r="BJ17" s="86" t="str">
        <f t="shared" si="19"/>
        <v/>
      </c>
      <c r="BK17" s="86" t="str">
        <f t="shared" si="20"/>
        <v/>
      </c>
    </row>
    <row r="18" spans="1:63" customFormat="1" ht="31" customHeight="1">
      <c r="A18">
        <v>3</v>
      </c>
      <c r="B18" s="634"/>
      <c r="C18" s="697"/>
      <c r="D18" s="668"/>
      <c r="E18" s="699"/>
      <c r="F18" s="700"/>
      <c r="G18" s="322"/>
      <c r="H18" s="323" t="s">
        <v>240</v>
      </c>
      <c r="I18" s="324" t="s">
        <v>325</v>
      </c>
      <c r="J18" s="325" t="s">
        <v>240</v>
      </c>
      <c r="K18" s="59"/>
      <c r="L18" s="265" t="s">
        <v>240</v>
      </c>
      <c r="M18" s="326" t="str">
        <f>IFERROR(IF(I18="預設值Default",VLOOKUP($J18,'4.Default Emission Factor'!$D:$V,16,FALSE),"請填寫自訂活動數據單位Please fill in Custom Unit"),"請選擇預設排放係數名稱Please Choose Default Fuel or Greenhouse Gas")</f>
        <v>請選擇預設排放係數名稱Please Choose Default Fuel or Greenhouse Gas</v>
      </c>
      <c r="N18" s="235"/>
      <c r="O18" s="235"/>
      <c r="P18" s="23"/>
      <c r="Q18" s="23"/>
      <c r="R18" s="23"/>
      <c r="S18" s="23"/>
      <c r="T18" s="23"/>
      <c r="U18" s="23"/>
      <c r="V18" s="23"/>
      <c r="W18" s="198"/>
      <c r="X18" s="91"/>
      <c r="Y18" s="327" t="str">
        <f t="shared" si="0"/>
        <v/>
      </c>
      <c r="Z18" s="328" t="str">
        <f t="shared" si="1"/>
        <v/>
      </c>
      <c r="AA18" s="328" t="str">
        <f t="shared" si="2"/>
        <v/>
      </c>
      <c r="AB18" s="328" t="str">
        <f t="shared" si="3"/>
        <v/>
      </c>
      <c r="AC18" s="328" t="str">
        <f t="shared" si="4"/>
        <v/>
      </c>
      <c r="AD18" s="328" t="str">
        <f t="shared" si="5"/>
        <v/>
      </c>
      <c r="AE18" s="329" t="str">
        <f t="shared" si="6"/>
        <v/>
      </c>
      <c r="AF18" s="327">
        <f>IFERROR(IF($I18="預設值Default",ROUND(VLOOKUP($J18,'4.Default Emission Factor'!$D:$V,2,FALSE),10),IF($I18="自訂值Custom Value",P18,0)),0)</f>
        <v>0</v>
      </c>
      <c r="AG18" s="328">
        <f>IFERROR(IF($I18="預設值Default",ROUND(VLOOKUP($J18,'4.Default Emission Factor'!$D:$V,4,FALSE),10),IF($I18="自訂值Custom Value",Q18,0)),0)</f>
        <v>0</v>
      </c>
      <c r="AH18" s="328">
        <f>IFERROR(IF($I18="預設值Default",ROUND(VLOOKUP($J18,'4.Default Emission Factor'!$D:$V,6,FALSE),10),IF($I18="自訂值Custom Value",R18,0)),0)</f>
        <v>0</v>
      </c>
      <c r="AI18" s="328">
        <f>IFERROR(IF($I18="預設值Default",ROUND(VLOOKUP($J18,'4.Default Emission Factor'!$D:$V,8,FALSE),10),IF($I18="自訂值Custom Value",S18,0)),0)</f>
        <v>0</v>
      </c>
      <c r="AJ18" s="328">
        <f>IFERROR(IF($I18="預設值Default",ROUND(VLOOKUP($J18,'4.Default Emission Factor'!$D:$V,10,FALSE),10),IF($I18="自訂值Custom Value",T18,0)),0)</f>
        <v>0</v>
      </c>
      <c r="AK18" s="328">
        <f>IFERROR(IF($I18="預設值Default",ROUND(VLOOKUP($J18,'4.Default Emission Factor'!$D:$V,12,FALSE),10),IF($I18="自訂值Custom Value",U18,0)),0)</f>
        <v>0</v>
      </c>
      <c r="AL18" s="328">
        <f>IFERROR(IF($I18="預設值Default",ROUND(VLOOKUP($J18,'4.Default Emission Factor'!$D:$V,14,FALSE),10),IF($I18="自訂值Custom Value",V18,0)),0)</f>
        <v>0</v>
      </c>
      <c r="AM18" s="330" t="str">
        <f>IFERROR(IF(I18="預設值Default",VLOOKUP($J18,'4.Default Emission Factor'!$D:$V,17,FALSE),IF(I18="自訂值Custom Value",X18,"")),"")</f>
        <v/>
      </c>
      <c r="AN18" s="331">
        <f t="shared" si="7"/>
        <v>0</v>
      </c>
      <c r="AO18" s="332">
        <f>IF(Z18="V",IF('1.GHG Inventory Form'!$E$6="IPCC AR2 Report(1995)",'6.GWP'!$C$2,IF('1.GHG Inventory Form'!$E$6="IPCC AR3 Report(2001)",'6.GWP'!$D$2,IF('1.GHG Inventory Form'!$E$6="IPCC AR4 Report(2007)",'6.GWP'!$E$2,IF('1.GHG Inventory Form'!$E$6="IPCC AR5 Report(2013)",'6.GWP'!$F$2,IF('1.GHG Inventory Form'!$E$6="IPCC AR6 Report(2021)",'6.GWP'!$G$2,0))))),0)</f>
        <v>0</v>
      </c>
      <c r="AP18" s="332">
        <f>IF(AA18="V",IF('1.GHG Inventory Form'!$E$6="IPCC AR2 Report(1995)",'6.GWP'!$C$3,IF('1.GHG Inventory Form'!$E$6="IPCC AR3 Report(2001)",'6.GWP'!$D$3,IF('1.GHG Inventory Form'!$E$6="IPCC AR4 Report(2007)",'6.GWP'!$E$3,IF('1.GHG Inventory Form'!$E$6="IPCC AR5 Report(2013)",'6.GWP'!$F$3,IF('1.GHG Inventory Form'!$E$6="IPCC AR6 Report(2021)",'6.GWP'!$G$3,0))))),0)</f>
        <v>0</v>
      </c>
      <c r="AQ18" s="332">
        <f>IFERROR(IF(AND(AB18="V",$I18="預設值"),IF('1.GHG Inventory Form'!$E$6="IPCC AR2 Report(1995)",VLOOKUP($J18,'6.GWP'!$B$1:$G$173,2,FALSE),IF('1.GHG Inventory Form'!$E$6="IPCC AR3 Report(2001)",VLOOKUP($J18,'6.GWP'!$B$1:$G$173,3,FALSE),IF('1.GHG Inventory Form'!$E$6="IPCC AR4 Report(2007)",VLOOKUP($J18,'6.GWP'!$B$1:$G$173,4,FALSE),IF('1.GHG Inventory Form'!$E$6="IPCC AR5 Report(2013)",VLOOKUP($J18,'6.GWP'!$B$1:$G$173,5,FALSE),IF('1.GHG Inventory Form'!$E$6="IPCC AR6 Report(2021)",VLOOKUP($J18,'6.GWP'!$B$2:$G$173,6,FALSE),0))))),IF(AND(AB18="V",$I18="自訂值"),IF('1.GHG Inventory Form'!$E$6="IPCC AR2 Report(1995)",VLOOKUP($K18,'6.GWP'!$B$1:$G$173,2,FALSE),IF('1.GHG Inventory Form'!$E$6="IPCC AR3 Report(2001)",VLOOKUP($K18,'6.GWP'!$B$1:$G$173,3,FALSE),IF('1.GHG Inventory Form'!$E$6="IPCC AR4 Report(2007)",VLOOKUP($K18,'6.GWP'!$B$1:$G$173,4,FALSE),IF('1.GHG Inventory Form'!$E$6="IPCC AR5 Report(2013)",VLOOKUP($K18,'6.GWP'!$B$1:$G$173,5,FALSE),IF('1.GHG Inventory Form'!$E$6="IPCC AR6 Report(2021)",VLOOKUP($K18,'6.GWP'!$B$2:$G$173,6,FALSE),0))))),0)),0)</f>
        <v>0</v>
      </c>
      <c r="AR18" s="332">
        <f>IFERROR(IF(AND(AC18="V",$I18="預設值"),IF('1.GHG Inventory Form'!$E$6="IPCC AR2 Report(1995)",VLOOKUP($J18,'6.GWP'!$B$1:$G$173,2,FALSE),IF('1.GHG Inventory Form'!$E$6="IPCC AR3 Report(2001)",VLOOKUP($J18,'6.GWP'!$B$1:$G$173,3,FALSE),IF('1.GHG Inventory Form'!$E$6="IPCC AR4 Report(2007)",VLOOKUP($J18,'6.GWP'!$B$1:$G$173,4,FALSE),IF('1.GHG Inventory Form'!$E$6="IPCC AR5 Report(2013)",VLOOKUP($J18,'6.GWP'!$B$1:$G$173,5,FALSE),IF('1.GHG Inventory Form'!$E$6="IPCC AR6 Report(2021)",VLOOKUP($J18,'6.GWP'!$B$2:$G$173,6,FALSE),0))))),IF(AND(AC18="V",$I18="自訂值"),IF('1.GHG Inventory Form'!$E$6="IPCC AR2 Report(1995)",VLOOKUP($K18,'6.GWP'!$B$1:$G$173,2,FALSE),IF('1.GHG Inventory Form'!$E$6="IPCC AR3 Report(2001)",VLOOKUP($K18,'6.GWP'!$B$1:$G$173,3,FALSE),IF('1.GHG Inventory Form'!$E$6="IPCC AR4 Report(2007)",VLOOKUP($K18,'6.GWP'!$B$1:$G$173,4,FALSE),IF('1.GHG Inventory Form'!$E$6="IPCC AR5 Report(2013)",VLOOKUP($K18,'6.GWP'!$B$1:$G$173,5,FALSE),IF('1.GHG Inventory Form'!$E$6="IPCC AR6 Report(2021)",VLOOKUP($K18,'6.GWP'!$B$2:$G$173,6,FALSE),0))))),0)),0)</f>
        <v>0</v>
      </c>
      <c r="AS18" s="332">
        <f>IF(AD18="V",IF('1.GHG Inventory Form'!$E$6="IPCC AR2 Report(1995)",'6.GWP'!$C$5,IF('1.GHG Inventory Form'!$E$6="IPCC AR3 Report(2001)",'6.GWP'!$D$5,IF('1.GHG Inventory Form'!$E$6="IPCC AR4 Report(2007)",'6.GWP'!$E$5,IF('1.GHG Inventory Form'!$E$6="IPCC AR5 Report(2013)",'6.GWP'!$F$5,IF('1.GHG Inventory Form'!$E$6="IPCC AR6 Report(2021)",'6.GWP'!$G$5,0))))),0)</f>
        <v>0</v>
      </c>
      <c r="AT18" s="333">
        <f>IF(AE18="V",IF('1.GHG Inventory Form'!$E$6="IPCC AR2 Report(1995)",'6.GWP'!$C$4,IF('1.GHG Inventory Form'!$E$6="IPCC AR3 Report(2001)",'6.GWP'!$D$4,IF('1.GHG Inventory Form'!$E$6="IPCC AR4 Report(2007)",'6.GWP'!$E$4,IF('1.GHG Inventory Form'!$E$6="IPCC AR5 Report(2013)",'6.GWP'!$F$4,IF('1.GHG Inventory Form'!$E$6="IPCC AR6 Report(2021)",'6.GWP'!$G$4,0))))),0)</f>
        <v>0</v>
      </c>
      <c r="AU18" s="334" t="str">
        <f t="shared" si="8"/>
        <v/>
      </c>
      <c r="AV18" s="334" t="str">
        <f t="shared" si="9"/>
        <v/>
      </c>
      <c r="AW18" s="334" t="str">
        <f t="shared" si="10"/>
        <v/>
      </c>
      <c r="AX18" s="334" t="str">
        <f t="shared" si="11"/>
        <v/>
      </c>
      <c r="AY18" s="334" t="str">
        <f t="shared" si="12"/>
        <v/>
      </c>
      <c r="AZ18" s="334" t="str">
        <f t="shared" si="13"/>
        <v/>
      </c>
      <c r="BA18" s="334" t="str">
        <f t="shared" si="14"/>
        <v/>
      </c>
      <c r="BB18" s="334">
        <f t="shared" si="15"/>
        <v>0</v>
      </c>
      <c r="BC18" s="335">
        <f t="shared" si="16"/>
        <v>0</v>
      </c>
      <c r="BD18" s="336">
        <f t="shared" si="17"/>
        <v>0</v>
      </c>
      <c r="BI18" s="86" t="str">
        <f t="shared" si="18"/>
        <v/>
      </c>
      <c r="BJ18" s="86" t="str">
        <f t="shared" si="19"/>
        <v/>
      </c>
      <c r="BK18" s="86" t="str">
        <f t="shared" si="20"/>
        <v/>
      </c>
    </row>
    <row r="19" spans="1:63" customFormat="1" ht="40" customHeight="1">
      <c r="A19">
        <v>4</v>
      </c>
      <c r="B19" s="634"/>
      <c r="C19" s="697"/>
      <c r="D19" s="668"/>
      <c r="E19" s="699"/>
      <c r="F19" s="700"/>
      <c r="G19" s="322"/>
      <c r="H19" s="323" t="s">
        <v>240</v>
      </c>
      <c r="I19" s="324" t="s">
        <v>325</v>
      </c>
      <c r="J19" s="325" t="s">
        <v>240</v>
      </c>
      <c r="K19" s="59"/>
      <c r="L19" s="265" t="s">
        <v>240</v>
      </c>
      <c r="M19" s="326" t="str">
        <f>IFERROR(IF(I19="預設值Default",VLOOKUP($J19,'4.Default Emission Factor'!$D:$V,16,FALSE),"請填寫自訂活動數據單位Please fill in Custom Unit"),"請選擇預設排放係數名稱Please Choose Default Fuel or Greenhouse Gas")</f>
        <v>請選擇預設排放係數名稱Please Choose Default Fuel or Greenhouse Gas</v>
      </c>
      <c r="N19" s="235"/>
      <c r="O19" s="235"/>
      <c r="P19" s="23"/>
      <c r="Q19" s="23"/>
      <c r="R19" s="23"/>
      <c r="S19" s="23"/>
      <c r="T19" s="23"/>
      <c r="U19" s="23"/>
      <c r="V19" s="23"/>
      <c r="W19" s="198"/>
      <c r="X19" s="91"/>
      <c r="Y19" s="327" t="str">
        <f t="shared" si="0"/>
        <v/>
      </c>
      <c r="Z19" s="328" t="str">
        <f t="shared" si="1"/>
        <v/>
      </c>
      <c r="AA19" s="328" t="str">
        <f t="shared" si="2"/>
        <v/>
      </c>
      <c r="AB19" s="328" t="str">
        <f t="shared" si="3"/>
        <v/>
      </c>
      <c r="AC19" s="328" t="str">
        <f t="shared" si="4"/>
        <v/>
      </c>
      <c r="AD19" s="328" t="str">
        <f t="shared" si="5"/>
        <v/>
      </c>
      <c r="AE19" s="329" t="str">
        <f t="shared" si="6"/>
        <v/>
      </c>
      <c r="AF19" s="327">
        <f>IFERROR(IF($I19="預設值Default",ROUND(VLOOKUP($J19,'4.Default Emission Factor'!$D:$V,2,FALSE),10),IF($I19="自訂值Custom Value",P19,0)),0)</f>
        <v>0</v>
      </c>
      <c r="AG19" s="328">
        <f>IFERROR(IF($I19="預設值Default",ROUND(VLOOKUP($J19,'4.Default Emission Factor'!$D:$V,4,FALSE),10),IF($I19="自訂值Custom Value",Q19,0)),0)</f>
        <v>0</v>
      </c>
      <c r="AH19" s="328">
        <f>IFERROR(IF($I19="預設值Default",ROUND(VLOOKUP($J19,'4.Default Emission Factor'!$D:$V,6,FALSE),10),IF($I19="自訂值Custom Value",R19,0)),0)</f>
        <v>0</v>
      </c>
      <c r="AI19" s="328">
        <f>IFERROR(IF($I19="預設值Default",ROUND(VLOOKUP($J19,'4.Default Emission Factor'!$D:$V,8,FALSE),10),IF($I19="自訂值Custom Value",S19,0)),0)</f>
        <v>0</v>
      </c>
      <c r="AJ19" s="328">
        <f>IFERROR(IF($I19="預設值Default",ROUND(VLOOKUP($J19,'4.Default Emission Factor'!$D:$V,10,FALSE),10),IF($I19="自訂值Custom Value",T19,0)),0)</f>
        <v>0</v>
      </c>
      <c r="AK19" s="328">
        <f>IFERROR(IF($I19="預設值Default",ROUND(VLOOKUP($J19,'4.Default Emission Factor'!$D:$V,12,FALSE),10),IF($I19="自訂值Custom Value",U19,0)),0)</f>
        <v>0</v>
      </c>
      <c r="AL19" s="328">
        <f>IFERROR(IF($I19="預設值Default",ROUND(VLOOKUP($J19,'4.Default Emission Factor'!$D:$V,14,FALSE),10),IF($I19="自訂值Custom Value",V19,0)),0)</f>
        <v>0</v>
      </c>
      <c r="AM19" s="330" t="str">
        <f>IFERROR(IF(I19="預設值Default",VLOOKUP($J19,'4.Default Emission Factor'!$D:$V,17,FALSE),IF(I19="自訂值Custom Value",X19,"")),"")</f>
        <v/>
      </c>
      <c r="AN19" s="331">
        <f t="shared" si="7"/>
        <v>0</v>
      </c>
      <c r="AO19" s="332">
        <f>IF(Z19="V",IF('1.GHG Inventory Form'!$E$6="IPCC AR2 Report(1995)",'6.GWP'!$C$2,IF('1.GHG Inventory Form'!$E$6="IPCC AR3 Report(2001)",'6.GWP'!$D$2,IF('1.GHG Inventory Form'!$E$6="IPCC AR4 Report(2007)",'6.GWP'!$E$2,IF('1.GHG Inventory Form'!$E$6="IPCC AR5 Report(2013)",'6.GWP'!$F$2,IF('1.GHG Inventory Form'!$E$6="IPCC AR6 Report(2021)",'6.GWP'!$G$2,0))))),0)</f>
        <v>0</v>
      </c>
      <c r="AP19" s="332">
        <f>IF(AA19="V",IF('1.GHG Inventory Form'!$E$6="IPCC AR2 Report(1995)",'6.GWP'!$C$3,IF('1.GHG Inventory Form'!$E$6="IPCC AR3 Report(2001)",'6.GWP'!$D$3,IF('1.GHG Inventory Form'!$E$6="IPCC AR4 Report(2007)",'6.GWP'!$E$3,IF('1.GHG Inventory Form'!$E$6="IPCC AR5 Report(2013)",'6.GWP'!$F$3,IF('1.GHG Inventory Form'!$E$6="IPCC AR6 Report(2021)",'6.GWP'!$G$3,0))))),0)</f>
        <v>0</v>
      </c>
      <c r="AQ19" s="332">
        <f>IFERROR(IF(AND(AB19="V",$I19="預設值"),IF('1.GHG Inventory Form'!$E$6="IPCC AR2 Report(1995)",VLOOKUP($J19,'6.GWP'!$B$1:$G$173,2,FALSE),IF('1.GHG Inventory Form'!$E$6="IPCC AR3 Report(2001)",VLOOKUP($J19,'6.GWP'!$B$1:$G$173,3,FALSE),IF('1.GHG Inventory Form'!$E$6="IPCC AR4 Report(2007)",VLOOKUP($J19,'6.GWP'!$B$1:$G$173,4,FALSE),IF('1.GHG Inventory Form'!$E$6="IPCC AR5 Report(2013)",VLOOKUP($J19,'6.GWP'!$B$1:$G$173,5,FALSE),IF('1.GHG Inventory Form'!$E$6="IPCC AR6 Report(2021)",VLOOKUP($J19,'6.GWP'!$B$2:$G$173,6,FALSE),0))))),IF(AND(AB19="V",$I19="自訂值"),IF('1.GHG Inventory Form'!$E$6="IPCC AR2 Report(1995)",VLOOKUP($K19,'6.GWP'!$B$1:$G$173,2,FALSE),IF('1.GHG Inventory Form'!$E$6="IPCC AR3 Report(2001)",VLOOKUP($K19,'6.GWP'!$B$1:$G$173,3,FALSE),IF('1.GHG Inventory Form'!$E$6="IPCC AR4 Report(2007)",VLOOKUP($K19,'6.GWP'!$B$1:$G$173,4,FALSE),IF('1.GHG Inventory Form'!$E$6="IPCC AR5 Report(2013)",VLOOKUP($K19,'6.GWP'!$B$1:$G$173,5,FALSE),IF('1.GHG Inventory Form'!$E$6="IPCC AR6 Report(2021)",VLOOKUP($K19,'6.GWP'!$B$2:$G$173,6,FALSE),0))))),0)),0)</f>
        <v>0</v>
      </c>
      <c r="AR19" s="332">
        <f>IFERROR(IF(AND(AC19="V",$I19="預設值"),IF('1.GHG Inventory Form'!$E$6="IPCC AR2 Report(1995)",VLOOKUP($J19,'6.GWP'!$B$1:$G$173,2,FALSE),IF('1.GHG Inventory Form'!$E$6="IPCC AR3 Report(2001)",VLOOKUP($J19,'6.GWP'!$B$1:$G$173,3,FALSE),IF('1.GHG Inventory Form'!$E$6="IPCC AR4 Report(2007)",VLOOKUP($J19,'6.GWP'!$B$1:$G$173,4,FALSE),IF('1.GHG Inventory Form'!$E$6="IPCC AR5 Report(2013)",VLOOKUP($J19,'6.GWP'!$B$1:$G$173,5,FALSE),IF('1.GHG Inventory Form'!$E$6="IPCC AR6 Report(2021)",VLOOKUP($J19,'6.GWP'!$B$2:$G$173,6,FALSE),0))))),IF(AND(AC19="V",$I19="自訂值"),IF('1.GHG Inventory Form'!$E$6="IPCC AR2 Report(1995)",VLOOKUP($K19,'6.GWP'!$B$1:$G$173,2,FALSE),IF('1.GHG Inventory Form'!$E$6="IPCC AR3 Report(2001)",VLOOKUP($K19,'6.GWP'!$B$1:$G$173,3,FALSE),IF('1.GHG Inventory Form'!$E$6="IPCC AR4 Report(2007)",VLOOKUP($K19,'6.GWP'!$B$1:$G$173,4,FALSE),IF('1.GHG Inventory Form'!$E$6="IPCC AR5 Report(2013)",VLOOKUP($K19,'6.GWP'!$B$1:$G$173,5,FALSE),IF('1.GHG Inventory Form'!$E$6="IPCC AR6 Report(2021)",VLOOKUP($K19,'6.GWP'!$B$2:$G$173,6,FALSE),0))))),0)),0)</f>
        <v>0</v>
      </c>
      <c r="AS19" s="332">
        <f>IF(AD19="V",IF('1.GHG Inventory Form'!$E$6="IPCC AR2 Report(1995)",'6.GWP'!$C$5,IF('1.GHG Inventory Form'!$E$6="IPCC AR3 Report(2001)",'6.GWP'!$D$5,IF('1.GHG Inventory Form'!$E$6="IPCC AR4 Report(2007)",'6.GWP'!$E$5,IF('1.GHG Inventory Form'!$E$6="IPCC AR5 Report(2013)",'6.GWP'!$F$5,IF('1.GHG Inventory Form'!$E$6="IPCC AR6 Report(2021)",'6.GWP'!$G$5,0))))),0)</f>
        <v>0</v>
      </c>
      <c r="AT19" s="333">
        <f>IF(AE19="V",IF('1.GHG Inventory Form'!$E$6="IPCC AR2 Report(1995)",'6.GWP'!$C$4,IF('1.GHG Inventory Form'!$E$6="IPCC AR3 Report(2001)",'6.GWP'!$D$4,IF('1.GHG Inventory Form'!$E$6="IPCC AR4 Report(2007)",'6.GWP'!$E$4,IF('1.GHG Inventory Form'!$E$6="IPCC AR5 Report(2013)",'6.GWP'!$F$4,IF('1.GHG Inventory Form'!$E$6="IPCC AR6 Report(2021)",'6.GWP'!$G$4,0))))),0)</f>
        <v>0</v>
      </c>
      <c r="AU19" s="334" t="str">
        <f t="shared" si="8"/>
        <v/>
      </c>
      <c r="AV19" s="334" t="str">
        <f t="shared" si="9"/>
        <v/>
      </c>
      <c r="AW19" s="334" t="str">
        <f t="shared" si="10"/>
        <v/>
      </c>
      <c r="AX19" s="334" t="str">
        <f t="shared" si="11"/>
        <v/>
      </c>
      <c r="AY19" s="334" t="str">
        <f t="shared" si="12"/>
        <v/>
      </c>
      <c r="AZ19" s="334" t="str">
        <f t="shared" si="13"/>
        <v/>
      </c>
      <c r="BA19" s="334" t="str">
        <f t="shared" si="14"/>
        <v/>
      </c>
      <c r="BB19" s="334">
        <f t="shared" si="15"/>
        <v>0</v>
      </c>
      <c r="BC19" s="335">
        <f t="shared" si="16"/>
        <v>0</v>
      </c>
      <c r="BD19" s="336">
        <f t="shared" si="17"/>
        <v>0</v>
      </c>
      <c r="BI19" s="86" t="str">
        <f t="shared" si="18"/>
        <v/>
      </c>
      <c r="BJ19" s="86" t="str">
        <f t="shared" si="19"/>
        <v/>
      </c>
      <c r="BK19" s="86" t="str">
        <f t="shared" si="20"/>
        <v/>
      </c>
    </row>
    <row r="20" spans="1:63" customFormat="1" ht="38.5" customHeight="1">
      <c r="A20">
        <v>5</v>
      </c>
      <c r="B20" s="634"/>
      <c r="C20" s="697"/>
      <c r="D20" s="668"/>
      <c r="E20" s="699"/>
      <c r="F20" s="700"/>
      <c r="G20" s="322"/>
      <c r="H20" s="323" t="s">
        <v>240</v>
      </c>
      <c r="I20" s="324" t="s">
        <v>325</v>
      </c>
      <c r="J20" s="325" t="s">
        <v>240</v>
      </c>
      <c r="K20" s="59"/>
      <c r="L20" s="265" t="s">
        <v>240</v>
      </c>
      <c r="M20" s="326" t="str">
        <f>IFERROR(IF(I20="預設值Default",VLOOKUP($J20,'4.Default Emission Factor'!$D:$V,16,FALSE),"請填寫自訂活動數據單位Please fill in Custom Unit"),"請選擇預設排放係數名稱Please Choose Default Fuel or Greenhouse Gas")</f>
        <v>請選擇預設排放係數名稱Please Choose Default Fuel or Greenhouse Gas</v>
      </c>
      <c r="N20" s="235"/>
      <c r="O20" s="235"/>
      <c r="P20" s="23"/>
      <c r="Q20" s="23"/>
      <c r="R20" s="23"/>
      <c r="S20" s="23"/>
      <c r="T20" s="23"/>
      <c r="U20" s="23"/>
      <c r="V20" s="23"/>
      <c r="W20" s="198"/>
      <c r="X20" s="91"/>
      <c r="Y20" s="327" t="str">
        <f t="shared" si="0"/>
        <v/>
      </c>
      <c r="Z20" s="328" t="str">
        <f t="shared" si="1"/>
        <v/>
      </c>
      <c r="AA20" s="328" t="str">
        <f t="shared" si="2"/>
        <v/>
      </c>
      <c r="AB20" s="328" t="str">
        <f t="shared" si="3"/>
        <v/>
      </c>
      <c r="AC20" s="328" t="str">
        <f t="shared" si="4"/>
        <v/>
      </c>
      <c r="AD20" s="328" t="str">
        <f t="shared" si="5"/>
        <v/>
      </c>
      <c r="AE20" s="329" t="str">
        <f t="shared" si="6"/>
        <v/>
      </c>
      <c r="AF20" s="327">
        <f>IFERROR(IF($I20="預設值Default",ROUND(VLOOKUP($J20,'4.Default Emission Factor'!$D:$V,2,FALSE),10),IF($I20="自訂值Custom Value",P20,0)),0)</f>
        <v>0</v>
      </c>
      <c r="AG20" s="328">
        <f>IFERROR(IF($I20="預設值Default",ROUND(VLOOKUP($J20,'4.Default Emission Factor'!$D:$V,4,FALSE),10),IF($I20="自訂值Custom Value",Q20,0)),0)</f>
        <v>0</v>
      </c>
      <c r="AH20" s="328">
        <f>IFERROR(IF($I20="預設值Default",ROUND(VLOOKUP($J20,'4.Default Emission Factor'!$D:$V,6,FALSE),10),IF($I20="自訂值Custom Value",R20,0)),0)</f>
        <v>0</v>
      </c>
      <c r="AI20" s="328">
        <f>IFERROR(IF($I20="預設值Default",ROUND(VLOOKUP($J20,'4.Default Emission Factor'!$D:$V,8,FALSE),10),IF($I20="自訂值Custom Value",S20,0)),0)</f>
        <v>0</v>
      </c>
      <c r="AJ20" s="328">
        <f>IFERROR(IF($I20="預設值Default",ROUND(VLOOKUP($J20,'4.Default Emission Factor'!$D:$V,10,FALSE),10),IF($I20="自訂值Custom Value",T20,0)),0)</f>
        <v>0</v>
      </c>
      <c r="AK20" s="328">
        <f>IFERROR(IF($I20="預設值Default",ROUND(VLOOKUP($J20,'4.Default Emission Factor'!$D:$V,12,FALSE),10),IF($I20="自訂值Custom Value",U20,0)),0)</f>
        <v>0</v>
      </c>
      <c r="AL20" s="328">
        <f>IFERROR(IF($I20="預設值Default",ROUND(VLOOKUP($J20,'4.Default Emission Factor'!$D:$V,14,FALSE),10),IF($I20="自訂值Custom Value",V20,0)),0)</f>
        <v>0</v>
      </c>
      <c r="AM20" s="330" t="str">
        <f>IFERROR(IF(I20="預設值Default",VLOOKUP($J20,'4.Default Emission Factor'!$D:$V,17,FALSE),IF(I20="自訂值Custom Value",X20,"")),"")</f>
        <v/>
      </c>
      <c r="AN20" s="331">
        <f t="shared" si="7"/>
        <v>0</v>
      </c>
      <c r="AO20" s="332">
        <f>IF(Z20="V",IF('1.GHG Inventory Form'!$E$6="IPCC AR2 Report(1995)",'6.GWP'!$C$2,IF('1.GHG Inventory Form'!$E$6="IPCC AR3 Report(2001)",'6.GWP'!$D$2,IF('1.GHG Inventory Form'!$E$6="IPCC AR4 Report(2007)",'6.GWP'!$E$2,IF('1.GHG Inventory Form'!$E$6="IPCC AR5 Report(2013)",'6.GWP'!$F$2,IF('1.GHG Inventory Form'!$E$6="IPCC AR6 Report(2021)",'6.GWP'!$G$2,0))))),0)</f>
        <v>0</v>
      </c>
      <c r="AP20" s="332">
        <f>IF(AA20="V",IF('1.GHG Inventory Form'!$E$6="IPCC AR2 Report(1995)",'6.GWP'!$C$3,IF('1.GHG Inventory Form'!$E$6="IPCC AR3 Report(2001)",'6.GWP'!$D$3,IF('1.GHG Inventory Form'!$E$6="IPCC AR4 Report(2007)",'6.GWP'!$E$3,IF('1.GHG Inventory Form'!$E$6="IPCC AR5 Report(2013)",'6.GWP'!$F$3,IF('1.GHG Inventory Form'!$E$6="IPCC AR6 Report(2021)",'6.GWP'!$G$3,0))))),0)</f>
        <v>0</v>
      </c>
      <c r="AQ20" s="332">
        <f>IFERROR(IF(AND(AB20="V",$I20="預設值"),IF('1.GHG Inventory Form'!$E$6="IPCC AR2 Report(1995)",VLOOKUP($J20,'6.GWP'!$B$1:$G$173,2,FALSE),IF('1.GHG Inventory Form'!$E$6="IPCC AR3 Report(2001)",VLOOKUP($J20,'6.GWP'!$B$1:$G$173,3,FALSE),IF('1.GHG Inventory Form'!$E$6="IPCC AR4 Report(2007)",VLOOKUP($J20,'6.GWP'!$B$1:$G$173,4,FALSE),IF('1.GHG Inventory Form'!$E$6="IPCC AR5 Report(2013)",VLOOKUP($J20,'6.GWP'!$B$1:$G$173,5,FALSE),IF('1.GHG Inventory Form'!$E$6="IPCC AR6 Report(2021)",VLOOKUP($J20,'6.GWP'!$B$2:$G$173,6,FALSE),0))))),IF(AND(AB20="V",$I20="自訂值"),IF('1.GHG Inventory Form'!$E$6="IPCC AR2 Report(1995)",VLOOKUP($K20,'6.GWP'!$B$1:$G$173,2,FALSE),IF('1.GHG Inventory Form'!$E$6="IPCC AR3 Report(2001)",VLOOKUP($K20,'6.GWP'!$B$1:$G$173,3,FALSE),IF('1.GHG Inventory Form'!$E$6="IPCC AR4 Report(2007)",VLOOKUP($K20,'6.GWP'!$B$1:$G$173,4,FALSE),IF('1.GHG Inventory Form'!$E$6="IPCC AR5 Report(2013)",VLOOKUP($K20,'6.GWP'!$B$1:$G$173,5,FALSE),IF('1.GHG Inventory Form'!$E$6="IPCC AR6 Report(2021)",VLOOKUP($K20,'6.GWP'!$B$2:$G$173,6,FALSE),0))))),0)),0)</f>
        <v>0</v>
      </c>
      <c r="AR20" s="332">
        <f>IFERROR(IF(AND(AC20="V",$I20="預設值"),IF('1.GHG Inventory Form'!$E$6="IPCC AR2 Report(1995)",VLOOKUP($J20,'6.GWP'!$B$1:$G$173,2,FALSE),IF('1.GHG Inventory Form'!$E$6="IPCC AR3 Report(2001)",VLOOKUP($J20,'6.GWP'!$B$1:$G$173,3,FALSE),IF('1.GHG Inventory Form'!$E$6="IPCC AR4 Report(2007)",VLOOKUP($J20,'6.GWP'!$B$1:$G$173,4,FALSE),IF('1.GHG Inventory Form'!$E$6="IPCC AR5 Report(2013)",VLOOKUP($J20,'6.GWP'!$B$1:$G$173,5,FALSE),IF('1.GHG Inventory Form'!$E$6="IPCC AR6 Report(2021)",VLOOKUP($J20,'6.GWP'!$B$2:$G$173,6,FALSE),0))))),IF(AND(AC20="V",$I20="自訂值"),IF('1.GHG Inventory Form'!$E$6="IPCC AR2 Report(1995)",VLOOKUP($K20,'6.GWP'!$B$1:$G$173,2,FALSE),IF('1.GHG Inventory Form'!$E$6="IPCC AR3 Report(2001)",VLOOKUP($K20,'6.GWP'!$B$1:$G$173,3,FALSE),IF('1.GHG Inventory Form'!$E$6="IPCC AR4 Report(2007)",VLOOKUP($K20,'6.GWP'!$B$1:$G$173,4,FALSE),IF('1.GHG Inventory Form'!$E$6="IPCC AR5 Report(2013)",VLOOKUP($K20,'6.GWP'!$B$1:$G$173,5,FALSE),IF('1.GHG Inventory Form'!$E$6="IPCC AR6 Report(2021)",VLOOKUP($K20,'6.GWP'!$B$2:$G$173,6,FALSE),0))))),0)),0)</f>
        <v>0</v>
      </c>
      <c r="AS20" s="332">
        <f>IF(AD20="V",IF('1.GHG Inventory Form'!$E$6="IPCC AR2 Report(1995)",'6.GWP'!$C$5,IF('1.GHG Inventory Form'!$E$6="IPCC AR3 Report(2001)",'6.GWP'!$D$5,IF('1.GHG Inventory Form'!$E$6="IPCC AR4 Report(2007)",'6.GWP'!$E$5,IF('1.GHG Inventory Form'!$E$6="IPCC AR5 Report(2013)",'6.GWP'!$F$5,IF('1.GHG Inventory Form'!$E$6="IPCC AR6 Report(2021)",'6.GWP'!$G$5,0))))),0)</f>
        <v>0</v>
      </c>
      <c r="AT20" s="333">
        <f>IF(AE20="V",IF('1.GHG Inventory Form'!$E$6="IPCC AR2 Report(1995)",'6.GWP'!$C$4,IF('1.GHG Inventory Form'!$E$6="IPCC AR3 Report(2001)",'6.GWP'!$D$4,IF('1.GHG Inventory Form'!$E$6="IPCC AR4 Report(2007)",'6.GWP'!$E$4,IF('1.GHG Inventory Form'!$E$6="IPCC AR5 Report(2013)",'6.GWP'!$F$4,IF('1.GHG Inventory Form'!$E$6="IPCC AR6 Report(2021)",'6.GWP'!$G$4,0))))),0)</f>
        <v>0</v>
      </c>
      <c r="AU20" s="334" t="str">
        <f t="shared" si="8"/>
        <v/>
      </c>
      <c r="AV20" s="334" t="str">
        <f t="shared" si="9"/>
        <v/>
      </c>
      <c r="AW20" s="334" t="str">
        <f t="shared" si="10"/>
        <v/>
      </c>
      <c r="AX20" s="334" t="str">
        <f t="shared" si="11"/>
        <v/>
      </c>
      <c r="AY20" s="334" t="str">
        <f t="shared" si="12"/>
        <v/>
      </c>
      <c r="AZ20" s="334" t="str">
        <f t="shared" si="13"/>
        <v/>
      </c>
      <c r="BA20" s="334" t="str">
        <f t="shared" si="14"/>
        <v/>
      </c>
      <c r="BB20" s="334">
        <f t="shared" si="15"/>
        <v>0</v>
      </c>
      <c r="BC20" s="335">
        <f t="shared" si="16"/>
        <v>0</v>
      </c>
      <c r="BD20" s="336">
        <f t="shared" si="17"/>
        <v>0</v>
      </c>
      <c r="BI20" s="86" t="str">
        <f t="shared" si="18"/>
        <v/>
      </c>
      <c r="BJ20" s="86" t="str">
        <f t="shared" si="19"/>
        <v/>
      </c>
      <c r="BK20" s="86" t="str">
        <f t="shared" si="20"/>
        <v/>
      </c>
    </row>
    <row r="21" spans="1:63" customFormat="1" ht="31" customHeight="1">
      <c r="A21">
        <v>6</v>
      </c>
      <c r="B21" s="634"/>
      <c r="C21" s="697"/>
      <c r="D21" s="668"/>
      <c r="E21" s="699"/>
      <c r="F21" s="700"/>
      <c r="G21" s="322"/>
      <c r="H21" s="323" t="s">
        <v>240</v>
      </c>
      <c r="I21" s="324" t="s">
        <v>325</v>
      </c>
      <c r="J21" s="325" t="s">
        <v>240</v>
      </c>
      <c r="K21" s="59"/>
      <c r="L21" s="265" t="s">
        <v>240</v>
      </c>
      <c r="M21" s="326" t="str">
        <f>IFERROR(IF(I21="預設值Default",VLOOKUP($J21,'4.Default Emission Factor'!$D:$V,16,FALSE),"請填寫自訂活動數據單位Please fill in Custom Unit"),"請選擇預設排放係數名稱Please Choose Default Fuel or Greenhouse Gas")</f>
        <v>請選擇預設排放係數名稱Please Choose Default Fuel or Greenhouse Gas</v>
      </c>
      <c r="N21" s="235"/>
      <c r="O21" s="235"/>
      <c r="P21" s="23"/>
      <c r="Q21" s="23"/>
      <c r="R21" s="23"/>
      <c r="S21" s="23"/>
      <c r="T21" s="23"/>
      <c r="U21" s="23"/>
      <c r="V21" s="23"/>
      <c r="W21" s="198"/>
      <c r="X21" s="91"/>
      <c r="Y21" s="327" t="str">
        <f t="shared" si="0"/>
        <v/>
      </c>
      <c r="Z21" s="328" t="str">
        <f t="shared" si="1"/>
        <v/>
      </c>
      <c r="AA21" s="328" t="str">
        <f t="shared" si="2"/>
        <v/>
      </c>
      <c r="AB21" s="328" t="str">
        <f t="shared" si="3"/>
        <v/>
      </c>
      <c r="AC21" s="328" t="str">
        <f t="shared" si="4"/>
        <v/>
      </c>
      <c r="AD21" s="328" t="str">
        <f t="shared" si="5"/>
        <v/>
      </c>
      <c r="AE21" s="329" t="str">
        <f t="shared" si="6"/>
        <v/>
      </c>
      <c r="AF21" s="327">
        <f>IFERROR(IF($I21="預設值Default",ROUND(VLOOKUP($J21,'4.Default Emission Factor'!$D:$V,2,FALSE),10),IF($I21="自訂值Custom Value",P21,0)),0)</f>
        <v>0</v>
      </c>
      <c r="AG21" s="328">
        <f>IFERROR(IF($I21="預設值Default",ROUND(VLOOKUP($J21,'4.Default Emission Factor'!$D:$V,4,FALSE),10),IF($I21="自訂值Custom Value",Q21,0)),0)</f>
        <v>0</v>
      </c>
      <c r="AH21" s="328">
        <f>IFERROR(IF($I21="預設值Default",ROUND(VLOOKUP($J21,'4.Default Emission Factor'!$D:$V,6,FALSE),10),IF($I21="自訂值Custom Value",R21,0)),0)</f>
        <v>0</v>
      </c>
      <c r="AI21" s="328">
        <f>IFERROR(IF($I21="預設值Default",ROUND(VLOOKUP($J21,'4.Default Emission Factor'!$D:$V,8,FALSE),10),IF($I21="自訂值Custom Value",S21,0)),0)</f>
        <v>0</v>
      </c>
      <c r="AJ21" s="328">
        <f>IFERROR(IF($I21="預設值Default",ROUND(VLOOKUP($J21,'4.Default Emission Factor'!$D:$V,10,FALSE),10),IF($I21="自訂值Custom Value",T21,0)),0)</f>
        <v>0</v>
      </c>
      <c r="AK21" s="328">
        <f>IFERROR(IF($I21="預設值Default",ROUND(VLOOKUP($J21,'4.Default Emission Factor'!$D:$V,12,FALSE),10),IF($I21="自訂值Custom Value",U21,0)),0)</f>
        <v>0</v>
      </c>
      <c r="AL21" s="328">
        <f>IFERROR(IF($I21="預設值Default",ROUND(VLOOKUP($J21,'4.Default Emission Factor'!$D:$V,14,FALSE),10),IF($I21="自訂值Custom Value",V21,0)),0)</f>
        <v>0</v>
      </c>
      <c r="AM21" s="330" t="str">
        <f>IFERROR(IF(I21="預設值Default",VLOOKUP($J21,'4.Default Emission Factor'!$D:$V,17,FALSE),IF(I21="自訂值Custom Value",X21,"")),"")</f>
        <v/>
      </c>
      <c r="AN21" s="331">
        <f t="shared" si="7"/>
        <v>0</v>
      </c>
      <c r="AO21" s="332">
        <f>IF(Z21="V",IF('1.GHG Inventory Form'!$E$6="IPCC AR2 Report(1995)",'6.GWP'!$C$2,IF('1.GHG Inventory Form'!$E$6="IPCC AR3 Report(2001)",'6.GWP'!$D$2,IF('1.GHG Inventory Form'!$E$6="IPCC AR4 Report(2007)",'6.GWP'!$E$2,IF('1.GHG Inventory Form'!$E$6="IPCC AR5 Report(2013)",'6.GWP'!$F$2,IF('1.GHG Inventory Form'!$E$6="IPCC AR6 Report(2021)",'6.GWP'!$G$2,0))))),0)</f>
        <v>0</v>
      </c>
      <c r="AP21" s="332">
        <f>IF(AA21="V",IF('1.GHG Inventory Form'!$E$6="IPCC AR2 Report(1995)",'6.GWP'!$C$3,IF('1.GHG Inventory Form'!$E$6="IPCC AR3 Report(2001)",'6.GWP'!$D$3,IF('1.GHG Inventory Form'!$E$6="IPCC AR4 Report(2007)",'6.GWP'!$E$3,IF('1.GHG Inventory Form'!$E$6="IPCC AR5 Report(2013)",'6.GWP'!$F$3,IF('1.GHG Inventory Form'!$E$6="IPCC AR6 Report(2021)",'6.GWP'!$G$3,0))))),0)</f>
        <v>0</v>
      </c>
      <c r="AQ21" s="332">
        <f>IFERROR(IF(AND(AB21="V",$I21="預設值"),IF('1.GHG Inventory Form'!$E$6="IPCC AR2 Report(1995)",VLOOKUP($J21,'6.GWP'!$B$1:$G$173,2,FALSE),IF('1.GHG Inventory Form'!$E$6="IPCC AR3 Report(2001)",VLOOKUP($J21,'6.GWP'!$B$1:$G$173,3,FALSE),IF('1.GHG Inventory Form'!$E$6="IPCC AR4 Report(2007)",VLOOKUP($J21,'6.GWP'!$B$1:$G$173,4,FALSE),IF('1.GHG Inventory Form'!$E$6="IPCC AR5 Report(2013)",VLOOKUP($J21,'6.GWP'!$B$1:$G$173,5,FALSE),IF('1.GHG Inventory Form'!$E$6="IPCC AR6 Report(2021)",VLOOKUP($J21,'6.GWP'!$B$2:$G$173,6,FALSE),0))))),IF(AND(AB21="V",$I21="自訂值"),IF('1.GHG Inventory Form'!$E$6="IPCC AR2 Report(1995)",VLOOKUP($K21,'6.GWP'!$B$1:$G$173,2,FALSE),IF('1.GHG Inventory Form'!$E$6="IPCC AR3 Report(2001)",VLOOKUP($K21,'6.GWP'!$B$1:$G$173,3,FALSE),IF('1.GHG Inventory Form'!$E$6="IPCC AR4 Report(2007)",VLOOKUP($K21,'6.GWP'!$B$1:$G$173,4,FALSE),IF('1.GHG Inventory Form'!$E$6="IPCC AR5 Report(2013)",VLOOKUP($K21,'6.GWP'!$B$1:$G$173,5,FALSE),IF('1.GHG Inventory Form'!$E$6="IPCC AR6 Report(2021)",VLOOKUP($K21,'6.GWP'!$B$2:$G$173,6,FALSE),0))))),0)),0)</f>
        <v>0</v>
      </c>
      <c r="AR21" s="332">
        <f>IFERROR(IF(AND(AC21="V",$I21="預設值"),IF('1.GHG Inventory Form'!$E$6="IPCC AR2 Report(1995)",VLOOKUP($J21,'6.GWP'!$B$1:$G$173,2,FALSE),IF('1.GHG Inventory Form'!$E$6="IPCC AR3 Report(2001)",VLOOKUP($J21,'6.GWP'!$B$1:$G$173,3,FALSE),IF('1.GHG Inventory Form'!$E$6="IPCC AR4 Report(2007)",VLOOKUP($J21,'6.GWP'!$B$1:$G$173,4,FALSE),IF('1.GHG Inventory Form'!$E$6="IPCC AR5 Report(2013)",VLOOKUP($J21,'6.GWP'!$B$1:$G$173,5,FALSE),IF('1.GHG Inventory Form'!$E$6="IPCC AR6 Report(2021)",VLOOKUP($J21,'6.GWP'!$B$2:$G$173,6,FALSE),0))))),IF(AND(AC21="V",$I21="自訂值"),IF('1.GHG Inventory Form'!$E$6="IPCC AR2 Report(1995)",VLOOKUP($K21,'6.GWP'!$B$1:$G$173,2,FALSE),IF('1.GHG Inventory Form'!$E$6="IPCC AR3 Report(2001)",VLOOKUP($K21,'6.GWP'!$B$1:$G$173,3,FALSE),IF('1.GHG Inventory Form'!$E$6="IPCC AR4 Report(2007)",VLOOKUP($K21,'6.GWP'!$B$1:$G$173,4,FALSE),IF('1.GHG Inventory Form'!$E$6="IPCC AR5 Report(2013)",VLOOKUP($K21,'6.GWP'!$B$1:$G$173,5,FALSE),IF('1.GHG Inventory Form'!$E$6="IPCC AR6 Report(2021)",VLOOKUP($K21,'6.GWP'!$B$2:$G$173,6,FALSE),0))))),0)),0)</f>
        <v>0</v>
      </c>
      <c r="AS21" s="332">
        <f>IF(AD21="V",IF('1.GHG Inventory Form'!$E$6="IPCC AR2 Report(1995)",'6.GWP'!$C$5,IF('1.GHG Inventory Form'!$E$6="IPCC AR3 Report(2001)",'6.GWP'!$D$5,IF('1.GHG Inventory Form'!$E$6="IPCC AR4 Report(2007)",'6.GWP'!$E$5,IF('1.GHG Inventory Form'!$E$6="IPCC AR5 Report(2013)",'6.GWP'!$F$5,IF('1.GHG Inventory Form'!$E$6="IPCC AR6 Report(2021)",'6.GWP'!$G$5,0))))),0)</f>
        <v>0</v>
      </c>
      <c r="AT21" s="333">
        <f>IF(AE21="V",IF('1.GHG Inventory Form'!$E$6="IPCC AR2 Report(1995)",'6.GWP'!$C$4,IF('1.GHG Inventory Form'!$E$6="IPCC AR3 Report(2001)",'6.GWP'!$D$4,IF('1.GHG Inventory Form'!$E$6="IPCC AR4 Report(2007)",'6.GWP'!$E$4,IF('1.GHG Inventory Form'!$E$6="IPCC AR5 Report(2013)",'6.GWP'!$F$4,IF('1.GHG Inventory Form'!$E$6="IPCC AR6 Report(2021)",'6.GWP'!$G$4,0))))),0)</f>
        <v>0</v>
      </c>
      <c r="AU21" s="334" t="str">
        <f t="shared" si="8"/>
        <v/>
      </c>
      <c r="AV21" s="334" t="str">
        <f t="shared" si="9"/>
        <v/>
      </c>
      <c r="AW21" s="334" t="str">
        <f t="shared" si="10"/>
        <v/>
      </c>
      <c r="AX21" s="334" t="str">
        <f t="shared" si="11"/>
        <v/>
      </c>
      <c r="AY21" s="334" t="str">
        <f t="shared" si="12"/>
        <v/>
      </c>
      <c r="AZ21" s="334" t="str">
        <f t="shared" si="13"/>
        <v/>
      </c>
      <c r="BA21" s="334" t="str">
        <f t="shared" si="14"/>
        <v/>
      </c>
      <c r="BB21" s="334">
        <f t="shared" si="15"/>
        <v>0</v>
      </c>
      <c r="BC21" s="335">
        <f t="shared" si="16"/>
        <v>0</v>
      </c>
      <c r="BD21" s="336">
        <f t="shared" si="17"/>
        <v>0</v>
      </c>
      <c r="BI21" s="86" t="str">
        <f t="shared" si="18"/>
        <v/>
      </c>
      <c r="BJ21" s="86" t="str">
        <f t="shared" si="19"/>
        <v/>
      </c>
      <c r="BK21" s="86" t="str">
        <f t="shared" si="20"/>
        <v/>
      </c>
    </row>
    <row r="22" spans="1:63" customFormat="1" ht="35" customHeight="1">
      <c r="A22">
        <v>7</v>
      </c>
      <c r="B22" s="634"/>
      <c r="C22" s="697"/>
      <c r="D22" s="668"/>
      <c r="E22" s="699"/>
      <c r="F22" s="700"/>
      <c r="G22" s="322"/>
      <c r="H22" s="323" t="s">
        <v>240</v>
      </c>
      <c r="I22" s="324" t="s">
        <v>325</v>
      </c>
      <c r="J22" s="325" t="s">
        <v>240</v>
      </c>
      <c r="K22" s="59"/>
      <c r="L22" s="265" t="s">
        <v>240</v>
      </c>
      <c r="M22" s="326" t="str">
        <f>IFERROR(IF(I22="預設值Default",VLOOKUP($J22,'4.Default Emission Factor'!$D:$V,16,FALSE),"請填寫自訂活動數據單位Please fill in Custom Unit"),"請選擇預設排放係數名稱Please Choose Default Fuel or Greenhouse Gas")</f>
        <v>請選擇預設排放係數名稱Please Choose Default Fuel or Greenhouse Gas</v>
      </c>
      <c r="N22" s="235"/>
      <c r="O22" s="235"/>
      <c r="P22" s="23"/>
      <c r="Q22" s="23"/>
      <c r="R22" s="23"/>
      <c r="S22" s="23"/>
      <c r="T22" s="23"/>
      <c r="U22" s="23"/>
      <c r="V22" s="23"/>
      <c r="W22" s="198"/>
      <c r="X22" s="91"/>
      <c r="Y22" s="327" t="str">
        <f t="shared" si="0"/>
        <v/>
      </c>
      <c r="Z22" s="328" t="str">
        <f t="shared" si="1"/>
        <v/>
      </c>
      <c r="AA22" s="328" t="str">
        <f t="shared" si="2"/>
        <v/>
      </c>
      <c r="AB22" s="328" t="str">
        <f t="shared" si="3"/>
        <v/>
      </c>
      <c r="AC22" s="328" t="str">
        <f t="shared" si="4"/>
        <v/>
      </c>
      <c r="AD22" s="328" t="str">
        <f t="shared" si="5"/>
        <v/>
      </c>
      <c r="AE22" s="329" t="str">
        <f t="shared" si="6"/>
        <v/>
      </c>
      <c r="AF22" s="327">
        <f>IFERROR(IF($I22="預設值Default",ROUND(VLOOKUP($J22,'4.Default Emission Factor'!$D:$V,2,FALSE),10),IF($I22="自訂值Custom Value",P22,0)),0)</f>
        <v>0</v>
      </c>
      <c r="AG22" s="328">
        <f>IFERROR(IF($I22="預設值Default",ROUND(VLOOKUP($J22,'4.Default Emission Factor'!$D:$V,4,FALSE),10),IF($I22="自訂值Custom Value",Q22,0)),0)</f>
        <v>0</v>
      </c>
      <c r="AH22" s="328">
        <f>IFERROR(IF($I22="預設值Default",ROUND(VLOOKUP($J22,'4.Default Emission Factor'!$D:$V,6,FALSE),10),IF($I22="自訂值Custom Value",R22,0)),0)</f>
        <v>0</v>
      </c>
      <c r="AI22" s="328">
        <f>IFERROR(IF($I22="預設值Default",ROUND(VLOOKUP($J22,'4.Default Emission Factor'!$D:$V,8,FALSE),10),IF($I22="自訂值Custom Value",S22,0)),0)</f>
        <v>0</v>
      </c>
      <c r="AJ22" s="328">
        <f>IFERROR(IF($I22="預設值Default",ROUND(VLOOKUP($J22,'4.Default Emission Factor'!$D:$V,10,FALSE),10),IF($I22="自訂值Custom Value",T22,0)),0)</f>
        <v>0</v>
      </c>
      <c r="AK22" s="328">
        <f>IFERROR(IF($I22="預設值Default",ROUND(VLOOKUP($J22,'4.Default Emission Factor'!$D:$V,12,FALSE),10),IF($I22="自訂值Custom Value",U22,0)),0)</f>
        <v>0</v>
      </c>
      <c r="AL22" s="328">
        <f>IFERROR(IF($I22="預設值Default",ROUND(VLOOKUP($J22,'4.Default Emission Factor'!$D:$V,14,FALSE),10),IF($I22="自訂值Custom Value",V22,0)),0)</f>
        <v>0</v>
      </c>
      <c r="AM22" s="330" t="str">
        <f>IFERROR(IF(I22="預設值Default",VLOOKUP($J22,'4.Default Emission Factor'!$D:$V,17,FALSE),IF(I22="自訂值Custom Value",X22,"")),"")</f>
        <v/>
      </c>
      <c r="AN22" s="331">
        <f t="shared" si="7"/>
        <v>0</v>
      </c>
      <c r="AO22" s="332">
        <f>IF(Z22="V",IF('1.GHG Inventory Form'!$E$6="IPCC AR2 Report(1995)",'6.GWP'!$C$2,IF('1.GHG Inventory Form'!$E$6="IPCC AR3 Report(2001)",'6.GWP'!$D$2,IF('1.GHG Inventory Form'!$E$6="IPCC AR4 Report(2007)",'6.GWP'!$E$2,IF('1.GHG Inventory Form'!$E$6="IPCC AR5 Report(2013)",'6.GWP'!$F$2,IF('1.GHG Inventory Form'!$E$6="IPCC AR6 Report(2021)",'6.GWP'!$G$2,0))))),0)</f>
        <v>0</v>
      </c>
      <c r="AP22" s="332">
        <f>IF(AA22="V",IF('1.GHG Inventory Form'!$E$6="IPCC AR2 Report(1995)",'6.GWP'!$C$3,IF('1.GHG Inventory Form'!$E$6="IPCC AR3 Report(2001)",'6.GWP'!$D$3,IF('1.GHG Inventory Form'!$E$6="IPCC AR4 Report(2007)",'6.GWP'!$E$3,IF('1.GHG Inventory Form'!$E$6="IPCC AR5 Report(2013)",'6.GWP'!$F$3,IF('1.GHG Inventory Form'!$E$6="IPCC AR6 Report(2021)",'6.GWP'!$G$3,0))))),0)</f>
        <v>0</v>
      </c>
      <c r="AQ22" s="332">
        <f>IFERROR(IF(AND(AB22="V",$I22="預設值"),IF('1.GHG Inventory Form'!$E$6="IPCC AR2 Report(1995)",VLOOKUP($J22,'6.GWP'!$B$1:$G$173,2,FALSE),IF('1.GHG Inventory Form'!$E$6="IPCC AR3 Report(2001)",VLOOKUP($J22,'6.GWP'!$B$1:$G$173,3,FALSE),IF('1.GHG Inventory Form'!$E$6="IPCC AR4 Report(2007)",VLOOKUP($J22,'6.GWP'!$B$1:$G$173,4,FALSE),IF('1.GHG Inventory Form'!$E$6="IPCC AR5 Report(2013)",VLOOKUP($J22,'6.GWP'!$B$1:$G$173,5,FALSE),IF('1.GHG Inventory Form'!$E$6="IPCC AR6 Report(2021)",VLOOKUP($J22,'6.GWP'!$B$2:$G$173,6,FALSE),0))))),IF(AND(AB22="V",$I22="自訂值"),IF('1.GHG Inventory Form'!$E$6="IPCC AR2 Report(1995)",VLOOKUP($K22,'6.GWP'!$B$1:$G$173,2,FALSE),IF('1.GHG Inventory Form'!$E$6="IPCC AR3 Report(2001)",VLOOKUP($K22,'6.GWP'!$B$1:$G$173,3,FALSE),IF('1.GHG Inventory Form'!$E$6="IPCC AR4 Report(2007)",VLOOKUP($K22,'6.GWP'!$B$1:$G$173,4,FALSE),IF('1.GHG Inventory Form'!$E$6="IPCC AR5 Report(2013)",VLOOKUP($K22,'6.GWP'!$B$1:$G$173,5,FALSE),IF('1.GHG Inventory Form'!$E$6="IPCC AR6 Report(2021)",VLOOKUP($K22,'6.GWP'!$B$2:$G$173,6,FALSE),0))))),0)),0)</f>
        <v>0</v>
      </c>
      <c r="AR22" s="332">
        <f>IFERROR(IF(AND(AC22="V",$I22="預設值"),IF('1.GHG Inventory Form'!$E$6="IPCC AR2 Report(1995)",VLOOKUP($J22,'6.GWP'!$B$1:$G$173,2,FALSE),IF('1.GHG Inventory Form'!$E$6="IPCC AR3 Report(2001)",VLOOKUP($J22,'6.GWP'!$B$1:$G$173,3,FALSE),IF('1.GHG Inventory Form'!$E$6="IPCC AR4 Report(2007)",VLOOKUP($J22,'6.GWP'!$B$1:$G$173,4,FALSE),IF('1.GHG Inventory Form'!$E$6="IPCC AR5 Report(2013)",VLOOKUP($J22,'6.GWP'!$B$1:$G$173,5,FALSE),IF('1.GHG Inventory Form'!$E$6="IPCC AR6 Report(2021)",VLOOKUP($J22,'6.GWP'!$B$2:$G$173,6,FALSE),0))))),IF(AND(AC22="V",$I22="自訂值"),IF('1.GHG Inventory Form'!$E$6="IPCC AR2 Report(1995)",VLOOKUP($K22,'6.GWP'!$B$1:$G$173,2,FALSE),IF('1.GHG Inventory Form'!$E$6="IPCC AR3 Report(2001)",VLOOKUP($K22,'6.GWP'!$B$1:$G$173,3,FALSE),IF('1.GHG Inventory Form'!$E$6="IPCC AR4 Report(2007)",VLOOKUP($K22,'6.GWP'!$B$1:$G$173,4,FALSE),IF('1.GHG Inventory Form'!$E$6="IPCC AR5 Report(2013)",VLOOKUP($K22,'6.GWP'!$B$1:$G$173,5,FALSE),IF('1.GHG Inventory Form'!$E$6="IPCC AR6 Report(2021)",VLOOKUP($K22,'6.GWP'!$B$2:$G$173,6,FALSE),0))))),0)),0)</f>
        <v>0</v>
      </c>
      <c r="AS22" s="332">
        <f>IF(AD22="V",IF('1.GHG Inventory Form'!$E$6="IPCC AR2 Report(1995)",'6.GWP'!$C$5,IF('1.GHG Inventory Form'!$E$6="IPCC AR3 Report(2001)",'6.GWP'!$D$5,IF('1.GHG Inventory Form'!$E$6="IPCC AR4 Report(2007)",'6.GWP'!$E$5,IF('1.GHG Inventory Form'!$E$6="IPCC AR5 Report(2013)",'6.GWP'!$F$5,IF('1.GHG Inventory Form'!$E$6="IPCC AR6 Report(2021)",'6.GWP'!$G$5,0))))),0)</f>
        <v>0</v>
      </c>
      <c r="AT22" s="333">
        <f>IF(AE22="V",IF('1.GHG Inventory Form'!$E$6="IPCC AR2 Report(1995)",'6.GWP'!$C$4,IF('1.GHG Inventory Form'!$E$6="IPCC AR3 Report(2001)",'6.GWP'!$D$4,IF('1.GHG Inventory Form'!$E$6="IPCC AR4 Report(2007)",'6.GWP'!$E$4,IF('1.GHG Inventory Form'!$E$6="IPCC AR5 Report(2013)",'6.GWP'!$F$4,IF('1.GHG Inventory Form'!$E$6="IPCC AR6 Report(2021)",'6.GWP'!$G$4,0))))),0)</f>
        <v>0</v>
      </c>
      <c r="AU22" s="334" t="str">
        <f t="shared" si="8"/>
        <v/>
      </c>
      <c r="AV22" s="334" t="str">
        <f t="shared" si="9"/>
        <v/>
      </c>
      <c r="AW22" s="334" t="str">
        <f t="shared" si="10"/>
        <v/>
      </c>
      <c r="AX22" s="334" t="str">
        <f t="shared" si="11"/>
        <v/>
      </c>
      <c r="AY22" s="334" t="str">
        <f t="shared" si="12"/>
        <v/>
      </c>
      <c r="AZ22" s="334" t="str">
        <f t="shared" si="13"/>
        <v/>
      </c>
      <c r="BA22" s="334" t="str">
        <f t="shared" si="14"/>
        <v/>
      </c>
      <c r="BB22" s="334">
        <f t="shared" si="15"/>
        <v>0</v>
      </c>
      <c r="BC22" s="335">
        <f t="shared" si="16"/>
        <v>0</v>
      </c>
      <c r="BD22" s="336">
        <f t="shared" si="17"/>
        <v>0</v>
      </c>
      <c r="BI22" s="86" t="str">
        <f t="shared" si="18"/>
        <v/>
      </c>
      <c r="BJ22" s="86" t="str">
        <f t="shared" si="19"/>
        <v/>
      </c>
      <c r="BK22" s="86" t="str">
        <f t="shared" si="20"/>
        <v/>
      </c>
    </row>
    <row r="23" spans="1:63" customFormat="1" ht="31" customHeight="1">
      <c r="A23">
        <v>8</v>
      </c>
      <c r="B23" s="634"/>
      <c r="C23" s="697"/>
      <c r="D23" s="668"/>
      <c r="E23" s="699"/>
      <c r="F23" s="700"/>
      <c r="G23" s="322"/>
      <c r="H23" s="323" t="s">
        <v>240</v>
      </c>
      <c r="I23" s="324" t="s">
        <v>325</v>
      </c>
      <c r="J23" s="325" t="s">
        <v>240</v>
      </c>
      <c r="K23" s="59"/>
      <c r="L23" s="265" t="s">
        <v>240</v>
      </c>
      <c r="M23" s="326" t="str">
        <f>IFERROR(IF(I23="預設值Default",VLOOKUP($J23,'4.Default Emission Factor'!$D:$V,16,FALSE),"請填寫自訂活動數據單位Please fill in Custom Unit"),"請選擇預設排放係數名稱Please Choose Default Fuel or Greenhouse Gas")</f>
        <v>請選擇預設排放係數名稱Please Choose Default Fuel or Greenhouse Gas</v>
      </c>
      <c r="N23" s="235"/>
      <c r="O23" s="235"/>
      <c r="P23" s="23"/>
      <c r="Q23" s="23"/>
      <c r="R23" s="23"/>
      <c r="S23" s="23"/>
      <c r="T23" s="23"/>
      <c r="U23" s="23"/>
      <c r="V23" s="23"/>
      <c r="W23" s="198"/>
      <c r="X23" s="91"/>
      <c r="Y23" s="327" t="str">
        <f t="shared" si="0"/>
        <v/>
      </c>
      <c r="Z23" s="328" t="str">
        <f t="shared" si="1"/>
        <v/>
      </c>
      <c r="AA23" s="328" t="str">
        <f t="shared" si="2"/>
        <v/>
      </c>
      <c r="AB23" s="328" t="str">
        <f t="shared" si="3"/>
        <v/>
      </c>
      <c r="AC23" s="328" t="str">
        <f t="shared" si="4"/>
        <v/>
      </c>
      <c r="AD23" s="328" t="str">
        <f t="shared" si="5"/>
        <v/>
      </c>
      <c r="AE23" s="329" t="str">
        <f t="shared" si="6"/>
        <v/>
      </c>
      <c r="AF23" s="327">
        <f>IFERROR(IF($I23="預設值Default",ROUND(VLOOKUP($J23,'4.Default Emission Factor'!$D:$V,2,FALSE),10),IF($I23="自訂值Custom Value",P23,0)),0)</f>
        <v>0</v>
      </c>
      <c r="AG23" s="328">
        <f>IFERROR(IF($I23="預設值Default",ROUND(VLOOKUP($J23,'4.Default Emission Factor'!$D:$V,4,FALSE),10),IF($I23="自訂值Custom Value",Q23,0)),0)</f>
        <v>0</v>
      </c>
      <c r="AH23" s="328">
        <f>IFERROR(IF($I23="預設值Default",ROUND(VLOOKUP($J23,'4.Default Emission Factor'!$D:$V,6,FALSE),10),IF($I23="自訂值Custom Value",R23,0)),0)</f>
        <v>0</v>
      </c>
      <c r="AI23" s="328">
        <f>IFERROR(IF($I23="預設值Default",ROUND(VLOOKUP($J23,'4.Default Emission Factor'!$D:$V,8,FALSE),10),IF($I23="自訂值Custom Value",S23,0)),0)</f>
        <v>0</v>
      </c>
      <c r="AJ23" s="328">
        <f>IFERROR(IF($I23="預設值Default",ROUND(VLOOKUP($J23,'4.Default Emission Factor'!$D:$V,10,FALSE),10),IF($I23="自訂值Custom Value",T23,0)),0)</f>
        <v>0</v>
      </c>
      <c r="AK23" s="328">
        <f>IFERROR(IF($I23="預設值Default",ROUND(VLOOKUP($J23,'4.Default Emission Factor'!$D:$V,12,FALSE),10),IF($I23="自訂值Custom Value",U23,0)),0)</f>
        <v>0</v>
      </c>
      <c r="AL23" s="328">
        <f>IFERROR(IF($I23="預設值Default",ROUND(VLOOKUP($J23,'4.Default Emission Factor'!$D:$V,14,FALSE),10),IF($I23="自訂值Custom Value",V23,0)),0)</f>
        <v>0</v>
      </c>
      <c r="AM23" s="330" t="str">
        <f>IFERROR(IF(I23="預設值Default",VLOOKUP($J23,'4.Default Emission Factor'!$D:$V,17,FALSE),IF(I23="自訂值Custom Value",X23,"")),"")</f>
        <v/>
      </c>
      <c r="AN23" s="331">
        <f t="shared" si="7"/>
        <v>0</v>
      </c>
      <c r="AO23" s="332">
        <f>IF(Z23="V",IF('1.GHG Inventory Form'!$E$6="IPCC AR2 Report(1995)",'6.GWP'!$C$2,IF('1.GHG Inventory Form'!$E$6="IPCC AR3 Report(2001)",'6.GWP'!$D$2,IF('1.GHG Inventory Form'!$E$6="IPCC AR4 Report(2007)",'6.GWP'!$E$2,IF('1.GHG Inventory Form'!$E$6="IPCC AR5 Report(2013)",'6.GWP'!$F$2,IF('1.GHG Inventory Form'!$E$6="IPCC AR6 Report(2021)",'6.GWP'!$G$2,0))))),0)</f>
        <v>0</v>
      </c>
      <c r="AP23" s="332">
        <f>IF(AA23="V",IF('1.GHG Inventory Form'!$E$6="IPCC AR2 Report(1995)",'6.GWP'!$C$3,IF('1.GHG Inventory Form'!$E$6="IPCC AR3 Report(2001)",'6.GWP'!$D$3,IF('1.GHG Inventory Form'!$E$6="IPCC AR4 Report(2007)",'6.GWP'!$E$3,IF('1.GHG Inventory Form'!$E$6="IPCC AR5 Report(2013)",'6.GWP'!$F$3,IF('1.GHG Inventory Form'!$E$6="IPCC AR6 Report(2021)",'6.GWP'!$G$3,0))))),0)</f>
        <v>0</v>
      </c>
      <c r="AQ23" s="332">
        <f>IFERROR(IF(AND(AB23="V",$I23="預設值"),IF('1.GHG Inventory Form'!$E$6="IPCC AR2 Report(1995)",VLOOKUP($J23,'6.GWP'!$B$1:$G$173,2,FALSE),IF('1.GHG Inventory Form'!$E$6="IPCC AR3 Report(2001)",VLOOKUP($J23,'6.GWP'!$B$1:$G$173,3,FALSE),IF('1.GHG Inventory Form'!$E$6="IPCC AR4 Report(2007)",VLOOKUP($J23,'6.GWP'!$B$1:$G$173,4,FALSE),IF('1.GHG Inventory Form'!$E$6="IPCC AR5 Report(2013)",VLOOKUP($J23,'6.GWP'!$B$1:$G$173,5,FALSE),IF('1.GHG Inventory Form'!$E$6="IPCC AR6 Report(2021)",VLOOKUP($J23,'6.GWP'!$B$2:$G$173,6,FALSE),0))))),IF(AND(AB23="V",$I23="自訂值"),IF('1.GHG Inventory Form'!$E$6="IPCC AR2 Report(1995)",VLOOKUP($K23,'6.GWP'!$B$1:$G$173,2,FALSE),IF('1.GHG Inventory Form'!$E$6="IPCC AR3 Report(2001)",VLOOKUP($K23,'6.GWP'!$B$1:$G$173,3,FALSE),IF('1.GHG Inventory Form'!$E$6="IPCC AR4 Report(2007)",VLOOKUP($K23,'6.GWP'!$B$1:$G$173,4,FALSE),IF('1.GHG Inventory Form'!$E$6="IPCC AR5 Report(2013)",VLOOKUP($K23,'6.GWP'!$B$1:$G$173,5,FALSE),IF('1.GHG Inventory Form'!$E$6="IPCC AR6 Report(2021)",VLOOKUP($K23,'6.GWP'!$B$2:$G$173,6,FALSE),0))))),0)),0)</f>
        <v>0</v>
      </c>
      <c r="AR23" s="332">
        <f>IFERROR(IF(AND(AC23="V",$I23="預設值"),IF('1.GHG Inventory Form'!$E$6="IPCC AR2 Report(1995)",VLOOKUP($J23,'6.GWP'!$B$1:$G$173,2,FALSE),IF('1.GHG Inventory Form'!$E$6="IPCC AR3 Report(2001)",VLOOKUP($J23,'6.GWP'!$B$1:$G$173,3,FALSE),IF('1.GHG Inventory Form'!$E$6="IPCC AR4 Report(2007)",VLOOKUP($J23,'6.GWP'!$B$1:$G$173,4,FALSE),IF('1.GHG Inventory Form'!$E$6="IPCC AR5 Report(2013)",VLOOKUP($J23,'6.GWP'!$B$1:$G$173,5,FALSE),IF('1.GHG Inventory Form'!$E$6="IPCC AR6 Report(2021)",VLOOKUP($J23,'6.GWP'!$B$2:$G$173,6,FALSE),0))))),IF(AND(AC23="V",$I23="自訂值"),IF('1.GHG Inventory Form'!$E$6="IPCC AR2 Report(1995)",VLOOKUP($K23,'6.GWP'!$B$1:$G$173,2,FALSE),IF('1.GHG Inventory Form'!$E$6="IPCC AR3 Report(2001)",VLOOKUP($K23,'6.GWP'!$B$1:$G$173,3,FALSE),IF('1.GHG Inventory Form'!$E$6="IPCC AR4 Report(2007)",VLOOKUP($K23,'6.GWP'!$B$1:$G$173,4,FALSE),IF('1.GHG Inventory Form'!$E$6="IPCC AR5 Report(2013)",VLOOKUP($K23,'6.GWP'!$B$1:$G$173,5,FALSE),IF('1.GHG Inventory Form'!$E$6="IPCC AR6 Report(2021)",VLOOKUP($K23,'6.GWP'!$B$2:$G$173,6,FALSE),0))))),0)),0)</f>
        <v>0</v>
      </c>
      <c r="AS23" s="332">
        <f>IF(AD23="V",IF('1.GHG Inventory Form'!$E$6="IPCC AR2 Report(1995)",'6.GWP'!$C$5,IF('1.GHG Inventory Form'!$E$6="IPCC AR3 Report(2001)",'6.GWP'!$D$5,IF('1.GHG Inventory Form'!$E$6="IPCC AR4 Report(2007)",'6.GWP'!$E$5,IF('1.GHG Inventory Form'!$E$6="IPCC AR5 Report(2013)",'6.GWP'!$F$5,IF('1.GHG Inventory Form'!$E$6="IPCC AR6 Report(2021)",'6.GWP'!$G$5,0))))),0)</f>
        <v>0</v>
      </c>
      <c r="AT23" s="333">
        <f>IF(AE23="V",IF('1.GHG Inventory Form'!$E$6="IPCC AR2 Report(1995)",'6.GWP'!$C$4,IF('1.GHG Inventory Form'!$E$6="IPCC AR3 Report(2001)",'6.GWP'!$D$4,IF('1.GHG Inventory Form'!$E$6="IPCC AR4 Report(2007)",'6.GWP'!$E$4,IF('1.GHG Inventory Form'!$E$6="IPCC AR5 Report(2013)",'6.GWP'!$F$4,IF('1.GHG Inventory Form'!$E$6="IPCC AR6 Report(2021)",'6.GWP'!$G$4,0))))),0)</f>
        <v>0</v>
      </c>
      <c r="AU23" s="334" t="str">
        <f t="shared" si="8"/>
        <v/>
      </c>
      <c r="AV23" s="334" t="str">
        <f t="shared" si="9"/>
        <v/>
      </c>
      <c r="AW23" s="334" t="str">
        <f t="shared" si="10"/>
        <v/>
      </c>
      <c r="AX23" s="334" t="str">
        <f t="shared" si="11"/>
        <v/>
      </c>
      <c r="AY23" s="334" t="str">
        <f t="shared" si="12"/>
        <v/>
      </c>
      <c r="AZ23" s="334" t="str">
        <f t="shared" si="13"/>
        <v/>
      </c>
      <c r="BA23" s="334" t="str">
        <f t="shared" si="14"/>
        <v/>
      </c>
      <c r="BB23" s="334">
        <f t="shared" si="15"/>
        <v>0</v>
      </c>
      <c r="BC23" s="335">
        <f t="shared" si="16"/>
        <v>0</v>
      </c>
      <c r="BD23" s="336">
        <f t="shared" si="17"/>
        <v>0</v>
      </c>
      <c r="BI23" s="86" t="str">
        <f t="shared" si="18"/>
        <v/>
      </c>
      <c r="BJ23" s="86" t="str">
        <f t="shared" si="19"/>
        <v/>
      </c>
      <c r="BK23" s="86" t="str">
        <f t="shared" si="20"/>
        <v/>
      </c>
    </row>
    <row r="24" spans="1:63" customFormat="1" ht="31" customHeight="1">
      <c r="A24">
        <v>9</v>
      </c>
      <c r="B24" s="634"/>
      <c r="C24" s="697"/>
      <c r="D24" s="668"/>
      <c r="E24" s="699"/>
      <c r="F24" s="700"/>
      <c r="G24" s="322"/>
      <c r="H24" s="323" t="s">
        <v>240</v>
      </c>
      <c r="I24" s="324" t="s">
        <v>325</v>
      </c>
      <c r="J24" s="325" t="s">
        <v>240</v>
      </c>
      <c r="K24" s="59"/>
      <c r="L24" s="265" t="s">
        <v>240</v>
      </c>
      <c r="M24" s="326" t="str">
        <f>IFERROR(IF(I24="預設值Default",VLOOKUP($J24,'4.Default Emission Factor'!$D:$V,16,FALSE),"請填寫自訂活動數據單位Please fill in Custom Unit"),"請選擇預設排放係數名稱Please Choose Default Fuel or Greenhouse Gas")</f>
        <v>請選擇預設排放係數名稱Please Choose Default Fuel or Greenhouse Gas</v>
      </c>
      <c r="N24" s="235"/>
      <c r="O24" s="235"/>
      <c r="P24" s="23"/>
      <c r="Q24" s="23"/>
      <c r="R24" s="23"/>
      <c r="S24" s="23"/>
      <c r="T24" s="23"/>
      <c r="U24" s="23"/>
      <c r="V24" s="23"/>
      <c r="W24" s="198"/>
      <c r="X24" s="91"/>
      <c r="Y24" s="327" t="str">
        <f t="shared" si="0"/>
        <v/>
      </c>
      <c r="Z24" s="328" t="str">
        <f t="shared" si="1"/>
        <v/>
      </c>
      <c r="AA24" s="328" t="str">
        <f t="shared" si="2"/>
        <v/>
      </c>
      <c r="AB24" s="328" t="str">
        <f t="shared" si="3"/>
        <v/>
      </c>
      <c r="AC24" s="328" t="str">
        <f t="shared" si="4"/>
        <v/>
      </c>
      <c r="AD24" s="328" t="str">
        <f t="shared" si="5"/>
        <v/>
      </c>
      <c r="AE24" s="329" t="str">
        <f t="shared" si="6"/>
        <v/>
      </c>
      <c r="AF24" s="327">
        <f>IFERROR(IF($I24="預設值Default",ROUND(VLOOKUP($J24,'4.Default Emission Factor'!$D:$V,2,FALSE),10),IF($I24="自訂值Custom Value",P24,0)),0)</f>
        <v>0</v>
      </c>
      <c r="AG24" s="328">
        <f>IFERROR(IF($I24="預設值Default",ROUND(VLOOKUP($J24,'4.Default Emission Factor'!$D:$V,4,FALSE),10),IF($I24="自訂值Custom Value",Q24,0)),0)</f>
        <v>0</v>
      </c>
      <c r="AH24" s="328">
        <f>IFERROR(IF($I24="預設值Default",ROUND(VLOOKUP($J24,'4.Default Emission Factor'!$D:$V,6,FALSE),10),IF($I24="自訂值Custom Value",R24,0)),0)</f>
        <v>0</v>
      </c>
      <c r="AI24" s="328">
        <f>IFERROR(IF($I24="預設值Default",ROUND(VLOOKUP($J24,'4.Default Emission Factor'!$D:$V,8,FALSE),10),IF($I24="自訂值Custom Value",S24,0)),0)</f>
        <v>0</v>
      </c>
      <c r="AJ24" s="328">
        <f>IFERROR(IF($I24="預設值Default",ROUND(VLOOKUP($J24,'4.Default Emission Factor'!$D:$V,10,FALSE),10),IF($I24="自訂值Custom Value",T24,0)),0)</f>
        <v>0</v>
      </c>
      <c r="AK24" s="328">
        <f>IFERROR(IF($I24="預設值Default",ROUND(VLOOKUP($J24,'4.Default Emission Factor'!$D:$V,12,FALSE),10),IF($I24="自訂值Custom Value",U24,0)),0)</f>
        <v>0</v>
      </c>
      <c r="AL24" s="328">
        <f>IFERROR(IF($I24="預設值Default",ROUND(VLOOKUP($J24,'4.Default Emission Factor'!$D:$V,14,FALSE),10),IF($I24="自訂值Custom Value",V24,0)),0)</f>
        <v>0</v>
      </c>
      <c r="AM24" s="330" t="str">
        <f>IFERROR(IF(I24="預設值Default",VLOOKUP($J24,'4.Default Emission Factor'!$D:$V,17,FALSE),IF(I24="自訂值Custom Value",X24,"")),"")</f>
        <v/>
      </c>
      <c r="AN24" s="331">
        <f t="shared" si="7"/>
        <v>0</v>
      </c>
      <c r="AO24" s="332">
        <f>IF(Z24="V",IF('1.GHG Inventory Form'!$E$6="IPCC AR2 Report(1995)",'6.GWP'!$C$2,IF('1.GHG Inventory Form'!$E$6="IPCC AR3 Report(2001)",'6.GWP'!$D$2,IF('1.GHG Inventory Form'!$E$6="IPCC AR4 Report(2007)",'6.GWP'!$E$2,IF('1.GHG Inventory Form'!$E$6="IPCC AR5 Report(2013)",'6.GWP'!$F$2,IF('1.GHG Inventory Form'!$E$6="IPCC AR6 Report(2021)",'6.GWP'!$G$2,0))))),0)</f>
        <v>0</v>
      </c>
      <c r="AP24" s="332">
        <f>IF(AA24="V",IF('1.GHG Inventory Form'!$E$6="IPCC AR2 Report(1995)",'6.GWP'!$C$3,IF('1.GHG Inventory Form'!$E$6="IPCC AR3 Report(2001)",'6.GWP'!$D$3,IF('1.GHG Inventory Form'!$E$6="IPCC AR4 Report(2007)",'6.GWP'!$E$3,IF('1.GHG Inventory Form'!$E$6="IPCC AR5 Report(2013)",'6.GWP'!$F$3,IF('1.GHG Inventory Form'!$E$6="IPCC AR6 Report(2021)",'6.GWP'!$G$3,0))))),0)</f>
        <v>0</v>
      </c>
      <c r="AQ24" s="332">
        <f>IFERROR(IF(AND(AB24="V",$I24="預設值"),IF('1.GHG Inventory Form'!$E$6="IPCC AR2 Report(1995)",VLOOKUP($J24,'6.GWP'!$B$1:$G$173,2,FALSE),IF('1.GHG Inventory Form'!$E$6="IPCC AR3 Report(2001)",VLOOKUP($J24,'6.GWP'!$B$1:$G$173,3,FALSE),IF('1.GHG Inventory Form'!$E$6="IPCC AR4 Report(2007)",VLOOKUP($J24,'6.GWP'!$B$1:$G$173,4,FALSE),IF('1.GHG Inventory Form'!$E$6="IPCC AR5 Report(2013)",VLOOKUP($J24,'6.GWP'!$B$1:$G$173,5,FALSE),IF('1.GHG Inventory Form'!$E$6="IPCC AR6 Report(2021)",VLOOKUP($J24,'6.GWP'!$B$2:$G$173,6,FALSE),0))))),IF(AND(AB24="V",$I24="自訂值"),IF('1.GHG Inventory Form'!$E$6="IPCC AR2 Report(1995)",VLOOKUP($K24,'6.GWP'!$B$1:$G$173,2,FALSE),IF('1.GHG Inventory Form'!$E$6="IPCC AR3 Report(2001)",VLOOKUP($K24,'6.GWP'!$B$1:$G$173,3,FALSE),IF('1.GHG Inventory Form'!$E$6="IPCC AR4 Report(2007)",VLOOKUP($K24,'6.GWP'!$B$1:$G$173,4,FALSE),IF('1.GHG Inventory Form'!$E$6="IPCC AR5 Report(2013)",VLOOKUP($K24,'6.GWP'!$B$1:$G$173,5,FALSE),IF('1.GHG Inventory Form'!$E$6="IPCC AR6 Report(2021)",VLOOKUP($K24,'6.GWP'!$B$2:$G$173,6,FALSE),0))))),0)),0)</f>
        <v>0</v>
      </c>
      <c r="AR24" s="332">
        <f>IFERROR(IF(AND(AC24="V",$I24="預設值"),IF('1.GHG Inventory Form'!$E$6="IPCC AR2 Report(1995)",VLOOKUP($J24,'6.GWP'!$B$1:$G$173,2,FALSE),IF('1.GHG Inventory Form'!$E$6="IPCC AR3 Report(2001)",VLOOKUP($J24,'6.GWP'!$B$1:$G$173,3,FALSE),IF('1.GHG Inventory Form'!$E$6="IPCC AR4 Report(2007)",VLOOKUP($J24,'6.GWP'!$B$1:$G$173,4,FALSE),IF('1.GHG Inventory Form'!$E$6="IPCC AR5 Report(2013)",VLOOKUP($J24,'6.GWP'!$B$1:$G$173,5,FALSE),IF('1.GHG Inventory Form'!$E$6="IPCC AR6 Report(2021)",VLOOKUP($J24,'6.GWP'!$B$2:$G$173,6,FALSE),0))))),IF(AND(AC24="V",$I24="自訂值"),IF('1.GHG Inventory Form'!$E$6="IPCC AR2 Report(1995)",VLOOKUP($K24,'6.GWP'!$B$1:$G$173,2,FALSE),IF('1.GHG Inventory Form'!$E$6="IPCC AR3 Report(2001)",VLOOKUP($K24,'6.GWP'!$B$1:$G$173,3,FALSE),IF('1.GHG Inventory Form'!$E$6="IPCC AR4 Report(2007)",VLOOKUP($K24,'6.GWP'!$B$1:$G$173,4,FALSE),IF('1.GHG Inventory Form'!$E$6="IPCC AR5 Report(2013)",VLOOKUP($K24,'6.GWP'!$B$1:$G$173,5,FALSE),IF('1.GHG Inventory Form'!$E$6="IPCC AR6 Report(2021)",VLOOKUP($K24,'6.GWP'!$B$2:$G$173,6,FALSE),0))))),0)),0)</f>
        <v>0</v>
      </c>
      <c r="AS24" s="332">
        <f>IF(AD24="V",IF('1.GHG Inventory Form'!$E$6="IPCC AR2 Report(1995)",'6.GWP'!$C$5,IF('1.GHG Inventory Form'!$E$6="IPCC AR3 Report(2001)",'6.GWP'!$D$5,IF('1.GHG Inventory Form'!$E$6="IPCC AR4 Report(2007)",'6.GWP'!$E$5,IF('1.GHG Inventory Form'!$E$6="IPCC AR5 Report(2013)",'6.GWP'!$F$5,IF('1.GHG Inventory Form'!$E$6="IPCC AR6 Report(2021)",'6.GWP'!$G$5,0))))),0)</f>
        <v>0</v>
      </c>
      <c r="AT24" s="333">
        <f>IF(AE24="V",IF('1.GHG Inventory Form'!$E$6="IPCC AR2 Report(1995)",'6.GWP'!$C$4,IF('1.GHG Inventory Form'!$E$6="IPCC AR3 Report(2001)",'6.GWP'!$D$4,IF('1.GHG Inventory Form'!$E$6="IPCC AR4 Report(2007)",'6.GWP'!$E$4,IF('1.GHG Inventory Form'!$E$6="IPCC AR5 Report(2013)",'6.GWP'!$F$4,IF('1.GHG Inventory Form'!$E$6="IPCC AR6 Report(2021)",'6.GWP'!$G$4,0))))),0)</f>
        <v>0</v>
      </c>
      <c r="AU24" s="334" t="str">
        <f t="shared" si="8"/>
        <v/>
      </c>
      <c r="AV24" s="334" t="str">
        <f t="shared" si="9"/>
        <v/>
      </c>
      <c r="AW24" s="334" t="str">
        <f t="shared" si="10"/>
        <v/>
      </c>
      <c r="AX24" s="334" t="str">
        <f t="shared" si="11"/>
        <v/>
      </c>
      <c r="AY24" s="334" t="str">
        <f t="shared" si="12"/>
        <v/>
      </c>
      <c r="AZ24" s="334" t="str">
        <f t="shared" si="13"/>
        <v/>
      </c>
      <c r="BA24" s="334" t="str">
        <f t="shared" si="14"/>
        <v/>
      </c>
      <c r="BB24" s="334">
        <f t="shared" si="15"/>
        <v>0</v>
      </c>
      <c r="BC24" s="335">
        <f t="shared" si="16"/>
        <v>0</v>
      </c>
      <c r="BD24" s="336">
        <f t="shared" si="17"/>
        <v>0</v>
      </c>
      <c r="BI24" s="86" t="str">
        <f t="shared" si="18"/>
        <v/>
      </c>
      <c r="BJ24" s="86" t="str">
        <f t="shared" si="19"/>
        <v/>
      </c>
      <c r="BK24" s="86" t="str">
        <f t="shared" si="20"/>
        <v/>
      </c>
    </row>
    <row r="25" spans="1:63" customFormat="1" ht="31" customHeight="1">
      <c r="A25">
        <v>10</v>
      </c>
      <c r="B25" s="634"/>
      <c r="C25" s="697"/>
      <c r="D25" s="668"/>
      <c r="E25" s="699"/>
      <c r="F25" s="700"/>
      <c r="G25" s="322"/>
      <c r="H25" s="323" t="s">
        <v>240</v>
      </c>
      <c r="I25" s="324" t="s">
        <v>325</v>
      </c>
      <c r="J25" s="325" t="s">
        <v>240</v>
      </c>
      <c r="K25" s="59"/>
      <c r="L25" s="265" t="s">
        <v>240</v>
      </c>
      <c r="M25" s="326" t="str">
        <f>IFERROR(IF(I25="預設值Default",VLOOKUP($J25,'4.Default Emission Factor'!$D:$V,16,FALSE),"請填寫自訂活動數據單位Please fill in Custom Unit"),"請選擇預設排放係數名稱Please Choose Default Fuel or Greenhouse Gas")</f>
        <v>請選擇預設排放係數名稱Please Choose Default Fuel or Greenhouse Gas</v>
      </c>
      <c r="N25" s="235"/>
      <c r="O25" s="235"/>
      <c r="P25" s="23"/>
      <c r="Q25" s="23"/>
      <c r="R25" s="23"/>
      <c r="S25" s="23"/>
      <c r="T25" s="23"/>
      <c r="U25" s="23"/>
      <c r="V25" s="23"/>
      <c r="W25" s="198"/>
      <c r="X25" s="91"/>
      <c r="Y25" s="327" t="str">
        <f t="shared" si="0"/>
        <v/>
      </c>
      <c r="Z25" s="328" t="str">
        <f t="shared" si="1"/>
        <v/>
      </c>
      <c r="AA25" s="328" t="str">
        <f t="shared" si="2"/>
        <v/>
      </c>
      <c r="AB25" s="328" t="str">
        <f t="shared" si="3"/>
        <v/>
      </c>
      <c r="AC25" s="328" t="str">
        <f t="shared" si="4"/>
        <v/>
      </c>
      <c r="AD25" s="328" t="str">
        <f t="shared" si="5"/>
        <v/>
      </c>
      <c r="AE25" s="329" t="str">
        <f t="shared" si="6"/>
        <v/>
      </c>
      <c r="AF25" s="327">
        <f>IFERROR(IF($I25="預設值Default",ROUND(VLOOKUP($J25,'4.Default Emission Factor'!$D:$V,2,FALSE),10),IF($I25="自訂值Custom Value",P25,0)),0)</f>
        <v>0</v>
      </c>
      <c r="AG25" s="328">
        <f>IFERROR(IF($I25="預設值Default",ROUND(VLOOKUP($J25,'4.Default Emission Factor'!$D:$V,4,FALSE),10),IF($I25="自訂值Custom Value",Q25,0)),0)</f>
        <v>0</v>
      </c>
      <c r="AH25" s="328">
        <f>IFERROR(IF($I25="預設值Default",ROUND(VLOOKUP($J25,'4.Default Emission Factor'!$D:$V,6,FALSE),10),IF($I25="自訂值Custom Value",R25,0)),0)</f>
        <v>0</v>
      </c>
      <c r="AI25" s="328">
        <f>IFERROR(IF($I25="預設值Default",ROUND(VLOOKUP($J25,'4.Default Emission Factor'!$D:$V,8,FALSE),10),IF($I25="自訂值Custom Value",S25,0)),0)</f>
        <v>0</v>
      </c>
      <c r="AJ25" s="328">
        <f>IFERROR(IF($I25="預設值Default",ROUND(VLOOKUP($J25,'4.Default Emission Factor'!$D:$V,10,FALSE),10),IF($I25="自訂值Custom Value",T25,0)),0)</f>
        <v>0</v>
      </c>
      <c r="AK25" s="328">
        <f>IFERROR(IF($I25="預設值Default",ROUND(VLOOKUP($J25,'4.Default Emission Factor'!$D:$V,12,FALSE),10),IF($I25="自訂值Custom Value",U25,0)),0)</f>
        <v>0</v>
      </c>
      <c r="AL25" s="328">
        <f>IFERROR(IF($I25="預設值Default",ROUND(VLOOKUP($J25,'4.Default Emission Factor'!$D:$V,14,FALSE),10),IF($I25="自訂值Custom Value",V25,0)),0)</f>
        <v>0</v>
      </c>
      <c r="AM25" s="330" t="str">
        <f>IFERROR(IF(I25="預設值Default",VLOOKUP($J25,'4.Default Emission Factor'!$D:$V,17,FALSE),IF(I25="自訂值Custom Value",X25,"")),"")</f>
        <v/>
      </c>
      <c r="AN25" s="331">
        <f t="shared" si="7"/>
        <v>0</v>
      </c>
      <c r="AO25" s="332">
        <f>IF(Z25="V",IF('1.GHG Inventory Form'!$E$6="IPCC AR2 Report(1995)",'6.GWP'!$C$2,IF('1.GHG Inventory Form'!$E$6="IPCC AR3 Report(2001)",'6.GWP'!$D$2,IF('1.GHG Inventory Form'!$E$6="IPCC AR4 Report(2007)",'6.GWP'!$E$2,IF('1.GHG Inventory Form'!$E$6="IPCC AR5 Report(2013)",'6.GWP'!$F$2,IF('1.GHG Inventory Form'!$E$6="IPCC AR6 Report(2021)",'6.GWP'!$G$2,0))))),0)</f>
        <v>0</v>
      </c>
      <c r="AP25" s="332">
        <f>IF(AA25="V",IF('1.GHG Inventory Form'!$E$6="IPCC AR2 Report(1995)",'6.GWP'!$C$3,IF('1.GHG Inventory Form'!$E$6="IPCC AR3 Report(2001)",'6.GWP'!$D$3,IF('1.GHG Inventory Form'!$E$6="IPCC AR4 Report(2007)",'6.GWP'!$E$3,IF('1.GHG Inventory Form'!$E$6="IPCC AR5 Report(2013)",'6.GWP'!$F$3,IF('1.GHG Inventory Form'!$E$6="IPCC AR6 Report(2021)",'6.GWP'!$G$3,0))))),0)</f>
        <v>0</v>
      </c>
      <c r="AQ25" s="332">
        <f>IFERROR(IF(AND(AB25="V",$I25="預設值"),IF('1.GHG Inventory Form'!$E$6="IPCC AR2 Report(1995)",VLOOKUP($J25,'6.GWP'!$B$1:$G$173,2,FALSE),IF('1.GHG Inventory Form'!$E$6="IPCC AR3 Report(2001)",VLOOKUP($J25,'6.GWP'!$B$1:$G$173,3,FALSE),IF('1.GHG Inventory Form'!$E$6="IPCC AR4 Report(2007)",VLOOKUP($J25,'6.GWP'!$B$1:$G$173,4,FALSE),IF('1.GHG Inventory Form'!$E$6="IPCC AR5 Report(2013)",VLOOKUP($J25,'6.GWP'!$B$1:$G$173,5,FALSE),IF('1.GHG Inventory Form'!$E$6="IPCC AR6 Report(2021)",VLOOKUP($J25,'6.GWP'!$B$2:$G$173,6,FALSE),0))))),IF(AND(AB25="V",$I25="自訂值"),IF('1.GHG Inventory Form'!$E$6="IPCC AR2 Report(1995)",VLOOKUP($K25,'6.GWP'!$B$1:$G$173,2,FALSE),IF('1.GHG Inventory Form'!$E$6="IPCC AR3 Report(2001)",VLOOKUP($K25,'6.GWP'!$B$1:$G$173,3,FALSE),IF('1.GHG Inventory Form'!$E$6="IPCC AR4 Report(2007)",VLOOKUP($K25,'6.GWP'!$B$1:$G$173,4,FALSE),IF('1.GHG Inventory Form'!$E$6="IPCC AR5 Report(2013)",VLOOKUP($K25,'6.GWP'!$B$1:$G$173,5,FALSE),IF('1.GHG Inventory Form'!$E$6="IPCC AR6 Report(2021)",VLOOKUP($K25,'6.GWP'!$B$2:$G$173,6,FALSE),0))))),0)),0)</f>
        <v>0</v>
      </c>
      <c r="AR25" s="332">
        <f>IFERROR(IF(AND(AC25="V",$I25="預設值"),IF('1.GHG Inventory Form'!$E$6="IPCC AR2 Report(1995)",VLOOKUP($J25,'6.GWP'!$B$1:$G$173,2,FALSE),IF('1.GHG Inventory Form'!$E$6="IPCC AR3 Report(2001)",VLOOKUP($J25,'6.GWP'!$B$1:$G$173,3,FALSE),IF('1.GHG Inventory Form'!$E$6="IPCC AR4 Report(2007)",VLOOKUP($J25,'6.GWP'!$B$1:$G$173,4,FALSE),IF('1.GHG Inventory Form'!$E$6="IPCC AR5 Report(2013)",VLOOKUP($J25,'6.GWP'!$B$1:$G$173,5,FALSE),IF('1.GHG Inventory Form'!$E$6="IPCC AR6 Report(2021)",VLOOKUP($J25,'6.GWP'!$B$2:$G$173,6,FALSE),0))))),IF(AND(AC25="V",$I25="自訂值"),IF('1.GHG Inventory Form'!$E$6="IPCC AR2 Report(1995)",VLOOKUP($K25,'6.GWP'!$B$1:$G$173,2,FALSE),IF('1.GHG Inventory Form'!$E$6="IPCC AR3 Report(2001)",VLOOKUP($K25,'6.GWP'!$B$1:$G$173,3,FALSE),IF('1.GHG Inventory Form'!$E$6="IPCC AR4 Report(2007)",VLOOKUP($K25,'6.GWP'!$B$1:$G$173,4,FALSE),IF('1.GHG Inventory Form'!$E$6="IPCC AR5 Report(2013)",VLOOKUP($K25,'6.GWP'!$B$1:$G$173,5,FALSE),IF('1.GHG Inventory Form'!$E$6="IPCC AR6 Report(2021)",VLOOKUP($K25,'6.GWP'!$B$2:$G$173,6,FALSE),0))))),0)),0)</f>
        <v>0</v>
      </c>
      <c r="AS25" s="332">
        <f>IF(AD25="V",IF('1.GHG Inventory Form'!$E$6="IPCC AR2 Report(1995)",'6.GWP'!$C$5,IF('1.GHG Inventory Form'!$E$6="IPCC AR3 Report(2001)",'6.GWP'!$D$5,IF('1.GHG Inventory Form'!$E$6="IPCC AR4 Report(2007)",'6.GWP'!$E$5,IF('1.GHG Inventory Form'!$E$6="IPCC AR5 Report(2013)",'6.GWP'!$F$5,IF('1.GHG Inventory Form'!$E$6="IPCC AR6 Report(2021)",'6.GWP'!$G$5,0))))),0)</f>
        <v>0</v>
      </c>
      <c r="AT25" s="333">
        <f>IF(AE25="V",IF('1.GHG Inventory Form'!$E$6="IPCC AR2 Report(1995)",'6.GWP'!$C$4,IF('1.GHG Inventory Form'!$E$6="IPCC AR3 Report(2001)",'6.GWP'!$D$4,IF('1.GHG Inventory Form'!$E$6="IPCC AR4 Report(2007)",'6.GWP'!$E$4,IF('1.GHG Inventory Form'!$E$6="IPCC AR5 Report(2013)",'6.GWP'!$F$4,IF('1.GHG Inventory Form'!$E$6="IPCC AR6 Report(2021)",'6.GWP'!$G$4,0))))),0)</f>
        <v>0</v>
      </c>
      <c r="AU25" s="334" t="str">
        <f t="shared" si="8"/>
        <v/>
      </c>
      <c r="AV25" s="334" t="str">
        <f t="shared" si="9"/>
        <v/>
      </c>
      <c r="AW25" s="334" t="str">
        <f t="shared" si="10"/>
        <v/>
      </c>
      <c r="AX25" s="334" t="str">
        <f t="shared" si="11"/>
        <v/>
      </c>
      <c r="AY25" s="334" t="str">
        <f t="shared" si="12"/>
        <v/>
      </c>
      <c r="AZ25" s="334" t="str">
        <f t="shared" si="13"/>
        <v/>
      </c>
      <c r="BA25" s="334" t="str">
        <f t="shared" si="14"/>
        <v/>
      </c>
      <c r="BB25" s="334">
        <f t="shared" si="15"/>
        <v>0</v>
      </c>
      <c r="BC25" s="335">
        <f t="shared" si="16"/>
        <v>0</v>
      </c>
      <c r="BD25" s="336">
        <f t="shared" si="17"/>
        <v>0</v>
      </c>
      <c r="BI25" s="86" t="str">
        <f t="shared" si="18"/>
        <v/>
      </c>
      <c r="BJ25" s="86" t="str">
        <f t="shared" si="19"/>
        <v/>
      </c>
      <c r="BK25" s="86" t="str">
        <f t="shared" si="20"/>
        <v/>
      </c>
    </row>
    <row r="26" spans="1:63" customFormat="1" ht="31" customHeight="1">
      <c r="A26">
        <v>11</v>
      </c>
      <c r="B26" s="634"/>
      <c r="C26" s="697"/>
      <c r="D26" s="668"/>
      <c r="E26" s="699"/>
      <c r="F26" s="700"/>
      <c r="G26" s="322"/>
      <c r="H26" s="323" t="s">
        <v>240</v>
      </c>
      <c r="I26" s="324" t="s">
        <v>325</v>
      </c>
      <c r="J26" s="325" t="s">
        <v>240</v>
      </c>
      <c r="K26" s="59"/>
      <c r="L26" s="265" t="s">
        <v>240</v>
      </c>
      <c r="M26" s="326" t="str">
        <f>IFERROR(IF(I26="預設值Default",VLOOKUP($J26,'4.Default Emission Factor'!$D:$V,16,FALSE),"請填寫自訂活動數據單位Please fill in Custom Unit"),"請選擇預設排放係數名稱Please Choose Default Fuel or Greenhouse Gas")</f>
        <v>請選擇預設排放係數名稱Please Choose Default Fuel or Greenhouse Gas</v>
      </c>
      <c r="N26" s="235"/>
      <c r="O26" s="235"/>
      <c r="P26" s="23"/>
      <c r="Q26" s="23"/>
      <c r="R26" s="23"/>
      <c r="S26" s="23"/>
      <c r="T26" s="23"/>
      <c r="U26" s="23"/>
      <c r="V26" s="23"/>
      <c r="W26" s="198"/>
      <c r="X26" s="91"/>
      <c r="Y26" s="327" t="str">
        <f t="shared" si="0"/>
        <v/>
      </c>
      <c r="Z26" s="328" t="str">
        <f t="shared" si="1"/>
        <v/>
      </c>
      <c r="AA26" s="328" t="str">
        <f t="shared" si="2"/>
        <v/>
      </c>
      <c r="AB26" s="328" t="str">
        <f t="shared" si="3"/>
        <v/>
      </c>
      <c r="AC26" s="328" t="str">
        <f t="shared" si="4"/>
        <v/>
      </c>
      <c r="AD26" s="328" t="str">
        <f t="shared" si="5"/>
        <v/>
      </c>
      <c r="AE26" s="329" t="str">
        <f t="shared" si="6"/>
        <v/>
      </c>
      <c r="AF26" s="327">
        <f>IFERROR(IF($I26="預設值Default",ROUND(VLOOKUP($J26,'4.Default Emission Factor'!$D:$V,2,FALSE),10),IF($I26="自訂值Custom Value",P26,0)),0)</f>
        <v>0</v>
      </c>
      <c r="AG26" s="328">
        <f>IFERROR(IF($I26="預設值Default",ROUND(VLOOKUP($J26,'4.Default Emission Factor'!$D:$V,4,FALSE),10),IF($I26="自訂值Custom Value",Q26,0)),0)</f>
        <v>0</v>
      </c>
      <c r="AH26" s="328">
        <f>IFERROR(IF($I26="預設值Default",ROUND(VLOOKUP($J26,'4.Default Emission Factor'!$D:$V,6,FALSE),10),IF($I26="自訂值Custom Value",R26,0)),0)</f>
        <v>0</v>
      </c>
      <c r="AI26" s="328">
        <f>IFERROR(IF($I26="預設值Default",ROUND(VLOOKUP($J26,'4.Default Emission Factor'!$D:$V,8,FALSE),10),IF($I26="自訂值Custom Value",S26,0)),0)</f>
        <v>0</v>
      </c>
      <c r="AJ26" s="328">
        <f>IFERROR(IF($I26="預設值Default",ROUND(VLOOKUP($J26,'4.Default Emission Factor'!$D:$V,10,FALSE),10),IF($I26="自訂值Custom Value",T26,0)),0)</f>
        <v>0</v>
      </c>
      <c r="AK26" s="328">
        <f>IFERROR(IF($I26="預設值Default",ROUND(VLOOKUP($J26,'4.Default Emission Factor'!$D:$V,12,FALSE),10),IF($I26="自訂值Custom Value",U26,0)),0)</f>
        <v>0</v>
      </c>
      <c r="AL26" s="328">
        <f>IFERROR(IF($I26="預設值Default",ROUND(VLOOKUP($J26,'4.Default Emission Factor'!$D:$V,14,FALSE),10),IF($I26="自訂值Custom Value",V26,0)),0)</f>
        <v>0</v>
      </c>
      <c r="AM26" s="330" t="str">
        <f>IFERROR(IF(I26="預設值Default",VLOOKUP($J26,'4.Default Emission Factor'!$D:$V,17,FALSE),IF(I26="自訂值Custom Value",X26,"")),"")</f>
        <v/>
      </c>
      <c r="AN26" s="331">
        <f t="shared" si="7"/>
        <v>0</v>
      </c>
      <c r="AO26" s="332">
        <f>IF(Z26="V",IF('1.GHG Inventory Form'!$E$6="IPCC AR2 Report(1995)",'6.GWP'!$C$2,IF('1.GHG Inventory Form'!$E$6="IPCC AR3 Report(2001)",'6.GWP'!$D$2,IF('1.GHG Inventory Form'!$E$6="IPCC AR4 Report(2007)",'6.GWP'!$E$2,IF('1.GHG Inventory Form'!$E$6="IPCC AR5 Report(2013)",'6.GWP'!$F$2,IF('1.GHG Inventory Form'!$E$6="IPCC AR6 Report(2021)",'6.GWP'!$G$2,0))))),0)</f>
        <v>0</v>
      </c>
      <c r="AP26" s="332">
        <f>IF(AA26="V",IF('1.GHG Inventory Form'!$E$6="IPCC AR2 Report(1995)",'6.GWP'!$C$3,IF('1.GHG Inventory Form'!$E$6="IPCC AR3 Report(2001)",'6.GWP'!$D$3,IF('1.GHG Inventory Form'!$E$6="IPCC AR4 Report(2007)",'6.GWP'!$E$3,IF('1.GHG Inventory Form'!$E$6="IPCC AR5 Report(2013)",'6.GWP'!$F$3,IF('1.GHG Inventory Form'!$E$6="IPCC AR6 Report(2021)",'6.GWP'!$G$3,0))))),0)</f>
        <v>0</v>
      </c>
      <c r="AQ26" s="332">
        <f>IFERROR(IF(AND(AB26="V",$I26="預設值"),IF('1.GHG Inventory Form'!$E$6="IPCC AR2 Report(1995)",VLOOKUP($J26,'6.GWP'!$B$1:$G$173,2,FALSE),IF('1.GHG Inventory Form'!$E$6="IPCC AR3 Report(2001)",VLOOKUP($J26,'6.GWP'!$B$1:$G$173,3,FALSE),IF('1.GHG Inventory Form'!$E$6="IPCC AR4 Report(2007)",VLOOKUP($J26,'6.GWP'!$B$1:$G$173,4,FALSE),IF('1.GHG Inventory Form'!$E$6="IPCC AR5 Report(2013)",VLOOKUP($J26,'6.GWP'!$B$1:$G$173,5,FALSE),IF('1.GHG Inventory Form'!$E$6="IPCC AR6 Report(2021)",VLOOKUP($J26,'6.GWP'!$B$2:$G$173,6,FALSE),0))))),IF(AND(AB26="V",$I26="自訂值"),IF('1.GHG Inventory Form'!$E$6="IPCC AR2 Report(1995)",VLOOKUP($K26,'6.GWP'!$B$1:$G$173,2,FALSE),IF('1.GHG Inventory Form'!$E$6="IPCC AR3 Report(2001)",VLOOKUP($K26,'6.GWP'!$B$1:$G$173,3,FALSE),IF('1.GHG Inventory Form'!$E$6="IPCC AR4 Report(2007)",VLOOKUP($K26,'6.GWP'!$B$1:$G$173,4,FALSE),IF('1.GHG Inventory Form'!$E$6="IPCC AR5 Report(2013)",VLOOKUP($K26,'6.GWP'!$B$1:$G$173,5,FALSE),IF('1.GHG Inventory Form'!$E$6="IPCC AR6 Report(2021)",VLOOKUP($K26,'6.GWP'!$B$2:$G$173,6,FALSE),0))))),0)),0)</f>
        <v>0</v>
      </c>
      <c r="AR26" s="332">
        <f>IFERROR(IF(AND(AC26="V",$I26="預設值"),IF('1.GHG Inventory Form'!$E$6="IPCC AR2 Report(1995)",VLOOKUP($J26,'6.GWP'!$B$1:$G$173,2,FALSE),IF('1.GHG Inventory Form'!$E$6="IPCC AR3 Report(2001)",VLOOKUP($J26,'6.GWP'!$B$1:$G$173,3,FALSE),IF('1.GHG Inventory Form'!$E$6="IPCC AR4 Report(2007)",VLOOKUP($J26,'6.GWP'!$B$1:$G$173,4,FALSE),IF('1.GHG Inventory Form'!$E$6="IPCC AR5 Report(2013)",VLOOKUP($J26,'6.GWP'!$B$1:$G$173,5,FALSE),IF('1.GHG Inventory Form'!$E$6="IPCC AR6 Report(2021)",VLOOKUP($J26,'6.GWP'!$B$2:$G$173,6,FALSE),0))))),IF(AND(AC26="V",$I26="自訂值"),IF('1.GHG Inventory Form'!$E$6="IPCC AR2 Report(1995)",VLOOKUP($K26,'6.GWP'!$B$1:$G$173,2,FALSE),IF('1.GHG Inventory Form'!$E$6="IPCC AR3 Report(2001)",VLOOKUP($K26,'6.GWP'!$B$1:$G$173,3,FALSE),IF('1.GHG Inventory Form'!$E$6="IPCC AR4 Report(2007)",VLOOKUP($K26,'6.GWP'!$B$1:$G$173,4,FALSE),IF('1.GHG Inventory Form'!$E$6="IPCC AR5 Report(2013)",VLOOKUP($K26,'6.GWP'!$B$1:$G$173,5,FALSE),IF('1.GHG Inventory Form'!$E$6="IPCC AR6 Report(2021)",VLOOKUP($K26,'6.GWP'!$B$2:$G$173,6,FALSE),0))))),0)),0)</f>
        <v>0</v>
      </c>
      <c r="AS26" s="332">
        <f>IF(AD26="V",IF('1.GHG Inventory Form'!$E$6="IPCC AR2 Report(1995)",'6.GWP'!$C$5,IF('1.GHG Inventory Form'!$E$6="IPCC AR3 Report(2001)",'6.GWP'!$D$5,IF('1.GHG Inventory Form'!$E$6="IPCC AR4 Report(2007)",'6.GWP'!$E$5,IF('1.GHG Inventory Form'!$E$6="IPCC AR5 Report(2013)",'6.GWP'!$F$5,IF('1.GHG Inventory Form'!$E$6="IPCC AR6 Report(2021)",'6.GWP'!$G$5,0))))),0)</f>
        <v>0</v>
      </c>
      <c r="AT26" s="333">
        <f>IF(AE26="V",IF('1.GHG Inventory Form'!$E$6="IPCC AR2 Report(1995)",'6.GWP'!$C$4,IF('1.GHG Inventory Form'!$E$6="IPCC AR3 Report(2001)",'6.GWP'!$D$4,IF('1.GHG Inventory Form'!$E$6="IPCC AR4 Report(2007)",'6.GWP'!$E$4,IF('1.GHG Inventory Form'!$E$6="IPCC AR5 Report(2013)",'6.GWP'!$F$4,IF('1.GHG Inventory Form'!$E$6="IPCC AR6 Report(2021)",'6.GWP'!$G$4,0))))),0)</f>
        <v>0</v>
      </c>
      <c r="AU26" s="334" t="str">
        <f t="shared" si="8"/>
        <v/>
      </c>
      <c r="AV26" s="334" t="str">
        <f t="shared" si="9"/>
        <v/>
      </c>
      <c r="AW26" s="334" t="str">
        <f t="shared" si="10"/>
        <v/>
      </c>
      <c r="AX26" s="334" t="str">
        <f t="shared" si="11"/>
        <v/>
      </c>
      <c r="AY26" s="334" t="str">
        <f t="shared" si="12"/>
        <v/>
      </c>
      <c r="AZ26" s="334" t="str">
        <f t="shared" si="13"/>
        <v/>
      </c>
      <c r="BA26" s="334" t="str">
        <f t="shared" si="14"/>
        <v/>
      </c>
      <c r="BB26" s="334">
        <f t="shared" si="15"/>
        <v>0</v>
      </c>
      <c r="BC26" s="335">
        <f t="shared" si="16"/>
        <v>0</v>
      </c>
      <c r="BD26" s="336">
        <f t="shared" si="17"/>
        <v>0</v>
      </c>
      <c r="BI26" s="86" t="str">
        <f t="shared" si="18"/>
        <v/>
      </c>
      <c r="BJ26" s="86" t="str">
        <f t="shared" si="19"/>
        <v/>
      </c>
      <c r="BK26" s="86" t="str">
        <f t="shared" si="20"/>
        <v/>
      </c>
    </row>
    <row r="27" spans="1:63" customFormat="1" ht="31.5" customHeight="1" thickBot="1">
      <c r="A27">
        <v>12</v>
      </c>
      <c r="B27" s="634"/>
      <c r="C27" s="698"/>
      <c r="D27" s="668"/>
      <c r="E27" s="699"/>
      <c r="F27" s="700"/>
      <c r="G27" s="337"/>
      <c r="H27" s="338" t="s">
        <v>240</v>
      </c>
      <c r="I27" s="339" t="s">
        <v>325</v>
      </c>
      <c r="J27" s="340" t="s">
        <v>240</v>
      </c>
      <c r="K27" s="193"/>
      <c r="L27" s="278" t="s">
        <v>240</v>
      </c>
      <c r="M27" s="341" t="str">
        <f>IFERROR(IF(I27="預設值Default",VLOOKUP($J27,'4.Default Emission Factor'!$D:$V,16,FALSE),"請填寫自訂活動數據單位Please fill in Custom Unit"),"請選擇預設排放係數名稱Please Choose Default Fuel or Greenhouse Gas")</f>
        <v>請選擇預設排放係數名稱Please Choose Default Fuel or Greenhouse Gas</v>
      </c>
      <c r="N27" s="244"/>
      <c r="O27" s="244"/>
      <c r="P27" s="151"/>
      <c r="Q27" s="151"/>
      <c r="R27" s="151"/>
      <c r="S27" s="151"/>
      <c r="T27" s="151"/>
      <c r="U27" s="151"/>
      <c r="V27" s="151"/>
      <c r="W27" s="279"/>
      <c r="X27" s="154"/>
      <c r="Y27" s="342" t="str">
        <f t="shared" si="0"/>
        <v/>
      </c>
      <c r="Z27" s="343" t="str">
        <f t="shared" si="1"/>
        <v/>
      </c>
      <c r="AA27" s="343" t="str">
        <f t="shared" si="2"/>
        <v/>
      </c>
      <c r="AB27" s="343" t="str">
        <f t="shared" si="3"/>
        <v/>
      </c>
      <c r="AC27" s="343" t="str">
        <f t="shared" si="4"/>
        <v/>
      </c>
      <c r="AD27" s="343" t="str">
        <f t="shared" si="5"/>
        <v/>
      </c>
      <c r="AE27" s="344" t="str">
        <f t="shared" si="6"/>
        <v/>
      </c>
      <c r="AF27" s="342">
        <f>IFERROR(IF($I27="預設值Default",ROUND(VLOOKUP($J27,'4.Default Emission Factor'!$D:$V,2,FALSE),10),IF($I27="自訂值Custom Value",P27,0)),0)</f>
        <v>0</v>
      </c>
      <c r="AG27" s="343">
        <f>IFERROR(IF($I27="預設值Default",ROUND(VLOOKUP($J27,'4.Default Emission Factor'!$D:$V,4,FALSE),10),IF($I27="自訂值Custom Value",Q27,0)),0)</f>
        <v>0</v>
      </c>
      <c r="AH27" s="343">
        <f>IFERROR(IF($I27="預設值Default",ROUND(VLOOKUP($J27,'4.Default Emission Factor'!$D:$V,6,FALSE),10),IF($I27="自訂值Custom Value",R27,0)),0)</f>
        <v>0</v>
      </c>
      <c r="AI27" s="343">
        <f>IFERROR(IF($I27="預設值Default",ROUND(VLOOKUP($J27,'4.Default Emission Factor'!$D:$V,8,FALSE),10),IF($I27="自訂值Custom Value",S27,0)),0)</f>
        <v>0</v>
      </c>
      <c r="AJ27" s="343">
        <f>IFERROR(IF($I27="預設值Default",ROUND(VLOOKUP($J27,'4.Default Emission Factor'!$D:$V,10,FALSE),10),IF($I27="自訂值Custom Value",T27,0)),0)</f>
        <v>0</v>
      </c>
      <c r="AK27" s="343">
        <f>IFERROR(IF($I27="預設值Default",ROUND(VLOOKUP($J27,'4.Default Emission Factor'!$D:$V,12,FALSE),10),IF($I27="自訂值Custom Value",U27,0)),0)</f>
        <v>0</v>
      </c>
      <c r="AL27" s="343">
        <f>IFERROR(IF($I27="預設值Default",ROUND(VLOOKUP($J27,'4.Default Emission Factor'!$D:$V,14,FALSE),10),IF($I27="自訂值Custom Value",V27,0)),0)</f>
        <v>0</v>
      </c>
      <c r="AM27" s="345" t="str">
        <f>IFERROR(IF(I27="預設值Default",VLOOKUP($J27,'4.Default Emission Factor'!$D:$V,17,FALSE),IF(I27="自訂值Custom Value",X27,"")),"")</f>
        <v/>
      </c>
      <c r="AN27" s="346">
        <f t="shared" si="7"/>
        <v>0</v>
      </c>
      <c r="AO27" s="347">
        <f>IF(Z27="V",IF('1.GHG Inventory Form'!$E$6="IPCC AR2 Report(1995)",'6.GWP'!$C$2,IF('1.GHG Inventory Form'!$E$6="IPCC AR3 Report(2001)",'6.GWP'!$D$2,IF('1.GHG Inventory Form'!$E$6="IPCC AR4 Report(2007)",'6.GWP'!$E$2,IF('1.GHG Inventory Form'!$E$6="IPCC AR5 Report(2013)",'6.GWP'!$F$2,IF('1.GHG Inventory Form'!$E$6="IPCC AR6 Report(2021)",'6.GWP'!$G$2,0))))),0)</f>
        <v>0</v>
      </c>
      <c r="AP27" s="347">
        <f>IF(AA27="V",IF('1.GHG Inventory Form'!$E$6="IPCC AR2 Report(1995)",'6.GWP'!$C$3,IF('1.GHG Inventory Form'!$E$6="IPCC AR3 Report(2001)",'6.GWP'!$D$3,IF('1.GHG Inventory Form'!$E$6="IPCC AR4 Report(2007)",'6.GWP'!$E$3,IF('1.GHG Inventory Form'!$E$6="IPCC AR5 Report(2013)",'6.GWP'!$F$3,IF('1.GHG Inventory Form'!$E$6="IPCC AR6 Report(2021)",'6.GWP'!$G$3,0))))),0)</f>
        <v>0</v>
      </c>
      <c r="AQ27" s="347">
        <f>IFERROR(IF(AND(AB27="V",$I27="預設值"),IF('1.GHG Inventory Form'!$E$6="IPCC AR2 Report(1995)",VLOOKUP($J27,'6.GWP'!$B$1:$G$173,2,FALSE),IF('1.GHG Inventory Form'!$E$6="IPCC AR3 Report(2001)",VLOOKUP($J27,'6.GWP'!$B$1:$G$173,3,FALSE),IF('1.GHG Inventory Form'!$E$6="IPCC AR4 Report(2007)",VLOOKUP($J27,'6.GWP'!$B$1:$G$173,4,FALSE),IF('1.GHG Inventory Form'!$E$6="IPCC AR5 Report(2013)",VLOOKUP($J27,'6.GWP'!$B$1:$G$173,5,FALSE),IF('1.GHG Inventory Form'!$E$6="IPCC AR6 Report(2021)",VLOOKUP($J27,'6.GWP'!$B$2:$G$173,6,FALSE),0))))),IF(AND(AB27="V",$I27="自訂值"),IF('1.GHG Inventory Form'!$E$6="IPCC AR2 Report(1995)",VLOOKUP($K27,'6.GWP'!$B$1:$G$173,2,FALSE),IF('1.GHG Inventory Form'!$E$6="IPCC AR3 Report(2001)",VLOOKUP($K27,'6.GWP'!$B$1:$G$173,3,FALSE),IF('1.GHG Inventory Form'!$E$6="IPCC AR4 Report(2007)",VLOOKUP($K27,'6.GWP'!$B$1:$G$173,4,FALSE),IF('1.GHG Inventory Form'!$E$6="IPCC AR5 Report(2013)",VLOOKUP($K27,'6.GWP'!$B$1:$G$173,5,FALSE),IF('1.GHG Inventory Form'!$E$6="IPCC AR6 Report(2021)",VLOOKUP($K27,'6.GWP'!$B$2:$G$173,6,FALSE),0))))),0)),0)</f>
        <v>0</v>
      </c>
      <c r="AR27" s="347">
        <f>IFERROR(IF(AND(AC27="V",$I27="預設值"),IF('1.GHG Inventory Form'!$E$6="IPCC AR2 Report(1995)",VLOOKUP($J27,'6.GWP'!$B$1:$G$173,2,FALSE),IF('1.GHG Inventory Form'!$E$6="IPCC AR3 Report(2001)",VLOOKUP($J27,'6.GWP'!$B$1:$G$173,3,FALSE),IF('1.GHG Inventory Form'!$E$6="IPCC AR4 Report(2007)",VLOOKUP($J27,'6.GWP'!$B$1:$G$173,4,FALSE),IF('1.GHG Inventory Form'!$E$6="IPCC AR5 Report(2013)",VLOOKUP($J27,'6.GWP'!$B$1:$G$173,5,FALSE),IF('1.GHG Inventory Form'!$E$6="IPCC AR6 Report(2021)",VLOOKUP($J27,'6.GWP'!$B$2:$G$173,6,FALSE),0))))),IF(AND(AC27="V",$I27="自訂值"),IF('1.GHG Inventory Form'!$E$6="IPCC AR2 Report(1995)",VLOOKUP($K27,'6.GWP'!$B$1:$G$173,2,FALSE),IF('1.GHG Inventory Form'!$E$6="IPCC AR3 Report(2001)",VLOOKUP($K27,'6.GWP'!$B$1:$G$173,3,FALSE),IF('1.GHG Inventory Form'!$E$6="IPCC AR4 Report(2007)",VLOOKUP($K27,'6.GWP'!$B$1:$G$173,4,FALSE),IF('1.GHG Inventory Form'!$E$6="IPCC AR5 Report(2013)",VLOOKUP($K27,'6.GWP'!$B$1:$G$173,5,FALSE),IF('1.GHG Inventory Form'!$E$6="IPCC AR6 Report(2021)",VLOOKUP($K27,'6.GWP'!$B$2:$G$173,6,FALSE),0))))),0)),0)</f>
        <v>0</v>
      </c>
      <c r="AS27" s="347">
        <f>IF(AD27="V",IF('1.GHG Inventory Form'!$E$6="IPCC AR2 Report(1995)",'6.GWP'!$C$5,IF('1.GHG Inventory Form'!$E$6="IPCC AR3 Report(2001)",'6.GWP'!$D$5,IF('1.GHG Inventory Form'!$E$6="IPCC AR4 Report(2007)",'6.GWP'!$E$5,IF('1.GHG Inventory Form'!$E$6="IPCC AR5 Report(2013)",'6.GWP'!$F$5,IF('1.GHG Inventory Form'!$E$6="IPCC AR6 Report(2021)",'6.GWP'!$G$5,0))))),0)</f>
        <v>0</v>
      </c>
      <c r="AT27" s="348">
        <f>IF(AE27="V",IF('1.GHG Inventory Form'!$E$6="IPCC AR2 Report(1995)",'6.GWP'!$C$4,IF('1.GHG Inventory Form'!$E$6="IPCC AR3 Report(2001)",'6.GWP'!$D$4,IF('1.GHG Inventory Form'!$E$6="IPCC AR4 Report(2007)",'6.GWP'!$E$4,IF('1.GHG Inventory Form'!$E$6="IPCC AR5 Report(2013)",'6.GWP'!$F$4,IF('1.GHG Inventory Form'!$E$6="IPCC AR6 Report(2021)",'6.GWP'!$G$4,0))))),0)</f>
        <v>0</v>
      </c>
      <c r="AU27" s="349" t="str">
        <f t="shared" si="8"/>
        <v/>
      </c>
      <c r="AV27" s="349" t="str">
        <f t="shared" si="9"/>
        <v/>
      </c>
      <c r="AW27" s="349" t="str">
        <f t="shared" si="10"/>
        <v/>
      </c>
      <c r="AX27" s="349" t="str">
        <f t="shared" si="11"/>
        <v/>
      </c>
      <c r="AY27" s="349" t="str">
        <f t="shared" si="12"/>
        <v/>
      </c>
      <c r="AZ27" s="349" t="str">
        <f t="shared" si="13"/>
        <v/>
      </c>
      <c r="BA27" s="349" t="str">
        <f t="shared" si="14"/>
        <v/>
      </c>
      <c r="BB27" s="349">
        <f t="shared" si="15"/>
        <v>0</v>
      </c>
      <c r="BC27" s="350">
        <f t="shared" si="16"/>
        <v>0</v>
      </c>
      <c r="BD27" s="351">
        <f t="shared" si="17"/>
        <v>0</v>
      </c>
      <c r="BI27" s="86" t="str">
        <f t="shared" si="18"/>
        <v/>
      </c>
      <c r="BJ27" s="86" t="str">
        <f t="shared" si="19"/>
        <v/>
      </c>
      <c r="BK27" s="86" t="str">
        <f t="shared" si="20"/>
        <v/>
      </c>
    </row>
    <row r="28" spans="1:63" customFormat="1" ht="31" customHeight="1">
      <c r="A28">
        <v>1</v>
      </c>
      <c r="B28" s="668"/>
      <c r="C28" s="701">
        <v>1.2</v>
      </c>
      <c r="D28" s="703" t="s">
        <v>326</v>
      </c>
      <c r="E28" s="703"/>
      <c r="F28" s="703"/>
      <c r="G28" s="352" t="s">
        <v>386</v>
      </c>
      <c r="H28" s="353" t="s">
        <v>21</v>
      </c>
      <c r="I28" s="354" t="s">
        <v>325</v>
      </c>
      <c r="J28" s="354" t="s">
        <v>93</v>
      </c>
      <c r="K28" s="282"/>
      <c r="L28" s="283">
        <v>22.071120000000001</v>
      </c>
      <c r="M28" s="353" t="str">
        <f>IFERROR(IF(I28="預設值Default",VLOOKUP($J28,'4.Default Emission Factor'!$D:$V,16,FALSE),"請填寫自訂活動數據單位Please fill in Custom Unit"),"請選擇預設排放係數名稱Please Choose Default Fuel or Greenhouse Gas")</f>
        <v>KL</v>
      </c>
      <c r="N28" s="284"/>
      <c r="O28" s="284"/>
      <c r="P28" s="26"/>
      <c r="Q28" s="26"/>
      <c r="R28" s="26"/>
      <c r="S28" s="26"/>
      <c r="T28" s="98"/>
      <c r="U28" s="98"/>
      <c r="V28" s="98"/>
      <c r="W28" s="98"/>
      <c r="X28" s="285"/>
      <c r="Y28" s="355" t="str">
        <f t="shared" si="0"/>
        <v>V</v>
      </c>
      <c r="Z28" s="355" t="str">
        <f t="shared" si="1"/>
        <v>V</v>
      </c>
      <c r="AA28" s="355" t="str">
        <f t="shared" si="2"/>
        <v>V</v>
      </c>
      <c r="AB28" s="355" t="str">
        <f t="shared" si="3"/>
        <v/>
      </c>
      <c r="AC28" s="355" t="str">
        <f t="shared" si="4"/>
        <v/>
      </c>
      <c r="AD28" s="355" t="str">
        <f t="shared" si="5"/>
        <v/>
      </c>
      <c r="AE28" s="355" t="str">
        <f t="shared" si="6"/>
        <v/>
      </c>
      <c r="AF28" s="355">
        <f>IFERROR(IF($I28="預設值Default",ROUND(VLOOKUP($J28,'4.Default Emission Factor'!$D:$V,2,FALSE),10),IF($I28="自訂值Custom Value",P28,0)),0)</f>
        <v>2.2631328719999999</v>
      </c>
      <c r="AG28" s="355">
        <f>IFERROR(IF($I28="預設值Default",ROUND(VLOOKUP($J28,'4.Default Emission Factor'!$D:$V,4,FALSE),10),IF($I28="自訂值Custom Value",Q28,0)),0)</f>
        <v>8.1642599999999998E-4</v>
      </c>
      <c r="AH28" s="355">
        <f>IFERROR(IF($I28="預設值Default",ROUND(VLOOKUP($J28,'4.Default Emission Factor'!$D:$V,6,FALSE),10),IF($I28="自訂值Custom Value",R28,0)),0)</f>
        <v>2.6125630000000001E-4</v>
      </c>
      <c r="AI28" s="355">
        <f>IFERROR(IF($I28="預設值Default",ROUND(VLOOKUP($J28,'4.Default Emission Factor'!$D:$V,8,FALSE),10),IF($I28="自訂值Custom Value",S28,0)),0)</f>
        <v>0</v>
      </c>
      <c r="AJ28" s="355">
        <f>IFERROR(IF($I28="預設值Default",ROUND(VLOOKUP($J28,'4.Default Emission Factor'!$D:$V,10,FALSE),10),IF($I28="自訂值Custom Value",T28,0)),0)</f>
        <v>0</v>
      </c>
      <c r="AK28" s="355">
        <f>IFERROR(IF($I28="預設值Default",ROUND(VLOOKUP($J28,'4.Default Emission Factor'!$D:$V,12,FALSE),10),IF($I28="自訂值Custom Value",U28,0)),0)</f>
        <v>0</v>
      </c>
      <c r="AL28" s="355">
        <f>IFERROR(IF($I28="預設值Default",ROUND(VLOOKUP($J28,'4.Default Emission Factor'!$D:$V,14,FALSE),10),IF($I28="自訂值Custom Value",V28,0)),0)</f>
        <v>0</v>
      </c>
      <c r="AM28" s="356" t="str">
        <f>IFERROR(IF(I28="預設值Default",VLOOKUP($J28,'4.Default Emission Factor'!$D:$V,17,FALSE),IF(I28="自訂值Custom Value",X28,"")),"")</f>
        <v>環保署排放係管理表6.0.4Taiwan EPA GHG coefficient table 6.0.4</v>
      </c>
      <c r="AN28" s="357">
        <f t="shared" si="7"/>
        <v>1</v>
      </c>
      <c r="AO28" s="357">
        <f>IF(Z28="V",IF('1.GHG Inventory Form'!$E$6="IPCC AR2 Report(1995)",'6.GWP'!$C$2,IF('1.GHG Inventory Form'!$E$6="IPCC AR3 Report(2001)",'6.GWP'!$D$2,IF('1.GHG Inventory Form'!$E$6="IPCC AR4 Report(2007)",'6.GWP'!$E$2,IF('1.GHG Inventory Form'!$E$6="IPCC AR5 Report(2013)",'6.GWP'!$F$2,IF('1.GHG Inventory Form'!$E$6="IPCC AR6 Report(2021)",'6.GWP'!$G$2,0))))),0)</f>
        <v>27.9</v>
      </c>
      <c r="AP28" s="357">
        <f>IF(AA28="V",IF('1.GHG Inventory Form'!$E$6="IPCC AR2 Report(1995)",'6.GWP'!$C$3,IF('1.GHG Inventory Form'!$E$6="IPCC AR3 Report(2001)",'6.GWP'!$D$3,IF('1.GHG Inventory Form'!$E$6="IPCC AR4 Report(2007)",'6.GWP'!$E$3,IF('1.GHG Inventory Form'!$E$6="IPCC AR5 Report(2013)",'6.GWP'!$F$3,IF('1.GHG Inventory Form'!$E$6="IPCC AR6 Report(2021)",'6.GWP'!$G$3,0))))),0)</f>
        <v>273</v>
      </c>
      <c r="AQ28" s="357">
        <f>IFERROR(IF(AND(AB28="V",$I28="預設值"),IF('1.GHG Inventory Form'!$E$6="IPCC AR2 Report(1995)",VLOOKUP($J28,'6.GWP'!$B$1:$G$173,2,FALSE),IF('1.GHG Inventory Form'!$E$6="IPCC AR3 Report(2001)",VLOOKUP($J28,'6.GWP'!$B$1:$G$173,3,FALSE),IF('1.GHG Inventory Form'!$E$6="IPCC AR4 Report(2007)",VLOOKUP($J28,'6.GWP'!$B$1:$G$173,4,FALSE),IF('1.GHG Inventory Form'!$E$6="IPCC AR5 Report(2013)",VLOOKUP($J28,'6.GWP'!$B$1:$G$173,5,FALSE),IF('1.GHG Inventory Form'!$E$6="IPCC AR6 Report(2021)",VLOOKUP($J28,'6.GWP'!$B$2:$G$173,6,FALSE),0))))),IF(AND(AB28="V",$I28="自訂值"),IF('1.GHG Inventory Form'!$E$6="IPCC AR2 Report(1995)",VLOOKUP($K28,'6.GWP'!$B$1:$G$173,2,FALSE),IF('1.GHG Inventory Form'!$E$6="IPCC AR3 Report(2001)",VLOOKUP($K28,'6.GWP'!$B$1:$G$173,3,FALSE),IF('1.GHG Inventory Form'!$E$6="IPCC AR4 Report(2007)",VLOOKUP($K28,'6.GWP'!$B$1:$G$173,4,FALSE),IF('1.GHG Inventory Form'!$E$6="IPCC AR5 Report(2013)",VLOOKUP($K28,'6.GWP'!$B$1:$G$173,5,FALSE),IF('1.GHG Inventory Form'!$E$6="IPCC AR6 Report(2021)",VLOOKUP($K28,'6.GWP'!$B$2:$G$173,6,FALSE),0))))),0)),0)</f>
        <v>0</v>
      </c>
      <c r="AR28" s="357">
        <f>IFERROR(IF(AND(AC28="V",$I28="預設值"),IF('1.GHG Inventory Form'!$E$6="IPCC AR2 Report(1995)",VLOOKUP($J28,'6.GWP'!$B$1:$G$173,2,FALSE),IF('1.GHG Inventory Form'!$E$6="IPCC AR3 Report(2001)",VLOOKUP($J28,'6.GWP'!$B$1:$G$173,3,FALSE),IF('1.GHG Inventory Form'!$E$6="IPCC AR4 Report(2007)",VLOOKUP($J28,'6.GWP'!$B$1:$G$173,4,FALSE),IF('1.GHG Inventory Form'!$E$6="IPCC AR5 Report(2013)",VLOOKUP($J28,'6.GWP'!$B$1:$G$173,5,FALSE),IF('1.GHG Inventory Form'!$E$6="IPCC AR6 Report(2021)",VLOOKUP($J28,'6.GWP'!$B$2:$G$173,6,FALSE),0))))),IF(AND(AC28="V",$I28="自訂值"),IF('1.GHG Inventory Form'!$E$6="IPCC AR2 Report(1995)",VLOOKUP($K28,'6.GWP'!$B$1:$G$173,2,FALSE),IF('1.GHG Inventory Form'!$E$6="IPCC AR3 Report(2001)",VLOOKUP($K28,'6.GWP'!$B$1:$G$173,3,FALSE),IF('1.GHG Inventory Form'!$E$6="IPCC AR4 Report(2007)",VLOOKUP($K28,'6.GWP'!$B$1:$G$173,4,FALSE),IF('1.GHG Inventory Form'!$E$6="IPCC AR5 Report(2013)",VLOOKUP($K28,'6.GWP'!$B$1:$G$173,5,FALSE),IF('1.GHG Inventory Form'!$E$6="IPCC AR6 Report(2021)",VLOOKUP($K28,'6.GWP'!$B$2:$G$173,6,FALSE),0))))),0)),0)</f>
        <v>0</v>
      </c>
      <c r="AS28" s="357">
        <f>IF(AD28="V",IF('1.GHG Inventory Form'!$E$6="IPCC AR2 Report(1995)",'6.GWP'!$C$5,IF('1.GHG Inventory Form'!$E$6="IPCC AR3 Report(2001)",'6.GWP'!$D$5,IF('1.GHG Inventory Form'!$E$6="IPCC AR4 Report(2007)",'6.GWP'!$E$5,IF('1.GHG Inventory Form'!$E$6="IPCC AR5 Report(2013)",'6.GWP'!$F$5,IF('1.GHG Inventory Form'!$E$6="IPCC AR6 Report(2021)",'6.GWP'!$G$5,0))))),0)</f>
        <v>0</v>
      </c>
      <c r="AT28" s="357">
        <f>IF(AE28="V",IF('1.GHG Inventory Form'!$E$6="IPCC AR2 Report(1995)",'6.GWP'!$C$4,IF('1.GHG Inventory Form'!$E$6="IPCC AR3 Report(2001)",'6.GWP'!$D$4,IF('1.GHG Inventory Form'!$E$6="IPCC AR4 Report(2007)",'6.GWP'!$E$4,IF('1.GHG Inventory Form'!$E$6="IPCC AR5 Report(2013)",'6.GWP'!$F$4,IF('1.GHG Inventory Form'!$E$6="IPCC AR6 Report(2021)",'6.GWP'!$G$4,0))))),0)</f>
        <v>0</v>
      </c>
      <c r="AU28" s="358">
        <f t="shared" si="8"/>
        <v>49.949877193856636</v>
      </c>
      <c r="AV28" s="358">
        <f t="shared" si="9"/>
        <v>0.50274227045764797</v>
      </c>
      <c r="AW28" s="358">
        <f t="shared" si="10"/>
        <v>1.5741778274192881</v>
      </c>
      <c r="AX28" s="358">
        <f t="shared" si="11"/>
        <v>0</v>
      </c>
      <c r="AY28" s="358">
        <f t="shared" si="12"/>
        <v>0</v>
      </c>
      <c r="AZ28" s="358">
        <f t="shared" si="13"/>
        <v>0</v>
      </c>
      <c r="BA28" s="358">
        <f t="shared" si="14"/>
        <v>0</v>
      </c>
      <c r="BB28" s="358">
        <f t="shared" si="15"/>
        <v>52.026800000000001</v>
      </c>
      <c r="BC28" s="359">
        <f t="shared" si="16"/>
        <v>3.640025447462765E-2</v>
      </c>
      <c r="BD28" s="360">
        <f t="shared" si="17"/>
        <v>3.2805640571578393E-2</v>
      </c>
      <c r="BI28" s="86" t="str">
        <f t="shared" si="18"/>
        <v>車輛 vehicle車用汽油(移動源)Motor Gasoline(Mobile combustion emissions)</v>
      </c>
      <c r="BJ28" s="86" t="str">
        <f t="shared" si="19"/>
        <v/>
      </c>
      <c r="BK28" s="86" t="str">
        <f t="shared" si="20"/>
        <v>環保署排放係管理表6.0.4Taiwan EPA GHG coefficient table 6.0.4</v>
      </c>
    </row>
    <row r="29" spans="1:63" customFormat="1" ht="31" customHeight="1">
      <c r="A29">
        <v>2</v>
      </c>
      <c r="B29" s="668"/>
      <c r="C29" s="671"/>
      <c r="D29" s="704"/>
      <c r="E29" s="704"/>
      <c r="F29" s="704"/>
      <c r="G29" s="361" t="s">
        <v>386</v>
      </c>
      <c r="H29" s="362" t="s">
        <v>21</v>
      </c>
      <c r="I29" s="363" t="s">
        <v>325</v>
      </c>
      <c r="J29" s="363" t="s">
        <v>92</v>
      </c>
      <c r="K29" s="280"/>
      <c r="L29" s="281">
        <v>0.31542000000000003</v>
      </c>
      <c r="M29" s="362" t="str">
        <f>IFERROR(IF(I29="預設值Default",VLOOKUP($J29,'4.Default Emission Factor'!$D:$V,16,FALSE),"請填寫自訂活動數據單位Please fill in Custom Unit"),"請選擇預設排放係數名稱Please Choose Default Fuel or Greenhouse Gas")</f>
        <v>KL</v>
      </c>
      <c r="N29" s="245"/>
      <c r="O29" s="245"/>
      <c r="P29" s="24"/>
      <c r="Q29" s="24"/>
      <c r="R29" s="24"/>
      <c r="S29" s="24"/>
      <c r="T29" s="92"/>
      <c r="U29" s="92"/>
      <c r="V29" s="92"/>
      <c r="W29" s="92"/>
      <c r="X29" s="101"/>
      <c r="Y29" s="364" t="str">
        <f t="shared" si="0"/>
        <v>V</v>
      </c>
      <c r="Z29" s="364" t="str">
        <f t="shared" si="1"/>
        <v>V</v>
      </c>
      <c r="AA29" s="364" t="str">
        <f t="shared" si="2"/>
        <v>V</v>
      </c>
      <c r="AB29" s="364" t="str">
        <f t="shared" si="3"/>
        <v/>
      </c>
      <c r="AC29" s="364" t="str">
        <f t="shared" si="4"/>
        <v/>
      </c>
      <c r="AD29" s="364" t="str">
        <f t="shared" si="5"/>
        <v/>
      </c>
      <c r="AE29" s="364" t="str">
        <f t="shared" si="6"/>
        <v/>
      </c>
      <c r="AF29" s="364">
        <f>IFERROR(IF($I29="預設值Default",ROUND(VLOOKUP($J29,'4.Default Emission Factor'!$D:$V,2,FALSE),10),IF($I29="自訂值Custom Value",P29,0)),0)</f>
        <v>2.606031792</v>
      </c>
      <c r="AG29" s="364">
        <f>IFERROR(IF($I29="預設值Default",ROUND(VLOOKUP($J29,'4.Default Emission Factor'!$D:$V,4,FALSE),10),IF($I29="自訂值Custom Value",Q29,0)),0)</f>
        <v>1.3715959999999999E-4</v>
      </c>
      <c r="AH29" s="364">
        <f>IFERROR(IF($I29="預設值Default",ROUND(VLOOKUP($J29,'4.Default Emission Factor'!$D:$V,6,FALSE),10),IF($I29="自訂值Custom Value",R29,0)),0)</f>
        <v>1.3715959999999999E-4</v>
      </c>
      <c r="AI29" s="364">
        <f>IFERROR(IF($I29="預設值Default",ROUND(VLOOKUP($J29,'4.Default Emission Factor'!$D:$V,8,FALSE),10),IF($I29="自訂值Custom Value",S29,0)),0)</f>
        <v>0</v>
      </c>
      <c r="AJ29" s="364">
        <f>IFERROR(IF($I29="預設值Default",ROUND(VLOOKUP($J29,'4.Default Emission Factor'!$D:$V,10,FALSE),10),IF($I29="自訂值Custom Value",T29,0)),0)</f>
        <v>0</v>
      </c>
      <c r="AK29" s="364">
        <f>IFERROR(IF($I29="預設值Default",ROUND(VLOOKUP($J29,'4.Default Emission Factor'!$D:$V,12,FALSE),10),IF($I29="自訂值Custom Value",U29,0)),0)</f>
        <v>0</v>
      </c>
      <c r="AL29" s="364">
        <f>IFERROR(IF($I29="預設值Default",ROUND(VLOOKUP($J29,'4.Default Emission Factor'!$D:$V,14,FALSE),10),IF($I29="自訂值Custom Value",V29,0)),0)</f>
        <v>0</v>
      </c>
      <c r="AM29" s="365" t="str">
        <f>IFERROR(IF(I29="預設值Default",VLOOKUP($J29,'4.Default Emission Factor'!$D:$V,17,FALSE),IF(I29="自訂值Custom Value",X29,"")),"")</f>
        <v>環保署排放係管理表6.0.4Taiwan EPA GHG coefficient table 6.0.4</v>
      </c>
      <c r="AN29" s="366">
        <f t="shared" si="7"/>
        <v>1</v>
      </c>
      <c r="AO29" s="366">
        <f>IF(Z29="V",IF('1.GHG Inventory Form'!$E$6="IPCC AR2 Report(1995)",'6.GWP'!$C$2,IF('1.GHG Inventory Form'!$E$6="IPCC AR3 Report(2001)",'6.GWP'!$D$2,IF('1.GHG Inventory Form'!$E$6="IPCC AR4 Report(2007)",'6.GWP'!$E$2,IF('1.GHG Inventory Form'!$E$6="IPCC AR5 Report(2013)",'6.GWP'!$F$2,IF('1.GHG Inventory Form'!$E$6="IPCC AR6 Report(2021)",'6.GWP'!$G$2,0))))),0)</f>
        <v>27.9</v>
      </c>
      <c r="AP29" s="366">
        <f>IF(AA29="V",IF('1.GHG Inventory Form'!$E$6="IPCC AR2 Report(1995)",'6.GWP'!$C$3,IF('1.GHG Inventory Form'!$E$6="IPCC AR3 Report(2001)",'6.GWP'!$D$3,IF('1.GHG Inventory Form'!$E$6="IPCC AR4 Report(2007)",'6.GWP'!$E$3,IF('1.GHG Inventory Form'!$E$6="IPCC AR5 Report(2013)",'6.GWP'!$F$3,IF('1.GHG Inventory Form'!$E$6="IPCC AR6 Report(2021)",'6.GWP'!$G$3,0))))),0)</f>
        <v>273</v>
      </c>
      <c r="AQ29" s="366">
        <f>IFERROR(IF(AND(AB29="V",$I29="預設值"),IF('1.GHG Inventory Form'!$E$6="IPCC AR2 Report(1995)",VLOOKUP($J29,'6.GWP'!$B$1:$G$173,2,FALSE),IF('1.GHG Inventory Form'!$E$6="IPCC AR3 Report(2001)",VLOOKUP($J29,'6.GWP'!$B$1:$G$173,3,FALSE),IF('1.GHG Inventory Form'!$E$6="IPCC AR4 Report(2007)",VLOOKUP($J29,'6.GWP'!$B$1:$G$173,4,FALSE),IF('1.GHG Inventory Form'!$E$6="IPCC AR5 Report(2013)",VLOOKUP($J29,'6.GWP'!$B$1:$G$173,5,FALSE),IF('1.GHG Inventory Form'!$E$6="IPCC AR6 Report(2021)",VLOOKUP($J29,'6.GWP'!$B$2:$G$173,6,FALSE),0))))),IF(AND(AB29="V",$I29="自訂值"),IF('1.GHG Inventory Form'!$E$6="IPCC AR2 Report(1995)",VLOOKUP($K29,'6.GWP'!$B$1:$G$173,2,FALSE),IF('1.GHG Inventory Form'!$E$6="IPCC AR3 Report(2001)",VLOOKUP($K29,'6.GWP'!$B$1:$G$173,3,FALSE),IF('1.GHG Inventory Form'!$E$6="IPCC AR4 Report(2007)",VLOOKUP($K29,'6.GWP'!$B$1:$G$173,4,FALSE),IF('1.GHG Inventory Form'!$E$6="IPCC AR5 Report(2013)",VLOOKUP($K29,'6.GWP'!$B$1:$G$173,5,FALSE),IF('1.GHG Inventory Form'!$E$6="IPCC AR6 Report(2021)",VLOOKUP($K29,'6.GWP'!$B$2:$G$173,6,FALSE),0))))),0)),0)</f>
        <v>0</v>
      </c>
      <c r="AR29" s="366">
        <f>IFERROR(IF(AND(AC29="V",$I29="預設值"),IF('1.GHG Inventory Form'!$E$6="IPCC AR2 Report(1995)",VLOOKUP($J29,'6.GWP'!$B$1:$G$173,2,FALSE),IF('1.GHG Inventory Form'!$E$6="IPCC AR3 Report(2001)",VLOOKUP($J29,'6.GWP'!$B$1:$G$173,3,FALSE),IF('1.GHG Inventory Form'!$E$6="IPCC AR4 Report(2007)",VLOOKUP($J29,'6.GWP'!$B$1:$G$173,4,FALSE),IF('1.GHG Inventory Form'!$E$6="IPCC AR5 Report(2013)",VLOOKUP($J29,'6.GWP'!$B$1:$G$173,5,FALSE),IF('1.GHG Inventory Form'!$E$6="IPCC AR6 Report(2021)",VLOOKUP($J29,'6.GWP'!$B$2:$G$173,6,FALSE),0))))),IF(AND(AC29="V",$I29="自訂值"),IF('1.GHG Inventory Form'!$E$6="IPCC AR2 Report(1995)",VLOOKUP($K29,'6.GWP'!$B$1:$G$173,2,FALSE),IF('1.GHG Inventory Form'!$E$6="IPCC AR3 Report(2001)",VLOOKUP($K29,'6.GWP'!$B$1:$G$173,3,FALSE),IF('1.GHG Inventory Form'!$E$6="IPCC AR4 Report(2007)",VLOOKUP($K29,'6.GWP'!$B$1:$G$173,4,FALSE),IF('1.GHG Inventory Form'!$E$6="IPCC AR5 Report(2013)",VLOOKUP($K29,'6.GWP'!$B$1:$G$173,5,FALSE),IF('1.GHG Inventory Form'!$E$6="IPCC AR6 Report(2021)",VLOOKUP($K29,'6.GWP'!$B$2:$G$173,6,FALSE),0))))),0)),0)</f>
        <v>0</v>
      </c>
      <c r="AS29" s="366">
        <f>IF(AD29="V",IF('1.GHG Inventory Form'!$E$6="IPCC AR2 Report(1995)",'6.GWP'!$C$5,IF('1.GHG Inventory Form'!$E$6="IPCC AR3 Report(2001)",'6.GWP'!$D$5,IF('1.GHG Inventory Form'!$E$6="IPCC AR4 Report(2007)",'6.GWP'!$E$5,IF('1.GHG Inventory Form'!$E$6="IPCC AR5 Report(2013)",'6.GWP'!$F$5,IF('1.GHG Inventory Form'!$E$6="IPCC AR6 Report(2021)",'6.GWP'!$G$5,0))))),0)</f>
        <v>0</v>
      </c>
      <c r="AT29" s="366">
        <f>IF(AE29="V",IF('1.GHG Inventory Form'!$E$6="IPCC AR2 Report(1995)",'6.GWP'!$C$4,IF('1.GHG Inventory Form'!$E$6="IPCC AR3 Report(2001)",'6.GWP'!$D$4,IF('1.GHG Inventory Form'!$E$6="IPCC AR4 Report(2007)",'6.GWP'!$E$4,IF('1.GHG Inventory Form'!$E$6="IPCC AR5 Report(2013)",'6.GWP'!$F$4,IF('1.GHG Inventory Form'!$E$6="IPCC AR6 Report(2021)",'6.GWP'!$G$4,0))))),0)</f>
        <v>0</v>
      </c>
      <c r="AU29" s="367">
        <f t="shared" si="8"/>
        <v>0.82199454783264014</v>
      </c>
      <c r="AV29" s="367">
        <f t="shared" si="9"/>
        <v>1.2070343807927999E-3</v>
      </c>
      <c r="AW29" s="367">
        <f t="shared" si="10"/>
        <v>1.1810766521736E-2</v>
      </c>
      <c r="AX29" s="367">
        <f t="shared" si="11"/>
        <v>0</v>
      </c>
      <c r="AY29" s="367">
        <f t="shared" si="12"/>
        <v>0</v>
      </c>
      <c r="AZ29" s="367">
        <f t="shared" si="13"/>
        <v>0</v>
      </c>
      <c r="BA29" s="367">
        <f t="shared" si="14"/>
        <v>0</v>
      </c>
      <c r="BB29" s="367">
        <f t="shared" si="15"/>
        <v>0.83499999999999996</v>
      </c>
      <c r="BC29" s="368">
        <f t="shared" si="16"/>
        <v>5.8420299703833571E-4</v>
      </c>
      <c r="BD29" s="369">
        <f t="shared" si="17"/>
        <v>5.2651152631466775E-4</v>
      </c>
      <c r="BI29" s="86" t="str">
        <f t="shared" si="18"/>
        <v>車輛 vehicle柴油(移動源)Diesel Oil(Mobile combustion emissions)</v>
      </c>
      <c r="BJ29" s="86" t="str">
        <f t="shared" si="19"/>
        <v/>
      </c>
      <c r="BK29" s="86" t="str">
        <f t="shared" si="20"/>
        <v>環保署排放係管理表6.0.4Taiwan EPA GHG coefficient table 6.0.4</v>
      </c>
    </row>
    <row r="30" spans="1:63" customFormat="1" ht="46.5" customHeight="1">
      <c r="A30">
        <v>3</v>
      </c>
      <c r="B30" s="668"/>
      <c r="C30" s="671"/>
      <c r="D30" s="704"/>
      <c r="E30" s="704"/>
      <c r="F30" s="704"/>
      <c r="G30" s="361"/>
      <c r="H30" s="362"/>
      <c r="I30" s="363"/>
      <c r="J30" s="363"/>
      <c r="K30" s="280"/>
      <c r="L30" s="281"/>
      <c r="M30" s="362" t="str">
        <f>IFERROR(IF(I30="預設值Default",VLOOKUP($J30,'4.Default Emission Factor'!$D:$V,16,FALSE),"請填寫自訂活動數據單位Please fill in Custom Unit"),"請選擇預設排放係數名稱Please Choose Default Fuel or Greenhouse Gas")</f>
        <v>請填寫自訂活動數據單位Please fill in Custom Unit</v>
      </c>
      <c r="N30" s="245"/>
      <c r="O30" s="245"/>
      <c r="P30" s="24"/>
      <c r="Q30" s="24"/>
      <c r="R30" s="24"/>
      <c r="S30" s="24"/>
      <c r="T30" s="92"/>
      <c r="U30" s="92"/>
      <c r="V30" s="92"/>
      <c r="W30" s="92"/>
      <c r="X30" s="101"/>
      <c r="Y30" s="364" t="str">
        <f t="shared" si="0"/>
        <v/>
      </c>
      <c r="Z30" s="364" t="str">
        <f t="shared" si="1"/>
        <v/>
      </c>
      <c r="AA30" s="364" t="str">
        <f t="shared" si="2"/>
        <v/>
      </c>
      <c r="AB30" s="364" t="str">
        <f t="shared" si="3"/>
        <v/>
      </c>
      <c r="AC30" s="364" t="str">
        <f t="shared" si="4"/>
        <v/>
      </c>
      <c r="AD30" s="364" t="str">
        <f t="shared" si="5"/>
        <v/>
      </c>
      <c r="AE30" s="364" t="str">
        <f t="shared" si="6"/>
        <v/>
      </c>
      <c r="AF30" s="364">
        <f>IFERROR(IF($I30="預設值Default",ROUND(VLOOKUP($J30,'4.Default Emission Factor'!$D:$V,2,FALSE),10),IF($I30="自訂值Custom Value",P30,0)),0)</f>
        <v>0</v>
      </c>
      <c r="AG30" s="364">
        <f>IFERROR(IF($I30="預設值Default",ROUND(VLOOKUP($J30,'4.Default Emission Factor'!$D:$V,4,FALSE),10),IF($I30="自訂值Custom Value",Q30,0)),0)</f>
        <v>0</v>
      </c>
      <c r="AH30" s="364">
        <f>IFERROR(IF($I30="預設值Default",ROUND(VLOOKUP($J30,'4.Default Emission Factor'!$D:$V,6,FALSE),10),IF($I30="自訂值Custom Value",R30,0)),0)</f>
        <v>0</v>
      </c>
      <c r="AI30" s="364">
        <f>IFERROR(IF($I30="預設值Default",ROUND(VLOOKUP($J30,'4.Default Emission Factor'!$D:$V,8,FALSE),10),IF($I30="自訂值Custom Value",S30,0)),0)</f>
        <v>0</v>
      </c>
      <c r="AJ30" s="364">
        <f>IFERROR(IF($I30="預設值Default",ROUND(VLOOKUP($J30,'4.Default Emission Factor'!$D:$V,10,FALSE),10),IF($I30="自訂值Custom Value",T30,0)),0)</f>
        <v>0</v>
      </c>
      <c r="AK30" s="364">
        <f>IFERROR(IF($I30="預設值Default",ROUND(VLOOKUP($J30,'4.Default Emission Factor'!$D:$V,12,FALSE),10),IF($I30="自訂值Custom Value",U30,0)),0)</f>
        <v>0</v>
      </c>
      <c r="AL30" s="364">
        <f>IFERROR(IF($I30="預設值Default",ROUND(VLOOKUP($J30,'4.Default Emission Factor'!$D:$V,14,FALSE),10),IF($I30="自訂值Custom Value",V30,0)),0)</f>
        <v>0</v>
      </c>
      <c r="AM30" s="365" t="str">
        <f>IFERROR(IF(I30="預設值Default",VLOOKUP($J30,'4.Default Emission Factor'!$D:$V,17,FALSE),IF(I30="自訂值Custom Value",X30,"")),"")</f>
        <v/>
      </c>
      <c r="AN30" s="366">
        <f t="shared" si="7"/>
        <v>0</v>
      </c>
      <c r="AO30" s="366">
        <f>IF(Z30="V",IF('1.GHG Inventory Form'!$E$6="IPCC AR2 Report(1995)",'6.GWP'!$C$2,IF('1.GHG Inventory Form'!$E$6="IPCC AR3 Report(2001)",'6.GWP'!$D$2,IF('1.GHG Inventory Form'!$E$6="IPCC AR4 Report(2007)",'6.GWP'!$E$2,IF('1.GHG Inventory Form'!$E$6="IPCC AR5 Report(2013)",'6.GWP'!$F$2,IF('1.GHG Inventory Form'!$E$6="IPCC AR6 Report(2021)",'6.GWP'!$G$2,0))))),0)</f>
        <v>0</v>
      </c>
      <c r="AP30" s="366">
        <f>IF(AA30="V",IF('1.GHG Inventory Form'!$E$6="IPCC AR2 Report(1995)",'6.GWP'!$C$3,IF('1.GHG Inventory Form'!$E$6="IPCC AR3 Report(2001)",'6.GWP'!$D$3,IF('1.GHG Inventory Form'!$E$6="IPCC AR4 Report(2007)",'6.GWP'!$E$3,IF('1.GHG Inventory Form'!$E$6="IPCC AR5 Report(2013)",'6.GWP'!$F$3,IF('1.GHG Inventory Form'!$E$6="IPCC AR6 Report(2021)",'6.GWP'!$G$3,0))))),0)</f>
        <v>0</v>
      </c>
      <c r="AQ30" s="366">
        <f>IFERROR(IF(AND(AB30="V",$I30="預設值"),IF('1.GHG Inventory Form'!$E$6="IPCC AR2 Report(1995)",VLOOKUP($J30,'6.GWP'!$B$1:$G$173,2,FALSE),IF('1.GHG Inventory Form'!$E$6="IPCC AR3 Report(2001)",VLOOKUP($J30,'6.GWP'!$B$1:$G$173,3,FALSE),IF('1.GHG Inventory Form'!$E$6="IPCC AR4 Report(2007)",VLOOKUP($J30,'6.GWP'!$B$1:$G$173,4,FALSE),IF('1.GHG Inventory Form'!$E$6="IPCC AR5 Report(2013)",VLOOKUP($J30,'6.GWP'!$B$1:$G$173,5,FALSE),IF('1.GHG Inventory Form'!$E$6="IPCC AR6 Report(2021)",VLOOKUP($J30,'6.GWP'!$B$2:$G$173,6,FALSE),0))))),IF(AND(AB30="V",$I30="自訂值"),IF('1.GHG Inventory Form'!$E$6="IPCC AR2 Report(1995)",VLOOKUP($K30,'6.GWP'!$B$1:$G$173,2,FALSE),IF('1.GHG Inventory Form'!$E$6="IPCC AR3 Report(2001)",VLOOKUP($K30,'6.GWP'!$B$1:$G$173,3,FALSE),IF('1.GHG Inventory Form'!$E$6="IPCC AR4 Report(2007)",VLOOKUP($K30,'6.GWP'!$B$1:$G$173,4,FALSE),IF('1.GHG Inventory Form'!$E$6="IPCC AR5 Report(2013)",VLOOKUP($K30,'6.GWP'!$B$1:$G$173,5,FALSE),IF('1.GHG Inventory Form'!$E$6="IPCC AR6 Report(2021)",VLOOKUP($K30,'6.GWP'!$B$2:$G$173,6,FALSE),0))))),0)),0)</f>
        <v>0</v>
      </c>
      <c r="AR30" s="366">
        <f>IFERROR(IF(AND(AC30="V",$I30="預設值"),IF('1.GHG Inventory Form'!$E$6="IPCC AR2 Report(1995)",VLOOKUP($J30,'6.GWP'!$B$1:$G$173,2,FALSE),IF('1.GHG Inventory Form'!$E$6="IPCC AR3 Report(2001)",VLOOKUP($J30,'6.GWP'!$B$1:$G$173,3,FALSE),IF('1.GHG Inventory Form'!$E$6="IPCC AR4 Report(2007)",VLOOKUP($J30,'6.GWP'!$B$1:$G$173,4,FALSE),IF('1.GHG Inventory Form'!$E$6="IPCC AR5 Report(2013)",VLOOKUP($J30,'6.GWP'!$B$1:$G$173,5,FALSE),IF('1.GHG Inventory Form'!$E$6="IPCC AR6 Report(2021)",VLOOKUP($J30,'6.GWP'!$B$2:$G$173,6,FALSE),0))))),IF(AND(AC30="V",$I30="自訂值"),IF('1.GHG Inventory Form'!$E$6="IPCC AR2 Report(1995)",VLOOKUP($K30,'6.GWP'!$B$1:$G$173,2,FALSE),IF('1.GHG Inventory Form'!$E$6="IPCC AR3 Report(2001)",VLOOKUP($K30,'6.GWP'!$B$1:$G$173,3,FALSE),IF('1.GHG Inventory Form'!$E$6="IPCC AR4 Report(2007)",VLOOKUP($K30,'6.GWP'!$B$1:$G$173,4,FALSE),IF('1.GHG Inventory Form'!$E$6="IPCC AR5 Report(2013)",VLOOKUP($K30,'6.GWP'!$B$1:$G$173,5,FALSE),IF('1.GHG Inventory Form'!$E$6="IPCC AR6 Report(2021)",VLOOKUP($K30,'6.GWP'!$B$2:$G$173,6,FALSE),0))))),0)),0)</f>
        <v>0</v>
      </c>
      <c r="AS30" s="366">
        <f>IF(AD30="V",IF('1.GHG Inventory Form'!$E$6="IPCC AR2 Report(1995)",'6.GWP'!$C$5,IF('1.GHG Inventory Form'!$E$6="IPCC AR3 Report(2001)",'6.GWP'!$D$5,IF('1.GHG Inventory Form'!$E$6="IPCC AR4 Report(2007)",'6.GWP'!$E$5,IF('1.GHG Inventory Form'!$E$6="IPCC AR5 Report(2013)",'6.GWP'!$F$5,IF('1.GHG Inventory Form'!$E$6="IPCC AR6 Report(2021)",'6.GWP'!$G$5,0))))),0)</f>
        <v>0</v>
      </c>
      <c r="AT30" s="366">
        <f>IF(AE30="V",IF('1.GHG Inventory Form'!$E$6="IPCC AR2 Report(1995)",'6.GWP'!$C$4,IF('1.GHG Inventory Form'!$E$6="IPCC AR3 Report(2001)",'6.GWP'!$D$4,IF('1.GHG Inventory Form'!$E$6="IPCC AR4 Report(2007)",'6.GWP'!$E$4,IF('1.GHG Inventory Form'!$E$6="IPCC AR5 Report(2013)",'6.GWP'!$F$4,IF('1.GHG Inventory Form'!$E$6="IPCC AR6 Report(2021)",'6.GWP'!$G$4,0))))),0)</f>
        <v>0</v>
      </c>
      <c r="AU30" s="367">
        <f t="shared" si="8"/>
        <v>0</v>
      </c>
      <c r="AV30" s="367">
        <f t="shared" si="9"/>
        <v>0</v>
      </c>
      <c r="AW30" s="367">
        <f t="shared" si="10"/>
        <v>0</v>
      </c>
      <c r="AX30" s="367">
        <f t="shared" si="11"/>
        <v>0</v>
      </c>
      <c r="AY30" s="367">
        <f t="shared" si="12"/>
        <v>0</v>
      </c>
      <c r="AZ30" s="367">
        <f t="shared" si="13"/>
        <v>0</v>
      </c>
      <c r="BA30" s="367">
        <f t="shared" si="14"/>
        <v>0</v>
      </c>
      <c r="BB30" s="367">
        <f t="shared" si="15"/>
        <v>0</v>
      </c>
      <c r="BC30" s="368">
        <f t="shared" si="16"/>
        <v>0</v>
      </c>
      <c r="BD30" s="369">
        <f t="shared" si="17"/>
        <v>0</v>
      </c>
      <c r="BI30" s="86" t="str">
        <f t="shared" si="18"/>
        <v/>
      </c>
      <c r="BJ30" s="86" t="str">
        <f t="shared" si="19"/>
        <v/>
      </c>
      <c r="BK30" s="86" t="str">
        <f t="shared" si="20"/>
        <v/>
      </c>
    </row>
    <row r="31" spans="1:63" customFormat="1" ht="31" customHeight="1">
      <c r="A31">
        <v>4</v>
      </c>
      <c r="B31" s="668"/>
      <c r="C31" s="671"/>
      <c r="D31" s="704"/>
      <c r="E31" s="704"/>
      <c r="F31" s="704"/>
      <c r="G31" s="361"/>
      <c r="H31" s="362"/>
      <c r="I31" s="363"/>
      <c r="J31" s="363"/>
      <c r="K31" s="280"/>
      <c r="L31" s="234"/>
      <c r="M31" s="362" t="str">
        <f>IFERROR(IF(I31="預設值Default",VLOOKUP($J31,'4.Default Emission Factor'!$D:$V,16,FALSE),"請填寫自訂活動數據單位Please fill in Custom Unit"),"請選擇預設排放係數名稱Please Choose Default Fuel or Greenhouse Gas")</f>
        <v>請填寫自訂活動數據單位Please fill in Custom Unit</v>
      </c>
      <c r="N31" s="245"/>
      <c r="O31" s="245"/>
      <c r="P31" s="24"/>
      <c r="Q31" s="24"/>
      <c r="R31" s="24"/>
      <c r="S31" s="24"/>
      <c r="T31" s="92"/>
      <c r="U31" s="92"/>
      <c r="V31" s="92"/>
      <c r="W31" s="92"/>
      <c r="X31" s="101"/>
      <c r="Y31" s="364" t="str">
        <f t="shared" si="0"/>
        <v/>
      </c>
      <c r="Z31" s="364" t="str">
        <f t="shared" si="1"/>
        <v/>
      </c>
      <c r="AA31" s="364" t="str">
        <f t="shared" si="2"/>
        <v/>
      </c>
      <c r="AB31" s="364" t="str">
        <f t="shared" si="3"/>
        <v/>
      </c>
      <c r="AC31" s="364" t="str">
        <f t="shared" si="4"/>
        <v/>
      </c>
      <c r="AD31" s="364" t="str">
        <f t="shared" si="5"/>
        <v/>
      </c>
      <c r="AE31" s="364" t="str">
        <f t="shared" si="6"/>
        <v/>
      </c>
      <c r="AF31" s="364">
        <f>IFERROR(IF($I31="預設值Default",ROUND(VLOOKUP($J31,'4.Default Emission Factor'!$D:$V,2,FALSE),10),IF($I31="自訂值Custom Value",P31,0)),0)</f>
        <v>0</v>
      </c>
      <c r="AG31" s="364">
        <f>IFERROR(IF($I31="預設值Default",ROUND(VLOOKUP($J31,'4.Default Emission Factor'!$D:$V,4,FALSE),10),IF($I31="自訂值Custom Value",Q31,0)),0)</f>
        <v>0</v>
      </c>
      <c r="AH31" s="364">
        <f>IFERROR(IF($I31="預設值Default",ROUND(VLOOKUP($J31,'4.Default Emission Factor'!$D:$V,6,FALSE),10),IF($I31="自訂值Custom Value",R31,0)),0)</f>
        <v>0</v>
      </c>
      <c r="AI31" s="364">
        <f>IFERROR(IF($I31="預設值Default",ROUND(VLOOKUP($J31,'4.Default Emission Factor'!$D:$V,8,FALSE),10),IF($I31="自訂值Custom Value",S31,0)),0)</f>
        <v>0</v>
      </c>
      <c r="AJ31" s="364">
        <f>IFERROR(IF($I31="預設值Default",ROUND(VLOOKUP($J31,'4.Default Emission Factor'!$D:$V,10,FALSE),10),IF($I31="自訂值Custom Value",T31,0)),0)</f>
        <v>0</v>
      </c>
      <c r="AK31" s="364">
        <f>IFERROR(IF($I31="預設值Default",ROUND(VLOOKUP($J31,'4.Default Emission Factor'!$D:$V,12,FALSE),10),IF($I31="自訂值Custom Value",U31,0)),0)</f>
        <v>0</v>
      </c>
      <c r="AL31" s="364">
        <f>IFERROR(IF($I31="預設值Default",ROUND(VLOOKUP($J31,'4.Default Emission Factor'!$D:$V,14,FALSE),10),IF($I31="自訂值Custom Value",V31,0)),0)</f>
        <v>0</v>
      </c>
      <c r="AM31" s="365" t="str">
        <f>IFERROR(IF(I31="預設值Default",VLOOKUP($J31,'4.Default Emission Factor'!$D:$V,17,FALSE),IF(I31="自訂值Custom Value",X31,"")),"")</f>
        <v/>
      </c>
      <c r="AN31" s="366">
        <f t="shared" si="7"/>
        <v>0</v>
      </c>
      <c r="AO31" s="366">
        <f>IF(Z31="V",IF('1.GHG Inventory Form'!$E$6="IPCC AR2 Report(1995)",'6.GWP'!$C$2,IF('1.GHG Inventory Form'!$E$6="IPCC AR3 Report(2001)",'6.GWP'!$D$2,IF('1.GHG Inventory Form'!$E$6="IPCC AR4 Report(2007)",'6.GWP'!$E$2,IF('1.GHG Inventory Form'!$E$6="IPCC AR5 Report(2013)",'6.GWP'!$F$2,IF('1.GHG Inventory Form'!$E$6="IPCC AR6 Report(2021)",'6.GWP'!$G$2,0))))),0)</f>
        <v>0</v>
      </c>
      <c r="AP31" s="366">
        <f>IF(AA31="V",IF('1.GHG Inventory Form'!$E$6="IPCC AR2 Report(1995)",'6.GWP'!$C$3,IF('1.GHG Inventory Form'!$E$6="IPCC AR3 Report(2001)",'6.GWP'!$D$3,IF('1.GHG Inventory Form'!$E$6="IPCC AR4 Report(2007)",'6.GWP'!$E$3,IF('1.GHG Inventory Form'!$E$6="IPCC AR5 Report(2013)",'6.GWP'!$F$3,IF('1.GHG Inventory Form'!$E$6="IPCC AR6 Report(2021)",'6.GWP'!$G$3,0))))),0)</f>
        <v>0</v>
      </c>
      <c r="AQ31" s="366">
        <f>IFERROR(IF(AND(AB31="V",$I31="預設值"),IF('1.GHG Inventory Form'!$E$6="IPCC AR2 Report(1995)",VLOOKUP($J31,'6.GWP'!$B$1:$G$173,2,FALSE),IF('1.GHG Inventory Form'!$E$6="IPCC AR3 Report(2001)",VLOOKUP($J31,'6.GWP'!$B$1:$G$173,3,FALSE),IF('1.GHG Inventory Form'!$E$6="IPCC AR4 Report(2007)",VLOOKUP($J31,'6.GWP'!$B$1:$G$173,4,FALSE),IF('1.GHG Inventory Form'!$E$6="IPCC AR5 Report(2013)",VLOOKUP($J31,'6.GWP'!$B$1:$G$173,5,FALSE),IF('1.GHG Inventory Form'!$E$6="IPCC AR6 Report(2021)",VLOOKUP($J31,'6.GWP'!$B$2:$G$173,6,FALSE),0))))),IF(AND(AB31="V",$I31="自訂值"),IF('1.GHG Inventory Form'!$E$6="IPCC AR2 Report(1995)",VLOOKUP($K31,'6.GWP'!$B$1:$G$173,2,FALSE),IF('1.GHG Inventory Form'!$E$6="IPCC AR3 Report(2001)",VLOOKUP($K31,'6.GWP'!$B$1:$G$173,3,FALSE),IF('1.GHG Inventory Form'!$E$6="IPCC AR4 Report(2007)",VLOOKUP($K31,'6.GWP'!$B$1:$G$173,4,FALSE),IF('1.GHG Inventory Form'!$E$6="IPCC AR5 Report(2013)",VLOOKUP($K31,'6.GWP'!$B$1:$G$173,5,FALSE),IF('1.GHG Inventory Form'!$E$6="IPCC AR6 Report(2021)",VLOOKUP($K31,'6.GWP'!$B$2:$G$173,6,FALSE),0))))),0)),0)</f>
        <v>0</v>
      </c>
      <c r="AR31" s="366">
        <f>IFERROR(IF(AND(AC31="V",$I31="預設值"),IF('1.GHG Inventory Form'!$E$6="IPCC AR2 Report(1995)",VLOOKUP($J31,'6.GWP'!$B$1:$G$173,2,FALSE),IF('1.GHG Inventory Form'!$E$6="IPCC AR3 Report(2001)",VLOOKUP($J31,'6.GWP'!$B$1:$G$173,3,FALSE),IF('1.GHG Inventory Form'!$E$6="IPCC AR4 Report(2007)",VLOOKUP($J31,'6.GWP'!$B$1:$G$173,4,FALSE),IF('1.GHG Inventory Form'!$E$6="IPCC AR5 Report(2013)",VLOOKUP($J31,'6.GWP'!$B$1:$G$173,5,FALSE),IF('1.GHG Inventory Form'!$E$6="IPCC AR6 Report(2021)",VLOOKUP($J31,'6.GWP'!$B$2:$G$173,6,FALSE),0))))),IF(AND(AC31="V",$I31="自訂值"),IF('1.GHG Inventory Form'!$E$6="IPCC AR2 Report(1995)",VLOOKUP($K31,'6.GWP'!$B$1:$G$173,2,FALSE),IF('1.GHG Inventory Form'!$E$6="IPCC AR3 Report(2001)",VLOOKUP($K31,'6.GWP'!$B$1:$G$173,3,FALSE),IF('1.GHG Inventory Form'!$E$6="IPCC AR4 Report(2007)",VLOOKUP($K31,'6.GWP'!$B$1:$G$173,4,FALSE),IF('1.GHG Inventory Form'!$E$6="IPCC AR5 Report(2013)",VLOOKUP($K31,'6.GWP'!$B$1:$G$173,5,FALSE),IF('1.GHG Inventory Form'!$E$6="IPCC AR6 Report(2021)",VLOOKUP($K31,'6.GWP'!$B$2:$G$173,6,FALSE),0))))),0)),0)</f>
        <v>0</v>
      </c>
      <c r="AS31" s="366">
        <f>IF(AD31="V",IF('1.GHG Inventory Form'!$E$6="IPCC AR2 Report(1995)",'6.GWP'!$C$5,IF('1.GHG Inventory Form'!$E$6="IPCC AR3 Report(2001)",'6.GWP'!$D$5,IF('1.GHG Inventory Form'!$E$6="IPCC AR4 Report(2007)",'6.GWP'!$E$5,IF('1.GHG Inventory Form'!$E$6="IPCC AR5 Report(2013)",'6.GWP'!$F$5,IF('1.GHG Inventory Form'!$E$6="IPCC AR6 Report(2021)",'6.GWP'!$G$5,0))))),0)</f>
        <v>0</v>
      </c>
      <c r="AT31" s="366">
        <f>IF(AE31="V",IF('1.GHG Inventory Form'!$E$6="IPCC AR2 Report(1995)",'6.GWP'!$C$4,IF('1.GHG Inventory Form'!$E$6="IPCC AR3 Report(2001)",'6.GWP'!$D$4,IF('1.GHG Inventory Form'!$E$6="IPCC AR4 Report(2007)",'6.GWP'!$E$4,IF('1.GHG Inventory Form'!$E$6="IPCC AR5 Report(2013)",'6.GWP'!$F$4,IF('1.GHG Inventory Form'!$E$6="IPCC AR6 Report(2021)",'6.GWP'!$G$4,0))))),0)</f>
        <v>0</v>
      </c>
      <c r="AU31" s="367">
        <f t="shared" si="8"/>
        <v>0</v>
      </c>
      <c r="AV31" s="367">
        <f t="shared" si="9"/>
        <v>0</v>
      </c>
      <c r="AW31" s="367">
        <f t="shared" si="10"/>
        <v>0</v>
      </c>
      <c r="AX31" s="367">
        <f t="shared" si="11"/>
        <v>0</v>
      </c>
      <c r="AY31" s="367">
        <f t="shared" si="12"/>
        <v>0</v>
      </c>
      <c r="AZ31" s="367">
        <f t="shared" si="13"/>
        <v>0</v>
      </c>
      <c r="BA31" s="367">
        <f t="shared" si="14"/>
        <v>0</v>
      </c>
      <c r="BB31" s="367">
        <f t="shared" si="15"/>
        <v>0</v>
      </c>
      <c r="BC31" s="368">
        <f t="shared" si="16"/>
        <v>0</v>
      </c>
      <c r="BD31" s="369">
        <f t="shared" si="17"/>
        <v>0</v>
      </c>
      <c r="BI31" s="86" t="str">
        <f t="shared" si="18"/>
        <v/>
      </c>
      <c r="BJ31" s="86" t="str">
        <f t="shared" si="19"/>
        <v/>
      </c>
      <c r="BK31" s="86" t="str">
        <f t="shared" si="20"/>
        <v/>
      </c>
    </row>
    <row r="32" spans="1:63" customFormat="1" ht="18" customHeight="1">
      <c r="A32">
        <v>5</v>
      </c>
      <c r="B32" s="668"/>
      <c r="C32" s="671"/>
      <c r="D32" s="704"/>
      <c r="E32" s="704"/>
      <c r="F32" s="704"/>
      <c r="G32" s="361"/>
      <c r="H32" s="362"/>
      <c r="I32" s="363"/>
      <c r="J32" s="363"/>
      <c r="K32" s="280"/>
      <c r="L32" s="234"/>
      <c r="M32" s="362" t="str">
        <f>IFERROR(IF(I32="預設值Default",VLOOKUP($J32,'4.Default Emission Factor'!$D:$V,16,FALSE),"請填寫自訂活動數據單位Please fill in Custom Unit"),"請選擇預設排放係數名稱Please Choose Default Fuel or Greenhouse Gas")</f>
        <v>請填寫自訂活動數據單位Please fill in Custom Unit</v>
      </c>
      <c r="N32" s="245"/>
      <c r="O32" s="245"/>
      <c r="P32" s="24"/>
      <c r="Q32" s="24"/>
      <c r="R32" s="24"/>
      <c r="S32" s="24"/>
      <c r="T32" s="92"/>
      <c r="U32" s="92"/>
      <c r="V32" s="92"/>
      <c r="W32" s="92"/>
      <c r="X32" s="101"/>
      <c r="Y32" s="364" t="str">
        <f t="shared" si="0"/>
        <v/>
      </c>
      <c r="Z32" s="364" t="str">
        <f t="shared" si="1"/>
        <v/>
      </c>
      <c r="AA32" s="364" t="str">
        <f t="shared" si="2"/>
        <v/>
      </c>
      <c r="AB32" s="364" t="str">
        <f t="shared" si="3"/>
        <v/>
      </c>
      <c r="AC32" s="364" t="str">
        <f t="shared" si="4"/>
        <v/>
      </c>
      <c r="AD32" s="364" t="str">
        <f t="shared" si="5"/>
        <v/>
      </c>
      <c r="AE32" s="364" t="str">
        <f t="shared" si="6"/>
        <v/>
      </c>
      <c r="AF32" s="364">
        <f>IFERROR(IF($I32="預設值Default",ROUND(VLOOKUP($J32,'4.Default Emission Factor'!$D:$V,2,FALSE),10),IF($I32="自訂值Custom Value",P32,0)),0)</f>
        <v>0</v>
      </c>
      <c r="AG32" s="364">
        <f>IFERROR(IF($I32="預設值Default",ROUND(VLOOKUP($J32,'4.Default Emission Factor'!$D:$V,4,FALSE),10),IF($I32="自訂值Custom Value",Q32,0)),0)</f>
        <v>0</v>
      </c>
      <c r="AH32" s="364">
        <f>IFERROR(IF($I32="預設值Default",ROUND(VLOOKUP($J32,'4.Default Emission Factor'!$D:$V,6,FALSE),10),IF($I32="自訂值Custom Value",R32,0)),0)</f>
        <v>0</v>
      </c>
      <c r="AI32" s="364">
        <f>IFERROR(IF($I32="預設值Default",ROUND(VLOOKUP($J32,'4.Default Emission Factor'!$D:$V,8,FALSE),10),IF($I32="自訂值Custom Value",S32,0)),0)</f>
        <v>0</v>
      </c>
      <c r="AJ32" s="364">
        <f>IFERROR(IF($I32="預設值Default",ROUND(VLOOKUP($J32,'4.Default Emission Factor'!$D:$V,10,FALSE),10),IF($I32="自訂值Custom Value",T32,0)),0)</f>
        <v>0</v>
      </c>
      <c r="AK32" s="364">
        <f>IFERROR(IF($I32="預設值Default",ROUND(VLOOKUP($J32,'4.Default Emission Factor'!$D:$V,12,FALSE),10),IF($I32="自訂值Custom Value",U32,0)),0)</f>
        <v>0</v>
      </c>
      <c r="AL32" s="364">
        <f>IFERROR(IF($I32="預設值Default",ROUND(VLOOKUP($J32,'4.Default Emission Factor'!$D:$V,14,FALSE),10),IF($I32="自訂值Custom Value",V32,0)),0)</f>
        <v>0</v>
      </c>
      <c r="AM32" s="365" t="str">
        <f>IFERROR(IF(I32="預設值Default",VLOOKUP($J32,'4.Default Emission Factor'!$D:$V,17,FALSE),IF(I32="自訂值Custom Value",X32,"")),"")</f>
        <v/>
      </c>
      <c r="AN32" s="366">
        <f t="shared" si="7"/>
        <v>0</v>
      </c>
      <c r="AO32" s="366">
        <f>IF(Z32="V",IF('1.GHG Inventory Form'!$E$6="IPCC AR2 Report(1995)",'6.GWP'!$C$2,IF('1.GHG Inventory Form'!$E$6="IPCC AR3 Report(2001)",'6.GWP'!$D$2,IF('1.GHG Inventory Form'!$E$6="IPCC AR4 Report(2007)",'6.GWP'!$E$2,IF('1.GHG Inventory Form'!$E$6="IPCC AR5 Report(2013)",'6.GWP'!$F$2,IF('1.GHG Inventory Form'!$E$6="IPCC AR6 Report(2021)",'6.GWP'!$G$2,0))))),0)</f>
        <v>0</v>
      </c>
      <c r="AP32" s="366">
        <f>IF(AA32="V",IF('1.GHG Inventory Form'!$E$6="IPCC AR2 Report(1995)",'6.GWP'!$C$3,IF('1.GHG Inventory Form'!$E$6="IPCC AR3 Report(2001)",'6.GWP'!$D$3,IF('1.GHG Inventory Form'!$E$6="IPCC AR4 Report(2007)",'6.GWP'!$E$3,IF('1.GHG Inventory Form'!$E$6="IPCC AR5 Report(2013)",'6.GWP'!$F$3,IF('1.GHG Inventory Form'!$E$6="IPCC AR6 Report(2021)",'6.GWP'!$G$3,0))))),0)</f>
        <v>0</v>
      </c>
      <c r="AQ32" s="366">
        <f>IFERROR(IF(AND(AB32="V",$I32="預設值"),IF('1.GHG Inventory Form'!$E$6="IPCC AR2 Report(1995)",VLOOKUP($J32,'6.GWP'!$B$1:$G$173,2,FALSE),IF('1.GHG Inventory Form'!$E$6="IPCC AR3 Report(2001)",VLOOKUP($J32,'6.GWP'!$B$1:$G$173,3,FALSE),IF('1.GHG Inventory Form'!$E$6="IPCC AR4 Report(2007)",VLOOKUP($J32,'6.GWP'!$B$1:$G$173,4,FALSE),IF('1.GHG Inventory Form'!$E$6="IPCC AR5 Report(2013)",VLOOKUP($J32,'6.GWP'!$B$1:$G$173,5,FALSE),IF('1.GHG Inventory Form'!$E$6="IPCC AR6 Report(2021)",VLOOKUP($J32,'6.GWP'!$B$2:$G$173,6,FALSE),0))))),IF(AND(AB32="V",$I32="自訂值"),IF('1.GHG Inventory Form'!$E$6="IPCC AR2 Report(1995)",VLOOKUP($K32,'6.GWP'!$B$1:$G$173,2,FALSE),IF('1.GHG Inventory Form'!$E$6="IPCC AR3 Report(2001)",VLOOKUP($K32,'6.GWP'!$B$1:$G$173,3,FALSE),IF('1.GHG Inventory Form'!$E$6="IPCC AR4 Report(2007)",VLOOKUP($K32,'6.GWP'!$B$1:$G$173,4,FALSE),IF('1.GHG Inventory Form'!$E$6="IPCC AR5 Report(2013)",VLOOKUP($K32,'6.GWP'!$B$1:$G$173,5,FALSE),IF('1.GHG Inventory Form'!$E$6="IPCC AR6 Report(2021)",VLOOKUP($K32,'6.GWP'!$B$2:$G$173,6,FALSE),0))))),0)),0)</f>
        <v>0</v>
      </c>
      <c r="AR32" s="366">
        <f>IFERROR(IF(AND(AC32="V",$I32="預設值"),IF('1.GHG Inventory Form'!$E$6="IPCC AR2 Report(1995)",VLOOKUP($J32,'6.GWP'!$B$1:$G$173,2,FALSE),IF('1.GHG Inventory Form'!$E$6="IPCC AR3 Report(2001)",VLOOKUP($J32,'6.GWP'!$B$1:$G$173,3,FALSE),IF('1.GHG Inventory Form'!$E$6="IPCC AR4 Report(2007)",VLOOKUP($J32,'6.GWP'!$B$1:$G$173,4,FALSE),IF('1.GHG Inventory Form'!$E$6="IPCC AR5 Report(2013)",VLOOKUP($J32,'6.GWP'!$B$1:$G$173,5,FALSE),IF('1.GHG Inventory Form'!$E$6="IPCC AR6 Report(2021)",VLOOKUP($J32,'6.GWP'!$B$2:$G$173,6,FALSE),0))))),IF(AND(AC32="V",$I32="自訂值"),IF('1.GHG Inventory Form'!$E$6="IPCC AR2 Report(1995)",VLOOKUP($K32,'6.GWP'!$B$1:$G$173,2,FALSE),IF('1.GHG Inventory Form'!$E$6="IPCC AR3 Report(2001)",VLOOKUP($K32,'6.GWP'!$B$1:$G$173,3,FALSE),IF('1.GHG Inventory Form'!$E$6="IPCC AR4 Report(2007)",VLOOKUP($K32,'6.GWP'!$B$1:$G$173,4,FALSE),IF('1.GHG Inventory Form'!$E$6="IPCC AR5 Report(2013)",VLOOKUP($K32,'6.GWP'!$B$1:$G$173,5,FALSE),IF('1.GHG Inventory Form'!$E$6="IPCC AR6 Report(2021)",VLOOKUP($K32,'6.GWP'!$B$2:$G$173,6,FALSE),0))))),0)),0)</f>
        <v>0</v>
      </c>
      <c r="AS32" s="366">
        <f>IF(AD32="V",IF('1.GHG Inventory Form'!$E$6="IPCC AR2 Report(1995)",'6.GWP'!$C$5,IF('1.GHG Inventory Form'!$E$6="IPCC AR3 Report(2001)",'6.GWP'!$D$5,IF('1.GHG Inventory Form'!$E$6="IPCC AR4 Report(2007)",'6.GWP'!$E$5,IF('1.GHG Inventory Form'!$E$6="IPCC AR5 Report(2013)",'6.GWP'!$F$5,IF('1.GHG Inventory Form'!$E$6="IPCC AR6 Report(2021)",'6.GWP'!$G$5,0))))),0)</f>
        <v>0</v>
      </c>
      <c r="AT32" s="366">
        <f>IF(AE32="V",IF('1.GHG Inventory Form'!$E$6="IPCC AR2 Report(1995)",'6.GWP'!$C$4,IF('1.GHG Inventory Form'!$E$6="IPCC AR3 Report(2001)",'6.GWP'!$D$4,IF('1.GHG Inventory Form'!$E$6="IPCC AR4 Report(2007)",'6.GWP'!$E$4,IF('1.GHG Inventory Form'!$E$6="IPCC AR5 Report(2013)",'6.GWP'!$F$4,IF('1.GHG Inventory Form'!$E$6="IPCC AR6 Report(2021)",'6.GWP'!$G$4,0))))),0)</f>
        <v>0</v>
      </c>
      <c r="AU32" s="367">
        <f t="shared" si="8"/>
        <v>0</v>
      </c>
      <c r="AV32" s="367">
        <f t="shared" si="9"/>
        <v>0</v>
      </c>
      <c r="AW32" s="367">
        <f t="shared" si="10"/>
        <v>0</v>
      </c>
      <c r="AX32" s="367">
        <f t="shared" si="11"/>
        <v>0</v>
      </c>
      <c r="AY32" s="367">
        <f t="shared" si="12"/>
        <v>0</v>
      </c>
      <c r="AZ32" s="367">
        <f t="shared" si="13"/>
        <v>0</v>
      </c>
      <c r="BA32" s="367">
        <f t="shared" si="14"/>
        <v>0</v>
      </c>
      <c r="BB32" s="367">
        <f t="shared" si="15"/>
        <v>0</v>
      </c>
      <c r="BC32" s="368">
        <f t="shared" si="16"/>
        <v>0</v>
      </c>
      <c r="BD32" s="369">
        <f t="shared" si="17"/>
        <v>0</v>
      </c>
      <c r="BI32" s="86" t="str">
        <f t="shared" si="18"/>
        <v/>
      </c>
      <c r="BJ32" s="86" t="str">
        <f t="shared" si="19"/>
        <v/>
      </c>
      <c r="BK32" s="86" t="str">
        <f t="shared" si="20"/>
        <v/>
      </c>
    </row>
    <row r="33" spans="1:63" customFormat="1" ht="18" customHeight="1">
      <c r="A33">
        <v>6</v>
      </c>
      <c r="B33" s="668"/>
      <c r="C33" s="671"/>
      <c r="D33" s="704"/>
      <c r="E33" s="704"/>
      <c r="F33" s="704"/>
      <c r="G33" s="361"/>
      <c r="H33" s="362"/>
      <c r="I33" s="363"/>
      <c r="J33" s="363"/>
      <c r="K33" s="280"/>
      <c r="L33" s="234"/>
      <c r="M33" s="362" t="str">
        <f>IFERROR(IF(I33="預設值Default",VLOOKUP($J33,'4.Default Emission Factor'!$D:$V,16,FALSE),"請填寫自訂活動數據單位Please fill in Custom Unit"),"請選擇預設排放係數名稱Please Choose Default Fuel or Greenhouse Gas")</f>
        <v>請填寫自訂活動數據單位Please fill in Custom Unit</v>
      </c>
      <c r="N33" s="245"/>
      <c r="O33" s="245"/>
      <c r="P33" s="24"/>
      <c r="Q33" s="24"/>
      <c r="R33" s="24"/>
      <c r="S33" s="24"/>
      <c r="T33" s="92"/>
      <c r="U33" s="92"/>
      <c r="V33" s="92"/>
      <c r="W33" s="92"/>
      <c r="X33" s="101"/>
      <c r="Y33" s="364" t="str">
        <f t="shared" si="0"/>
        <v/>
      </c>
      <c r="Z33" s="364" t="str">
        <f t="shared" si="1"/>
        <v/>
      </c>
      <c r="AA33" s="364" t="str">
        <f t="shared" si="2"/>
        <v/>
      </c>
      <c r="AB33" s="364" t="str">
        <f t="shared" si="3"/>
        <v/>
      </c>
      <c r="AC33" s="364" t="str">
        <f t="shared" si="4"/>
        <v/>
      </c>
      <c r="AD33" s="364" t="str">
        <f t="shared" si="5"/>
        <v/>
      </c>
      <c r="AE33" s="364" t="str">
        <f t="shared" si="6"/>
        <v/>
      </c>
      <c r="AF33" s="364">
        <f>IFERROR(IF($I33="預設值Default",ROUND(VLOOKUP($J33,'4.Default Emission Factor'!$D:$V,2,FALSE),10),IF($I33="自訂值Custom Value",P33,0)),0)</f>
        <v>0</v>
      </c>
      <c r="AG33" s="364">
        <f>IFERROR(IF($I33="預設值Default",ROUND(VLOOKUP($J33,'4.Default Emission Factor'!$D:$V,4,FALSE),10),IF($I33="自訂值Custom Value",Q33,0)),0)</f>
        <v>0</v>
      </c>
      <c r="AH33" s="364">
        <f>IFERROR(IF($I33="預設值Default",ROUND(VLOOKUP($J33,'4.Default Emission Factor'!$D:$V,6,FALSE),10),IF($I33="自訂值Custom Value",R33,0)),0)</f>
        <v>0</v>
      </c>
      <c r="AI33" s="364">
        <f>IFERROR(IF($I33="預設值Default",ROUND(VLOOKUP($J33,'4.Default Emission Factor'!$D:$V,8,FALSE),10),IF($I33="自訂值Custom Value",S33,0)),0)</f>
        <v>0</v>
      </c>
      <c r="AJ33" s="364">
        <f>IFERROR(IF($I33="預設值Default",ROUND(VLOOKUP($J33,'4.Default Emission Factor'!$D:$V,10,FALSE),10),IF($I33="自訂值Custom Value",T33,0)),0)</f>
        <v>0</v>
      </c>
      <c r="AK33" s="364">
        <f>IFERROR(IF($I33="預設值Default",ROUND(VLOOKUP($J33,'4.Default Emission Factor'!$D:$V,12,FALSE),10),IF($I33="自訂值Custom Value",U33,0)),0)</f>
        <v>0</v>
      </c>
      <c r="AL33" s="364">
        <f>IFERROR(IF($I33="預設值Default",ROUND(VLOOKUP($J33,'4.Default Emission Factor'!$D:$V,14,FALSE),10),IF($I33="自訂值Custom Value",V33,0)),0)</f>
        <v>0</v>
      </c>
      <c r="AM33" s="365" t="str">
        <f>IFERROR(IF(I33="預設值Default",VLOOKUP($J33,'4.Default Emission Factor'!$D:$V,17,FALSE),IF(I33="自訂值Custom Value",X33,"")),"")</f>
        <v/>
      </c>
      <c r="AN33" s="366">
        <f t="shared" si="7"/>
        <v>0</v>
      </c>
      <c r="AO33" s="366">
        <f>IF(Z33="V",IF('1.GHG Inventory Form'!$E$6="IPCC AR2 Report(1995)",'6.GWP'!$C$2,IF('1.GHG Inventory Form'!$E$6="IPCC AR3 Report(2001)",'6.GWP'!$D$2,IF('1.GHG Inventory Form'!$E$6="IPCC AR4 Report(2007)",'6.GWP'!$E$2,IF('1.GHG Inventory Form'!$E$6="IPCC AR5 Report(2013)",'6.GWP'!$F$2,IF('1.GHG Inventory Form'!$E$6="IPCC AR6 Report(2021)",'6.GWP'!$G$2,0))))),0)</f>
        <v>0</v>
      </c>
      <c r="AP33" s="366">
        <f>IF(AA33="V",IF('1.GHG Inventory Form'!$E$6="IPCC AR2 Report(1995)",'6.GWP'!$C$3,IF('1.GHG Inventory Form'!$E$6="IPCC AR3 Report(2001)",'6.GWP'!$D$3,IF('1.GHG Inventory Form'!$E$6="IPCC AR4 Report(2007)",'6.GWP'!$E$3,IF('1.GHG Inventory Form'!$E$6="IPCC AR5 Report(2013)",'6.GWP'!$F$3,IF('1.GHG Inventory Form'!$E$6="IPCC AR6 Report(2021)",'6.GWP'!$G$3,0))))),0)</f>
        <v>0</v>
      </c>
      <c r="AQ33" s="366">
        <f>IFERROR(IF(AND(AB33="V",$I33="預設值"),IF('1.GHG Inventory Form'!$E$6="IPCC AR2 Report(1995)",VLOOKUP($J33,'6.GWP'!$B$1:$G$173,2,FALSE),IF('1.GHG Inventory Form'!$E$6="IPCC AR3 Report(2001)",VLOOKUP($J33,'6.GWP'!$B$1:$G$173,3,FALSE),IF('1.GHG Inventory Form'!$E$6="IPCC AR4 Report(2007)",VLOOKUP($J33,'6.GWP'!$B$1:$G$173,4,FALSE),IF('1.GHG Inventory Form'!$E$6="IPCC AR5 Report(2013)",VLOOKUP($J33,'6.GWP'!$B$1:$G$173,5,FALSE),IF('1.GHG Inventory Form'!$E$6="IPCC AR6 Report(2021)",VLOOKUP($J33,'6.GWP'!$B$2:$G$173,6,FALSE),0))))),IF(AND(AB33="V",$I33="自訂值"),IF('1.GHG Inventory Form'!$E$6="IPCC AR2 Report(1995)",VLOOKUP($K33,'6.GWP'!$B$1:$G$173,2,FALSE),IF('1.GHG Inventory Form'!$E$6="IPCC AR3 Report(2001)",VLOOKUP($K33,'6.GWP'!$B$1:$G$173,3,FALSE),IF('1.GHG Inventory Form'!$E$6="IPCC AR4 Report(2007)",VLOOKUP($K33,'6.GWP'!$B$1:$G$173,4,FALSE),IF('1.GHG Inventory Form'!$E$6="IPCC AR5 Report(2013)",VLOOKUP($K33,'6.GWP'!$B$1:$G$173,5,FALSE),IF('1.GHG Inventory Form'!$E$6="IPCC AR6 Report(2021)",VLOOKUP($K33,'6.GWP'!$B$2:$G$173,6,FALSE),0))))),0)),0)</f>
        <v>0</v>
      </c>
      <c r="AR33" s="366">
        <f>IFERROR(IF(AND(AC33="V",$I33="預設值"),IF('1.GHG Inventory Form'!$E$6="IPCC AR2 Report(1995)",VLOOKUP($J33,'6.GWP'!$B$1:$G$173,2,FALSE),IF('1.GHG Inventory Form'!$E$6="IPCC AR3 Report(2001)",VLOOKUP($J33,'6.GWP'!$B$1:$G$173,3,FALSE),IF('1.GHG Inventory Form'!$E$6="IPCC AR4 Report(2007)",VLOOKUP($J33,'6.GWP'!$B$1:$G$173,4,FALSE),IF('1.GHG Inventory Form'!$E$6="IPCC AR5 Report(2013)",VLOOKUP($J33,'6.GWP'!$B$1:$G$173,5,FALSE),IF('1.GHG Inventory Form'!$E$6="IPCC AR6 Report(2021)",VLOOKUP($J33,'6.GWP'!$B$2:$G$173,6,FALSE),0))))),IF(AND(AC33="V",$I33="自訂值"),IF('1.GHG Inventory Form'!$E$6="IPCC AR2 Report(1995)",VLOOKUP($K33,'6.GWP'!$B$1:$G$173,2,FALSE),IF('1.GHG Inventory Form'!$E$6="IPCC AR3 Report(2001)",VLOOKUP($K33,'6.GWP'!$B$1:$G$173,3,FALSE),IF('1.GHG Inventory Form'!$E$6="IPCC AR4 Report(2007)",VLOOKUP($K33,'6.GWP'!$B$1:$G$173,4,FALSE),IF('1.GHG Inventory Form'!$E$6="IPCC AR5 Report(2013)",VLOOKUP($K33,'6.GWP'!$B$1:$G$173,5,FALSE),IF('1.GHG Inventory Form'!$E$6="IPCC AR6 Report(2021)",VLOOKUP($K33,'6.GWP'!$B$2:$G$173,6,FALSE),0))))),0)),0)</f>
        <v>0</v>
      </c>
      <c r="AS33" s="366">
        <f>IF(AD33="V",IF('1.GHG Inventory Form'!$E$6="IPCC AR2 Report(1995)",'6.GWP'!$C$5,IF('1.GHG Inventory Form'!$E$6="IPCC AR3 Report(2001)",'6.GWP'!$D$5,IF('1.GHG Inventory Form'!$E$6="IPCC AR4 Report(2007)",'6.GWP'!$E$5,IF('1.GHG Inventory Form'!$E$6="IPCC AR5 Report(2013)",'6.GWP'!$F$5,IF('1.GHG Inventory Form'!$E$6="IPCC AR6 Report(2021)",'6.GWP'!$G$5,0))))),0)</f>
        <v>0</v>
      </c>
      <c r="AT33" s="366">
        <f>IF(AE33="V",IF('1.GHG Inventory Form'!$E$6="IPCC AR2 Report(1995)",'6.GWP'!$C$4,IF('1.GHG Inventory Form'!$E$6="IPCC AR3 Report(2001)",'6.GWP'!$D$4,IF('1.GHG Inventory Form'!$E$6="IPCC AR4 Report(2007)",'6.GWP'!$E$4,IF('1.GHG Inventory Form'!$E$6="IPCC AR5 Report(2013)",'6.GWP'!$F$4,IF('1.GHG Inventory Form'!$E$6="IPCC AR6 Report(2021)",'6.GWP'!$G$4,0))))),0)</f>
        <v>0</v>
      </c>
      <c r="AU33" s="367">
        <f t="shared" si="8"/>
        <v>0</v>
      </c>
      <c r="AV33" s="367">
        <f t="shared" si="9"/>
        <v>0</v>
      </c>
      <c r="AW33" s="367">
        <f t="shared" si="10"/>
        <v>0</v>
      </c>
      <c r="AX33" s="367">
        <f t="shared" si="11"/>
        <v>0</v>
      </c>
      <c r="AY33" s="367">
        <f t="shared" si="12"/>
        <v>0</v>
      </c>
      <c r="AZ33" s="367">
        <f t="shared" si="13"/>
        <v>0</v>
      </c>
      <c r="BA33" s="367">
        <f t="shared" si="14"/>
        <v>0</v>
      </c>
      <c r="BB33" s="367">
        <f t="shared" si="15"/>
        <v>0</v>
      </c>
      <c r="BC33" s="368">
        <f t="shared" si="16"/>
        <v>0</v>
      </c>
      <c r="BD33" s="369">
        <f t="shared" si="17"/>
        <v>0</v>
      </c>
      <c r="BI33" s="86" t="str">
        <f t="shared" si="18"/>
        <v/>
      </c>
      <c r="BJ33" s="86" t="str">
        <f t="shared" si="19"/>
        <v/>
      </c>
      <c r="BK33" s="86" t="str">
        <f t="shared" si="20"/>
        <v/>
      </c>
    </row>
    <row r="34" spans="1:63" customFormat="1" ht="18" customHeight="1" thickBot="1">
      <c r="B34" s="668"/>
      <c r="C34" s="702"/>
      <c r="D34" s="705"/>
      <c r="E34" s="705"/>
      <c r="F34" s="705"/>
      <c r="G34" s="370"/>
      <c r="H34" s="371"/>
      <c r="I34" s="372"/>
      <c r="J34" s="372"/>
      <c r="K34" s="288"/>
      <c r="L34" s="238"/>
      <c r="M34" s="371" t="str">
        <f>IFERROR(IF(I34="預設值Default",VLOOKUP($J34,'4.Default Emission Factor'!$D:$V,16,FALSE),"請填寫自訂活動數據單位Please fill in Custom Unit"),"請選擇預設排放係數名稱Please Choose Default Fuel or Greenhouse Gas")</f>
        <v>請填寫自訂活動數據單位Please fill in Custom Unit</v>
      </c>
      <c r="N34" s="289"/>
      <c r="O34" s="289"/>
      <c r="P34" s="149"/>
      <c r="Q34" s="149"/>
      <c r="R34" s="149"/>
      <c r="S34" s="149"/>
      <c r="T34" s="150"/>
      <c r="U34" s="150"/>
      <c r="V34" s="150"/>
      <c r="W34" s="150"/>
      <c r="X34" s="183"/>
      <c r="Y34" s="373" t="str">
        <f t="shared" si="0"/>
        <v/>
      </c>
      <c r="Z34" s="373" t="str">
        <f t="shared" si="1"/>
        <v/>
      </c>
      <c r="AA34" s="373" t="str">
        <f t="shared" si="2"/>
        <v/>
      </c>
      <c r="AB34" s="373" t="str">
        <f t="shared" si="3"/>
        <v/>
      </c>
      <c r="AC34" s="373" t="str">
        <f t="shared" si="4"/>
        <v/>
      </c>
      <c r="AD34" s="373" t="str">
        <f t="shared" si="5"/>
        <v/>
      </c>
      <c r="AE34" s="373" t="str">
        <f t="shared" si="6"/>
        <v/>
      </c>
      <c r="AF34" s="373">
        <f>IFERROR(IF($I34="預設值Default",ROUND(VLOOKUP($J34,'4.Default Emission Factor'!$D:$V,2,FALSE),10),IF($I34="自訂值Custom Value",P34,0)),0)</f>
        <v>0</v>
      </c>
      <c r="AG34" s="373">
        <f>IFERROR(IF($I34="預設值Default",ROUND(VLOOKUP($J34,'4.Default Emission Factor'!$D:$V,4,FALSE),10),IF($I34="自訂值Custom Value",Q34,0)),0)</f>
        <v>0</v>
      </c>
      <c r="AH34" s="373">
        <f>IFERROR(IF($I34="預設值Default",ROUND(VLOOKUP($J34,'4.Default Emission Factor'!$D:$V,6,FALSE),10),IF($I34="自訂值Custom Value",R34,0)),0)</f>
        <v>0</v>
      </c>
      <c r="AI34" s="373">
        <f>IFERROR(IF($I34="預設值Default",ROUND(VLOOKUP($J34,'4.Default Emission Factor'!$D:$V,8,FALSE),10),IF($I34="自訂值Custom Value",S34,0)),0)</f>
        <v>0</v>
      </c>
      <c r="AJ34" s="373">
        <f>IFERROR(IF($I34="預設值Default",ROUND(VLOOKUP($J34,'4.Default Emission Factor'!$D:$V,10,FALSE),10),IF($I34="自訂值Custom Value",T34,0)),0)</f>
        <v>0</v>
      </c>
      <c r="AK34" s="373">
        <f>IFERROR(IF($I34="預設值Default",ROUND(VLOOKUP($J34,'4.Default Emission Factor'!$D:$V,12,FALSE),10),IF($I34="自訂值Custom Value",U34,0)),0)</f>
        <v>0</v>
      </c>
      <c r="AL34" s="373">
        <f>IFERROR(IF($I34="預設值Default",ROUND(VLOOKUP($J34,'4.Default Emission Factor'!$D:$V,14,FALSE),10),IF($I34="自訂值Custom Value",V34,0)),0)</f>
        <v>0</v>
      </c>
      <c r="AM34" s="374" t="str">
        <f>IFERROR(IF(I34="預設值Default",VLOOKUP($J34,'4.Default Emission Factor'!$D:$V,17,FALSE),IF(I34="自訂值Custom Value",X34,"")),"")</f>
        <v/>
      </c>
      <c r="AN34" s="375">
        <f t="shared" si="7"/>
        <v>0</v>
      </c>
      <c r="AO34" s="375">
        <f>IF(Z34="V",IF('1.GHG Inventory Form'!$E$6="IPCC AR2 Report(1995)",'6.GWP'!$C$2,IF('1.GHG Inventory Form'!$E$6="IPCC AR3 Report(2001)",'6.GWP'!$D$2,IF('1.GHG Inventory Form'!$E$6="IPCC AR4 Report(2007)",'6.GWP'!$E$2,IF('1.GHG Inventory Form'!$E$6="IPCC AR5 Report(2013)",'6.GWP'!$F$2,IF('1.GHG Inventory Form'!$E$6="IPCC AR6 Report(2021)",'6.GWP'!$G$2,0))))),0)</f>
        <v>0</v>
      </c>
      <c r="AP34" s="375">
        <f>IF(AA34="V",IF('1.GHG Inventory Form'!$E$6="IPCC AR2 Report(1995)",'6.GWP'!$C$3,IF('1.GHG Inventory Form'!$E$6="IPCC AR3 Report(2001)",'6.GWP'!$D$3,IF('1.GHG Inventory Form'!$E$6="IPCC AR4 Report(2007)",'6.GWP'!$E$3,IF('1.GHG Inventory Form'!$E$6="IPCC AR5 Report(2013)",'6.GWP'!$F$3,IF('1.GHG Inventory Form'!$E$6="IPCC AR6 Report(2021)",'6.GWP'!$G$3,0))))),0)</f>
        <v>0</v>
      </c>
      <c r="AQ34" s="375">
        <f>IFERROR(IF(AND(AB34="V",$I34="預設值"),IF('1.GHG Inventory Form'!$E$6="IPCC AR2 Report(1995)",VLOOKUP($J34,'6.GWP'!$B$1:$G$173,2,FALSE),IF('1.GHG Inventory Form'!$E$6="IPCC AR3 Report(2001)",VLOOKUP($J34,'6.GWP'!$B$1:$G$173,3,FALSE),IF('1.GHG Inventory Form'!$E$6="IPCC AR4 Report(2007)",VLOOKUP($J34,'6.GWP'!$B$1:$G$173,4,FALSE),IF('1.GHG Inventory Form'!$E$6="IPCC AR5 Report(2013)",VLOOKUP($J34,'6.GWP'!$B$1:$G$173,5,FALSE),IF('1.GHG Inventory Form'!$E$6="IPCC AR6 Report(2021)",VLOOKUP($J34,'6.GWP'!$B$2:$G$173,6,FALSE),0))))),IF(AND(AB34="V",$I34="自訂值"),IF('1.GHG Inventory Form'!$E$6="IPCC AR2 Report(1995)",VLOOKUP($K34,'6.GWP'!$B$1:$G$173,2,FALSE),IF('1.GHG Inventory Form'!$E$6="IPCC AR3 Report(2001)",VLOOKUP($K34,'6.GWP'!$B$1:$G$173,3,FALSE),IF('1.GHG Inventory Form'!$E$6="IPCC AR4 Report(2007)",VLOOKUP($K34,'6.GWP'!$B$1:$G$173,4,FALSE),IF('1.GHG Inventory Form'!$E$6="IPCC AR5 Report(2013)",VLOOKUP($K34,'6.GWP'!$B$1:$G$173,5,FALSE),IF('1.GHG Inventory Form'!$E$6="IPCC AR6 Report(2021)",VLOOKUP($K34,'6.GWP'!$B$2:$G$173,6,FALSE),0))))),0)),0)</f>
        <v>0</v>
      </c>
      <c r="AR34" s="375">
        <f>IFERROR(IF(AND(AC34="V",$I34="預設值"),IF('1.GHG Inventory Form'!$E$6="IPCC AR2 Report(1995)",VLOOKUP($J34,'6.GWP'!$B$1:$G$173,2,FALSE),IF('1.GHG Inventory Form'!$E$6="IPCC AR3 Report(2001)",VLOOKUP($J34,'6.GWP'!$B$1:$G$173,3,FALSE),IF('1.GHG Inventory Form'!$E$6="IPCC AR4 Report(2007)",VLOOKUP($J34,'6.GWP'!$B$1:$G$173,4,FALSE),IF('1.GHG Inventory Form'!$E$6="IPCC AR5 Report(2013)",VLOOKUP($J34,'6.GWP'!$B$1:$G$173,5,FALSE),IF('1.GHG Inventory Form'!$E$6="IPCC AR6 Report(2021)",VLOOKUP($J34,'6.GWP'!$B$2:$G$173,6,FALSE),0))))),IF(AND(AC34="V",$I34="自訂值"),IF('1.GHG Inventory Form'!$E$6="IPCC AR2 Report(1995)",VLOOKUP($K34,'6.GWP'!$B$1:$G$173,2,FALSE),IF('1.GHG Inventory Form'!$E$6="IPCC AR3 Report(2001)",VLOOKUP($K34,'6.GWP'!$B$1:$G$173,3,FALSE),IF('1.GHG Inventory Form'!$E$6="IPCC AR4 Report(2007)",VLOOKUP($K34,'6.GWP'!$B$1:$G$173,4,FALSE),IF('1.GHG Inventory Form'!$E$6="IPCC AR5 Report(2013)",VLOOKUP($K34,'6.GWP'!$B$1:$G$173,5,FALSE),IF('1.GHG Inventory Form'!$E$6="IPCC AR6 Report(2021)",VLOOKUP($K34,'6.GWP'!$B$2:$G$173,6,FALSE),0))))),0)),0)</f>
        <v>0</v>
      </c>
      <c r="AS34" s="375">
        <f>IF(AD34="V",IF('1.GHG Inventory Form'!$E$6="IPCC AR2 Report(1995)",'6.GWP'!$C$5,IF('1.GHG Inventory Form'!$E$6="IPCC AR3 Report(2001)",'6.GWP'!$D$5,IF('1.GHG Inventory Form'!$E$6="IPCC AR4 Report(2007)",'6.GWP'!$E$5,IF('1.GHG Inventory Form'!$E$6="IPCC AR5 Report(2013)",'6.GWP'!$F$5,IF('1.GHG Inventory Form'!$E$6="IPCC AR6 Report(2021)",'6.GWP'!$G$5,0))))),0)</f>
        <v>0</v>
      </c>
      <c r="AT34" s="375">
        <f>IF(AE34="V",IF('1.GHG Inventory Form'!$E$6="IPCC AR2 Report(1995)",'6.GWP'!$C$4,IF('1.GHG Inventory Form'!$E$6="IPCC AR3 Report(2001)",'6.GWP'!$D$4,IF('1.GHG Inventory Form'!$E$6="IPCC AR4 Report(2007)",'6.GWP'!$E$4,IF('1.GHG Inventory Form'!$E$6="IPCC AR5 Report(2013)",'6.GWP'!$F$4,IF('1.GHG Inventory Form'!$E$6="IPCC AR6 Report(2021)",'6.GWP'!$G$4,0))))),0)</f>
        <v>0</v>
      </c>
      <c r="AU34" s="376">
        <f t="shared" si="8"/>
        <v>0</v>
      </c>
      <c r="AV34" s="376">
        <f t="shared" si="9"/>
        <v>0</v>
      </c>
      <c r="AW34" s="376">
        <f t="shared" si="10"/>
        <v>0</v>
      </c>
      <c r="AX34" s="376">
        <f t="shared" si="11"/>
        <v>0</v>
      </c>
      <c r="AY34" s="376">
        <f t="shared" si="12"/>
        <v>0</v>
      </c>
      <c r="AZ34" s="376">
        <f t="shared" si="13"/>
        <v>0</v>
      </c>
      <c r="BA34" s="376">
        <f t="shared" si="14"/>
        <v>0</v>
      </c>
      <c r="BB34" s="376">
        <f t="shared" si="15"/>
        <v>0</v>
      </c>
      <c r="BC34" s="377">
        <f t="shared" si="16"/>
        <v>0</v>
      </c>
      <c r="BD34" s="378">
        <f t="shared" si="17"/>
        <v>0</v>
      </c>
      <c r="BI34" s="86" t="str">
        <f t="shared" si="18"/>
        <v/>
      </c>
      <c r="BJ34" s="86" t="str">
        <f t="shared" si="19"/>
        <v/>
      </c>
      <c r="BK34" s="86" t="str">
        <f t="shared" si="20"/>
        <v/>
      </c>
    </row>
    <row r="35" spans="1:63" customFormat="1" ht="44.5" customHeight="1" thickBot="1">
      <c r="A35">
        <v>1</v>
      </c>
      <c r="B35" s="634"/>
      <c r="C35" s="706">
        <v>1.3</v>
      </c>
      <c r="D35" s="708" t="s">
        <v>327</v>
      </c>
      <c r="E35" s="709"/>
      <c r="F35" s="710"/>
      <c r="G35" s="379"/>
      <c r="H35" s="191"/>
      <c r="I35" s="354"/>
      <c r="J35" s="380"/>
      <c r="K35" s="155"/>
      <c r="L35" s="239"/>
      <c r="M35" s="353" t="str">
        <f>IFERROR(IF(I35="預設值Default",VLOOKUP($J35,'4.Default Emission Factor'!$D:$V,16,FALSE),"請填寫自訂活動數據單位Please fill in Custom Unit"),"請選擇預設排放係數名稱Please Choose Default Fuel or Greenhouse Gas")</f>
        <v>請填寫自訂活動數據單位Please fill in Custom Unit</v>
      </c>
      <c r="N35" s="243"/>
      <c r="O35" s="243"/>
      <c r="P35" s="26"/>
      <c r="Q35" s="26"/>
      <c r="R35" s="26"/>
      <c r="S35" s="26"/>
      <c r="T35" s="98"/>
      <c r="U35" s="98"/>
      <c r="V35" s="98"/>
      <c r="W35" s="99"/>
      <c r="X35" s="100"/>
      <c r="Y35" s="381" t="str">
        <f t="shared" si="0"/>
        <v/>
      </c>
      <c r="Z35" s="355" t="str">
        <f t="shared" si="1"/>
        <v/>
      </c>
      <c r="AA35" s="355" t="str">
        <f t="shared" si="2"/>
        <v/>
      </c>
      <c r="AB35" s="355" t="str">
        <f t="shared" si="3"/>
        <v/>
      </c>
      <c r="AC35" s="355" t="str">
        <f t="shared" si="4"/>
        <v/>
      </c>
      <c r="AD35" s="355" t="str">
        <f t="shared" si="5"/>
        <v/>
      </c>
      <c r="AE35" s="382" t="str">
        <f t="shared" si="6"/>
        <v/>
      </c>
      <c r="AF35" s="381">
        <f>IFERROR(IF($I35="預設值Default",ROUND(VLOOKUP($J35,'4.Default Emission Factor'!$D:$V,2,FALSE),10),IF($I35="自訂值Custom Value",P35,0)),0)</f>
        <v>0</v>
      </c>
      <c r="AG35" s="355">
        <f>IFERROR(IF($I35="預設值Default",ROUND(VLOOKUP($J35,'4.Default Emission Factor'!$D:$V,4,FALSE),10),IF($I35="自訂值Custom Value",Q35,0)),0)</f>
        <v>0</v>
      </c>
      <c r="AH35" s="355">
        <f>IFERROR(IF($I35="預設值Default",ROUND(VLOOKUP($J35,'4.Default Emission Factor'!$D:$V,6,FALSE),10),IF($I35="自訂值Custom Value",R35,0)),0)</f>
        <v>0</v>
      </c>
      <c r="AI35" s="355">
        <f>IFERROR(IF($I35="預設值Default",ROUND(VLOOKUP($J35,'4.Default Emission Factor'!$D:$V,8,FALSE),10),IF($I35="自訂值Custom Value",S35,0)),0)</f>
        <v>0</v>
      </c>
      <c r="AJ35" s="355">
        <f>IFERROR(IF($I35="預設值Default",ROUND(VLOOKUP($J35,'4.Default Emission Factor'!$D:$V,10,FALSE),10),IF($I35="自訂值Custom Value",T35,0)),0)</f>
        <v>0</v>
      </c>
      <c r="AK35" s="355">
        <f>IFERROR(IF($I35="預設值Default",ROUND(VLOOKUP($J35,'4.Default Emission Factor'!$D:$V,12,FALSE),10),IF($I35="自訂值Custom Value",U35,0)),0)</f>
        <v>0</v>
      </c>
      <c r="AL35" s="355">
        <f>IFERROR(IF($I35="預設值Default",ROUND(VLOOKUP($J35,'4.Default Emission Factor'!$D:$V,14,FALSE),10),IF($I35="自訂值Custom Value",V35,0)),0)</f>
        <v>0</v>
      </c>
      <c r="AM35" s="383" t="str">
        <f>IFERROR(IF(I35="預設值Default",VLOOKUP($J35,'4.Default Emission Factor'!$D:$V,17,FALSE),IF(I35="自訂值Custom Value",X35,"")),"")</f>
        <v/>
      </c>
      <c r="AN35" s="384">
        <f t="shared" si="7"/>
        <v>0</v>
      </c>
      <c r="AO35" s="357">
        <f>IF(Z35="V",IF('1.GHG Inventory Form'!$E$6="IPCC AR2 Report(1995)",'6.GWP'!$C$2,IF('1.GHG Inventory Form'!$E$6="IPCC AR3 Report(2001)",'6.GWP'!$D$2,IF('1.GHG Inventory Form'!$E$6="IPCC AR4 Report(2007)",'6.GWP'!$E$2,IF('1.GHG Inventory Form'!$E$6="IPCC AR5 Report(2013)",'6.GWP'!$F$2,IF('1.GHG Inventory Form'!$E$6="IPCC AR6 Report(2021)",'6.GWP'!$G$2,0))))),0)</f>
        <v>0</v>
      </c>
      <c r="AP35" s="357">
        <f>IF(AA35="V",IF('1.GHG Inventory Form'!$E$6="IPCC AR2 Report(1995)",'6.GWP'!$C$3,IF('1.GHG Inventory Form'!$E$6="IPCC AR3 Report(2001)",'6.GWP'!$D$3,IF('1.GHG Inventory Form'!$E$6="IPCC AR4 Report(2007)",'6.GWP'!$E$3,IF('1.GHG Inventory Form'!$E$6="IPCC AR5 Report(2013)",'6.GWP'!$F$3,IF('1.GHG Inventory Form'!$E$6="IPCC AR6 Report(2021)",'6.GWP'!$G$3,0))))),0)</f>
        <v>0</v>
      </c>
      <c r="AQ35" s="357">
        <f>IFERROR(IF(AND(AB35="V",$I35="預設值"),IF('1.GHG Inventory Form'!$E$6="IPCC AR2 Report(1995)",VLOOKUP($J35,'6.GWP'!$B$1:$G$173,2,FALSE),IF('1.GHG Inventory Form'!$E$6="IPCC AR3 Report(2001)",VLOOKUP($J35,'6.GWP'!$B$1:$G$173,3,FALSE),IF('1.GHG Inventory Form'!$E$6="IPCC AR4 Report(2007)",VLOOKUP($J35,'6.GWP'!$B$1:$G$173,4,FALSE),IF('1.GHG Inventory Form'!$E$6="IPCC AR5 Report(2013)",VLOOKUP($J35,'6.GWP'!$B$1:$G$173,5,FALSE),IF('1.GHG Inventory Form'!$E$6="IPCC AR6 Report(2021)",VLOOKUP($J35,'6.GWP'!$B$2:$G$173,6,FALSE),0))))),IF(AND(AB35="V",$I35="自訂值"),IF('1.GHG Inventory Form'!$E$6="IPCC AR2 Report(1995)",VLOOKUP($K35,'6.GWP'!$B$1:$G$173,2,FALSE),IF('1.GHG Inventory Form'!$E$6="IPCC AR3 Report(2001)",VLOOKUP($K35,'6.GWP'!$B$1:$G$173,3,FALSE),IF('1.GHG Inventory Form'!$E$6="IPCC AR4 Report(2007)",VLOOKUP($K35,'6.GWP'!$B$1:$G$173,4,FALSE),IF('1.GHG Inventory Form'!$E$6="IPCC AR5 Report(2013)",VLOOKUP($K35,'6.GWP'!$B$1:$G$173,5,FALSE),IF('1.GHG Inventory Form'!$E$6="IPCC AR6 Report(2021)",VLOOKUP($K35,'6.GWP'!$B$2:$G$173,6,FALSE),0))))),0)),0)</f>
        <v>0</v>
      </c>
      <c r="AR35" s="357">
        <f>IFERROR(IF(AND(AC35="V",$I35="預設值"),IF('1.GHG Inventory Form'!$E$6="IPCC AR2 Report(1995)",VLOOKUP($J35,'6.GWP'!$B$1:$G$173,2,FALSE),IF('1.GHG Inventory Form'!$E$6="IPCC AR3 Report(2001)",VLOOKUP($J35,'6.GWP'!$B$1:$G$173,3,FALSE),IF('1.GHG Inventory Form'!$E$6="IPCC AR4 Report(2007)",VLOOKUP($J35,'6.GWP'!$B$1:$G$173,4,FALSE),IF('1.GHG Inventory Form'!$E$6="IPCC AR5 Report(2013)",VLOOKUP($J35,'6.GWP'!$B$1:$G$173,5,FALSE),IF('1.GHG Inventory Form'!$E$6="IPCC AR6 Report(2021)",VLOOKUP($J35,'6.GWP'!$B$2:$G$173,6,FALSE),0))))),IF(AND(AC35="V",$I35="自訂值"),IF('1.GHG Inventory Form'!$E$6="IPCC AR2 Report(1995)",VLOOKUP($K35,'6.GWP'!$B$1:$G$173,2,FALSE),IF('1.GHG Inventory Form'!$E$6="IPCC AR3 Report(2001)",VLOOKUP($K35,'6.GWP'!$B$1:$G$173,3,FALSE),IF('1.GHG Inventory Form'!$E$6="IPCC AR4 Report(2007)",VLOOKUP($K35,'6.GWP'!$B$1:$G$173,4,FALSE),IF('1.GHG Inventory Form'!$E$6="IPCC AR5 Report(2013)",VLOOKUP($K35,'6.GWP'!$B$1:$G$173,5,FALSE),IF('1.GHG Inventory Form'!$E$6="IPCC AR6 Report(2021)",VLOOKUP($K35,'6.GWP'!$B$2:$G$173,6,FALSE),0))))),0)),0)</f>
        <v>0</v>
      </c>
      <c r="AS35" s="357">
        <f>IF(AD35="V",IF('1.GHG Inventory Form'!$E$6="IPCC AR2 Report(1995)",'6.GWP'!$C$5,IF('1.GHG Inventory Form'!$E$6="IPCC AR3 Report(2001)",'6.GWP'!$D$5,IF('1.GHG Inventory Form'!$E$6="IPCC AR4 Report(2007)",'6.GWP'!$E$5,IF('1.GHG Inventory Form'!$E$6="IPCC AR5 Report(2013)",'6.GWP'!$F$5,IF('1.GHG Inventory Form'!$E$6="IPCC AR6 Report(2021)",'6.GWP'!$G$5,0))))),0)</f>
        <v>0</v>
      </c>
      <c r="AT35" s="385">
        <f>IF(AE35="V",IF('1.GHG Inventory Form'!$E$6="IPCC AR2 Report(1995)",'6.GWP'!$C$4,IF('1.GHG Inventory Form'!$E$6="IPCC AR3 Report(2001)",'6.GWP'!$D$4,IF('1.GHG Inventory Form'!$E$6="IPCC AR4 Report(2007)",'6.GWP'!$E$4,IF('1.GHG Inventory Form'!$E$6="IPCC AR5 Report(2013)",'6.GWP'!$F$4,IF('1.GHG Inventory Form'!$E$6="IPCC AR6 Report(2021)",'6.GWP'!$G$4,0))))),0)</f>
        <v>0</v>
      </c>
      <c r="AU35" s="386">
        <f t="shared" si="8"/>
        <v>0</v>
      </c>
      <c r="AV35" s="386">
        <f t="shared" si="9"/>
        <v>0</v>
      </c>
      <c r="AW35" s="386">
        <f t="shared" si="10"/>
        <v>0</v>
      </c>
      <c r="AX35" s="386">
        <f t="shared" si="11"/>
        <v>0</v>
      </c>
      <c r="AY35" s="386">
        <f t="shared" si="12"/>
        <v>0</v>
      </c>
      <c r="AZ35" s="386">
        <f t="shared" si="13"/>
        <v>0</v>
      </c>
      <c r="BA35" s="386">
        <f t="shared" si="14"/>
        <v>0</v>
      </c>
      <c r="BB35" s="386">
        <f t="shared" si="15"/>
        <v>0</v>
      </c>
      <c r="BC35" s="359">
        <f t="shared" si="16"/>
        <v>0</v>
      </c>
      <c r="BD35" s="360">
        <f t="shared" si="17"/>
        <v>0</v>
      </c>
      <c r="BI35" s="86" t="str">
        <f t="shared" si="18"/>
        <v/>
      </c>
      <c r="BJ35" s="86" t="str">
        <f t="shared" si="19"/>
        <v/>
      </c>
      <c r="BK35" s="86" t="str">
        <f t="shared" si="20"/>
        <v/>
      </c>
    </row>
    <row r="36" spans="1:63" customFormat="1" ht="18" customHeight="1" thickBot="1">
      <c r="A36">
        <v>2</v>
      </c>
      <c r="B36" s="634"/>
      <c r="C36" s="696"/>
      <c r="D36" s="668"/>
      <c r="E36" s="699"/>
      <c r="F36" s="700"/>
      <c r="G36" s="387"/>
      <c r="H36" s="188"/>
      <c r="I36" s="354"/>
      <c r="J36" s="388"/>
      <c r="K36" s="187"/>
      <c r="L36" s="234"/>
      <c r="M36" s="326" t="str">
        <f>IFERROR(IF(I36="預設值Default",VLOOKUP($J36,'4.Default Emission Factor'!$D:$V,16,FALSE),"請填寫自訂活動數據單位Please fill in Custom Unit"),"請選擇預設排放係數名稱Please Choose Default Fuel or Greenhouse Gas")</f>
        <v>請填寫自訂活動數據單位Please fill in Custom Unit</v>
      </c>
      <c r="N36" s="236"/>
      <c r="O36" s="236"/>
      <c r="P36" s="24"/>
      <c r="Q36" s="24"/>
      <c r="R36" s="24"/>
      <c r="S36" s="24"/>
      <c r="T36" s="92"/>
      <c r="U36" s="92"/>
      <c r="V36" s="92"/>
      <c r="W36" s="93"/>
      <c r="X36" s="94"/>
      <c r="Y36" s="389" t="str">
        <f t="shared" si="0"/>
        <v/>
      </c>
      <c r="Z36" s="364" t="str">
        <f t="shared" si="1"/>
        <v/>
      </c>
      <c r="AA36" s="364" t="str">
        <f t="shared" si="2"/>
        <v/>
      </c>
      <c r="AB36" s="364" t="str">
        <f t="shared" si="3"/>
        <v/>
      </c>
      <c r="AC36" s="364" t="str">
        <f t="shared" si="4"/>
        <v/>
      </c>
      <c r="AD36" s="364" t="str">
        <f t="shared" si="5"/>
        <v/>
      </c>
      <c r="AE36" s="390" t="str">
        <f t="shared" si="6"/>
        <v/>
      </c>
      <c r="AF36" s="327">
        <f>IFERROR(IF($I36="預設值Default",ROUND(VLOOKUP($J36,'4.Default Emission Factor'!$D:$V,2,FALSE),10),IF($I36="自訂值Custom Value",P36,0)),0)</f>
        <v>0</v>
      </c>
      <c r="AG36" s="328">
        <f>IFERROR(IF($I36="預設值Default",ROUND(VLOOKUP($J36,'4.Default Emission Factor'!$D:$V,4,FALSE),10),IF($I36="自訂值Custom Value",Q36,0)),0)</f>
        <v>0</v>
      </c>
      <c r="AH36" s="328">
        <f>IFERROR(IF($I36="預設值Default",ROUND(VLOOKUP($J36,'4.Default Emission Factor'!$D:$V,6,FALSE),10),IF($I36="自訂值Custom Value",R36,0)),0)</f>
        <v>0</v>
      </c>
      <c r="AI36" s="328">
        <f>IFERROR(IF($I36="預設值Default",ROUND(VLOOKUP($J36,'4.Default Emission Factor'!$D:$V,8,FALSE),10),IF($I36="自訂值Custom Value",S36,0)),0)</f>
        <v>0</v>
      </c>
      <c r="AJ36" s="328">
        <f>IFERROR(IF($I36="預設值Default",ROUND(VLOOKUP($J36,'4.Default Emission Factor'!$D:$V,10,FALSE),10),IF($I36="自訂值Custom Value",T36,0)),0)</f>
        <v>0</v>
      </c>
      <c r="AK36" s="328">
        <f>IFERROR(IF($I36="預設值Default",ROUND(VLOOKUP($J36,'4.Default Emission Factor'!$D:$V,12,FALSE),10),IF($I36="自訂值Custom Value",U36,0)),0)</f>
        <v>0</v>
      </c>
      <c r="AL36" s="328">
        <f>IFERROR(IF($I36="預設值Default",ROUND(VLOOKUP($J36,'4.Default Emission Factor'!$D:$V,14,FALSE),10),IF($I36="自訂值Custom Value",V36,0)),0)</f>
        <v>0</v>
      </c>
      <c r="AM36" s="330" t="str">
        <f>IFERROR(IF(I36="預設值Default",VLOOKUP($J36,'4.Default Emission Factor'!$D:$V,17,FALSE),IF(I36="自訂值Custom Value",X36,"")),"")</f>
        <v/>
      </c>
      <c r="AN36" s="391">
        <f t="shared" si="7"/>
        <v>0</v>
      </c>
      <c r="AO36" s="366">
        <f>IF(Z36="V",IF('1.GHG Inventory Form'!$E$6="IPCC AR2 Report(1995)",'6.GWP'!$C$2,IF('1.GHG Inventory Form'!$E$6="IPCC AR3 Report(2001)",'6.GWP'!$D$2,IF('1.GHG Inventory Form'!$E$6="IPCC AR4 Report(2007)",'6.GWP'!$E$2,IF('1.GHG Inventory Form'!$E$6="IPCC AR5 Report(2013)",'6.GWP'!$F$2,IF('1.GHG Inventory Form'!$E$6="IPCC AR6 Report(2021)",'6.GWP'!$G$2,0))))),0)</f>
        <v>0</v>
      </c>
      <c r="AP36" s="366">
        <f>IF(AA36="V",IF('1.GHG Inventory Form'!$E$6="IPCC AR2 Report(1995)",'6.GWP'!$C$3,IF('1.GHG Inventory Form'!$E$6="IPCC AR3 Report(2001)",'6.GWP'!$D$3,IF('1.GHG Inventory Form'!$E$6="IPCC AR4 Report(2007)",'6.GWP'!$E$3,IF('1.GHG Inventory Form'!$E$6="IPCC AR5 Report(2013)",'6.GWP'!$F$3,IF('1.GHG Inventory Form'!$E$6="IPCC AR6 Report(2021)",'6.GWP'!$G$3,0))))),0)</f>
        <v>0</v>
      </c>
      <c r="AQ36" s="366">
        <f>IFERROR(IF(AND(AB36="V",$I36="預設值"),IF('1.GHG Inventory Form'!$E$6="IPCC AR2 Report(1995)",VLOOKUP($J36,'6.GWP'!$B$1:$G$173,2,FALSE),IF('1.GHG Inventory Form'!$E$6="IPCC AR3 Report(2001)",VLOOKUP($J36,'6.GWP'!$B$1:$G$173,3,FALSE),IF('1.GHG Inventory Form'!$E$6="IPCC AR4 Report(2007)",VLOOKUP($J36,'6.GWP'!$B$1:$G$173,4,FALSE),IF('1.GHG Inventory Form'!$E$6="IPCC AR5 Report(2013)",VLOOKUP($J36,'6.GWP'!$B$1:$G$173,5,FALSE),IF('1.GHG Inventory Form'!$E$6="IPCC AR6 Report(2021)",VLOOKUP($J36,'6.GWP'!$B$2:$G$173,6,FALSE),0))))),IF(AND(AB36="V",$I36="自訂值"),IF('1.GHG Inventory Form'!$E$6="IPCC AR2 Report(1995)",VLOOKUP($K36,'6.GWP'!$B$1:$G$173,2,FALSE),IF('1.GHG Inventory Form'!$E$6="IPCC AR3 Report(2001)",VLOOKUP($K36,'6.GWP'!$B$1:$G$173,3,FALSE),IF('1.GHG Inventory Form'!$E$6="IPCC AR4 Report(2007)",VLOOKUP($K36,'6.GWP'!$B$1:$G$173,4,FALSE),IF('1.GHG Inventory Form'!$E$6="IPCC AR5 Report(2013)",VLOOKUP($K36,'6.GWP'!$B$1:$G$173,5,FALSE),IF('1.GHG Inventory Form'!$E$6="IPCC AR6 Report(2021)",VLOOKUP($K36,'6.GWP'!$B$2:$G$173,6,FALSE),0))))),0)),0)</f>
        <v>0</v>
      </c>
      <c r="AR36" s="366">
        <f>IFERROR(IF(AND(AC36="V",$I36="預設值"),IF('1.GHG Inventory Form'!$E$6="IPCC AR2 Report(1995)",VLOOKUP($J36,'6.GWP'!$B$1:$G$173,2,FALSE),IF('1.GHG Inventory Form'!$E$6="IPCC AR3 Report(2001)",VLOOKUP($J36,'6.GWP'!$B$1:$G$173,3,FALSE),IF('1.GHG Inventory Form'!$E$6="IPCC AR4 Report(2007)",VLOOKUP($J36,'6.GWP'!$B$1:$G$173,4,FALSE),IF('1.GHG Inventory Form'!$E$6="IPCC AR5 Report(2013)",VLOOKUP($J36,'6.GWP'!$B$1:$G$173,5,FALSE),IF('1.GHG Inventory Form'!$E$6="IPCC AR6 Report(2021)",VLOOKUP($J36,'6.GWP'!$B$2:$G$173,6,FALSE),0))))),IF(AND(AC36="V",$I36="自訂值"),IF('1.GHG Inventory Form'!$E$6="IPCC AR2 Report(1995)",VLOOKUP($K36,'6.GWP'!$B$1:$G$173,2,FALSE),IF('1.GHG Inventory Form'!$E$6="IPCC AR3 Report(2001)",VLOOKUP($K36,'6.GWP'!$B$1:$G$173,3,FALSE),IF('1.GHG Inventory Form'!$E$6="IPCC AR4 Report(2007)",VLOOKUP($K36,'6.GWP'!$B$1:$G$173,4,FALSE),IF('1.GHG Inventory Form'!$E$6="IPCC AR5 Report(2013)",VLOOKUP($K36,'6.GWP'!$B$1:$G$173,5,FALSE),IF('1.GHG Inventory Form'!$E$6="IPCC AR6 Report(2021)",VLOOKUP($K36,'6.GWP'!$B$2:$G$173,6,FALSE),0))))),0)),0)</f>
        <v>0</v>
      </c>
      <c r="AS36" s="366">
        <f>IF(AD36="V",IF('1.GHG Inventory Form'!$E$6="IPCC AR2 Report(1995)",'6.GWP'!$C$5,IF('1.GHG Inventory Form'!$E$6="IPCC AR3 Report(2001)",'6.GWP'!$D$5,IF('1.GHG Inventory Form'!$E$6="IPCC AR4 Report(2007)",'6.GWP'!$E$5,IF('1.GHG Inventory Form'!$E$6="IPCC AR5 Report(2013)",'6.GWP'!$F$5,IF('1.GHG Inventory Form'!$E$6="IPCC AR6 Report(2021)",'6.GWP'!$G$5,0))))),0)</f>
        <v>0</v>
      </c>
      <c r="AT36" s="392">
        <f>IF(AE36="V",IF('1.GHG Inventory Form'!$E$6="IPCC AR2 Report(1995)",'6.GWP'!$C$4,IF('1.GHG Inventory Form'!$E$6="IPCC AR3 Report(2001)",'6.GWP'!$D$4,IF('1.GHG Inventory Form'!$E$6="IPCC AR4 Report(2007)",'6.GWP'!$E$4,IF('1.GHG Inventory Form'!$E$6="IPCC AR5 Report(2013)",'6.GWP'!$F$4,IF('1.GHG Inventory Form'!$E$6="IPCC AR6 Report(2021)",'6.GWP'!$G$4,0))))),0)</f>
        <v>0</v>
      </c>
      <c r="AU36" s="334">
        <f t="shared" si="8"/>
        <v>0</v>
      </c>
      <c r="AV36" s="334">
        <f t="shared" si="9"/>
        <v>0</v>
      </c>
      <c r="AW36" s="334">
        <f t="shared" si="10"/>
        <v>0</v>
      </c>
      <c r="AX36" s="334">
        <f t="shared" si="11"/>
        <v>0</v>
      </c>
      <c r="AY36" s="334">
        <f t="shared" si="12"/>
        <v>0</v>
      </c>
      <c r="AZ36" s="334">
        <f t="shared" si="13"/>
        <v>0</v>
      </c>
      <c r="BA36" s="334">
        <f t="shared" si="14"/>
        <v>0</v>
      </c>
      <c r="BB36" s="393">
        <f t="shared" si="15"/>
        <v>0</v>
      </c>
      <c r="BC36" s="368">
        <f t="shared" si="16"/>
        <v>0</v>
      </c>
      <c r="BD36" s="369">
        <f t="shared" si="17"/>
        <v>0</v>
      </c>
      <c r="BI36" s="86" t="str">
        <f t="shared" si="18"/>
        <v/>
      </c>
      <c r="BJ36" s="86" t="str">
        <f t="shared" si="19"/>
        <v/>
      </c>
      <c r="BK36" s="86" t="str">
        <f t="shared" si="20"/>
        <v/>
      </c>
    </row>
    <row r="37" spans="1:63" customFormat="1" ht="18" customHeight="1" thickBot="1">
      <c r="A37">
        <v>3</v>
      </c>
      <c r="B37" s="634"/>
      <c r="C37" s="696"/>
      <c r="D37" s="668"/>
      <c r="E37" s="699"/>
      <c r="F37" s="700"/>
      <c r="G37" s="387"/>
      <c r="H37" s="188"/>
      <c r="I37" s="354"/>
      <c r="J37" s="388"/>
      <c r="K37" s="187"/>
      <c r="L37" s="234"/>
      <c r="M37" s="326" t="str">
        <f>IFERROR(IF(I37="預設值Default",VLOOKUP($J37,'4.Default Emission Factor'!$D:$V,16,FALSE),"請填寫自訂活動數據單位Please fill in Custom Unit"),"請選擇預設排放係數名稱Please Choose Default Fuel or Greenhouse Gas")</f>
        <v>請填寫自訂活動數據單位Please fill in Custom Unit</v>
      </c>
      <c r="N37" s="236"/>
      <c r="O37" s="236"/>
      <c r="P37" s="24"/>
      <c r="Q37" s="24"/>
      <c r="R37" s="24"/>
      <c r="S37" s="24"/>
      <c r="T37" s="92"/>
      <c r="U37" s="92"/>
      <c r="V37" s="92"/>
      <c r="W37" s="93"/>
      <c r="X37" s="94"/>
      <c r="Y37" s="389" t="str">
        <f t="shared" si="0"/>
        <v/>
      </c>
      <c r="Z37" s="364" t="str">
        <f t="shared" si="1"/>
        <v/>
      </c>
      <c r="AA37" s="364" t="str">
        <f t="shared" si="2"/>
        <v/>
      </c>
      <c r="AB37" s="364" t="str">
        <f t="shared" si="3"/>
        <v/>
      </c>
      <c r="AC37" s="364" t="str">
        <f t="shared" si="4"/>
        <v/>
      </c>
      <c r="AD37" s="364" t="str">
        <f t="shared" si="5"/>
        <v/>
      </c>
      <c r="AE37" s="390" t="str">
        <f t="shared" si="6"/>
        <v/>
      </c>
      <c r="AF37" s="327">
        <f>IFERROR(IF($I37="預設值Default",ROUND(VLOOKUP($J37,'4.Default Emission Factor'!$D:$V,2,FALSE),10),IF($I37="自訂值Custom Value",P37,0)),0)</f>
        <v>0</v>
      </c>
      <c r="AG37" s="328">
        <f>IFERROR(IF($I37="預設值Default",ROUND(VLOOKUP($J37,'4.Default Emission Factor'!$D:$V,4,FALSE),10),IF($I37="自訂值Custom Value",Q37,0)),0)</f>
        <v>0</v>
      </c>
      <c r="AH37" s="328">
        <f>IFERROR(IF($I37="預設值Default",ROUND(VLOOKUP($J37,'4.Default Emission Factor'!$D:$V,6,FALSE),10),IF($I37="自訂值Custom Value",R37,0)),0)</f>
        <v>0</v>
      </c>
      <c r="AI37" s="328">
        <f>IFERROR(IF($I37="預設值Default",ROUND(VLOOKUP($J37,'4.Default Emission Factor'!$D:$V,8,FALSE),10),IF($I37="自訂值Custom Value",S37,0)),0)</f>
        <v>0</v>
      </c>
      <c r="AJ37" s="328">
        <f>IFERROR(IF($I37="預設值Default",ROUND(VLOOKUP($J37,'4.Default Emission Factor'!$D:$V,10,FALSE),10),IF($I37="自訂值Custom Value",T37,0)),0)</f>
        <v>0</v>
      </c>
      <c r="AK37" s="328">
        <f>IFERROR(IF($I37="預設值Default",ROUND(VLOOKUP($J37,'4.Default Emission Factor'!$D:$V,12,FALSE),10),IF($I37="自訂值Custom Value",U37,0)),0)</f>
        <v>0</v>
      </c>
      <c r="AL37" s="328">
        <f>IFERROR(IF($I37="預設值Default",ROUND(VLOOKUP($J37,'4.Default Emission Factor'!$D:$V,14,FALSE),10),IF($I37="自訂值Custom Value",V37,0)),0)</f>
        <v>0</v>
      </c>
      <c r="AM37" s="330" t="str">
        <f>IFERROR(IF(I37="預設值Default",VLOOKUP($J37,'4.Default Emission Factor'!$D:$V,17,FALSE),IF(I37="自訂值Custom Value",X37,"")),"")</f>
        <v/>
      </c>
      <c r="AN37" s="391">
        <f t="shared" si="7"/>
        <v>0</v>
      </c>
      <c r="AO37" s="366">
        <f>IF(Z37="V",IF('1.GHG Inventory Form'!$E$6="IPCC AR2 Report(1995)",'6.GWP'!$C$2,IF('1.GHG Inventory Form'!$E$6="IPCC AR3 Report(2001)",'6.GWP'!$D$2,IF('1.GHG Inventory Form'!$E$6="IPCC AR4 Report(2007)",'6.GWP'!$E$2,IF('1.GHG Inventory Form'!$E$6="IPCC AR5 Report(2013)",'6.GWP'!$F$2,IF('1.GHG Inventory Form'!$E$6="IPCC AR6 Report(2021)",'6.GWP'!$G$2,0))))),0)</f>
        <v>0</v>
      </c>
      <c r="AP37" s="366">
        <f>IF(AA37="V",IF('1.GHG Inventory Form'!$E$6="IPCC AR2 Report(1995)",'6.GWP'!$C$3,IF('1.GHG Inventory Form'!$E$6="IPCC AR3 Report(2001)",'6.GWP'!$D$3,IF('1.GHG Inventory Form'!$E$6="IPCC AR4 Report(2007)",'6.GWP'!$E$3,IF('1.GHG Inventory Form'!$E$6="IPCC AR5 Report(2013)",'6.GWP'!$F$3,IF('1.GHG Inventory Form'!$E$6="IPCC AR6 Report(2021)",'6.GWP'!$G$3,0))))),0)</f>
        <v>0</v>
      </c>
      <c r="AQ37" s="366">
        <f>IFERROR(IF(AND(AB37="V",$I37="預設值"),IF('1.GHG Inventory Form'!$E$6="IPCC AR2 Report(1995)",VLOOKUP($J37,'6.GWP'!$B$1:$G$173,2,FALSE),IF('1.GHG Inventory Form'!$E$6="IPCC AR3 Report(2001)",VLOOKUP($J37,'6.GWP'!$B$1:$G$173,3,FALSE),IF('1.GHG Inventory Form'!$E$6="IPCC AR4 Report(2007)",VLOOKUP($J37,'6.GWP'!$B$1:$G$173,4,FALSE),IF('1.GHG Inventory Form'!$E$6="IPCC AR5 Report(2013)",VLOOKUP($J37,'6.GWP'!$B$1:$G$173,5,FALSE),IF('1.GHG Inventory Form'!$E$6="IPCC AR6 Report(2021)",VLOOKUP($J37,'6.GWP'!$B$2:$G$173,6,FALSE),0))))),IF(AND(AB37="V",$I37="自訂值"),IF('1.GHG Inventory Form'!$E$6="IPCC AR2 Report(1995)",VLOOKUP($K37,'6.GWP'!$B$1:$G$173,2,FALSE),IF('1.GHG Inventory Form'!$E$6="IPCC AR3 Report(2001)",VLOOKUP($K37,'6.GWP'!$B$1:$G$173,3,FALSE),IF('1.GHG Inventory Form'!$E$6="IPCC AR4 Report(2007)",VLOOKUP($K37,'6.GWP'!$B$1:$G$173,4,FALSE),IF('1.GHG Inventory Form'!$E$6="IPCC AR5 Report(2013)",VLOOKUP($K37,'6.GWP'!$B$1:$G$173,5,FALSE),IF('1.GHG Inventory Form'!$E$6="IPCC AR6 Report(2021)",VLOOKUP($K37,'6.GWP'!$B$2:$G$173,6,FALSE),0))))),0)),0)</f>
        <v>0</v>
      </c>
      <c r="AR37" s="366">
        <f>IFERROR(IF(AND(AC37="V",$I37="預設值"),IF('1.GHG Inventory Form'!$E$6="IPCC AR2 Report(1995)",VLOOKUP($J37,'6.GWP'!$B$1:$G$173,2,FALSE),IF('1.GHG Inventory Form'!$E$6="IPCC AR3 Report(2001)",VLOOKUP($J37,'6.GWP'!$B$1:$G$173,3,FALSE),IF('1.GHG Inventory Form'!$E$6="IPCC AR4 Report(2007)",VLOOKUP($J37,'6.GWP'!$B$1:$G$173,4,FALSE),IF('1.GHG Inventory Form'!$E$6="IPCC AR5 Report(2013)",VLOOKUP($J37,'6.GWP'!$B$1:$G$173,5,FALSE),IF('1.GHG Inventory Form'!$E$6="IPCC AR6 Report(2021)",VLOOKUP($J37,'6.GWP'!$B$2:$G$173,6,FALSE),0))))),IF(AND(AC37="V",$I37="自訂值"),IF('1.GHG Inventory Form'!$E$6="IPCC AR2 Report(1995)",VLOOKUP($K37,'6.GWP'!$B$1:$G$173,2,FALSE),IF('1.GHG Inventory Form'!$E$6="IPCC AR3 Report(2001)",VLOOKUP($K37,'6.GWP'!$B$1:$G$173,3,FALSE),IF('1.GHG Inventory Form'!$E$6="IPCC AR4 Report(2007)",VLOOKUP($K37,'6.GWP'!$B$1:$G$173,4,FALSE),IF('1.GHG Inventory Form'!$E$6="IPCC AR5 Report(2013)",VLOOKUP($K37,'6.GWP'!$B$1:$G$173,5,FALSE),IF('1.GHG Inventory Form'!$E$6="IPCC AR6 Report(2021)",VLOOKUP($K37,'6.GWP'!$B$2:$G$173,6,FALSE),0))))),0)),0)</f>
        <v>0</v>
      </c>
      <c r="AS37" s="366">
        <f>IF(AD37="V",IF('1.GHG Inventory Form'!$E$6="IPCC AR2 Report(1995)",'6.GWP'!$C$5,IF('1.GHG Inventory Form'!$E$6="IPCC AR3 Report(2001)",'6.GWP'!$D$5,IF('1.GHG Inventory Form'!$E$6="IPCC AR4 Report(2007)",'6.GWP'!$E$5,IF('1.GHG Inventory Form'!$E$6="IPCC AR5 Report(2013)",'6.GWP'!$F$5,IF('1.GHG Inventory Form'!$E$6="IPCC AR6 Report(2021)",'6.GWP'!$G$5,0))))),0)</f>
        <v>0</v>
      </c>
      <c r="AT37" s="392">
        <f>IF(AE37="V",IF('1.GHG Inventory Form'!$E$6="IPCC AR2 Report(1995)",'6.GWP'!$C$4,IF('1.GHG Inventory Form'!$E$6="IPCC AR3 Report(2001)",'6.GWP'!$D$4,IF('1.GHG Inventory Form'!$E$6="IPCC AR4 Report(2007)",'6.GWP'!$E$4,IF('1.GHG Inventory Form'!$E$6="IPCC AR5 Report(2013)",'6.GWP'!$F$4,IF('1.GHG Inventory Form'!$E$6="IPCC AR6 Report(2021)",'6.GWP'!$G$4,0))))),0)</f>
        <v>0</v>
      </c>
      <c r="AU37" s="334">
        <f t="shared" si="8"/>
        <v>0</v>
      </c>
      <c r="AV37" s="334">
        <f t="shared" si="9"/>
        <v>0</v>
      </c>
      <c r="AW37" s="334">
        <f t="shared" si="10"/>
        <v>0</v>
      </c>
      <c r="AX37" s="334">
        <f t="shared" si="11"/>
        <v>0</v>
      </c>
      <c r="AY37" s="334">
        <f t="shared" si="12"/>
        <v>0</v>
      </c>
      <c r="AZ37" s="334">
        <f t="shared" si="13"/>
        <v>0</v>
      </c>
      <c r="BA37" s="334">
        <f t="shared" si="14"/>
        <v>0</v>
      </c>
      <c r="BB37" s="393">
        <f t="shared" si="15"/>
        <v>0</v>
      </c>
      <c r="BC37" s="368">
        <f t="shared" si="16"/>
        <v>0</v>
      </c>
      <c r="BD37" s="369">
        <f t="shared" si="17"/>
        <v>0</v>
      </c>
      <c r="BI37" s="86" t="str">
        <f t="shared" si="18"/>
        <v/>
      </c>
      <c r="BJ37" s="86" t="str">
        <f t="shared" si="19"/>
        <v/>
      </c>
      <c r="BK37" s="86" t="str">
        <f t="shared" si="20"/>
        <v/>
      </c>
    </row>
    <row r="38" spans="1:63" customFormat="1" ht="18" customHeight="1" thickBot="1">
      <c r="A38">
        <v>4</v>
      </c>
      <c r="B38" s="634"/>
      <c r="C38" s="696"/>
      <c r="D38" s="668"/>
      <c r="E38" s="699"/>
      <c r="F38" s="700"/>
      <c r="G38" s="387"/>
      <c r="H38" s="188"/>
      <c r="I38" s="354"/>
      <c r="J38" s="388"/>
      <c r="K38" s="187"/>
      <c r="L38" s="234"/>
      <c r="M38" s="326" t="str">
        <f>IFERROR(IF(I38="預設值Default",VLOOKUP($J38,'4.Default Emission Factor'!$D:$V,16,FALSE),"請填寫自訂活動數據單位Please fill in Custom Unit"),"請選擇預設排放係數名稱Please Choose Default Fuel or Greenhouse Gas")</f>
        <v>請填寫自訂活動數據單位Please fill in Custom Unit</v>
      </c>
      <c r="N38" s="236"/>
      <c r="O38" s="236"/>
      <c r="P38" s="24"/>
      <c r="Q38" s="24"/>
      <c r="R38" s="24"/>
      <c r="S38" s="24"/>
      <c r="T38" s="92"/>
      <c r="U38" s="92"/>
      <c r="V38" s="92"/>
      <c r="W38" s="93"/>
      <c r="X38" s="94"/>
      <c r="Y38" s="389" t="str">
        <f t="shared" si="0"/>
        <v/>
      </c>
      <c r="Z38" s="364" t="str">
        <f t="shared" si="1"/>
        <v/>
      </c>
      <c r="AA38" s="364" t="str">
        <f t="shared" si="2"/>
        <v/>
      </c>
      <c r="AB38" s="364" t="str">
        <f t="shared" si="3"/>
        <v/>
      </c>
      <c r="AC38" s="364" t="str">
        <f t="shared" si="4"/>
        <v/>
      </c>
      <c r="AD38" s="364" t="str">
        <f t="shared" si="5"/>
        <v/>
      </c>
      <c r="AE38" s="390" t="str">
        <f t="shared" si="6"/>
        <v/>
      </c>
      <c r="AF38" s="327">
        <f>IFERROR(IF($I38="預設值Default",ROUND(VLOOKUP($J38,'4.Default Emission Factor'!$D:$V,2,FALSE),10),IF($I38="自訂值Custom Value",P38,0)),0)</f>
        <v>0</v>
      </c>
      <c r="AG38" s="328">
        <f>IFERROR(IF($I38="預設值Default",ROUND(VLOOKUP($J38,'4.Default Emission Factor'!$D:$V,4,FALSE),10),IF($I38="自訂值Custom Value",Q38,0)),0)</f>
        <v>0</v>
      </c>
      <c r="AH38" s="328">
        <f>IFERROR(IF($I38="預設值Default",ROUND(VLOOKUP($J38,'4.Default Emission Factor'!$D:$V,6,FALSE),10),IF($I38="自訂值Custom Value",R38,0)),0)</f>
        <v>0</v>
      </c>
      <c r="AI38" s="328">
        <f>IFERROR(IF($I38="預設值Default",ROUND(VLOOKUP($J38,'4.Default Emission Factor'!$D:$V,8,FALSE),10),IF($I38="自訂值Custom Value",S38,0)),0)</f>
        <v>0</v>
      </c>
      <c r="AJ38" s="328">
        <f>IFERROR(IF($I38="預設值Default",ROUND(VLOOKUP($J38,'4.Default Emission Factor'!$D:$V,10,FALSE),10),IF($I38="自訂值Custom Value",T38,0)),0)</f>
        <v>0</v>
      </c>
      <c r="AK38" s="328">
        <f>IFERROR(IF($I38="預設值Default",ROUND(VLOOKUP($J38,'4.Default Emission Factor'!$D:$V,12,FALSE),10),IF($I38="自訂值Custom Value",U38,0)),0)</f>
        <v>0</v>
      </c>
      <c r="AL38" s="328">
        <f>IFERROR(IF($I38="預設值Default",ROUND(VLOOKUP($J38,'4.Default Emission Factor'!$D:$V,14,FALSE),10),IF($I38="自訂值Custom Value",V38,0)),0)</f>
        <v>0</v>
      </c>
      <c r="AM38" s="330" t="str">
        <f>IFERROR(IF(I38="預設值Default",VLOOKUP($J38,'4.Default Emission Factor'!$D:$V,17,FALSE),IF(I38="自訂值Custom Value",X38,"")),"")</f>
        <v/>
      </c>
      <c r="AN38" s="391">
        <f t="shared" si="7"/>
        <v>0</v>
      </c>
      <c r="AO38" s="366">
        <f>IF(Z38="V",IF('1.GHG Inventory Form'!$E$6="IPCC AR2 Report(1995)",'6.GWP'!$C$2,IF('1.GHG Inventory Form'!$E$6="IPCC AR3 Report(2001)",'6.GWP'!$D$2,IF('1.GHG Inventory Form'!$E$6="IPCC AR4 Report(2007)",'6.GWP'!$E$2,IF('1.GHG Inventory Form'!$E$6="IPCC AR5 Report(2013)",'6.GWP'!$F$2,IF('1.GHG Inventory Form'!$E$6="IPCC AR6 Report(2021)",'6.GWP'!$G$2,0))))),0)</f>
        <v>0</v>
      </c>
      <c r="AP38" s="366">
        <f>IF(AA38="V",IF('1.GHG Inventory Form'!$E$6="IPCC AR2 Report(1995)",'6.GWP'!$C$3,IF('1.GHG Inventory Form'!$E$6="IPCC AR3 Report(2001)",'6.GWP'!$D$3,IF('1.GHG Inventory Form'!$E$6="IPCC AR4 Report(2007)",'6.GWP'!$E$3,IF('1.GHG Inventory Form'!$E$6="IPCC AR5 Report(2013)",'6.GWP'!$F$3,IF('1.GHG Inventory Form'!$E$6="IPCC AR6 Report(2021)",'6.GWP'!$G$3,0))))),0)</f>
        <v>0</v>
      </c>
      <c r="AQ38" s="366">
        <f>IFERROR(IF(AND(AB38="V",$I38="預設值"),IF('1.GHG Inventory Form'!$E$6="IPCC AR2 Report(1995)",VLOOKUP($J38,'6.GWP'!$B$1:$G$173,2,FALSE),IF('1.GHG Inventory Form'!$E$6="IPCC AR3 Report(2001)",VLOOKUP($J38,'6.GWP'!$B$1:$G$173,3,FALSE),IF('1.GHG Inventory Form'!$E$6="IPCC AR4 Report(2007)",VLOOKUP($J38,'6.GWP'!$B$1:$G$173,4,FALSE),IF('1.GHG Inventory Form'!$E$6="IPCC AR5 Report(2013)",VLOOKUP($J38,'6.GWP'!$B$1:$G$173,5,FALSE),IF('1.GHG Inventory Form'!$E$6="IPCC AR6 Report(2021)",VLOOKUP($J38,'6.GWP'!$B$2:$G$173,6,FALSE),0))))),IF(AND(AB38="V",$I38="自訂值"),IF('1.GHG Inventory Form'!$E$6="IPCC AR2 Report(1995)",VLOOKUP($K38,'6.GWP'!$B$1:$G$173,2,FALSE),IF('1.GHG Inventory Form'!$E$6="IPCC AR3 Report(2001)",VLOOKUP($K38,'6.GWP'!$B$1:$G$173,3,FALSE),IF('1.GHG Inventory Form'!$E$6="IPCC AR4 Report(2007)",VLOOKUP($K38,'6.GWP'!$B$1:$G$173,4,FALSE),IF('1.GHG Inventory Form'!$E$6="IPCC AR5 Report(2013)",VLOOKUP($K38,'6.GWP'!$B$1:$G$173,5,FALSE),IF('1.GHG Inventory Form'!$E$6="IPCC AR6 Report(2021)",VLOOKUP($K38,'6.GWP'!$B$2:$G$173,6,FALSE),0))))),0)),0)</f>
        <v>0</v>
      </c>
      <c r="AR38" s="366">
        <f>IFERROR(IF(AND(AC38="V",$I38="預設值"),IF('1.GHG Inventory Form'!$E$6="IPCC AR2 Report(1995)",VLOOKUP($J38,'6.GWP'!$B$1:$G$173,2,FALSE),IF('1.GHG Inventory Form'!$E$6="IPCC AR3 Report(2001)",VLOOKUP($J38,'6.GWP'!$B$1:$G$173,3,FALSE),IF('1.GHG Inventory Form'!$E$6="IPCC AR4 Report(2007)",VLOOKUP($J38,'6.GWP'!$B$1:$G$173,4,FALSE),IF('1.GHG Inventory Form'!$E$6="IPCC AR5 Report(2013)",VLOOKUP($J38,'6.GWP'!$B$1:$G$173,5,FALSE),IF('1.GHG Inventory Form'!$E$6="IPCC AR6 Report(2021)",VLOOKUP($J38,'6.GWP'!$B$2:$G$173,6,FALSE),0))))),IF(AND(AC38="V",$I38="自訂值"),IF('1.GHG Inventory Form'!$E$6="IPCC AR2 Report(1995)",VLOOKUP($K38,'6.GWP'!$B$1:$G$173,2,FALSE),IF('1.GHG Inventory Form'!$E$6="IPCC AR3 Report(2001)",VLOOKUP($K38,'6.GWP'!$B$1:$G$173,3,FALSE),IF('1.GHG Inventory Form'!$E$6="IPCC AR4 Report(2007)",VLOOKUP($K38,'6.GWP'!$B$1:$G$173,4,FALSE),IF('1.GHG Inventory Form'!$E$6="IPCC AR5 Report(2013)",VLOOKUP($K38,'6.GWP'!$B$1:$G$173,5,FALSE),IF('1.GHG Inventory Form'!$E$6="IPCC AR6 Report(2021)",VLOOKUP($K38,'6.GWP'!$B$2:$G$173,6,FALSE),0))))),0)),0)</f>
        <v>0</v>
      </c>
      <c r="AS38" s="366">
        <f>IF(AD38="V",IF('1.GHG Inventory Form'!$E$6="IPCC AR2 Report(1995)",'6.GWP'!$C$5,IF('1.GHG Inventory Form'!$E$6="IPCC AR3 Report(2001)",'6.GWP'!$D$5,IF('1.GHG Inventory Form'!$E$6="IPCC AR4 Report(2007)",'6.GWP'!$E$5,IF('1.GHG Inventory Form'!$E$6="IPCC AR5 Report(2013)",'6.GWP'!$F$5,IF('1.GHG Inventory Form'!$E$6="IPCC AR6 Report(2021)",'6.GWP'!$G$5,0))))),0)</f>
        <v>0</v>
      </c>
      <c r="AT38" s="392">
        <f>IF(AE38="V",IF('1.GHG Inventory Form'!$E$6="IPCC AR2 Report(1995)",'6.GWP'!$C$4,IF('1.GHG Inventory Form'!$E$6="IPCC AR3 Report(2001)",'6.GWP'!$D$4,IF('1.GHG Inventory Form'!$E$6="IPCC AR4 Report(2007)",'6.GWP'!$E$4,IF('1.GHG Inventory Form'!$E$6="IPCC AR5 Report(2013)",'6.GWP'!$F$4,IF('1.GHG Inventory Form'!$E$6="IPCC AR6 Report(2021)",'6.GWP'!$G$4,0))))),0)</f>
        <v>0</v>
      </c>
      <c r="AU38" s="334">
        <f t="shared" si="8"/>
        <v>0</v>
      </c>
      <c r="AV38" s="334">
        <f t="shared" si="9"/>
        <v>0</v>
      </c>
      <c r="AW38" s="334">
        <f t="shared" si="10"/>
        <v>0</v>
      </c>
      <c r="AX38" s="334">
        <f t="shared" si="11"/>
        <v>0</v>
      </c>
      <c r="AY38" s="334">
        <f t="shared" si="12"/>
        <v>0</v>
      </c>
      <c r="AZ38" s="334">
        <f t="shared" si="13"/>
        <v>0</v>
      </c>
      <c r="BA38" s="334">
        <f t="shared" si="14"/>
        <v>0</v>
      </c>
      <c r="BB38" s="393">
        <f t="shared" si="15"/>
        <v>0</v>
      </c>
      <c r="BC38" s="368">
        <f t="shared" si="16"/>
        <v>0</v>
      </c>
      <c r="BD38" s="369">
        <f t="shared" si="17"/>
        <v>0</v>
      </c>
      <c r="BI38" s="86" t="str">
        <f t="shared" si="18"/>
        <v/>
      </c>
      <c r="BJ38" s="86" t="str">
        <f t="shared" si="19"/>
        <v/>
      </c>
      <c r="BK38" s="86" t="str">
        <f t="shared" si="20"/>
        <v/>
      </c>
    </row>
    <row r="39" spans="1:63" customFormat="1" ht="18" customHeight="1" thickBot="1">
      <c r="A39">
        <v>5</v>
      </c>
      <c r="B39" s="634"/>
      <c r="C39" s="697"/>
      <c r="D39" s="668"/>
      <c r="E39" s="699"/>
      <c r="F39" s="700"/>
      <c r="G39" s="387"/>
      <c r="H39" s="188"/>
      <c r="I39" s="354"/>
      <c r="J39" s="388"/>
      <c r="K39" s="187"/>
      <c r="L39" s="234"/>
      <c r="M39" s="326" t="str">
        <f>IFERROR(IF(I39="預設值Default",VLOOKUP($J39,'4.Default Emission Factor'!$D:$V,16,FALSE),"請填寫自訂活動數據單位Please fill in Custom Unit"),"請選擇預設排放係數名稱Please Choose Default Fuel or Greenhouse Gas")</f>
        <v>請填寫自訂活動數據單位Please fill in Custom Unit</v>
      </c>
      <c r="N39" s="236"/>
      <c r="O39" s="236"/>
      <c r="P39" s="24"/>
      <c r="Q39" s="24"/>
      <c r="R39" s="24"/>
      <c r="S39" s="24"/>
      <c r="T39" s="92"/>
      <c r="U39" s="92"/>
      <c r="V39" s="92"/>
      <c r="W39" s="93"/>
      <c r="X39" s="94"/>
      <c r="Y39" s="389" t="str">
        <f t="shared" si="0"/>
        <v/>
      </c>
      <c r="Z39" s="364" t="str">
        <f t="shared" si="1"/>
        <v/>
      </c>
      <c r="AA39" s="364" t="str">
        <f t="shared" si="2"/>
        <v/>
      </c>
      <c r="AB39" s="364" t="str">
        <f t="shared" si="3"/>
        <v/>
      </c>
      <c r="AC39" s="364" t="str">
        <f t="shared" si="4"/>
        <v/>
      </c>
      <c r="AD39" s="364" t="str">
        <f t="shared" si="5"/>
        <v/>
      </c>
      <c r="AE39" s="390" t="str">
        <f t="shared" si="6"/>
        <v/>
      </c>
      <c r="AF39" s="327">
        <f>IFERROR(IF($I39="預設值Default",ROUND(VLOOKUP($J39,'4.Default Emission Factor'!$D:$V,2,FALSE),10),IF($I39="自訂值Custom Value",P39,0)),0)</f>
        <v>0</v>
      </c>
      <c r="AG39" s="328">
        <f>IFERROR(IF($I39="預設值Default",ROUND(VLOOKUP($J39,'4.Default Emission Factor'!$D:$V,4,FALSE),10),IF($I39="自訂值Custom Value",Q39,0)),0)</f>
        <v>0</v>
      </c>
      <c r="AH39" s="328">
        <f>IFERROR(IF($I39="預設值Default",ROUND(VLOOKUP($J39,'4.Default Emission Factor'!$D:$V,6,FALSE),10),IF($I39="自訂值Custom Value",R39,0)),0)</f>
        <v>0</v>
      </c>
      <c r="AI39" s="328">
        <f>IFERROR(IF($I39="預設值Default",ROUND(VLOOKUP($J39,'4.Default Emission Factor'!$D:$V,8,FALSE),10),IF($I39="自訂值Custom Value",S39,0)),0)</f>
        <v>0</v>
      </c>
      <c r="AJ39" s="328">
        <f>IFERROR(IF($I39="預設值Default",ROUND(VLOOKUP($J39,'4.Default Emission Factor'!$D:$V,10,FALSE),10),IF($I39="自訂值Custom Value",T39,0)),0)</f>
        <v>0</v>
      </c>
      <c r="AK39" s="328">
        <f>IFERROR(IF($I39="預設值Default",ROUND(VLOOKUP($J39,'4.Default Emission Factor'!$D:$V,12,FALSE),10),IF($I39="自訂值Custom Value",U39,0)),0)</f>
        <v>0</v>
      </c>
      <c r="AL39" s="328">
        <f>IFERROR(IF($I39="預設值Default",ROUND(VLOOKUP($J39,'4.Default Emission Factor'!$D:$V,14,FALSE),10),IF($I39="自訂值Custom Value",V39,0)),0)</f>
        <v>0</v>
      </c>
      <c r="AM39" s="330" t="str">
        <f>IFERROR(IF(I39="預設值Default",VLOOKUP($J39,'4.Default Emission Factor'!$D:$V,17,FALSE),IF(I39="自訂值Custom Value",X39,"")),"")</f>
        <v/>
      </c>
      <c r="AN39" s="391">
        <f t="shared" si="7"/>
        <v>0</v>
      </c>
      <c r="AO39" s="366">
        <f>IF(Z39="V",IF('1.GHG Inventory Form'!$E$6="IPCC AR2 Report(1995)",'6.GWP'!$C$2,IF('1.GHG Inventory Form'!$E$6="IPCC AR3 Report(2001)",'6.GWP'!$D$2,IF('1.GHG Inventory Form'!$E$6="IPCC AR4 Report(2007)",'6.GWP'!$E$2,IF('1.GHG Inventory Form'!$E$6="IPCC AR5 Report(2013)",'6.GWP'!$F$2,IF('1.GHG Inventory Form'!$E$6="IPCC AR6 Report(2021)",'6.GWP'!$G$2,0))))),0)</f>
        <v>0</v>
      </c>
      <c r="AP39" s="366">
        <f>IF(AA39="V",IF('1.GHG Inventory Form'!$E$6="IPCC AR2 Report(1995)",'6.GWP'!$C$3,IF('1.GHG Inventory Form'!$E$6="IPCC AR3 Report(2001)",'6.GWP'!$D$3,IF('1.GHG Inventory Form'!$E$6="IPCC AR4 Report(2007)",'6.GWP'!$E$3,IF('1.GHG Inventory Form'!$E$6="IPCC AR5 Report(2013)",'6.GWP'!$F$3,IF('1.GHG Inventory Form'!$E$6="IPCC AR6 Report(2021)",'6.GWP'!$G$3,0))))),0)</f>
        <v>0</v>
      </c>
      <c r="AQ39" s="366">
        <f>IFERROR(IF(AND(AB39="V",$I39="預設值"),IF('1.GHG Inventory Form'!$E$6="IPCC AR2 Report(1995)",VLOOKUP($J39,'6.GWP'!$B$1:$G$173,2,FALSE),IF('1.GHG Inventory Form'!$E$6="IPCC AR3 Report(2001)",VLOOKUP($J39,'6.GWP'!$B$1:$G$173,3,FALSE),IF('1.GHG Inventory Form'!$E$6="IPCC AR4 Report(2007)",VLOOKUP($J39,'6.GWP'!$B$1:$G$173,4,FALSE),IF('1.GHG Inventory Form'!$E$6="IPCC AR5 Report(2013)",VLOOKUP($J39,'6.GWP'!$B$1:$G$173,5,FALSE),IF('1.GHG Inventory Form'!$E$6="IPCC AR6 Report(2021)",VLOOKUP($J39,'6.GWP'!$B$2:$G$173,6,FALSE),0))))),IF(AND(AB39="V",$I39="自訂值"),IF('1.GHG Inventory Form'!$E$6="IPCC AR2 Report(1995)",VLOOKUP($K39,'6.GWP'!$B$1:$G$173,2,FALSE),IF('1.GHG Inventory Form'!$E$6="IPCC AR3 Report(2001)",VLOOKUP($K39,'6.GWP'!$B$1:$G$173,3,FALSE),IF('1.GHG Inventory Form'!$E$6="IPCC AR4 Report(2007)",VLOOKUP($K39,'6.GWP'!$B$1:$G$173,4,FALSE),IF('1.GHG Inventory Form'!$E$6="IPCC AR5 Report(2013)",VLOOKUP($K39,'6.GWP'!$B$1:$G$173,5,FALSE),IF('1.GHG Inventory Form'!$E$6="IPCC AR6 Report(2021)",VLOOKUP($K39,'6.GWP'!$B$2:$G$173,6,FALSE),0))))),0)),0)</f>
        <v>0</v>
      </c>
      <c r="AR39" s="366">
        <f>IFERROR(IF(AND(AC39="V",$I39="預設值"),IF('1.GHG Inventory Form'!$E$6="IPCC AR2 Report(1995)",VLOOKUP($J39,'6.GWP'!$B$1:$G$173,2,FALSE),IF('1.GHG Inventory Form'!$E$6="IPCC AR3 Report(2001)",VLOOKUP($J39,'6.GWP'!$B$1:$G$173,3,FALSE),IF('1.GHG Inventory Form'!$E$6="IPCC AR4 Report(2007)",VLOOKUP($J39,'6.GWP'!$B$1:$G$173,4,FALSE),IF('1.GHG Inventory Form'!$E$6="IPCC AR5 Report(2013)",VLOOKUP($J39,'6.GWP'!$B$1:$G$173,5,FALSE),IF('1.GHG Inventory Form'!$E$6="IPCC AR6 Report(2021)",VLOOKUP($J39,'6.GWP'!$B$2:$G$173,6,FALSE),0))))),IF(AND(AC39="V",$I39="自訂值"),IF('1.GHG Inventory Form'!$E$6="IPCC AR2 Report(1995)",VLOOKUP($K39,'6.GWP'!$B$1:$G$173,2,FALSE),IF('1.GHG Inventory Form'!$E$6="IPCC AR3 Report(2001)",VLOOKUP($K39,'6.GWP'!$B$1:$G$173,3,FALSE),IF('1.GHG Inventory Form'!$E$6="IPCC AR4 Report(2007)",VLOOKUP($K39,'6.GWP'!$B$1:$G$173,4,FALSE),IF('1.GHG Inventory Form'!$E$6="IPCC AR5 Report(2013)",VLOOKUP($K39,'6.GWP'!$B$1:$G$173,5,FALSE),IF('1.GHG Inventory Form'!$E$6="IPCC AR6 Report(2021)",VLOOKUP($K39,'6.GWP'!$B$2:$G$173,6,FALSE),0))))),0)),0)</f>
        <v>0</v>
      </c>
      <c r="AS39" s="366">
        <f>IF(AD39="V",IF('1.GHG Inventory Form'!$E$6="IPCC AR2 Report(1995)",'6.GWP'!$C$5,IF('1.GHG Inventory Form'!$E$6="IPCC AR3 Report(2001)",'6.GWP'!$D$5,IF('1.GHG Inventory Form'!$E$6="IPCC AR4 Report(2007)",'6.GWP'!$E$5,IF('1.GHG Inventory Form'!$E$6="IPCC AR5 Report(2013)",'6.GWP'!$F$5,IF('1.GHG Inventory Form'!$E$6="IPCC AR6 Report(2021)",'6.GWP'!$G$5,0))))),0)</f>
        <v>0</v>
      </c>
      <c r="AT39" s="392">
        <f>IF(AE39="V",IF('1.GHG Inventory Form'!$E$6="IPCC AR2 Report(1995)",'6.GWP'!$C$4,IF('1.GHG Inventory Form'!$E$6="IPCC AR3 Report(2001)",'6.GWP'!$D$4,IF('1.GHG Inventory Form'!$E$6="IPCC AR4 Report(2007)",'6.GWP'!$E$4,IF('1.GHG Inventory Form'!$E$6="IPCC AR5 Report(2013)",'6.GWP'!$F$4,IF('1.GHG Inventory Form'!$E$6="IPCC AR6 Report(2021)",'6.GWP'!$G$4,0))))),0)</f>
        <v>0</v>
      </c>
      <c r="AU39" s="334">
        <f t="shared" si="8"/>
        <v>0</v>
      </c>
      <c r="AV39" s="334">
        <f t="shared" si="9"/>
        <v>0</v>
      </c>
      <c r="AW39" s="334">
        <f t="shared" si="10"/>
        <v>0</v>
      </c>
      <c r="AX39" s="334">
        <f t="shared" si="11"/>
        <v>0</v>
      </c>
      <c r="AY39" s="334">
        <f t="shared" si="12"/>
        <v>0</v>
      </c>
      <c r="AZ39" s="334">
        <f t="shared" si="13"/>
        <v>0</v>
      </c>
      <c r="BA39" s="334">
        <f t="shared" si="14"/>
        <v>0</v>
      </c>
      <c r="BB39" s="393">
        <f t="shared" si="15"/>
        <v>0</v>
      </c>
      <c r="BC39" s="368">
        <f t="shared" si="16"/>
        <v>0</v>
      </c>
      <c r="BD39" s="369">
        <f t="shared" si="17"/>
        <v>0</v>
      </c>
      <c r="BI39" s="86" t="str">
        <f t="shared" si="18"/>
        <v/>
      </c>
      <c r="BJ39" s="86" t="str">
        <f t="shared" si="19"/>
        <v/>
      </c>
      <c r="BK39" s="86" t="str">
        <f t="shared" si="20"/>
        <v/>
      </c>
    </row>
    <row r="40" spans="1:63" customFormat="1" ht="18" customHeight="1" thickBot="1">
      <c r="A40">
        <v>6</v>
      </c>
      <c r="B40" s="634"/>
      <c r="C40" s="697"/>
      <c r="D40" s="668"/>
      <c r="E40" s="699"/>
      <c r="F40" s="700"/>
      <c r="G40" s="387"/>
      <c r="H40" s="188"/>
      <c r="I40" s="354"/>
      <c r="J40" s="388"/>
      <c r="K40" s="187"/>
      <c r="L40" s="234"/>
      <c r="M40" s="326" t="str">
        <f>IFERROR(IF(I40="預設值Default",VLOOKUP($J40,'4.Default Emission Factor'!$D:$V,16,FALSE),"請填寫自訂活動數據單位Please fill in Custom Unit"),"請選擇預設排放係數名稱Please Choose Default Fuel or Greenhouse Gas")</f>
        <v>請填寫自訂活動數據單位Please fill in Custom Unit</v>
      </c>
      <c r="N40" s="236"/>
      <c r="O40" s="236"/>
      <c r="P40" s="24"/>
      <c r="Q40" s="24"/>
      <c r="R40" s="24"/>
      <c r="S40" s="24"/>
      <c r="T40" s="92"/>
      <c r="U40" s="92"/>
      <c r="V40" s="92"/>
      <c r="W40" s="93"/>
      <c r="X40" s="94"/>
      <c r="Y40" s="389" t="str">
        <f t="shared" si="0"/>
        <v/>
      </c>
      <c r="Z40" s="364" t="str">
        <f t="shared" si="1"/>
        <v/>
      </c>
      <c r="AA40" s="364" t="str">
        <f t="shared" si="2"/>
        <v/>
      </c>
      <c r="AB40" s="364" t="str">
        <f t="shared" si="3"/>
        <v/>
      </c>
      <c r="AC40" s="364" t="str">
        <f t="shared" si="4"/>
        <v/>
      </c>
      <c r="AD40" s="364" t="str">
        <f t="shared" si="5"/>
        <v/>
      </c>
      <c r="AE40" s="390" t="str">
        <f t="shared" si="6"/>
        <v/>
      </c>
      <c r="AF40" s="327">
        <f>IFERROR(IF($I40="預設值Default",ROUND(VLOOKUP($J40,'4.Default Emission Factor'!$D:$V,2,FALSE),10),IF($I40="自訂值Custom Value",P40,0)),0)</f>
        <v>0</v>
      </c>
      <c r="AG40" s="328">
        <f>IFERROR(IF($I40="預設值Default",ROUND(VLOOKUP($J40,'4.Default Emission Factor'!$D:$V,4,FALSE),10),IF($I40="自訂值Custom Value",Q40,0)),0)</f>
        <v>0</v>
      </c>
      <c r="AH40" s="328">
        <f>IFERROR(IF($I40="預設值Default",ROUND(VLOOKUP($J40,'4.Default Emission Factor'!$D:$V,6,FALSE),10),IF($I40="自訂值Custom Value",R40,0)),0)</f>
        <v>0</v>
      </c>
      <c r="AI40" s="328">
        <f>IFERROR(IF($I40="預設值Default",ROUND(VLOOKUP($J40,'4.Default Emission Factor'!$D:$V,8,FALSE),10),IF($I40="自訂值Custom Value",S40,0)),0)</f>
        <v>0</v>
      </c>
      <c r="AJ40" s="328">
        <f>IFERROR(IF($I40="預設值Default",ROUND(VLOOKUP($J40,'4.Default Emission Factor'!$D:$V,10,FALSE),10),IF($I40="自訂值Custom Value",T40,0)),0)</f>
        <v>0</v>
      </c>
      <c r="AK40" s="328">
        <f>IFERROR(IF($I40="預設值Default",ROUND(VLOOKUP($J40,'4.Default Emission Factor'!$D:$V,12,FALSE),10),IF($I40="自訂值Custom Value",U40,0)),0)</f>
        <v>0</v>
      </c>
      <c r="AL40" s="328">
        <f>IFERROR(IF($I40="預設值Default",ROUND(VLOOKUP($J40,'4.Default Emission Factor'!$D:$V,14,FALSE),10),IF($I40="自訂值Custom Value",V40,0)),0)</f>
        <v>0</v>
      </c>
      <c r="AM40" s="330" t="str">
        <f>IFERROR(IF(I40="預設值Default",VLOOKUP($J40,'4.Default Emission Factor'!$D:$V,17,FALSE),IF(I40="自訂值Custom Value",X40,"")),"")</f>
        <v/>
      </c>
      <c r="AN40" s="391">
        <f t="shared" si="7"/>
        <v>0</v>
      </c>
      <c r="AO40" s="366">
        <f>IF(Z40="V",IF('1.GHG Inventory Form'!$E$6="IPCC AR2 Report(1995)",'6.GWP'!$C$2,IF('1.GHG Inventory Form'!$E$6="IPCC AR3 Report(2001)",'6.GWP'!$D$2,IF('1.GHG Inventory Form'!$E$6="IPCC AR4 Report(2007)",'6.GWP'!$E$2,IF('1.GHG Inventory Form'!$E$6="IPCC AR5 Report(2013)",'6.GWP'!$F$2,IF('1.GHG Inventory Form'!$E$6="IPCC AR6 Report(2021)",'6.GWP'!$G$2,0))))),0)</f>
        <v>0</v>
      </c>
      <c r="AP40" s="366">
        <f>IF(AA40="V",IF('1.GHG Inventory Form'!$E$6="IPCC AR2 Report(1995)",'6.GWP'!$C$3,IF('1.GHG Inventory Form'!$E$6="IPCC AR3 Report(2001)",'6.GWP'!$D$3,IF('1.GHG Inventory Form'!$E$6="IPCC AR4 Report(2007)",'6.GWP'!$E$3,IF('1.GHG Inventory Form'!$E$6="IPCC AR5 Report(2013)",'6.GWP'!$F$3,IF('1.GHG Inventory Form'!$E$6="IPCC AR6 Report(2021)",'6.GWP'!$G$3,0))))),0)</f>
        <v>0</v>
      </c>
      <c r="AQ40" s="366">
        <f>IFERROR(IF(AND(AB40="V",$I40="預設值"),IF('1.GHG Inventory Form'!$E$6="IPCC AR2 Report(1995)",VLOOKUP($J40,'6.GWP'!$B$1:$G$173,2,FALSE),IF('1.GHG Inventory Form'!$E$6="IPCC AR3 Report(2001)",VLOOKUP($J40,'6.GWP'!$B$1:$G$173,3,FALSE),IF('1.GHG Inventory Form'!$E$6="IPCC AR4 Report(2007)",VLOOKUP($J40,'6.GWP'!$B$1:$G$173,4,FALSE),IF('1.GHG Inventory Form'!$E$6="IPCC AR5 Report(2013)",VLOOKUP($J40,'6.GWP'!$B$1:$G$173,5,FALSE),IF('1.GHG Inventory Form'!$E$6="IPCC AR6 Report(2021)",VLOOKUP($J40,'6.GWP'!$B$2:$G$173,6,FALSE),0))))),IF(AND(AB40="V",$I40="自訂值"),IF('1.GHG Inventory Form'!$E$6="IPCC AR2 Report(1995)",VLOOKUP($K40,'6.GWP'!$B$1:$G$173,2,FALSE),IF('1.GHG Inventory Form'!$E$6="IPCC AR3 Report(2001)",VLOOKUP($K40,'6.GWP'!$B$1:$G$173,3,FALSE),IF('1.GHG Inventory Form'!$E$6="IPCC AR4 Report(2007)",VLOOKUP($K40,'6.GWP'!$B$1:$G$173,4,FALSE),IF('1.GHG Inventory Form'!$E$6="IPCC AR5 Report(2013)",VLOOKUP($K40,'6.GWP'!$B$1:$G$173,5,FALSE),IF('1.GHG Inventory Form'!$E$6="IPCC AR6 Report(2021)",VLOOKUP($K40,'6.GWP'!$B$2:$G$173,6,FALSE),0))))),0)),0)</f>
        <v>0</v>
      </c>
      <c r="AR40" s="366">
        <f>IFERROR(IF(AND(AC40="V",$I40="預設值"),IF('1.GHG Inventory Form'!$E$6="IPCC AR2 Report(1995)",VLOOKUP($J40,'6.GWP'!$B$1:$G$173,2,FALSE),IF('1.GHG Inventory Form'!$E$6="IPCC AR3 Report(2001)",VLOOKUP($J40,'6.GWP'!$B$1:$G$173,3,FALSE),IF('1.GHG Inventory Form'!$E$6="IPCC AR4 Report(2007)",VLOOKUP($J40,'6.GWP'!$B$1:$G$173,4,FALSE),IF('1.GHG Inventory Form'!$E$6="IPCC AR5 Report(2013)",VLOOKUP($J40,'6.GWP'!$B$1:$G$173,5,FALSE),IF('1.GHG Inventory Form'!$E$6="IPCC AR6 Report(2021)",VLOOKUP($J40,'6.GWP'!$B$2:$G$173,6,FALSE),0))))),IF(AND(AC40="V",$I40="自訂值"),IF('1.GHG Inventory Form'!$E$6="IPCC AR2 Report(1995)",VLOOKUP($K40,'6.GWP'!$B$1:$G$173,2,FALSE),IF('1.GHG Inventory Form'!$E$6="IPCC AR3 Report(2001)",VLOOKUP($K40,'6.GWP'!$B$1:$G$173,3,FALSE),IF('1.GHG Inventory Form'!$E$6="IPCC AR4 Report(2007)",VLOOKUP($K40,'6.GWP'!$B$1:$G$173,4,FALSE),IF('1.GHG Inventory Form'!$E$6="IPCC AR5 Report(2013)",VLOOKUP($K40,'6.GWP'!$B$1:$G$173,5,FALSE),IF('1.GHG Inventory Form'!$E$6="IPCC AR6 Report(2021)",VLOOKUP($K40,'6.GWP'!$B$2:$G$173,6,FALSE),0))))),0)),0)</f>
        <v>0</v>
      </c>
      <c r="AS40" s="366">
        <f>IF(AD40="V",IF('1.GHG Inventory Form'!$E$6="IPCC AR2 Report(1995)",'6.GWP'!$C$5,IF('1.GHG Inventory Form'!$E$6="IPCC AR3 Report(2001)",'6.GWP'!$D$5,IF('1.GHG Inventory Form'!$E$6="IPCC AR4 Report(2007)",'6.GWP'!$E$5,IF('1.GHG Inventory Form'!$E$6="IPCC AR5 Report(2013)",'6.GWP'!$F$5,IF('1.GHG Inventory Form'!$E$6="IPCC AR6 Report(2021)",'6.GWP'!$G$5,0))))),0)</f>
        <v>0</v>
      </c>
      <c r="AT40" s="392">
        <f>IF(AE40="V",IF('1.GHG Inventory Form'!$E$6="IPCC AR2 Report(1995)",'6.GWP'!$C$4,IF('1.GHG Inventory Form'!$E$6="IPCC AR3 Report(2001)",'6.GWP'!$D$4,IF('1.GHG Inventory Form'!$E$6="IPCC AR4 Report(2007)",'6.GWP'!$E$4,IF('1.GHG Inventory Form'!$E$6="IPCC AR5 Report(2013)",'6.GWP'!$F$4,IF('1.GHG Inventory Form'!$E$6="IPCC AR6 Report(2021)",'6.GWP'!$G$4,0))))),0)</f>
        <v>0</v>
      </c>
      <c r="AU40" s="334">
        <f t="shared" si="8"/>
        <v>0</v>
      </c>
      <c r="AV40" s="334">
        <f t="shared" si="9"/>
        <v>0</v>
      </c>
      <c r="AW40" s="334">
        <f t="shared" si="10"/>
        <v>0</v>
      </c>
      <c r="AX40" s="334">
        <f t="shared" si="11"/>
        <v>0</v>
      </c>
      <c r="AY40" s="334">
        <f t="shared" si="12"/>
        <v>0</v>
      </c>
      <c r="AZ40" s="334">
        <f t="shared" si="13"/>
        <v>0</v>
      </c>
      <c r="BA40" s="334">
        <f t="shared" si="14"/>
        <v>0</v>
      </c>
      <c r="BB40" s="393">
        <f t="shared" si="15"/>
        <v>0</v>
      </c>
      <c r="BC40" s="368">
        <f t="shared" si="16"/>
        <v>0</v>
      </c>
      <c r="BD40" s="369">
        <f t="shared" si="17"/>
        <v>0</v>
      </c>
      <c r="BI40" s="86" t="str">
        <f t="shared" si="18"/>
        <v/>
      </c>
      <c r="BJ40" s="86" t="str">
        <f t="shared" si="19"/>
        <v/>
      </c>
      <c r="BK40" s="86" t="str">
        <f t="shared" si="20"/>
        <v/>
      </c>
    </row>
    <row r="41" spans="1:63" customFormat="1" ht="18" customHeight="1" thickBot="1">
      <c r="A41">
        <v>7</v>
      </c>
      <c r="B41" s="634"/>
      <c r="C41" s="697"/>
      <c r="D41" s="668"/>
      <c r="E41" s="699"/>
      <c r="F41" s="700"/>
      <c r="G41" s="387"/>
      <c r="H41" s="188"/>
      <c r="I41" s="354"/>
      <c r="J41" s="388"/>
      <c r="K41" s="187"/>
      <c r="L41" s="234"/>
      <c r="M41" s="326" t="str">
        <f>IFERROR(IF(I41="預設值Default",VLOOKUP($J41,'4.Default Emission Factor'!$D:$V,16,FALSE),"請填寫自訂活動數據單位Please fill in Custom Unit"),"請選擇預設排放係數名稱Please Choose Default Fuel or Greenhouse Gas")</f>
        <v>請填寫自訂活動數據單位Please fill in Custom Unit</v>
      </c>
      <c r="N41" s="236"/>
      <c r="O41" s="236"/>
      <c r="P41" s="24"/>
      <c r="Q41" s="24"/>
      <c r="R41" s="24"/>
      <c r="S41" s="24"/>
      <c r="T41" s="92"/>
      <c r="U41" s="92"/>
      <c r="V41" s="92"/>
      <c r="W41" s="93"/>
      <c r="X41" s="94"/>
      <c r="Y41" s="389" t="str">
        <f t="shared" si="0"/>
        <v/>
      </c>
      <c r="Z41" s="364" t="str">
        <f t="shared" si="1"/>
        <v/>
      </c>
      <c r="AA41" s="364" t="str">
        <f t="shared" si="2"/>
        <v/>
      </c>
      <c r="AB41" s="364" t="str">
        <f t="shared" si="3"/>
        <v/>
      </c>
      <c r="AC41" s="364" t="str">
        <f t="shared" si="4"/>
        <v/>
      </c>
      <c r="AD41" s="364" t="str">
        <f t="shared" si="5"/>
        <v/>
      </c>
      <c r="AE41" s="390" t="str">
        <f t="shared" si="6"/>
        <v/>
      </c>
      <c r="AF41" s="327">
        <f>IFERROR(IF($I41="預設值Default",ROUND(VLOOKUP($J41,'4.Default Emission Factor'!$D:$V,2,FALSE),10),IF($I41="自訂值Custom Value",P41,0)),0)</f>
        <v>0</v>
      </c>
      <c r="AG41" s="328">
        <f>IFERROR(IF($I41="預設值Default",ROUND(VLOOKUP($J41,'4.Default Emission Factor'!$D:$V,4,FALSE),10),IF($I41="自訂值Custom Value",Q41,0)),0)</f>
        <v>0</v>
      </c>
      <c r="AH41" s="328">
        <f>IFERROR(IF($I41="預設值Default",ROUND(VLOOKUP($J41,'4.Default Emission Factor'!$D:$V,6,FALSE),10),IF($I41="自訂值Custom Value",R41,0)),0)</f>
        <v>0</v>
      </c>
      <c r="AI41" s="328">
        <f>IFERROR(IF($I41="預設值Default",ROUND(VLOOKUP($J41,'4.Default Emission Factor'!$D:$V,8,FALSE),10),IF($I41="自訂值Custom Value",S41,0)),0)</f>
        <v>0</v>
      </c>
      <c r="AJ41" s="328">
        <f>IFERROR(IF($I41="預設值Default",ROUND(VLOOKUP($J41,'4.Default Emission Factor'!$D:$V,10,FALSE),10),IF($I41="自訂值Custom Value",T41,0)),0)</f>
        <v>0</v>
      </c>
      <c r="AK41" s="328">
        <f>IFERROR(IF($I41="預設值Default",ROUND(VLOOKUP($J41,'4.Default Emission Factor'!$D:$V,12,FALSE),10),IF($I41="自訂值Custom Value",U41,0)),0)</f>
        <v>0</v>
      </c>
      <c r="AL41" s="328">
        <f>IFERROR(IF($I41="預設值Default",ROUND(VLOOKUP($J41,'4.Default Emission Factor'!$D:$V,14,FALSE),10),IF($I41="自訂值Custom Value",V41,0)),0)</f>
        <v>0</v>
      </c>
      <c r="AM41" s="330" t="str">
        <f>IFERROR(IF(I41="預設值Default",VLOOKUP($J41,'4.Default Emission Factor'!$D:$V,17,FALSE),IF(I41="自訂值Custom Value",X41,"")),"")</f>
        <v/>
      </c>
      <c r="AN41" s="391">
        <f t="shared" si="7"/>
        <v>0</v>
      </c>
      <c r="AO41" s="366">
        <f>IF(Z41="V",IF('1.GHG Inventory Form'!$E$6="IPCC AR2 Report(1995)",'6.GWP'!$C$2,IF('1.GHG Inventory Form'!$E$6="IPCC AR3 Report(2001)",'6.GWP'!$D$2,IF('1.GHG Inventory Form'!$E$6="IPCC AR4 Report(2007)",'6.GWP'!$E$2,IF('1.GHG Inventory Form'!$E$6="IPCC AR5 Report(2013)",'6.GWP'!$F$2,IF('1.GHG Inventory Form'!$E$6="IPCC AR6 Report(2021)",'6.GWP'!$G$2,0))))),0)</f>
        <v>0</v>
      </c>
      <c r="AP41" s="366">
        <f>IF(AA41="V",IF('1.GHG Inventory Form'!$E$6="IPCC AR2 Report(1995)",'6.GWP'!$C$3,IF('1.GHG Inventory Form'!$E$6="IPCC AR3 Report(2001)",'6.GWP'!$D$3,IF('1.GHG Inventory Form'!$E$6="IPCC AR4 Report(2007)",'6.GWP'!$E$3,IF('1.GHG Inventory Form'!$E$6="IPCC AR5 Report(2013)",'6.GWP'!$F$3,IF('1.GHG Inventory Form'!$E$6="IPCC AR6 Report(2021)",'6.GWP'!$G$3,0))))),0)</f>
        <v>0</v>
      </c>
      <c r="AQ41" s="366">
        <f>IFERROR(IF(AND(AB41="V",$I41="預設值"),IF('1.GHG Inventory Form'!$E$6="IPCC AR2 Report(1995)",VLOOKUP($J41,'6.GWP'!$B$1:$G$173,2,FALSE),IF('1.GHG Inventory Form'!$E$6="IPCC AR3 Report(2001)",VLOOKUP($J41,'6.GWP'!$B$1:$G$173,3,FALSE),IF('1.GHG Inventory Form'!$E$6="IPCC AR4 Report(2007)",VLOOKUP($J41,'6.GWP'!$B$1:$G$173,4,FALSE),IF('1.GHG Inventory Form'!$E$6="IPCC AR5 Report(2013)",VLOOKUP($J41,'6.GWP'!$B$1:$G$173,5,FALSE),IF('1.GHG Inventory Form'!$E$6="IPCC AR6 Report(2021)",VLOOKUP($J41,'6.GWP'!$B$2:$G$173,6,FALSE),0))))),IF(AND(AB41="V",$I41="自訂值"),IF('1.GHG Inventory Form'!$E$6="IPCC AR2 Report(1995)",VLOOKUP($K41,'6.GWP'!$B$1:$G$173,2,FALSE),IF('1.GHG Inventory Form'!$E$6="IPCC AR3 Report(2001)",VLOOKUP($K41,'6.GWP'!$B$1:$G$173,3,FALSE),IF('1.GHG Inventory Form'!$E$6="IPCC AR4 Report(2007)",VLOOKUP($K41,'6.GWP'!$B$1:$G$173,4,FALSE),IF('1.GHG Inventory Form'!$E$6="IPCC AR5 Report(2013)",VLOOKUP($K41,'6.GWP'!$B$1:$G$173,5,FALSE),IF('1.GHG Inventory Form'!$E$6="IPCC AR6 Report(2021)",VLOOKUP($K41,'6.GWP'!$B$2:$G$173,6,FALSE),0))))),0)),0)</f>
        <v>0</v>
      </c>
      <c r="AR41" s="366">
        <f>IFERROR(IF(AND(AC41="V",$I41="預設值"),IF('1.GHG Inventory Form'!$E$6="IPCC AR2 Report(1995)",VLOOKUP($J41,'6.GWP'!$B$1:$G$173,2,FALSE),IF('1.GHG Inventory Form'!$E$6="IPCC AR3 Report(2001)",VLOOKUP($J41,'6.GWP'!$B$1:$G$173,3,FALSE),IF('1.GHG Inventory Form'!$E$6="IPCC AR4 Report(2007)",VLOOKUP($J41,'6.GWP'!$B$1:$G$173,4,FALSE),IF('1.GHG Inventory Form'!$E$6="IPCC AR5 Report(2013)",VLOOKUP($J41,'6.GWP'!$B$1:$G$173,5,FALSE),IF('1.GHG Inventory Form'!$E$6="IPCC AR6 Report(2021)",VLOOKUP($J41,'6.GWP'!$B$2:$G$173,6,FALSE),0))))),IF(AND(AC41="V",$I41="自訂值"),IF('1.GHG Inventory Form'!$E$6="IPCC AR2 Report(1995)",VLOOKUP($K41,'6.GWP'!$B$1:$G$173,2,FALSE),IF('1.GHG Inventory Form'!$E$6="IPCC AR3 Report(2001)",VLOOKUP($K41,'6.GWP'!$B$1:$G$173,3,FALSE),IF('1.GHG Inventory Form'!$E$6="IPCC AR4 Report(2007)",VLOOKUP($K41,'6.GWP'!$B$1:$G$173,4,FALSE),IF('1.GHG Inventory Form'!$E$6="IPCC AR5 Report(2013)",VLOOKUP($K41,'6.GWP'!$B$1:$G$173,5,FALSE),IF('1.GHG Inventory Form'!$E$6="IPCC AR6 Report(2021)",VLOOKUP($K41,'6.GWP'!$B$2:$G$173,6,FALSE),0))))),0)),0)</f>
        <v>0</v>
      </c>
      <c r="AS41" s="366">
        <f>IF(AD41="V",IF('1.GHG Inventory Form'!$E$6="IPCC AR2 Report(1995)",'6.GWP'!$C$5,IF('1.GHG Inventory Form'!$E$6="IPCC AR3 Report(2001)",'6.GWP'!$D$5,IF('1.GHG Inventory Form'!$E$6="IPCC AR4 Report(2007)",'6.GWP'!$E$5,IF('1.GHG Inventory Form'!$E$6="IPCC AR5 Report(2013)",'6.GWP'!$F$5,IF('1.GHG Inventory Form'!$E$6="IPCC AR6 Report(2021)",'6.GWP'!$G$5,0))))),0)</f>
        <v>0</v>
      </c>
      <c r="AT41" s="392">
        <f>IF(AE41="V",IF('1.GHG Inventory Form'!$E$6="IPCC AR2 Report(1995)",'6.GWP'!$C$4,IF('1.GHG Inventory Form'!$E$6="IPCC AR3 Report(2001)",'6.GWP'!$D$4,IF('1.GHG Inventory Form'!$E$6="IPCC AR4 Report(2007)",'6.GWP'!$E$4,IF('1.GHG Inventory Form'!$E$6="IPCC AR5 Report(2013)",'6.GWP'!$F$4,IF('1.GHG Inventory Form'!$E$6="IPCC AR6 Report(2021)",'6.GWP'!$G$4,0))))),0)</f>
        <v>0</v>
      </c>
      <c r="AU41" s="334">
        <f t="shared" si="8"/>
        <v>0</v>
      </c>
      <c r="AV41" s="334">
        <f t="shared" si="9"/>
        <v>0</v>
      </c>
      <c r="AW41" s="334">
        <f t="shared" si="10"/>
        <v>0</v>
      </c>
      <c r="AX41" s="334">
        <f t="shared" si="11"/>
        <v>0</v>
      </c>
      <c r="AY41" s="334">
        <f t="shared" si="12"/>
        <v>0</v>
      </c>
      <c r="AZ41" s="334">
        <f t="shared" si="13"/>
        <v>0</v>
      </c>
      <c r="BA41" s="334">
        <f t="shared" si="14"/>
        <v>0</v>
      </c>
      <c r="BB41" s="393">
        <f t="shared" si="15"/>
        <v>0</v>
      </c>
      <c r="BC41" s="368">
        <f t="shared" si="16"/>
        <v>0</v>
      </c>
      <c r="BD41" s="369">
        <f t="shared" si="17"/>
        <v>0</v>
      </c>
      <c r="BI41" s="86" t="str">
        <f t="shared" si="18"/>
        <v/>
      </c>
      <c r="BJ41" s="86" t="str">
        <f t="shared" si="19"/>
        <v/>
      </c>
      <c r="BK41" s="86" t="str">
        <f t="shared" si="20"/>
        <v/>
      </c>
    </row>
    <row r="42" spans="1:63" customFormat="1" ht="18" customHeight="1" thickBot="1">
      <c r="B42" s="634"/>
      <c r="C42" s="697"/>
      <c r="D42" s="668"/>
      <c r="E42" s="699"/>
      <c r="F42" s="700"/>
      <c r="G42" s="387"/>
      <c r="H42" s="188"/>
      <c r="I42" s="354"/>
      <c r="J42" s="388"/>
      <c r="K42" s="187"/>
      <c r="L42" s="234"/>
      <c r="M42" s="326" t="str">
        <f>IFERROR(IF(I42="預設值Default",VLOOKUP($J42,'4.Default Emission Factor'!$D:$V,16,FALSE),"請填寫自訂活動數據單位Please fill in Custom Unit"),"請選擇預設排放係數名稱Please Choose Default Fuel or Greenhouse Gas")</f>
        <v>請填寫自訂活動數據單位Please fill in Custom Unit</v>
      </c>
      <c r="N42" s="236"/>
      <c r="O42" s="236"/>
      <c r="P42" s="24"/>
      <c r="Q42" s="24"/>
      <c r="R42" s="24"/>
      <c r="S42" s="24"/>
      <c r="T42" s="92"/>
      <c r="U42" s="92"/>
      <c r="V42" s="92"/>
      <c r="W42" s="93"/>
      <c r="X42" s="94"/>
      <c r="Y42" s="389" t="str">
        <f t="shared" si="0"/>
        <v/>
      </c>
      <c r="Z42" s="364" t="str">
        <f t="shared" si="1"/>
        <v/>
      </c>
      <c r="AA42" s="364" t="str">
        <f t="shared" si="2"/>
        <v/>
      </c>
      <c r="AB42" s="364" t="str">
        <f t="shared" si="3"/>
        <v/>
      </c>
      <c r="AC42" s="364" t="str">
        <f t="shared" si="4"/>
        <v/>
      </c>
      <c r="AD42" s="364" t="str">
        <f t="shared" si="5"/>
        <v/>
      </c>
      <c r="AE42" s="390" t="str">
        <f t="shared" si="6"/>
        <v/>
      </c>
      <c r="AF42" s="327">
        <f>IFERROR(IF($I42="預設值Default",ROUND(VLOOKUP($J42,'4.Default Emission Factor'!$D:$V,2,FALSE),10),IF($I42="自訂值Custom Value",P42,0)),0)</f>
        <v>0</v>
      </c>
      <c r="AG42" s="328">
        <f>IFERROR(IF($I42="預設值Default",ROUND(VLOOKUP($J42,'4.Default Emission Factor'!$D:$V,4,FALSE),10),IF($I42="自訂值Custom Value",Q42,0)),0)</f>
        <v>0</v>
      </c>
      <c r="AH42" s="328">
        <f>IFERROR(IF($I42="預設值Default",ROUND(VLOOKUP($J42,'4.Default Emission Factor'!$D:$V,6,FALSE),10),IF($I42="自訂值Custom Value",R42,0)),0)</f>
        <v>0</v>
      </c>
      <c r="AI42" s="328">
        <f>IFERROR(IF($I42="預設值Default",ROUND(VLOOKUP($J42,'4.Default Emission Factor'!$D:$V,8,FALSE),10),IF($I42="自訂值Custom Value",S42,0)),0)</f>
        <v>0</v>
      </c>
      <c r="AJ42" s="328">
        <f>IFERROR(IF($I42="預設值Default",ROUND(VLOOKUP($J42,'4.Default Emission Factor'!$D:$V,10,FALSE),10),IF($I42="自訂值Custom Value",T42,0)),0)</f>
        <v>0</v>
      </c>
      <c r="AK42" s="328">
        <f>IFERROR(IF($I42="預設值Default",ROUND(VLOOKUP($J42,'4.Default Emission Factor'!$D:$V,12,FALSE),10),IF($I42="自訂值Custom Value",U42,0)),0)</f>
        <v>0</v>
      </c>
      <c r="AL42" s="328">
        <f>IFERROR(IF($I42="預設值Default",ROUND(VLOOKUP($J42,'4.Default Emission Factor'!$D:$V,14,FALSE),10),IF($I42="自訂值Custom Value",V42,0)),0)</f>
        <v>0</v>
      </c>
      <c r="AM42" s="330" t="str">
        <f>IFERROR(IF(I42="預設值Default",VLOOKUP($J42,'4.Default Emission Factor'!$D:$V,17,FALSE),IF(I42="自訂值Custom Value",X42,"")),"")</f>
        <v/>
      </c>
      <c r="AN42" s="391">
        <f t="shared" si="7"/>
        <v>0</v>
      </c>
      <c r="AO42" s="366">
        <f>IF(Z42="V",IF('1.GHG Inventory Form'!$E$6="IPCC AR2 Report(1995)",'6.GWP'!$C$2,IF('1.GHG Inventory Form'!$E$6="IPCC AR3 Report(2001)",'6.GWP'!$D$2,IF('1.GHG Inventory Form'!$E$6="IPCC AR4 Report(2007)",'6.GWP'!$E$2,IF('1.GHG Inventory Form'!$E$6="IPCC AR5 Report(2013)",'6.GWP'!$F$2,IF('1.GHG Inventory Form'!$E$6="IPCC AR6 Report(2021)",'6.GWP'!$G$2,0))))),0)</f>
        <v>0</v>
      </c>
      <c r="AP42" s="366">
        <f>IF(AA42="V",IF('1.GHG Inventory Form'!$E$6="IPCC AR2 Report(1995)",'6.GWP'!$C$3,IF('1.GHG Inventory Form'!$E$6="IPCC AR3 Report(2001)",'6.GWP'!$D$3,IF('1.GHG Inventory Form'!$E$6="IPCC AR4 Report(2007)",'6.GWP'!$E$3,IF('1.GHG Inventory Form'!$E$6="IPCC AR5 Report(2013)",'6.GWP'!$F$3,IF('1.GHG Inventory Form'!$E$6="IPCC AR6 Report(2021)",'6.GWP'!$G$3,0))))),0)</f>
        <v>0</v>
      </c>
      <c r="AQ42" s="366">
        <f>IFERROR(IF(AND(AB42="V",$I42="預設值"),IF('1.GHG Inventory Form'!$E$6="IPCC AR2 Report(1995)",VLOOKUP($J42,'6.GWP'!$B$1:$G$173,2,FALSE),IF('1.GHG Inventory Form'!$E$6="IPCC AR3 Report(2001)",VLOOKUP($J42,'6.GWP'!$B$1:$G$173,3,FALSE),IF('1.GHG Inventory Form'!$E$6="IPCC AR4 Report(2007)",VLOOKUP($J42,'6.GWP'!$B$1:$G$173,4,FALSE),IF('1.GHG Inventory Form'!$E$6="IPCC AR5 Report(2013)",VLOOKUP($J42,'6.GWP'!$B$1:$G$173,5,FALSE),IF('1.GHG Inventory Form'!$E$6="IPCC AR6 Report(2021)",VLOOKUP($J42,'6.GWP'!$B$2:$G$173,6,FALSE),0))))),IF(AND(AB42="V",$I42="自訂值"),IF('1.GHG Inventory Form'!$E$6="IPCC AR2 Report(1995)",VLOOKUP($K42,'6.GWP'!$B$1:$G$173,2,FALSE),IF('1.GHG Inventory Form'!$E$6="IPCC AR3 Report(2001)",VLOOKUP($K42,'6.GWP'!$B$1:$G$173,3,FALSE),IF('1.GHG Inventory Form'!$E$6="IPCC AR4 Report(2007)",VLOOKUP($K42,'6.GWP'!$B$1:$G$173,4,FALSE),IF('1.GHG Inventory Form'!$E$6="IPCC AR5 Report(2013)",VLOOKUP($K42,'6.GWP'!$B$1:$G$173,5,FALSE),IF('1.GHG Inventory Form'!$E$6="IPCC AR6 Report(2021)",VLOOKUP($K42,'6.GWP'!$B$2:$G$173,6,FALSE),0))))),0)),0)</f>
        <v>0</v>
      </c>
      <c r="AR42" s="366">
        <f>IFERROR(IF(AND(AC42="V",$I42="預設值"),IF('1.GHG Inventory Form'!$E$6="IPCC AR2 Report(1995)",VLOOKUP($J42,'6.GWP'!$B$1:$G$173,2,FALSE),IF('1.GHG Inventory Form'!$E$6="IPCC AR3 Report(2001)",VLOOKUP($J42,'6.GWP'!$B$1:$G$173,3,FALSE),IF('1.GHG Inventory Form'!$E$6="IPCC AR4 Report(2007)",VLOOKUP($J42,'6.GWP'!$B$1:$G$173,4,FALSE),IF('1.GHG Inventory Form'!$E$6="IPCC AR5 Report(2013)",VLOOKUP($J42,'6.GWP'!$B$1:$G$173,5,FALSE),IF('1.GHG Inventory Form'!$E$6="IPCC AR6 Report(2021)",VLOOKUP($J42,'6.GWP'!$B$2:$G$173,6,FALSE),0))))),IF(AND(AC42="V",$I42="自訂值"),IF('1.GHG Inventory Form'!$E$6="IPCC AR2 Report(1995)",VLOOKUP($K42,'6.GWP'!$B$1:$G$173,2,FALSE),IF('1.GHG Inventory Form'!$E$6="IPCC AR3 Report(2001)",VLOOKUP($K42,'6.GWP'!$B$1:$G$173,3,FALSE),IF('1.GHG Inventory Form'!$E$6="IPCC AR4 Report(2007)",VLOOKUP($K42,'6.GWP'!$B$1:$G$173,4,FALSE),IF('1.GHG Inventory Form'!$E$6="IPCC AR5 Report(2013)",VLOOKUP($K42,'6.GWP'!$B$1:$G$173,5,FALSE),IF('1.GHG Inventory Form'!$E$6="IPCC AR6 Report(2021)",VLOOKUP($K42,'6.GWP'!$B$2:$G$173,6,FALSE),0))))),0)),0)</f>
        <v>0</v>
      </c>
      <c r="AS42" s="366">
        <f>IF(AD42="V",IF('1.GHG Inventory Form'!$E$6="IPCC AR2 Report(1995)",'6.GWP'!$C$5,IF('1.GHG Inventory Form'!$E$6="IPCC AR3 Report(2001)",'6.GWP'!$D$5,IF('1.GHG Inventory Form'!$E$6="IPCC AR4 Report(2007)",'6.GWP'!$E$5,IF('1.GHG Inventory Form'!$E$6="IPCC AR5 Report(2013)",'6.GWP'!$F$5,IF('1.GHG Inventory Form'!$E$6="IPCC AR6 Report(2021)",'6.GWP'!$G$5,0))))),0)</f>
        <v>0</v>
      </c>
      <c r="AT42" s="392">
        <f>IF(AE42="V",IF('1.GHG Inventory Form'!$E$6="IPCC AR2 Report(1995)",'6.GWP'!$C$4,IF('1.GHG Inventory Form'!$E$6="IPCC AR3 Report(2001)",'6.GWP'!$D$4,IF('1.GHG Inventory Form'!$E$6="IPCC AR4 Report(2007)",'6.GWP'!$E$4,IF('1.GHG Inventory Form'!$E$6="IPCC AR5 Report(2013)",'6.GWP'!$F$4,IF('1.GHG Inventory Form'!$E$6="IPCC AR6 Report(2021)",'6.GWP'!$G$4,0))))),0)</f>
        <v>0</v>
      </c>
      <c r="AU42" s="334">
        <f t="shared" si="8"/>
        <v>0</v>
      </c>
      <c r="AV42" s="334">
        <f t="shared" si="9"/>
        <v>0</v>
      </c>
      <c r="AW42" s="334">
        <f t="shared" si="10"/>
        <v>0</v>
      </c>
      <c r="AX42" s="334">
        <f t="shared" si="11"/>
        <v>0</v>
      </c>
      <c r="AY42" s="334">
        <f t="shared" si="12"/>
        <v>0</v>
      </c>
      <c r="AZ42" s="334">
        <f t="shared" si="13"/>
        <v>0</v>
      </c>
      <c r="BA42" s="334">
        <f t="shared" si="14"/>
        <v>0</v>
      </c>
      <c r="BB42" s="393">
        <f t="shared" si="15"/>
        <v>0</v>
      </c>
      <c r="BC42" s="368">
        <f t="shared" si="16"/>
        <v>0</v>
      </c>
      <c r="BD42" s="369">
        <f t="shared" si="17"/>
        <v>0</v>
      </c>
      <c r="BI42" s="86" t="str">
        <f t="shared" si="18"/>
        <v/>
      </c>
      <c r="BJ42" s="86" t="str">
        <f t="shared" si="19"/>
        <v/>
      </c>
      <c r="BK42" s="86" t="str">
        <f t="shared" si="20"/>
        <v/>
      </c>
    </row>
    <row r="43" spans="1:63" customFormat="1" ht="18" customHeight="1" thickBot="1">
      <c r="B43" s="634"/>
      <c r="C43" s="697"/>
      <c r="D43" s="668"/>
      <c r="E43" s="699"/>
      <c r="F43" s="700"/>
      <c r="G43" s="387"/>
      <c r="H43" s="188"/>
      <c r="I43" s="354"/>
      <c r="J43" s="388"/>
      <c r="K43" s="187"/>
      <c r="L43" s="234"/>
      <c r="M43" s="326" t="str">
        <f>IFERROR(IF(I43="預設值Default",VLOOKUP($J43,'4.Default Emission Factor'!$D:$V,16,FALSE),"請填寫自訂活動數據單位Please fill in Custom Unit"),"請選擇預設排放係數名稱Please Choose Default Fuel or Greenhouse Gas")</f>
        <v>請填寫自訂活動數據單位Please fill in Custom Unit</v>
      </c>
      <c r="N43" s="236"/>
      <c r="O43" s="236"/>
      <c r="P43" s="24"/>
      <c r="Q43" s="24"/>
      <c r="R43" s="24"/>
      <c r="S43" s="24"/>
      <c r="T43" s="92"/>
      <c r="U43" s="92"/>
      <c r="V43" s="92"/>
      <c r="W43" s="93"/>
      <c r="X43" s="94"/>
      <c r="Y43" s="389" t="str">
        <f t="shared" si="0"/>
        <v/>
      </c>
      <c r="Z43" s="364" t="str">
        <f t="shared" si="1"/>
        <v/>
      </c>
      <c r="AA43" s="364" t="str">
        <f t="shared" si="2"/>
        <v/>
      </c>
      <c r="AB43" s="364" t="str">
        <f t="shared" si="3"/>
        <v/>
      </c>
      <c r="AC43" s="364" t="str">
        <f t="shared" si="4"/>
        <v/>
      </c>
      <c r="AD43" s="364" t="str">
        <f t="shared" si="5"/>
        <v/>
      </c>
      <c r="AE43" s="390" t="str">
        <f t="shared" si="6"/>
        <v/>
      </c>
      <c r="AF43" s="327">
        <f>IFERROR(IF($I43="預設值Default",ROUND(VLOOKUP($J43,'4.Default Emission Factor'!$D:$V,2,FALSE),10),IF($I43="自訂值Custom Value",P43,0)),0)</f>
        <v>0</v>
      </c>
      <c r="AG43" s="328">
        <f>IFERROR(IF($I43="預設值Default",ROUND(VLOOKUP($J43,'4.Default Emission Factor'!$D:$V,4,FALSE),10),IF($I43="自訂值Custom Value",Q43,0)),0)</f>
        <v>0</v>
      </c>
      <c r="AH43" s="328">
        <f>IFERROR(IF($I43="預設值Default",ROUND(VLOOKUP($J43,'4.Default Emission Factor'!$D:$V,6,FALSE),10),IF($I43="自訂值Custom Value",R43,0)),0)</f>
        <v>0</v>
      </c>
      <c r="AI43" s="328">
        <f>IFERROR(IF($I43="預設值Default",ROUND(VLOOKUP($J43,'4.Default Emission Factor'!$D:$V,8,FALSE),10),IF($I43="自訂值Custom Value",S43,0)),0)</f>
        <v>0</v>
      </c>
      <c r="AJ43" s="328">
        <f>IFERROR(IF($I43="預設值Default",ROUND(VLOOKUP($J43,'4.Default Emission Factor'!$D:$V,10,FALSE),10),IF($I43="自訂值Custom Value",T43,0)),0)</f>
        <v>0</v>
      </c>
      <c r="AK43" s="328">
        <f>IFERROR(IF($I43="預設值Default",ROUND(VLOOKUP($J43,'4.Default Emission Factor'!$D:$V,12,FALSE),10),IF($I43="自訂值Custom Value",U43,0)),0)</f>
        <v>0</v>
      </c>
      <c r="AL43" s="328">
        <f>IFERROR(IF($I43="預設值Default",ROUND(VLOOKUP($J43,'4.Default Emission Factor'!$D:$V,14,FALSE),10),IF($I43="自訂值Custom Value",V43,0)),0)</f>
        <v>0</v>
      </c>
      <c r="AM43" s="330" t="str">
        <f>IFERROR(IF(I43="預設值Default",VLOOKUP($J43,'4.Default Emission Factor'!$D:$V,17,FALSE),IF(I43="自訂值Custom Value",X43,"")),"")</f>
        <v/>
      </c>
      <c r="AN43" s="391">
        <f t="shared" si="7"/>
        <v>0</v>
      </c>
      <c r="AO43" s="366">
        <f>IF(Z43="V",IF('1.GHG Inventory Form'!$E$6="IPCC AR2 Report(1995)",'6.GWP'!$C$2,IF('1.GHG Inventory Form'!$E$6="IPCC AR3 Report(2001)",'6.GWP'!$D$2,IF('1.GHG Inventory Form'!$E$6="IPCC AR4 Report(2007)",'6.GWP'!$E$2,IF('1.GHG Inventory Form'!$E$6="IPCC AR5 Report(2013)",'6.GWP'!$F$2,IF('1.GHG Inventory Form'!$E$6="IPCC AR6 Report(2021)",'6.GWP'!$G$2,0))))),0)</f>
        <v>0</v>
      </c>
      <c r="AP43" s="366">
        <f>IF(AA43="V",IF('1.GHG Inventory Form'!$E$6="IPCC AR2 Report(1995)",'6.GWP'!$C$3,IF('1.GHG Inventory Form'!$E$6="IPCC AR3 Report(2001)",'6.GWP'!$D$3,IF('1.GHG Inventory Form'!$E$6="IPCC AR4 Report(2007)",'6.GWP'!$E$3,IF('1.GHG Inventory Form'!$E$6="IPCC AR5 Report(2013)",'6.GWP'!$F$3,IF('1.GHG Inventory Form'!$E$6="IPCC AR6 Report(2021)",'6.GWP'!$G$3,0))))),0)</f>
        <v>0</v>
      </c>
      <c r="AQ43" s="366">
        <f>IFERROR(IF(AND(AB43="V",$I43="預設值"),IF('1.GHG Inventory Form'!$E$6="IPCC AR2 Report(1995)",VLOOKUP($J43,'6.GWP'!$B$1:$G$173,2,FALSE),IF('1.GHG Inventory Form'!$E$6="IPCC AR3 Report(2001)",VLOOKUP($J43,'6.GWP'!$B$1:$G$173,3,FALSE),IF('1.GHG Inventory Form'!$E$6="IPCC AR4 Report(2007)",VLOOKUP($J43,'6.GWP'!$B$1:$G$173,4,FALSE),IF('1.GHG Inventory Form'!$E$6="IPCC AR5 Report(2013)",VLOOKUP($J43,'6.GWP'!$B$1:$G$173,5,FALSE),IF('1.GHG Inventory Form'!$E$6="IPCC AR6 Report(2021)",VLOOKUP($J43,'6.GWP'!$B$2:$G$173,6,FALSE),0))))),IF(AND(AB43="V",$I43="自訂值"),IF('1.GHG Inventory Form'!$E$6="IPCC AR2 Report(1995)",VLOOKUP($K43,'6.GWP'!$B$1:$G$173,2,FALSE),IF('1.GHG Inventory Form'!$E$6="IPCC AR3 Report(2001)",VLOOKUP($K43,'6.GWP'!$B$1:$G$173,3,FALSE),IF('1.GHG Inventory Form'!$E$6="IPCC AR4 Report(2007)",VLOOKUP($K43,'6.GWP'!$B$1:$G$173,4,FALSE),IF('1.GHG Inventory Form'!$E$6="IPCC AR5 Report(2013)",VLOOKUP($K43,'6.GWP'!$B$1:$G$173,5,FALSE),IF('1.GHG Inventory Form'!$E$6="IPCC AR6 Report(2021)",VLOOKUP($K43,'6.GWP'!$B$2:$G$173,6,FALSE),0))))),0)),0)</f>
        <v>0</v>
      </c>
      <c r="AR43" s="366">
        <f>IFERROR(IF(AND(AC43="V",$I43="預設值"),IF('1.GHG Inventory Form'!$E$6="IPCC AR2 Report(1995)",VLOOKUP($J43,'6.GWP'!$B$1:$G$173,2,FALSE),IF('1.GHG Inventory Form'!$E$6="IPCC AR3 Report(2001)",VLOOKUP($J43,'6.GWP'!$B$1:$G$173,3,FALSE),IF('1.GHG Inventory Form'!$E$6="IPCC AR4 Report(2007)",VLOOKUP($J43,'6.GWP'!$B$1:$G$173,4,FALSE),IF('1.GHG Inventory Form'!$E$6="IPCC AR5 Report(2013)",VLOOKUP($J43,'6.GWP'!$B$1:$G$173,5,FALSE),IF('1.GHG Inventory Form'!$E$6="IPCC AR6 Report(2021)",VLOOKUP($J43,'6.GWP'!$B$2:$G$173,6,FALSE),0))))),IF(AND(AC43="V",$I43="自訂值"),IF('1.GHG Inventory Form'!$E$6="IPCC AR2 Report(1995)",VLOOKUP($K43,'6.GWP'!$B$1:$G$173,2,FALSE),IF('1.GHG Inventory Form'!$E$6="IPCC AR3 Report(2001)",VLOOKUP($K43,'6.GWP'!$B$1:$G$173,3,FALSE),IF('1.GHG Inventory Form'!$E$6="IPCC AR4 Report(2007)",VLOOKUP($K43,'6.GWP'!$B$1:$G$173,4,FALSE),IF('1.GHG Inventory Form'!$E$6="IPCC AR5 Report(2013)",VLOOKUP($K43,'6.GWP'!$B$1:$G$173,5,FALSE),IF('1.GHG Inventory Form'!$E$6="IPCC AR6 Report(2021)",VLOOKUP($K43,'6.GWP'!$B$2:$G$173,6,FALSE),0))))),0)),0)</f>
        <v>0</v>
      </c>
      <c r="AS43" s="366">
        <f>IF(AD43="V",IF('1.GHG Inventory Form'!$E$6="IPCC AR2 Report(1995)",'6.GWP'!$C$5,IF('1.GHG Inventory Form'!$E$6="IPCC AR3 Report(2001)",'6.GWP'!$D$5,IF('1.GHG Inventory Form'!$E$6="IPCC AR4 Report(2007)",'6.GWP'!$E$5,IF('1.GHG Inventory Form'!$E$6="IPCC AR5 Report(2013)",'6.GWP'!$F$5,IF('1.GHG Inventory Form'!$E$6="IPCC AR6 Report(2021)",'6.GWP'!$G$5,0))))),0)</f>
        <v>0</v>
      </c>
      <c r="AT43" s="392">
        <f>IF(AE43="V",IF('1.GHG Inventory Form'!$E$6="IPCC AR2 Report(1995)",'6.GWP'!$C$4,IF('1.GHG Inventory Form'!$E$6="IPCC AR3 Report(2001)",'6.GWP'!$D$4,IF('1.GHG Inventory Form'!$E$6="IPCC AR4 Report(2007)",'6.GWP'!$E$4,IF('1.GHG Inventory Form'!$E$6="IPCC AR5 Report(2013)",'6.GWP'!$F$4,IF('1.GHG Inventory Form'!$E$6="IPCC AR6 Report(2021)",'6.GWP'!$G$4,0))))),0)</f>
        <v>0</v>
      </c>
      <c r="AU43" s="334">
        <f t="shared" si="8"/>
        <v>0</v>
      </c>
      <c r="AV43" s="334">
        <f t="shared" si="9"/>
        <v>0</v>
      </c>
      <c r="AW43" s="334">
        <f t="shared" si="10"/>
        <v>0</v>
      </c>
      <c r="AX43" s="334">
        <f t="shared" si="11"/>
        <v>0</v>
      </c>
      <c r="AY43" s="334">
        <f t="shared" si="12"/>
        <v>0</v>
      </c>
      <c r="AZ43" s="334">
        <f t="shared" si="13"/>
        <v>0</v>
      </c>
      <c r="BA43" s="334">
        <f t="shared" si="14"/>
        <v>0</v>
      </c>
      <c r="BB43" s="393">
        <f t="shared" si="15"/>
        <v>0</v>
      </c>
      <c r="BC43" s="368">
        <f t="shared" si="16"/>
        <v>0</v>
      </c>
      <c r="BD43" s="369">
        <f t="shared" si="17"/>
        <v>0</v>
      </c>
      <c r="BI43" s="86" t="str">
        <f t="shared" si="18"/>
        <v/>
      </c>
      <c r="BJ43" s="86" t="str">
        <f t="shared" si="19"/>
        <v/>
      </c>
      <c r="BK43" s="86" t="str">
        <f t="shared" si="20"/>
        <v/>
      </c>
    </row>
    <row r="44" spans="1:63" customFormat="1" ht="18" customHeight="1" thickBot="1">
      <c r="B44" s="634"/>
      <c r="C44" s="697"/>
      <c r="D44" s="668"/>
      <c r="E44" s="699"/>
      <c r="F44" s="700"/>
      <c r="G44" s="387"/>
      <c r="H44" s="188"/>
      <c r="I44" s="354"/>
      <c r="J44" s="388"/>
      <c r="K44" s="187"/>
      <c r="L44" s="234"/>
      <c r="M44" s="326" t="str">
        <f>IFERROR(IF(I44="預設值Default",VLOOKUP($J44,'4.Default Emission Factor'!$D:$V,16,FALSE),"請填寫自訂活動數據單位Please fill in Custom Unit"),"請選擇預設排放係數名稱Please Choose Default Fuel or Greenhouse Gas")</f>
        <v>請填寫自訂活動數據單位Please fill in Custom Unit</v>
      </c>
      <c r="N44" s="236"/>
      <c r="O44" s="236"/>
      <c r="P44" s="24"/>
      <c r="Q44" s="24"/>
      <c r="R44" s="24"/>
      <c r="S44" s="24"/>
      <c r="T44" s="92"/>
      <c r="U44" s="92"/>
      <c r="V44" s="92"/>
      <c r="W44" s="93"/>
      <c r="X44" s="94"/>
      <c r="Y44" s="389" t="str">
        <f t="shared" si="0"/>
        <v/>
      </c>
      <c r="Z44" s="364" t="str">
        <f t="shared" si="1"/>
        <v/>
      </c>
      <c r="AA44" s="364" t="str">
        <f t="shared" si="2"/>
        <v/>
      </c>
      <c r="AB44" s="364" t="str">
        <f t="shared" si="3"/>
        <v/>
      </c>
      <c r="AC44" s="364" t="str">
        <f t="shared" si="4"/>
        <v/>
      </c>
      <c r="AD44" s="364" t="str">
        <f t="shared" si="5"/>
        <v/>
      </c>
      <c r="AE44" s="390" t="str">
        <f t="shared" si="6"/>
        <v/>
      </c>
      <c r="AF44" s="327">
        <f>IFERROR(IF($I44="預設值Default",ROUND(VLOOKUP($J44,'4.Default Emission Factor'!$D:$V,2,FALSE),10),IF($I44="自訂值Custom Value",P44,0)),0)</f>
        <v>0</v>
      </c>
      <c r="AG44" s="328">
        <f>IFERROR(IF($I44="預設值Default",ROUND(VLOOKUP($J44,'4.Default Emission Factor'!$D:$V,4,FALSE),10),IF($I44="自訂值Custom Value",Q44,0)),0)</f>
        <v>0</v>
      </c>
      <c r="AH44" s="328">
        <f>IFERROR(IF($I44="預設值Default",ROUND(VLOOKUP($J44,'4.Default Emission Factor'!$D:$V,6,FALSE),10),IF($I44="自訂值Custom Value",R44,0)),0)</f>
        <v>0</v>
      </c>
      <c r="AI44" s="328">
        <f>IFERROR(IF($I44="預設值Default",ROUND(VLOOKUP($J44,'4.Default Emission Factor'!$D:$V,8,FALSE),10),IF($I44="自訂值Custom Value",S44,0)),0)</f>
        <v>0</v>
      </c>
      <c r="AJ44" s="328">
        <f>IFERROR(IF($I44="預設值Default",ROUND(VLOOKUP($J44,'4.Default Emission Factor'!$D:$V,10,FALSE),10),IF($I44="自訂值Custom Value",T44,0)),0)</f>
        <v>0</v>
      </c>
      <c r="AK44" s="328">
        <f>IFERROR(IF($I44="預設值Default",ROUND(VLOOKUP($J44,'4.Default Emission Factor'!$D:$V,12,FALSE),10),IF($I44="自訂值Custom Value",U44,0)),0)</f>
        <v>0</v>
      </c>
      <c r="AL44" s="328">
        <f>IFERROR(IF($I44="預設值Default",ROUND(VLOOKUP($J44,'4.Default Emission Factor'!$D:$V,14,FALSE),10),IF($I44="自訂值Custom Value",V44,0)),0)</f>
        <v>0</v>
      </c>
      <c r="AM44" s="330" t="str">
        <f>IFERROR(IF(I44="預設值Default",VLOOKUP($J44,'4.Default Emission Factor'!$D:$V,17,FALSE),IF(I44="自訂值Custom Value",X44,"")),"")</f>
        <v/>
      </c>
      <c r="AN44" s="391">
        <f t="shared" si="7"/>
        <v>0</v>
      </c>
      <c r="AO44" s="366">
        <f>IF(Z44="V",IF('1.GHG Inventory Form'!$E$6="IPCC AR2 Report(1995)",'6.GWP'!$C$2,IF('1.GHG Inventory Form'!$E$6="IPCC AR3 Report(2001)",'6.GWP'!$D$2,IF('1.GHG Inventory Form'!$E$6="IPCC AR4 Report(2007)",'6.GWP'!$E$2,IF('1.GHG Inventory Form'!$E$6="IPCC AR5 Report(2013)",'6.GWP'!$F$2,IF('1.GHG Inventory Form'!$E$6="IPCC AR6 Report(2021)",'6.GWP'!$G$2,0))))),0)</f>
        <v>0</v>
      </c>
      <c r="AP44" s="366">
        <f>IF(AA44="V",IF('1.GHG Inventory Form'!$E$6="IPCC AR2 Report(1995)",'6.GWP'!$C$3,IF('1.GHG Inventory Form'!$E$6="IPCC AR3 Report(2001)",'6.GWP'!$D$3,IF('1.GHG Inventory Form'!$E$6="IPCC AR4 Report(2007)",'6.GWP'!$E$3,IF('1.GHG Inventory Form'!$E$6="IPCC AR5 Report(2013)",'6.GWP'!$F$3,IF('1.GHG Inventory Form'!$E$6="IPCC AR6 Report(2021)",'6.GWP'!$G$3,0))))),0)</f>
        <v>0</v>
      </c>
      <c r="AQ44" s="366">
        <f>IFERROR(IF(AND(AB44="V",$I44="預設值"),IF('1.GHG Inventory Form'!$E$6="IPCC AR2 Report(1995)",VLOOKUP($J44,'6.GWP'!$B$1:$G$173,2,FALSE),IF('1.GHG Inventory Form'!$E$6="IPCC AR3 Report(2001)",VLOOKUP($J44,'6.GWP'!$B$1:$G$173,3,FALSE),IF('1.GHG Inventory Form'!$E$6="IPCC AR4 Report(2007)",VLOOKUP($J44,'6.GWP'!$B$1:$G$173,4,FALSE),IF('1.GHG Inventory Form'!$E$6="IPCC AR5 Report(2013)",VLOOKUP($J44,'6.GWP'!$B$1:$G$173,5,FALSE),IF('1.GHG Inventory Form'!$E$6="IPCC AR6 Report(2021)",VLOOKUP($J44,'6.GWP'!$B$2:$G$173,6,FALSE),0))))),IF(AND(AB44="V",$I44="自訂值"),IF('1.GHG Inventory Form'!$E$6="IPCC AR2 Report(1995)",VLOOKUP($K44,'6.GWP'!$B$1:$G$173,2,FALSE),IF('1.GHG Inventory Form'!$E$6="IPCC AR3 Report(2001)",VLOOKUP($K44,'6.GWP'!$B$1:$G$173,3,FALSE),IF('1.GHG Inventory Form'!$E$6="IPCC AR4 Report(2007)",VLOOKUP($K44,'6.GWP'!$B$1:$G$173,4,FALSE),IF('1.GHG Inventory Form'!$E$6="IPCC AR5 Report(2013)",VLOOKUP($K44,'6.GWP'!$B$1:$G$173,5,FALSE),IF('1.GHG Inventory Form'!$E$6="IPCC AR6 Report(2021)",VLOOKUP($K44,'6.GWP'!$B$2:$G$173,6,FALSE),0))))),0)),0)</f>
        <v>0</v>
      </c>
      <c r="AR44" s="366">
        <f>IFERROR(IF(AND(AC44="V",$I44="預設值"),IF('1.GHG Inventory Form'!$E$6="IPCC AR2 Report(1995)",VLOOKUP($J44,'6.GWP'!$B$1:$G$173,2,FALSE),IF('1.GHG Inventory Form'!$E$6="IPCC AR3 Report(2001)",VLOOKUP($J44,'6.GWP'!$B$1:$G$173,3,FALSE),IF('1.GHG Inventory Form'!$E$6="IPCC AR4 Report(2007)",VLOOKUP($J44,'6.GWP'!$B$1:$G$173,4,FALSE),IF('1.GHG Inventory Form'!$E$6="IPCC AR5 Report(2013)",VLOOKUP($J44,'6.GWP'!$B$1:$G$173,5,FALSE),IF('1.GHG Inventory Form'!$E$6="IPCC AR6 Report(2021)",VLOOKUP($J44,'6.GWP'!$B$2:$G$173,6,FALSE),0))))),IF(AND(AC44="V",$I44="自訂值"),IF('1.GHG Inventory Form'!$E$6="IPCC AR2 Report(1995)",VLOOKUP($K44,'6.GWP'!$B$1:$G$173,2,FALSE),IF('1.GHG Inventory Form'!$E$6="IPCC AR3 Report(2001)",VLOOKUP($K44,'6.GWP'!$B$1:$G$173,3,FALSE),IF('1.GHG Inventory Form'!$E$6="IPCC AR4 Report(2007)",VLOOKUP($K44,'6.GWP'!$B$1:$G$173,4,FALSE),IF('1.GHG Inventory Form'!$E$6="IPCC AR5 Report(2013)",VLOOKUP($K44,'6.GWP'!$B$1:$G$173,5,FALSE),IF('1.GHG Inventory Form'!$E$6="IPCC AR6 Report(2021)",VLOOKUP($K44,'6.GWP'!$B$2:$G$173,6,FALSE),0))))),0)),0)</f>
        <v>0</v>
      </c>
      <c r="AS44" s="366">
        <f>IF(AD44="V",IF('1.GHG Inventory Form'!$E$6="IPCC AR2 Report(1995)",'6.GWP'!$C$5,IF('1.GHG Inventory Form'!$E$6="IPCC AR3 Report(2001)",'6.GWP'!$D$5,IF('1.GHG Inventory Form'!$E$6="IPCC AR4 Report(2007)",'6.GWP'!$E$5,IF('1.GHG Inventory Form'!$E$6="IPCC AR5 Report(2013)",'6.GWP'!$F$5,IF('1.GHG Inventory Form'!$E$6="IPCC AR6 Report(2021)",'6.GWP'!$G$5,0))))),0)</f>
        <v>0</v>
      </c>
      <c r="AT44" s="392">
        <f>IF(AE44="V",IF('1.GHG Inventory Form'!$E$6="IPCC AR2 Report(1995)",'6.GWP'!$C$4,IF('1.GHG Inventory Form'!$E$6="IPCC AR3 Report(2001)",'6.GWP'!$D$4,IF('1.GHG Inventory Form'!$E$6="IPCC AR4 Report(2007)",'6.GWP'!$E$4,IF('1.GHG Inventory Form'!$E$6="IPCC AR5 Report(2013)",'6.GWP'!$F$4,IF('1.GHG Inventory Form'!$E$6="IPCC AR6 Report(2021)",'6.GWP'!$G$4,0))))),0)</f>
        <v>0</v>
      </c>
      <c r="AU44" s="334">
        <f t="shared" si="8"/>
        <v>0</v>
      </c>
      <c r="AV44" s="334">
        <f t="shared" si="9"/>
        <v>0</v>
      </c>
      <c r="AW44" s="334">
        <f t="shared" si="10"/>
        <v>0</v>
      </c>
      <c r="AX44" s="334">
        <f t="shared" si="11"/>
        <v>0</v>
      </c>
      <c r="AY44" s="334">
        <f t="shared" si="12"/>
        <v>0</v>
      </c>
      <c r="AZ44" s="334">
        <f t="shared" si="13"/>
        <v>0</v>
      </c>
      <c r="BA44" s="334">
        <f t="shared" si="14"/>
        <v>0</v>
      </c>
      <c r="BB44" s="393">
        <f t="shared" si="15"/>
        <v>0</v>
      </c>
      <c r="BC44" s="368">
        <f t="shared" si="16"/>
        <v>0</v>
      </c>
      <c r="BD44" s="369">
        <f t="shared" si="17"/>
        <v>0</v>
      </c>
      <c r="BI44" s="86" t="str">
        <f t="shared" si="18"/>
        <v/>
      </c>
      <c r="BJ44" s="86" t="str">
        <f t="shared" si="19"/>
        <v/>
      </c>
      <c r="BK44" s="86" t="str">
        <f t="shared" si="20"/>
        <v/>
      </c>
    </row>
    <row r="45" spans="1:63" customFormat="1" ht="18" customHeight="1" thickBot="1">
      <c r="B45" s="634"/>
      <c r="C45" s="697"/>
      <c r="D45" s="668"/>
      <c r="E45" s="699"/>
      <c r="F45" s="700"/>
      <c r="G45" s="387"/>
      <c r="H45" s="188"/>
      <c r="I45" s="354"/>
      <c r="J45" s="388"/>
      <c r="K45" s="187"/>
      <c r="L45" s="234"/>
      <c r="M45" s="326" t="str">
        <f>IFERROR(IF(I45="預設值Default",VLOOKUP($J45,'4.Default Emission Factor'!$D:$V,16,FALSE),"請填寫自訂活動數據單位Please fill in Custom Unit"),"請選擇預設排放係數名稱Please Choose Default Fuel or Greenhouse Gas")</f>
        <v>請填寫自訂活動數據單位Please fill in Custom Unit</v>
      </c>
      <c r="N45" s="236"/>
      <c r="O45" s="236"/>
      <c r="P45" s="24"/>
      <c r="Q45" s="24"/>
      <c r="R45" s="24"/>
      <c r="S45" s="24"/>
      <c r="T45" s="92"/>
      <c r="U45" s="92"/>
      <c r="V45" s="92"/>
      <c r="W45" s="93"/>
      <c r="X45" s="94"/>
      <c r="Y45" s="389" t="str">
        <f t="shared" si="0"/>
        <v/>
      </c>
      <c r="Z45" s="364" t="str">
        <f t="shared" si="1"/>
        <v/>
      </c>
      <c r="AA45" s="364" t="str">
        <f t="shared" si="2"/>
        <v/>
      </c>
      <c r="AB45" s="364" t="str">
        <f t="shared" si="3"/>
        <v/>
      </c>
      <c r="AC45" s="364" t="str">
        <f t="shared" si="4"/>
        <v/>
      </c>
      <c r="AD45" s="364" t="str">
        <f t="shared" si="5"/>
        <v/>
      </c>
      <c r="AE45" s="390" t="str">
        <f t="shared" si="6"/>
        <v/>
      </c>
      <c r="AF45" s="327">
        <f>IFERROR(IF($I45="預設值Default",ROUND(VLOOKUP($J45,'4.Default Emission Factor'!$D:$V,2,FALSE),10),IF($I45="自訂值Custom Value",P45,0)),0)</f>
        <v>0</v>
      </c>
      <c r="AG45" s="328">
        <f>IFERROR(IF($I45="預設值Default",ROUND(VLOOKUP($J45,'4.Default Emission Factor'!$D:$V,4,FALSE),10),IF($I45="自訂值Custom Value",Q45,0)),0)</f>
        <v>0</v>
      </c>
      <c r="AH45" s="328">
        <f>IFERROR(IF($I45="預設值Default",ROUND(VLOOKUP($J45,'4.Default Emission Factor'!$D:$V,6,FALSE),10),IF($I45="自訂值Custom Value",R45,0)),0)</f>
        <v>0</v>
      </c>
      <c r="AI45" s="328">
        <f>IFERROR(IF($I45="預設值Default",ROUND(VLOOKUP($J45,'4.Default Emission Factor'!$D:$V,8,FALSE),10),IF($I45="自訂值Custom Value",S45,0)),0)</f>
        <v>0</v>
      </c>
      <c r="AJ45" s="328">
        <f>IFERROR(IF($I45="預設值Default",ROUND(VLOOKUP($J45,'4.Default Emission Factor'!$D:$V,10,FALSE),10),IF($I45="自訂值Custom Value",T45,0)),0)</f>
        <v>0</v>
      </c>
      <c r="AK45" s="328">
        <f>IFERROR(IF($I45="預設值Default",ROUND(VLOOKUP($J45,'4.Default Emission Factor'!$D:$V,12,FALSE),10),IF($I45="自訂值Custom Value",U45,0)),0)</f>
        <v>0</v>
      </c>
      <c r="AL45" s="328">
        <f>IFERROR(IF($I45="預設值Default",ROUND(VLOOKUP($J45,'4.Default Emission Factor'!$D:$V,14,FALSE),10),IF($I45="自訂值Custom Value",V45,0)),0)</f>
        <v>0</v>
      </c>
      <c r="AM45" s="330" t="str">
        <f>IFERROR(IF(I45="預設值Default",VLOOKUP($J45,'4.Default Emission Factor'!$D:$V,17,FALSE),IF(I45="自訂值Custom Value",X45,"")),"")</f>
        <v/>
      </c>
      <c r="AN45" s="391">
        <f t="shared" si="7"/>
        <v>0</v>
      </c>
      <c r="AO45" s="366">
        <f>IF(Z45="V",IF('1.GHG Inventory Form'!$E$6="IPCC AR2 Report(1995)",'6.GWP'!$C$2,IF('1.GHG Inventory Form'!$E$6="IPCC AR3 Report(2001)",'6.GWP'!$D$2,IF('1.GHG Inventory Form'!$E$6="IPCC AR4 Report(2007)",'6.GWP'!$E$2,IF('1.GHG Inventory Form'!$E$6="IPCC AR5 Report(2013)",'6.GWP'!$F$2,IF('1.GHG Inventory Form'!$E$6="IPCC AR6 Report(2021)",'6.GWP'!$G$2,0))))),0)</f>
        <v>0</v>
      </c>
      <c r="AP45" s="366">
        <f>IF(AA45="V",IF('1.GHG Inventory Form'!$E$6="IPCC AR2 Report(1995)",'6.GWP'!$C$3,IF('1.GHG Inventory Form'!$E$6="IPCC AR3 Report(2001)",'6.GWP'!$D$3,IF('1.GHG Inventory Form'!$E$6="IPCC AR4 Report(2007)",'6.GWP'!$E$3,IF('1.GHG Inventory Form'!$E$6="IPCC AR5 Report(2013)",'6.GWP'!$F$3,IF('1.GHG Inventory Form'!$E$6="IPCC AR6 Report(2021)",'6.GWP'!$G$3,0))))),0)</f>
        <v>0</v>
      </c>
      <c r="AQ45" s="366">
        <f>IFERROR(IF(AND(AB45="V",$I45="預設值"),IF('1.GHG Inventory Form'!$E$6="IPCC AR2 Report(1995)",VLOOKUP($J45,'6.GWP'!$B$1:$G$173,2,FALSE),IF('1.GHG Inventory Form'!$E$6="IPCC AR3 Report(2001)",VLOOKUP($J45,'6.GWP'!$B$1:$G$173,3,FALSE),IF('1.GHG Inventory Form'!$E$6="IPCC AR4 Report(2007)",VLOOKUP($J45,'6.GWP'!$B$1:$G$173,4,FALSE),IF('1.GHG Inventory Form'!$E$6="IPCC AR5 Report(2013)",VLOOKUP($J45,'6.GWP'!$B$1:$G$173,5,FALSE),IF('1.GHG Inventory Form'!$E$6="IPCC AR6 Report(2021)",VLOOKUP($J45,'6.GWP'!$B$2:$G$173,6,FALSE),0))))),IF(AND(AB45="V",$I45="自訂值"),IF('1.GHG Inventory Form'!$E$6="IPCC AR2 Report(1995)",VLOOKUP($K45,'6.GWP'!$B$1:$G$173,2,FALSE),IF('1.GHG Inventory Form'!$E$6="IPCC AR3 Report(2001)",VLOOKUP($K45,'6.GWP'!$B$1:$G$173,3,FALSE),IF('1.GHG Inventory Form'!$E$6="IPCC AR4 Report(2007)",VLOOKUP($K45,'6.GWP'!$B$1:$G$173,4,FALSE),IF('1.GHG Inventory Form'!$E$6="IPCC AR5 Report(2013)",VLOOKUP($K45,'6.GWP'!$B$1:$G$173,5,FALSE),IF('1.GHG Inventory Form'!$E$6="IPCC AR6 Report(2021)",VLOOKUP($K45,'6.GWP'!$B$2:$G$173,6,FALSE),0))))),0)),0)</f>
        <v>0</v>
      </c>
      <c r="AR45" s="366">
        <f>IFERROR(IF(AND(AC45="V",$I45="預設值"),IF('1.GHG Inventory Form'!$E$6="IPCC AR2 Report(1995)",VLOOKUP($J45,'6.GWP'!$B$1:$G$173,2,FALSE),IF('1.GHG Inventory Form'!$E$6="IPCC AR3 Report(2001)",VLOOKUP($J45,'6.GWP'!$B$1:$G$173,3,FALSE),IF('1.GHG Inventory Form'!$E$6="IPCC AR4 Report(2007)",VLOOKUP($J45,'6.GWP'!$B$1:$G$173,4,FALSE),IF('1.GHG Inventory Form'!$E$6="IPCC AR5 Report(2013)",VLOOKUP($J45,'6.GWP'!$B$1:$G$173,5,FALSE),IF('1.GHG Inventory Form'!$E$6="IPCC AR6 Report(2021)",VLOOKUP($J45,'6.GWP'!$B$2:$G$173,6,FALSE),0))))),IF(AND(AC45="V",$I45="自訂值"),IF('1.GHG Inventory Form'!$E$6="IPCC AR2 Report(1995)",VLOOKUP($K45,'6.GWP'!$B$1:$G$173,2,FALSE),IF('1.GHG Inventory Form'!$E$6="IPCC AR3 Report(2001)",VLOOKUP($K45,'6.GWP'!$B$1:$G$173,3,FALSE),IF('1.GHG Inventory Form'!$E$6="IPCC AR4 Report(2007)",VLOOKUP($K45,'6.GWP'!$B$1:$G$173,4,FALSE),IF('1.GHG Inventory Form'!$E$6="IPCC AR5 Report(2013)",VLOOKUP($K45,'6.GWP'!$B$1:$G$173,5,FALSE),IF('1.GHG Inventory Form'!$E$6="IPCC AR6 Report(2021)",VLOOKUP($K45,'6.GWP'!$B$2:$G$173,6,FALSE),0))))),0)),0)</f>
        <v>0</v>
      </c>
      <c r="AS45" s="366">
        <f>IF(AD45="V",IF('1.GHG Inventory Form'!$E$6="IPCC AR2 Report(1995)",'6.GWP'!$C$5,IF('1.GHG Inventory Form'!$E$6="IPCC AR3 Report(2001)",'6.GWP'!$D$5,IF('1.GHG Inventory Form'!$E$6="IPCC AR4 Report(2007)",'6.GWP'!$E$5,IF('1.GHG Inventory Form'!$E$6="IPCC AR5 Report(2013)",'6.GWP'!$F$5,IF('1.GHG Inventory Form'!$E$6="IPCC AR6 Report(2021)",'6.GWP'!$G$5,0))))),0)</f>
        <v>0</v>
      </c>
      <c r="AT45" s="392">
        <f>IF(AE45="V",IF('1.GHG Inventory Form'!$E$6="IPCC AR2 Report(1995)",'6.GWP'!$C$4,IF('1.GHG Inventory Form'!$E$6="IPCC AR3 Report(2001)",'6.GWP'!$D$4,IF('1.GHG Inventory Form'!$E$6="IPCC AR4 Report(2007)",'6.GWP'!$E$4,IF('1.GHG Inventory Form'!$E$6="IPCC AR5 Report(2013)",'6.GWP'!$F$4,IF('1.GHG Inventory Form'!$E$6="IPCC AR6 Report(2021)",'6.GWP'!$G$4,0))))),0)</f>
        <v>0</v>
      </c>
      <c r="AU45" s="334">
        <f t="shared" si="8"/>
        <v>0</v>
      </c>
      <c r="AV45" s="334">
        <f t="shared" si="9"/>
        <v>0</v>
      </c>
      <c r="AW45" s="334">
        <f t="shared" si="10"/>
        <v>0</v>
      </c>
      <c r="AX45" s="334">
        <f t="shared" si="11"/>
        <v>0</v>
      </c>
      <c r="AY45" s="334">
        <f t="shared" si="12"/>
        <v>0</v>
      </c>
      <c r="AZ45" s="334">
        <f t="shared" si="13"/>
        <v>0</v>
      </c>
      <c r="BA45" s="334">
        <f t="shared" si="14"/>
        <v>0</v>
      </c>
      <c r="BB45" s="393">
        <f t="shared" si="15"/>
        <v>0</v>
      </c>
      <c r="BC45" s="368">
        <f t="shared" si="16"/>
        <v>0</v>
      </c>
      <c r="BD45" s="369">
        <f t="shared" si="17"/>
        <v>0</v>
      </c>
      <c r="BI45" s="86" t="str">
        <f t="shared" si="18"/>
        <v/>
      </c>
      <c r="BJ45" s="86" t="str">
        <f t="shared" si="19"/>
        <v/>
      </c>
      <c r="BK45" s="86" t="str">
        <f t="shared" si="20"/>
        <v/>
      </c>
    </row>
    <row r="46" spans="1:63" customFormat="1" ht="18" customHeight="1" thickBot="1">
      <c r="B46" s="634"/>
      <c r="C46" s="697"/>
      <c r="D46" s="668"/>
      <c r="E46" s="699"/>
      <c r="F46" s="700"/>
      <c r="G46" s="387"/>
      <c r="H46" s="188"/>
      <c r="I46" s="354"/>
      <c r="J46" s="388"/>
      <c r="K46" s="187"/>
      <c r="L46" s="234"/>
      <c r="M46" s="326" t="str">
        <f>IFERROR(IF(I46="預設值Default",VLOOKUP($J46,'4.Default Emission Factor'!$D:$V,16,FALSE),"請填寫自訂活動數據單位Please fill in Custom Unit"),"請選擇預設排放係數名稱Please Choose Default Fuel or Greenhouse Gas")</f>
        <v>請填寫自訂活動數據單位Please fill in Custom Unit</v>
      </c>
      <c r="N46" s="236"/>
      <c r="O46" s="236"/>
      <c r="P46" s="24"/>
      <c r="Q46" s="24"/>
      <c r="R46" s="24"/>
      <c r="S46" s="24"/>
      <c r="T46" s="92"/>
      <c r="U46" s="92"/>
      <c r="V46" s="92"/>
      <c r="W46" s="93"/>
      <c r="X46" s="94"/>
      <c r="Y46" s="389" t="str">
        <f t="shared" si="0"/>
        <v/>
      </c>
      <c r="Z46" s="364" t="str">
        <f t="shared" si="1"/>
        <v/>
      </c>
      <c r="AA46" s="364" t="str">
        <f t="shared" si="2"/>
        <v/>
      </c>
      <c r="AB46" s="364" t="str">
        <f t="shared" si="3"/>
        <v/>
      </c>
      <c r="AC46" s="364" t="str">
        <f t="shared" si="4"/>
        <v/>
      </c>
      <c r="AD46" s="364" t="str">
        <f t="shared" si="5"/>
        <v/>
      </c>
      <c r="AE46" s="390" t="str">
        <f t="shared" si="6"/>
        <v/>
      </c>
      <c r="AF46" s="327">
        <f>IFERROR(IF($I46="預設值Default",ROUND(VLOOKUP($J46,'4.Default Emission Factor'!$D:$V,2,FALSE),10),IF($I46="自訂值Custom Value",P46,0)),0)</f>
        <v>0</v>
      </c>
      <c r="AG46" s="328">
        <f>IFERROR(IF($I46="預設值Default",ROUND(VLOOKUP($J46,'4.Default Emission Factor'!$D:$V,4,FALSE),10),IF($I46="自訂值Custom Value",Q46,0)),0)</f>
        <v>0</v>
      </c>
      <c r="AH46" s="328">
        <f>IFERROR(IF($I46="預設值Default",ROUND(VLOOKUP($J46,'4.Default Emission Factor'!$D:$V,6,FALSE),10),IF($I46="自訂值Custom Value",R46,0)),0)</f>
        <v>0</v>
      </c>
      <c r="AI46" s="328">
        <f>IFERROR(IF($I46="預設值Default",ROUND(VLOOKUP($J46,'4.Default Emission Factor'!$D:$V,8,FALSE),10),IF($I46="自訂值Custom Value",S46,0)),0)</f>
        <v>0</v>
      </c>
      <c r="AJ46" s="328">
        <f>IFERROR(IF($I46="預設值Default",ROUND(VLOOKUP($J46,'4.Default Emission Factor'!$D:$V,10,FALSE),10),IF($I46="自訂值Custom Value",T46,0)),0)</f>
        <v>0</v>
      </c>
      <c r="AK46" s="328">
        <f>IFERROR(IF($I46="預設值Default",ROUND(VLOOKUP($J46,'4.Default Emission Factor'!$D:$V,12,FALSE),10),IF($I46="自訂值Custom Value",U46,0)),0)</f>
        <v>0</v>
      </c>
      <c r="AL46" s="328">
        <f>IFERROR(IF($I46="預設值Default",ROUND(VLOOKUP($J46,'4.Default Emission Factor'!$D:$V,14,FALSE),10),IF($I46="自訂值Custom Value",V46,0)),0)</f>
        <v>0</v>
      </c>
      <c r="AM46" s="330" t="str">
        <f>IFERROR(IF(I46="預設值Default",VLOOKUP($J46,'4.Default Emission Factor'!$D:$V,17,FALSE),IF(I46="自訂值Custom Value",X46,"")),"")</f>
        <v/>
      </c>
      <c r="AN46" s="391">
        <f t="shared" si="7"/>
        <v>0</v>
      </c>
      <c r="AO46" s="366">
        <f>IF(Z46="V",IF('1.GHG Inventory Form'!$E$6="IPCC AR2 Report(1995)",'6.GWP'!$C$2,IF('1.GHG Inventory Form'!$E$6="IPCC AR3 Report(2001)",'6.GWP'!$D$2,IF('1.GHG Inventory Form'!$E$6="IPCC AR4 Report(2007)",'6.GWP'!$E$2,IF('1.GHG Inventory Form'!$E$6="IPCC AR5 Report(2013)",'6.GWP'!$F$2,IF('1.GHG Inventory Form'!$E$6="IPCC AR6 Report(2021)",'6.GWP'!$G$2,0))))),0)</f>
        <v>0</v>
      </c>
      <c r="AP46" s="366">
        <f>IF(AA46="V",IF('1.GHG Inventory Form'!$E$6="IPCC AR2 Report(1995)",'6.GWP'!$C$3,IF('1.GHG Inventory Form'!$E$6="IPCC AR3 Report(2001)",'6.GWP'!$D$3,IF('1.GHG Inventory Form'!$E$6="IPCC AR4 Report(2007)",'6.GWP'!$E$3,IF('1.GHG Inventory Form'!$E$6="IPCC AR5 Report(2013)",'6.GWP'!$F$3,IF('1.GHG Inventory Form'!$E$6="IPCC AR6 Report(2021)",'6.GWP'!$G$3,0))))),0)</f>
        <v>0</v>
      </c>
      <c r="AQ46" s="366">
        <f>IFERROR(IF(AND(AB46="V",$I46="預設值"),IF('1.GHG Inventory Form'!$E$6="IPCC AR2 Report(1995)",VLOOKUP($J46,'6.GWP'!$B$1:$G$173,2,FALSE),IF('1.GHG Inventory Form'!$E$6="IPCC AR3 Report(2001)",VLOOKUP($J46,'6.GWP'!$B$1:$G$173,3,FALSE),IF('1.GHG Inventory Form'!$E$6="IPCC AR4 Report(2007)",VLOOKUP($J46,'6.GWP'!$B$1:$G$173,4,FALSE),IF('1.GHG Inventory Form'!$E$6="IPCC AR5 Report(2013)",VLOOKUP($J46,'6.GWP'!$B$1:$G$173,5,FALSE),IF('1.GHG Inventory Form'!$E$6="IPCC AR6 Report(2021)",VLOOKUP($J46,'6.GWP'!$B$2:$G$173,6,FALSE),0))))),IF(AND(AB46="V",$I46="自訂值"),IF('1.GHG Inventory Form'!$E$6="IPCC AR2 Report(1995)",VLOOKUP($K46,'6.GWP'!$B$1:$G$173,2,FALSE),IF('1.GHG Inventory Form'!$E$6="IPCC AR3 Report(2001)",VLOOKUP($K46,'6.GWP'!$B$1:$G$173,3,FALSE),IF('1.GHG Inventory Form'!$E$6="IPCC AR4 Report(2007)",VLOOKUP($K46,'6.GWP'!$B$1:$G$173,4,FALSE),IF('1.GHG Inventory Form'!$E$6="IPCC AR5 Report(2013)",VLOOKUP($K46,'6.GWP'!$B$1:$G$173,5,FALSE),IF('1.GHG Inventory Form'!$E$6="IPCC AR6 Report(2021)",VLOOKUP($K46,'6.GWP'!$B$2:$G$173,6,FALSE),0))))),0)),0)</f>
        <v>0</v>
      </c>
      <c r="AR46" s="366">
        <f>IFERROR(IF(AND(AC46="V",$I46="預設值"),IF('1.GHG Inventory Form'!$E$6="IPCC AR2 Report(1995)",VLOOKUP($J46,'6.GWP'!$B$1:$G$173,2,FALSE),IF('1.GHG Inventory Form'!$E$6="IPCC AR3 Report(2001)",VLOOKUP($J46,'6.GWP'!$B$1:$G$173,3,FALSE),IF('1.GHG Inventory Form'!$E$6="IPCC AR4 Report(2007)",VLOOKUP($J46,'6.GWP'!$B$1:$G$173,4,FALSE),IF('1.GHG Inventory Form'!$E$6="IPCC AR5 Report(2013)",VLOOKUP($J46,'6.GWP'!$B$1:$G$173,5,FALSE),IF('1.GHG Inventory Form'!$E$6="IPCC AR6 Report(2021)",VLOOKUP($J46,'6.GWP'!$B$2:$G$173,6,FALSE),0))))),IF(AND(AC46="V",$I46="自訂值"),IF('1.GHG Inventory Form'!$E$6="IPCC AR2 Report(1995)",VLOOKUP($K46,'6.GWP'!$B$1:$G$173,2,FALSE),IF('1.GHG Inventory Form'!$E$6="IPCC AR3 Report(2001)",VLOOKUP($K46,'6.GWP'!$B$1:$G$173,3,FALSE),IF('1.GHG Inventory Form'!$E$6="IPCC AR4 Report(2007)",VLOOKUP($K46,'6.GWP'!$B$1:$G$173,4,FALSE),IF('1.GHG Inventory Form'!$E$6="IPCC AR5 Report(2013)",VLOOKUP($K46,'6.GWP'!$B$1:$G$173,5,FALSE),IF('1.GHG Inventory Form'!$E$6="IPCC AR6 Report(2021)",VLOOKUP($K46,'6.GWP'!$B$2:$G$173,6,FALSE),0))))),0)),0)</f>
        <v>0</v>
      </c>
      <c r="AS46" s="366">
        <f>IF(AD46="V",IF('1.GHG Inventory Form'!$E$6="IPCC AR2 Report(1995)",'6.GWP'!$C$5,IF('1.GHG Inventory Form'!$E$6="IPCC AR3 Report(2001)",'6.GWP'!$D$5,IF('1.GHG Inventory Form'!$E$6="IPCC AR4 Report(2007)",'6.GWP'!$E$5,IF('1.GHG Inventory Form'!$E$6="IPCC AR5 Report(2013)",'6.GWP'!$F$5,IF('1.GHG Inventory Form'!$E$6="IPCC AR6 Report(2021)",'6.GWP'!$G$5,0))))),0)</f>
        <v>0</v>
      </c>
      <c r="AT46" s="392">
        <f>IF(AE46="V",IF('1.GHG Inventory Form'!$E$6="IPCC AR2 Report(1995)",'6.GWP'!$C$4,IF('1.GHG Inventory Form'!$E$6="IPCC AR3 Report(2001)",'6.GWP'!$D$4,IF('1.GHG Inventory Form'!$E$6="IPCC AR4 Report(2007)",'6.GWP'!$E$4,IF('1.GHG Inventory Form'!$E$6="IPCC AR5 Report(2013)",'6.GWP'!$F$4,IF('1.GHG Inventory Form'!$E$6="IPCC AR6 Report(2021)",'6.GWP'!$G$4,0))))),0)</f>
        <v>0</v>
      </c>
      <c r="AU46" s="334">
        <f t="shared" si="8"/>
        <v>0</v>
      </c>
      <c r="AV46" s="334">
        <f t="shared" si="9"/>
        <v>0</v>
      </c>
      <c r="AW46" s="334">
        <f t="shared" si="10"/>
        <v>0</v>
      </c>
      <c r="AX46" s="334">
        <f t="shared" si="11"/>
        <v>0</v>
      </c>
      <c r="AY46" s="334">
        <f t="shared" si="12"/>
        <v>0</v>
      </c>
      <c r="AZ46" s="334">
        <f t="shared" si="13"/>
        <v>0</v>
      </c>
      <c r="BA46" s="334">
        <f t="shared" si="14"/>
        <v>0</v>
      </c>
      <c r="BB46" s="393">
        <f t="shared" si="15"/>
        <v>0</v>
      </c>
      <c r="BC46" s="368">
        <f t="shared" si="16"/>
        <v>0</v>
      </c>
      <c r="BD46" s="369">
        <f t="shared" si="17"/>
        <v>0</v>
      </c>
      <c r="BI46" s="86" t="str">
        <f t="shared" si="18"/>
        <v/>
      </c>
      <c r="BJ46" s="86" t="str">
        <f t="shared" si="19"/>
        <v/>
      </c>
      <c r="BK46" s="86" t="str">
        <f t="shared" si="20"/>
        <v/>
      </c>
    </row>
    <row r="47" spans="1:63" customFormat="1" ht="18" customHeight="1">
      <c r="B47" s="634"/>
      <c r="C47" s="697"/>
      <c r="D47" s="668"/>
      <c r="E47" s="699"/>
      <c r="F47" s="700"/>
      <c r="G47" s="387"/>
      <c r="H47" s="188"/>
      <c r="I47" s="354"/>
      <c r="J47" s="388"/>
      <c r="K47" s="187"/>
      <c r="L47" s="234"/>
      <c r="M47" s="326" t="str">
        <f>IFERROR(IF(I47="預設值Default",VLOOKUP($J47,'4.Default Emission Factor'!$D:$V,16,FALSE),"請填寫自訂活動數據單位Please fill in Custom Unit"),"請選擇預設排放係數名稱Please Choose Default Fuel or Greenhouse Gas")</f>
        <v>請填寫自訂活動數據單位Please fill in Custom Unit</v>
      </c>
      <c r="N47" s="236"/>
      <c r="O47" s="236"/>
      <c r="P47" s="24"/>
      <c r="Q47" s="24"/>
      <c r="R47" s="24"/>
      <c r="S47" s="24"/>
      <c r="T47" s="92"/>
      <c r="U47" s="92"/>
      <c r="V47" s="92"/>
      <c r="W47" s="93"/>
      <c r="X47" s="94"/>
      <c r="Y47" s="389" t="str">
        <f t="shared" si="0"/>
        <v/>
      </c>
      <c r="Z47" s="364" t="str">
        <f t="shared" si="1"/>
        <v/>
      </c>
      <c r="AA47" s="364" t="str">
        <f t="shared" si="2"/>
        <v/>
      </c>
      <c r="AB47" s="364" t="str">
        <f t="shared" si="3"/>
        <v/>
      </c>
      <c r="AC47" s="364" t="str">
        <f t="shared" si="4"/>
        <v/>
      </c>
      <c r="AD47" s="364" t="str">
        <f t="shared" si="5"/>
        <v/>
      </c>
      <c r="AE47" s="390" t="str">
        <f t="shared" si="6"/>
        <v/>
      </c>
      <c r="AF47" s="327">
        <f>IFERROR(IF($I47="預設值Default",ROUND(VLOOKUP($J47,'4.Default Emission Factor'!$D:$V,2,FALSE),10),IF($I47="自訂值Custom Value",P47,0)),0)</f>
        <v>0</v>
      </c>
      <c r="AG47" s="328">
        <f>IFERROR(IF($I47="預設值Default",ROUND(VLOOKUP($J47,'4.Default Emission Factor'!$D:$V,4,FALSE),10),IF($I47="自訂值Custom Value",Q47,0)),0)</f>
        <v>0</v>
      </c>
      <c r="AH47" s="328">
        <f>IFERROR(IF($I47="預設值Default",ROUND(VLOOKUP($J47,'4.Default Emission Factor'!$D:$V,6,FALSE),10),IF($I47="自訂值Custom Value",R47,0)),0)</f>
        <v>0</v>
      </c>
      <c r="AI47" s="328">
        <f>IFERROR(IF($I47="預設值Default",ROUND(VLOOKUP($J47,'4.Default Emission Factor'!$D:$V,8,FALSE),10),IF($I47="自訂值Custom Value",S47,0)),0)</f>
        <v>0</v>
      </c>
      <c r="AJ47" s="328">
        <f>IFERROR(IF($I47="預設值Default",ROUND(VLOOKUP($J47,'4.Default Emission Factor'!$D:$V,10,FALSE),10),IF($I47="自訂值Custom Value",T47,0)),0)</f>
        <v>0</v>
      </c>
      <c r="AK47" s="328">
        <f>IFERROR(IF($I47="預設值Default",ROUND(VLOOKUP($J47,'4.Default Emission Factor'!$D:$V,12,FALSE),10),IF($I47="自訂值Custom Value",U47,0)),0)</f>
        <v>0</v>
      </c>
      <c r="AL47" s="328">
        <f>IFERROR(IF($I47="預設值Default",ROUND(VLOOKUP($J47,'4.Default Emission Factor'!$D:$V,14,FALSE),10),IF($I47="自訂值Custom Value",V47,0)),0)</f>
        <v>0</v>
      </c>
      <c r="AM47" s="330" t="str">
        <f>IFERROR(IF(I47="預設值Default",VLOOKUP($J47,'4.Default Emission Factor'!$D:$V,17,FALSE),IF(I47="自訂值Custom Value",X47,"")),"")</f>
        <v/>
      </c>
      <c r="AN47" s="391">
        <f t="shared" si="7"/>
        <v>0</v>
      </c>
      <c r="AO47" s="366">
        <f>IF(Z47="V",IF('1.GHG Inventory Form'!$E$6="IPCC AR2 Report(1995)",'6.GWP'!$C$2,IF('1.GHG Inventory Form'!$E$6="IPCC AR3 Report(2001)",'6.GWP'!$D$2,IF('1.GHG Inventory Form'!$E$6="IPCC AR4 Report(2007)",'6.GWP'!$E$2,IF('1.GHG Inventory Form'!$E$6="IPCC AR5 Report(2013)",'6.GWP'!$F$2,IF('1.GHG Inventory Form'!$E$6="IPCC AR6 Report(2021)",'6.GWP'!$G$2,0))))),0)</f>
        <v>0</v>
      </c>
      <c r="AP47" s="366">
        <f>IF(AA47="V",IF('1.GHG Inventory Form'!$E$6="IPCC AR2 Report(1995)",'6.GWP'!$C$3,IF('1.GHG Inventory Form'!$E$6="IPCC AR3 Report(2001)",'6.GWP'!$D$3,IF('1.GHG Inventory Form'!$E$6="IPCC AR4 Report(2007)",'6.GWP'!$E$3,IF('1.GHG Inventory Form'!$E$6="IPCC AR5 Report(2013)",'6.GWP'!$F$3,IF('1.GHG Inventory Form'!$E$6="IPCC AR6 Report(2021)",'6.GWP'!$G$3,0))))),0)</f>
        <v>0</v>
      </c>
      <c r="AQ47" s="366">
        <f>IFERROR(IF(AND(AB47="V",$I47="預設值"),IF('1.GHG Inventory Form'!$E$6="IPCC AR2 Report(1995)",VLOOKUP($J47,'6.GWP'!$B$1:$G$173,2,FALSE),IF('1.GHG Inventory Form'!$E$6="IPCC AR3 Report(2001)",VLOOKUP($J47,'6.GWP'!$B$1:$G$173,3,FALSE),IF('1.GHG Inventory Form'!$E$6="IPCC AR4 Report(2007)",VLOOKUP($J47,'6.GWP'!$B$1:$G$173,4,FALSE),IF('1.GHG Inventory Form'!$E$6="IPCC AR5 Report(2013)",VLOOKUP($J47,'6.GWP'!$B$1:$G$173,5,FALSE),IF('1.GHG Inventory Form'!$E$6="IPCC AR6 Report(2021)",VLOOKUP($J47,'6.GWP'!$B$2:$G$173,6,FALSE),0))))),IF(AND(AB47="V",$I47="自訂值"),IF('1.GHG Inventory Form'!$E$6="IPCC AR2 Report(1995)",VLOOKUP($K47,'6.GWP'!$B$1:$G$173,2,FALSE),IF('1.GHG Inventory Form'!$E$6="IPCC AR3 Report(2001)",VLOOKUP($K47,'6.GWP'!$B$1:$G$173,3,FALSE),IF('1.GHG Inventory Form'!$E$6="IPCC AR4 Report(2007)",VLOOKUP($K47,'6.GWP'!$B$1:$G$173,4,FALSE),IF('1.GHG Inventory Form'!$E$6="IPCC AR5 Report(2013)",VLOOKUP($K47,'6.GWP'!$B$1:$G$173,5,FALSE),IF('1.GHG Inventory Form'!$E$6="IPCC AR6 Report(2021)",VLOOKUP($K47,'6.GWP'!$B$2:$G$173,6,FALSE),0))))),0)),0)</f>
        <v>0</v>
      </c>
      <c r="AR47" s="366">
        <f>IFERROR(IF(AND(AC47="V",$I47="預設值"),IF('1.GHG Inventory Form'!$E$6="IPCC AR2 Report(1995)",VLOOKUP($J47,'6.GWP'!$B$1:$G$173,2,FALSE),IF('1.GHG Inventory Form'!$E$6="IPCC AR3 Report(2001)",VLOOKUP($J47,'6.GWP'!$B$1:$G$173,3,FALSE),IF('1.GHG Inventory Form'!$E$6="IPCC AR4 Report(2007)",VLOOKUP($J47,'6.GWP'!$B$1:$G$173,4,FALSE),IF('1.GHG Inventory Form'!$E$6="IPCC AR5 Report(2013)",VLOOKUP($J47,'6.GWP'!$B$1:$G$173,5,FALSE),IF('1.GHG Inventory Form'!$E$6="IPCC AR6 Report(2021)",VLOOKUP($J47,'6.GWP'!$B$2:$G$173,6,FALSE),0))))),IF(AND(AC47="V",$I47="自訂值"),IF('1.GHG Inventory Form'!$E$6="IPCC AR2 Report(1995)",VLOOKUP($K47,'6.GWP'!$B$1:$G$173,2,FALSE),IF('1.GHG Inventory Form'!$E$6="IPCC AR3 Report(2001)",VLOOKUP($K47,'6.GWP'!$B$1:$G$173,3,FALSE),IF('1.GHG Inventory Form'!$E$6="IPCC AR4 Report(2007)",VLOOKUP($K47,'6.GWP'!$B$1:$G$173,4,FALSE),IF('1.GHG Inventory Form'!$E$6="IPCC AR5 Report(2013)",VLOOKUP($K47,'6.GWP'!$B$1:$G$173,5,FALSE),IF('1.GHG Inventory Form'!$E$6="IPCC AR6 Report(2021)",VLOOKUP($K47,'6.GWP'!$B$2:$G$173,6,FALSE),0))))),0)),0)</f>
        <v>0</v>
      </c>
      <c r="AS47" s="366">
        <f>IF(AD47="V",IF('1.GHG Inventory Form'!$E$6="IPCC AR2 Report(1995)",'6.GWP'!$C$5,IF('1.GHG Inventory Form'!$E$6="IPCC AR3 Report(2001)",'6.GWP'!$D$5,IF('1.GHG Inventory Form'!$E$6="IPCC AR4 Report(2007)",'6.GWP'!$E$5,IF('1.GHG Inventory Form'!$E$6="IPCC AR5 Report(2013)",'6.GWP'!$F$5,IF('1.GHG Inventory Form'!$E$6="IPCC AR6 Report(2021)",'6.GWP'!$G$5,0))))),0)</f>
        <v>0</v>
      </c>
      <c r="AT47" s="392">
        <f>IF(AE47="V",IF('1.GHG Inventory Form'!$E$6="IPCC AR2 Report(1995)",'6.GWP'!$C$4,IF('1.GHG Inventory Form'!$E$6="IPCC AR3 Report(2001)",'6.GWP'!$D$4,IF('1.GHG Inventory Form'!$E$6="IPCC AR4 Report(2007)",'6.GWP'!$E$4,IF('1.GHG Inventory Form'!$E$6="IPCC AR5 Report(2013)",'6.GWP'!$F$4,IF('1.GHG Inventory Form'!$E$6="IPCC AR6 Report(2021)",'6.GWP'!$G$4,0))))),0)</f>
        <v>0</v>
      </c>
      <c r="AU47" s="334">
        <f t="shared" si="8"/>
        <v>0</v>
      </c>
      <c r="AV47" s="334">
        <f t="shared" si="9"/>
        <v>0</v>
      </c>
      <c r="AW47" s="334">
        <f t="shared" si="10"/>
        <v>0</v>
      </c>
      <c r="AX47" s="334">
        <f t="shared" si="11"/>
        <v>0</v>
      </c>
      <c r="AY47" s="334">
        <f t="shared" si="12"/>
        <v>0</v>
      </c>
      <c r="AZ47" s="334">
        <f t="shared" si="13"/>
        <v>0</v>
      </c>
      <c r="BA47" s="334">
        <f t="shared" si="14"/>
        <v>0</v>
      </c>
      <c r="BB47" s="393">
        <f t="shared" si="15"/>
        <v>0</v>
      </c>
      <c r="BC47" s="368">
        <f t="shared" si="16"/>
        <v>0</v>
      </c>
      <c r="BD47" s="369">
        <f t="shared" si="17"/>
        <v>0</v>
      </c>
      <c r="BI47" s="86" t="str">
        <f t="shared" si="18"/>
        <v/>
      </c>
      <c r="BJ47" s="86" t="str">
        <f t="shared" si="19"/>
        <v/>
      </c>
      <c r="BK47" s="86" t="str">
        <f t="shared" si="20"/>
        <v/>
      </c>
    </row>
    <row r="48" spans="1:63" customFormat="1" ht="18" customHeight="1" thickBot="1">
      <c r="B48" s="634"/>
      <c r="C48" s="707"/>
      <c r="D48" s="669"/>
      <c r="E48" s="711"/>
      <c r="F48" s="712"/>
      <c r="G48" s="395"/>
      <c r="H48" s="189"/>
      <c r="I48" s="396"/>
      <c r="J48" s="397"/>
      <c r="K48" s="190"/>
      <c r="L48" s="237"/>
      <c r="M48" s="398" t="str">
        <f>IFERROR(IF(I48="預設值Default",VLOOKUP($J48,'4.Default Emission Factor'!$D:$V,16,FALSE),"請填寫自訂活動數據單位Please fill in Custom Unit"),"請選擇預設排放係數名稱Please Choose Default Fuel or Greenhouse Gas")</f>
        <v>請填寫自訂活動數據單位Please fill in Custom Unit</v>
      </c>
      <c r="N48" s="242"/>
      <c r="O48" s="242"/>
      <c r="P48" s="25"/>
      <c r="Q48" s="25"/>
      <c r="R48" s="25"/>
      <c r="S48" s="25"/>
      <c r="T48" s="95"/>
      <c r="U48" s="95"/>
      <c r="V48" s="95"/>
      <c r="W48" s="96"/>
      <c r="X48" s="97"/>
      <c r="Y48" s="399" t="str">
        <f t="shared" si="0"/>
        <v/>
      </c>
      <c r="Z48" s="400" t="str">
        <f t="shared" si="1"/>
        <v/>
      </c>
      <c r="AA48" s="400" t="str">
        <f t="shared" si="2"/>
        <v/>
      </c>
      <c r="AB48" s="400" t="str">
        <f t="shared" si="3"/>
        <v/>
      </c>
      <c r="AC48" s="400" t="str">
        <f t="shared" si="4"/>
        <v/>
      </c>
      <c r="AD48" s="400" t="str">
        <f t="shared" si="5"/>
        <v/>
      </c>
      <c r="AE48" s="401" t="str">
        <f t="shared" si="6"/>
        <v/>
      </c>
      <c r="AF48" s="402">
        <f>IFERROR(IF($I48="預設值Default",ROUND(VLOOKUP($J48,'4.Default Emission Factor'!$D:$V,2,FALSE),10),IF($I48="自訂值Custom Value",P48,0)),0)</f>
        <v>0</v>
      </c>
      <c r="AG48" s="403">
        <f>IFERROR(IF($I48="預設值Default",ROUND(VLOOKUP($J48,'4.Default Emission Factor'!$D:$V,4,FALSE),10),IF($I48="自訂值Custom Value",Q48,0)),0)</f>
        <v>0</v>
      </c>
      <c r="AH48" s="403">
        <f>IFERROR(IF($I48="預設值Default",ROUND(VLOOKUP($J48,'4.Default Emission Factor'!$D:$V,6,FALSE),10),IF($I48="自訂值Custom Value",R48,0)),0)</f>
        <v>0</v>
      </c>
      <c r="AI48" s="403">
        <f>IFERROR(IF($I48="預設值Default",ROUND(VLOOKUP($J48,'4.Default Emission Factor'!$D:$V,8,FALSE),10),IF($I48="自訂值Custom Value",S48,0)),0)</f>
        <v>0</v>
      </c>
      <c r="AJ48" s="403">
        <f>IFERROR(IF($I48="預設值Default",ROUND(VLOOKUP($J48,'4.Default Emission Factor'!$D:$V,10,FALSE),10),IF($I48="自訂值Custom Value",T48,0)),0)</f>
        <v>0</v>
      </c>
      <c r="AK48" s="403">
        <f>IFERROR(IF($I48="預設值Default",ROUND(VLOOKUP($J48,'4.Default Emission Factor'!$D:$V,12,FALSE),10),IF($I48="自訂值Custom Value",U48,0)),0)</f>
        <v>0</v>
      </c>
      <c r="AL48" s="403">
        <f>IFERROR(IF($I48="預設值Default",ROUND(VLOOKUP($J48,'4.Default Emission Factor'!$D:$V,14,FALSE),10),IF($I48="自訂值Custom Value",V48,0)),0)</f>
        <v>0</v>
      </c>
      <c r="AM48" s="404" t="str">
        <f>IFERROR(IF(I48="預設值Default",VLOOKUP($J48,'4.Default Emission Factor'!$D:$V,17,FALSE),IF(I48="自訂值Custom Value",X48,"")),"")</f>
        <v/>
      </c>
      <c r="AN48" s="405">
        <f t="shared" si="7"/>
        <v>0</v>
      </c>
      <c r="AO48" s="406">
        <f>IF(Z48="V",IF('1.GHG Inventory Form'!$E$6="IPCC AR2 Report(1995)",'6.GWP'!$C$2,IF('1.GHG Inventory Form'!$E$6="IPCC AR3 Report(2001)",'6.GWP'!$D$2,IF('1.GHG Inventory Form'!$E$6="IPCC AR4 Report(2007)",'6.GWP'!$E$2,IF('1.GHG Inventory Form'!$E$6="IPCC AR5 Report(2013)",'6.GWP'!$F$2,IF('1.GHG Inventory Form'!$E$6="IPCC AR6 Report(2021)",'6.GWP'!$G$2,0))))),0)</f>
        <v>0</v>
      </c>
      <c r="AP48" s="406">
        <f>IF(AA48="V",IF('1.GHG Inventory Form'!$E$6="IPCC AR2 Report(1995)",'6.GWP'!$C$3,IF('1.GHG Inventory Form'!$E$6="IPCC AR3 Report(2001)",'6.GWP'!$D$3,IF('1.GHG Inventory Form'!$E$6="IPCC AR4 Report(2007)",'6.GWP'!$E$3,IF('1.GHG Inventory Form'!$E$6="IPCC AR5 Report(2013)",'6.GWP'!$F$3,IF('1.GHG Inventory Form'!$E$6="IPCC AR6 Report(2021)",'6.GWP'!$G$3,0))))),0)</f>
        <v>0</v>
      </c>
      <c r="AQ48" s="406">
        <f>IFERROR(IF(AND(AB48="V",$I48="預設值"),IF('1.GHG Inventory Form'!$E$6="IPCC AR2 Report(1995)",VLOOKUP($J48,'6.GWP'!$B$1:$G$173,2,FALSE),IF('1.GHG Inventory Form'!$E$6="IPCC AR3 Report(2001)",VLOOKUP($J48,'6.GWP'!$B$1:$G$173,3,FALSE),IF('1.GHG Inventory Form'!$E$6="IPCC AR4 Report(2007)",VLOOKUP($J48,'6.GWP'!$B$1:$G$173,4,FALSE),IF('1.GHG Inventory Form'!$E$6="IPCC AR5 Report(2013)",VLOOKUP($J48,'6.GWP'!$B$1:$G$173,5,FALSE),IF('1.GHG Inventory Form'!$E$6="IPCC AR6 Report(2021)",VLOOKUP($J48,'6.GWP'!$B$2:$G$173,6,FALSE),0))))),IF(AND(AB48="V",$I48="自訂值"),IF('1.GHG Inventory Form'!$E$6="IPCC AR2 Report(1995)",VLOOKUP($K48,'6.GWP'!$B$1:$G$173,2,FALSE),IF('1.GHG Inventory Form'!$E$6="IPCC AR3 Report(2001)",VLOOKUP($K48,'6.GWP'!$B$1:$G$173,3,FALSE),IF('1.GHG Inventory Form'!$E$6="IPCC AR4 Report(2007)",VLOOKUP($K48,'6.GWP'!$B$1:$G$173,4,FALSE),IF('1.GHG Inventory Form'!$E$6="IPCC AR5 Report(2013)",VLOOKUP($K48,'6.GWP'!$B$1:$G$173,5,FALSE),IF('1.GHG Inventory Form'!$E$6="IPCC AR6 Report(2021)",VLOOKUP($K48,'6.GWP'!$B$2:$G$173,6,FALSE),0))))),0)),0)</f>
        <v>0</v>
      </c>
      <c r="AR48" s="406">
        <f>IFERROR(IF(AND(AC48="V",$I48="預設值"),IF('1.GHG Inventory Form'!$E$6="IPCC AR2 Report(1995)",VLOOKUP($J48,'6.GWP'!$B$1:$G$173,2,FALSE),IF('1.GHG Inventory Form'!$E$6="IPCC AR3 Report(2001)",VLOOKUP($J48,'6.GWP'!$B$1:$G$173,3,FALSE),IF('1.GHG Inventory Form'!$E$6="IPCC AR4 Report(2007)",VLOOKUP($J48,'6.GWP'!$B$1:$G$173,4,FALSE),IF('1.GHG Inventory Form'!$E$6="IPCC AR5 Report(2013)",VLOOKUP($J48,'6.GWP'!$B$1:$G$173,5,FALSE),IF('1.GHG Inventory Form'!$E$6="IPCC AR6 Report(2021)",VLOOKUP($J48,'6.GWP'!$B$2:$G$173,6,FALSE),0))))),IF(AND(AC48="V",$I48="自訂值"),IF('1.GHG Inventory Form'!$E$6="IPCC AR2 Report(1995)",VLOOKUP($K48,'6.GWP'!$B$1:$G$173,2,FALSE),IF('1.GHG Inventory Form'!$E$6="IPCC AR3 Report(2001)",VLOOKUP($K48,'6.GWP'!$B$1:$G$173,3,FALSE),IF('1.GHG Inventory Form'!$E$6="IPCC AR4 Report(2007)",VLOOKUP($K48,'6.GWP'!$B$1:$G$173,4,FALSE),IF('1.GHG Inventory Form'!$E$6="IPCC AR5 Report(2013)",VLOOKUP($K48,'6.GWP'!$B$1:$G$173,5,FALSE),IF('1.GHG Inventory Form'!$E$6="IPCC AR6 Report(2021)",VLOOKUP($K48,'6.GWP'!$B$2:$G$173,6,FALSE),0))))),0)),0)</f>
        <v>0</v>
      </c>
      <c r="AS48" s="406">
        <f>IF(AD48="V",IF('1.GHG Inventory Form'!$E$6="IPCC AR2 Report(1995)",'6.GWP'!$C$5,IF('1.GHG Inventory Form'!$E$6="IPCC AR3 Report(2001)",'6.GWP'!$D$5,IF('1.GHG Inventory Form'!$E$6="IPCC AR4 Report(2007)",'6.GWP'!$E$5,IF('1.GHG Inventory Form'!$E$6="IPCC AR5 Report(2013)",'6.GWP'!$F$5,IF('1.GHG Inventory Form'!$E$6="IPCC AR6 Report(2021)",'6.GWP'!$G$5,0))))),0)</f>
        <v>0</v>
      </c>
      <c r="AT48" s="407">
        <f>IF(AE48="V",IF('1.GHG Inventory Form'!$E$6="IPCC AR2 Report(1995)",'6.GWP'!$C$4,IF('1.GHG Inventory Form'!$E$6="IPCC AR3 Report(2001)",'6.GWP'!$D$4,IF('1.GHG Inventory Form'!$E$6="IPCC AR4 Report(2007)",'6.GWP'!$E$4,IF('1.GHG Inventory Form'!$E$6="IPCC AR5 Report(2013)",'6.GWP'!$F$4,IF('1.GHG Inventory Form'!$E$6="IPCC AR6 Report(2021)",'6.GWP'!$G$4,0))))),0)</f>
        <v>0</v>
      </c>
      <c r="AU48" s="408">
        <f t="shared" ref="AU48:AU79" si="21">IFERROR($L48*AF48*AN48,"")</f>
        <v>0</v>
      </c>
      <c r="AV48" s="408">
        <f t="shared" ref="AV48:AV79" si="22">IFERROR($L48*AG48*AO48,"")</f>
        <v>0</v>
      </c>
      <c r="AW48" s="408">
        <f t="shared" ref="AW48:AW79" si="23">IFERROR($L48*AH48*AP48,"")</f>
        <v>0</v>
      </c>
      <c r="AX48" s="408">
        <f t="shared" ref="AX48:AX79" si="24">IFERROR($L48*AI48*AQ48,"")</f>
        <v>0</v>
      </c>
      <c r="AY48" s="408">
        <f t="shared" ref="AY48:AY79" si="25">IFERROR($L48*AJ48*AR48,"")</f>
        <v>0</v>
      </c>
      <c r="AZ48" s="408">
        <f t="shared" ref="AZ48:AZ79" si="26">IFERROR($L48*AK48*AS48,"")</f>
        <v>0</v>
      </c>
      <c r="BA48" s="408">
        <f t="shared" ref="BA48:BA79" si="27">IFERROR($L48*AL48*AT48,"")</f>
        <v>0</v>
      </c>
      <c r="BB48" s="409">
        <f t="shared" si="15"/>
        <v>0</v>
      </c>
      <c r="BC48" s="410">
        <f t="shared" si="16"/>
        <v>0</v>
      </c>
      <c r="BD48" s="411">
        <f t="shared" si="17"/>
        <v>0</v>
      </c>
      <c r="BI48" s="86" t="str">
        <f t="shared" si="18"/>
        <v/>
      </c>
      <c r="BJ48" s="86" t="str">
        <f t="shared" si="19"/>
        <v/>
      </c>
      <c r="BK48" s="86" t="str">
        <f t="shared" si="20"/>
        <v/>
      </c>
    </row>
    <row r="49" spans="1:63" customFormat="1" ht="63" customHeight="1" thickBot="1">
      <c r="A49">
        <v>1</v>
      </c>
      <c r="B49" s="634"/>
      <c r="C49" s="412">
        <v>1.5</v>
      </c>
      <c r="D49" s="669" t="s">
        <v>328</v>
      </c>
      <c r="E49" s="711"/>
      <c r="F49" s="700"/>
      <c r="G49" s="413"/>
      <c r="H49" s="192"/>
      <c r="I49" s="339"/>
      <c r="J49" s="340"/>
      <c r="K49" s="193"/>
      <c r="L49" s="240"/>
      <c r="M49" s="341" t="str">
        <f>IFERROR(IF(I49="預設值Default",VLOOKUP($J49,'4.Default Emission Factor'!$D:$V,16,FALSE),"請填寫自訂活動數據單位Please fill in Custom Unit"),"請選擇預設排放係數名稱Please Choose Default Fuel or Greenhouse Gas")</f>
        <v>請填寫自訂活動數據單位Please fill in Custom Unit</v>
      </c>
      <c r="N49" s="244"/>
      <c r="O49" s="244"/>
      <c r="P49" s="151"/>
      <c r="Q49" s="151"/>
      <c r="R49" s="151"/>
      <c r="S49" s="151"/>
      <c r="T49" s="152"/>
      <c r="U49" s="152"/>
      <c r="V49" s="152"/>
      <c r="W49" s="153"/>
      <c r="X49" s="154"/>
      <c r="Y49" s="342" t="str">
        <f t="shared" si="0"/>
        <v/>
      </c>
      <c r="Z49" s="343" t="str">
        <f t="shared" si="1"/>
        <v/>
      </c>
      <c r="AA49" s="343" t="str">
        <f t="shared" si="2"/>
        <v/>
      </c>
      <c r="AB49" s="343" t="str">
        <f t="shared" si="3"/>
        <v/>
      </c>
      <c r="AC49" s="343" t="str">
        <f t="shared" si="4"/>
        <v/>
      </c>
      <c r="AD49" s="343" t="str">
        <f t="shared" si="5"/>
        <v/>
      </c>
      <c r="AE49" s="344" t="str">
        <f t="shared" si="6"/>
        <v/>
      </c>
      <c r="AF49" s="342">
        <f>IFERROR(IF($I49="預設值Default",ROUND(VLOOKUP($J49,'4.Default Emission Factor'!$D:$V,2,FALSE),10),IF($I49="自訂值Custom Value",P49,0)),0)</f>
        <v>0</v>
      </c>
      <c r="AG49" s="343">
        <f>IFERROR(IF($I49="預設值Default",ROUND(VLOOKUP($J49,'4.Default Emission Factor'!$D:$V,4,FALSE),10),IF($I49="自訂值Custom Value",Q49,0)),0)</f>
        <v>0</v>
      </c>
      <c r="AH49" s="343">
        <f>IFERROR(IF($I49="預設值Default",ROUND(VLOOKUP($J49,'4.Default Emission Factor'!$D:$V,6,FALSE),10),IF($I49="自訂值Custom Value",R49,0)),0)</f>
        <v>0</v>
      </c>
      <c r="AI49" s="343">
        <f>IFERROR(IF($I49="預設值Default",ROUND(VLOOKUP($J49,'4.Default Emission Factor'!$D:$V,8,FALSE),10),IF($I49="自訂值Custom Value",S49,0)),0)</f>
        <v>0</v>
      </c>
      <c r="AJ49" s="343">
        <f>IFERROR(IF($I49="預設值Default",ROUND(VLOOKUP($J49,'4.Default Emission Factor'!$D:$V,10,FALSE),10),IF($I49="自訂值Custom Value",T49,0)),0)</f>
        <v>0</v>
      </c>
      <c r="AK49" s="343">
        <f>IFERROR(IF($I49="預設值Default",ROUND(VLOOKUP($J49,'4.Default Emission Factor'!$D:$V,12,FALSE),10),IF($I49="自訂值Custom Value",U49,0)),0)</f>
        <v>0</v>
      </c>
      <c r="AL49" s="343">
        <f>IFERROR(IF($I49="預設值Default",ROUND(VLOOKUP($J49,'4.Default Emission Factor'!$D:$V,14,FALSE),10),IF($I49="自訂值Custom Value",V49,0)),0)</f>
        <v>0</v>
      </c>
      <c r="AM49" s="345" t="str">
        <f>IFERROR(IF(I49="預設值Default",VLOOKUP($J49,'4.Default Emission Factor'!$D:$V,17,FALSE),IF(I49="自訂值Custom Value",X49,"")),"")</f>
        <v/>
      </c>
      <c r="AN49" s="346">
        <f t="shared" si="7"/>
        <v>0</v>
      </c>
      <c r="AO49" s="347">
        <f>IF(Z49="V",IF('1.GHG Inventory Form'!$E$6="IPCC AR2 Report(1995)",'6.GWP'!$C$2,IF('1.GHG Inventory Form'!$E$6="IPCC AR3 Report(2001)",'6.GWP'!$D$2,IF('1.GHG Inventory Form'!$E$6="IPCC AR4 Report(2007)",'6.GWP'!$E$2,IF('1.GHG Inventory Form'!$E$6="IPCC AR5 Report(2013)",'6.GWP'!$F$2,IF('1.GHG Inventory Form'!$E$6="IPCC AR6 Report(2021)",'6.GWP'!$G$2,0))))),0)</f>
        <v>0</v>
      </c>
      <c r="AP49" s="347">
        <f>IF(AA49="V",IF('1.GHG Inventory Form'!$E$6="IPCC AR2 Report(1995)",'6.GWP'!$C$3,IF('1.GHG Inventory Form'!$E$6="IPCC AR3 Report(2001)",'6.GWP'!$D$3,IF('1.GHG Inventory Form'!$E$6="IPCC AR4 Report(2007)",'6.GWP'!$E$3,IF('1.GHG Inventory Form'!$E$6="IPCC AR5 Report(2013)",'6.GWP'!$F$3,IF('1.GHG Inventory Form'!$E$6="IPCC AR6 Report(2021)",'6.GWP'!$G$3,0))))),0)</f>
        <v>0</v>
      </c>
      <c r="AQ49" s="347">
        <f>IFERROR(IF(AND(AB49="V",$I49="預設值"),IF('1.GHG Inventory Form'!$E$6="IPCC AR2 Report(1995)",VLOOKUP($J49,'6.GWP'!$B$1:$G$173,2,FALSE),IF('1.GHG Inventory Form'!$E$6="IPCC AR3 Report(2001)",VLOOKUP($J49,'6.GWP'!$B$1:$G$173,3,FALSE),IF('1.GHG Inventory Form'!$E$6="IPCC AR4 Report(2007)",VLOOKUP($J49,'6.GWP'!$B$1:$G$173,4,FALSE),IF('1.GHG Inventory Form'!$E$6="IPCC AR5 Report(2013)",VLOOKUP($J49,'6.GWP'!$B$1:$G$173,5,FALSE),IF('1.GHG Inventory Form'!$E$6="IPCC AR6 Report(2021)",VLOOKUP($J49,'6.GWP'!$B$2:$G$173,6,FALSE),0))))),IF(AND(AB49="V",$I49="自訂值"),IF('1.GHG Inventory Form'!$E$6="IPCC AR2 Report(1995)",VLOOKUP($K49,'6.GWP'!$B$1:$G$173,2,FALSE),IF('1.GHG Inventory Form'!$E$6="IPCC AR3 Report(2001)",VLOOKUP($K49,'6.GWP'!$B$1:$G$173,3,FALSE),IF('1.GHG Inventory Form'!$E$6="IPCC AR4 Report(2007)",VLOOKUP($K49,'6.GWP'!$B$1:$G$173,4,FALSE),IF('1.GHG Inventory Form'!$E$6="IPCC AR5 Report(2013)",VLOOKUP($K49,'6.GWP'!$B$1:$G$173,5,FALSE),IF('1.GHG Inventory Form'!$E$6="IPCC AR6 Report(2021)",VLOOKUP($K49,'6.GWP'!$B$2:$G$173,6,FALSE),0))))),0)),0)</f>
        <v>0</v>
      </c>
      <c r="AR49" s="347">
        <f>IFERROR(IF(AND(AC49="V",$I49="預設值"),IF('1.GHG Inventory Form'!$E$6="IPCC AR2 Report(1995)",VLOOKUP($J49,'6.GWP'!$B$1:$G$173,2,FALSE),IF('1.GHG Inventory Form'!$E$6="IPCC AR3 Report(2001)",VLOOKUP($J49,'6.GWP'!$B$1:$G$173,3,FALSE),IF('1.GHG Inventory Form'!$E$6="IPCC AR4 Report(2007)",VLOOKUP($J49,'6.GWP'!$B$1:$G$173,4,FALSE),IF('1.GHG Inventory Form'!$E$6="IPCC AR5 Report(2013)",VLOOKUP($J49,'6.GWP'!$B$1:$G$173,5,FALSE),IF('1.GHG Inventory Form'!$E$6="IPCC AR6 Report(2021)",VLOOKUP($J49,'6.GWP'!$B$2:$G$173,6,FALSE),0))))),IF(AND(AC49="V",$I49="自訂值"),IF('1.GHG Inventory Form'!$E$6="IPCC AR2 Report(1995)",VLOOKUP($K49,'6.GWP'!$B$1:$G$173,2,FALSE),IF('1.GHG Inventory Form'!$E$6="IPCC AR3 Report(2001)",VLOOKUP($K49,'6.GWP'!$B$1:$G$173,3,FALSE),IF('1.GHG Inventory Form'!$E$6="IPCC AR4 Report(2007)",VLOOKUP($K49,'6.GWP'!$B$1:$G$173,4,FALSE),IF('1.GHG Inventory Form'!$E$6="IPCC AR5 Report(2013)",VLOOKUP($K49,'6.GWP'!$B$1:$G$173,5,FALSE),IF('1.GHG Inventory Form'!$E$6="IPCC AR6 Report(2021)",VLOOKUP($K49,'6.GWP'!$B$2:$G$173,6,FALSE),0))))),0)),0)</f>
        <v>0</v>
      </c>
      <c r="AS49" s="347">
        <f>IF(AD49="V",IF('1.GHG Inventory Form'!$E$6="IPCC AR2 Report(1995)",'6.GWP'!$C$5,IF('1.GHG Inventory Form'!$E$6="IPCC AR3 Report(2001)",'6.GWP'!$D$5,IF('1.GHG Inventory Form'!$E$6="IPCC AR4 Report(2007)",'6.GWP'!$E$5,IF('1.GHG Inventory Form'!$E$6="IPCC AR5 Report(2013)",'6.GWP'!$F$5,IF('1.GHG Inventory Form'!$E$6="IPCC AR6 Report(2021)",'6.GWP'!$G$5,0))))),0)</f>
        <v>0</v>
      </c>
      <c r="AT49" s="348">
        <f>IF(AE49="V",IF('1.GHG Inventory Form'!$E$6="IPCC AR2 Report(1995)",'6.GWP'!$C$4,IF('1.GHG Inventory Form'!$E$6="IPCC AR3 Report(2001)",'6.GWP'!$D$4,IF('1.GHG Inventory Form'!$E$6="IPCC AR4 Report(2007)",'6.GWP'!$E$4,IF('1.GHG Inventory Form'!$E$6="IPCC AR5 Report(2013)",'6.GWP'!$F$4,IF('1.GHG Inventory Form'!$E$6="IPCC AR6 Report(2021)",'6.GWP'!$G$4,0))))),0)</f>
        <v>0</v>
      </c>
      <c r="AU49" s="349">
        <f t="shared" si="21"/>
        <v>0</v>
      </c>
      <c r="AV49" s="349">
        <f t="shared" si="22"/>
        <v>0</v>
      </c>
      <c r="AW49" s="349">
        <f t="shared" si="23"/>
        <v>0</v>
      </c>
      <c r="AX49" s="349">
        <f t="shared" si="24"/>
        <v>0</v>
      </c>
      <c r="AY49" s="349">
        <f t="shared" si="25"/>
        <v>0</v>
      </c>
      <c r="AZ49" s="349">
        <f t="shared" si="26"/>
        <v>0</v>
      </c>
      <c r="BA49" s="349">
        <f t="shared" si="27"/>
        <v>0</v>
      </c>
      <c r="BB49" s="349">
        <f t="shared" si="15"/>
        <v>0</v>
      </c>
      <c r="BC49" s="350">
        <f t="shared" si="16"/>
        <v>0</v>
      </c>
      <c r="BD49" s="351">
        <f t="shared" si="17"/>
        <v>0</v>
      </c>
      <c r="BI49" s="86" t="str">
        <f t="shared" si="18"/>
        <v/>
      </c>
      <c r="BJ49" s="86" t="str">
        <f t="shared" si="19"/>
        <v/>
      </c>
      <c r="BK49" s="86" t="str">
        <f t="shared" si="20"/>
        <v/>
      </c>
    </row>
    <row r="50" spans="1:63" customFormat="1" ht="41" customHeight="1">
      <c r="A50">
        <v>1</v>
      </c>
      <c r="B50" s="634"/>
      <c r="C50" s="713">
        <v>1.4</v>
      </c>
      <c r="D50" s="708" t="s">
        <v>329</v>
      </c>
      <c r="E50" s="709"/>
      <c r="F50" s="716" t="s">
        <v>330</v>
      </c>
      <c r="G50" s="414"/>
      <c r="H50" s="353"/>
      <c r="I50" s="354"/>
      <c r="J50" s="354"/>
      <c r="K50" s="282"/>
      <c r="L50" s="241"/>
      <c r="M50" s="353" t="str">
        <f>IFERROR(IF(I50="預設值Default",VLOOKUP($J50,'4.Default Emission Factor'!$D:$V,16,FALSE),"請填寫自訂活動數據單位Please fill in Custom Unit"),"請選擇預設排放係數名稱Please Choose Default Fuel or Greenhouse Gas")</f>
        <v>請填寫自訂活動數據單位Please fill in Custom Unit</v>
      </c>
      <c r="N50" s="284"/>
      <c r="O50" s="284"/>
      <c r="P50" s="26"/>
      <c r="Q50" s="26"/>
      <c r="R50" s="26"/>
      <c r="S50" s="26"/>
      <c r="T50" s="98"/>
      <c r="U50" s="98"/>
      <c r="V50" s="98"/>
      <c r="W50" s="98"/>
      <c r="X50" s="285"/>
      <c r="Y50" s="355" t="str">
        <f t="shared" si="0"/>
        <v/>
      </c>
      <c r="Z50" s="355" t="str">
        <f t="shared" si="1"/>
        <v/>
      </c>
      <c r="AA50" s="355" t="str">
        <f t="shared" si="2"/>
        <v/>
      </c>
      <c r="AB50" s="355" t="str">
        <f t="shared" si="3"/>
        <v/>
      </c>
      <c r="AC50" s="355" t="str">
        <f t="shared" si="4"/>
        <v/>
      </c>
      <c r="AD50" s="355" t="str">
        <f t="shared" si="5"/>
        <v/>
      </c>
      <c r="AE50" s="355" t="str">
        <f t="shared" si="6"/>
        <v/>
      </c>
      <c r="AF50" s="355">
        <f>IFERROR(IF($I50="預設值Default",ROUND(VLOOKUP($J50,'4.Default Emission Factor'!$D:$V,2,FALSE),10),IF($I50="自訂值Custom Value",P50,0)),0)</f>
        <v>0</v>
      </c>
      <c r="AG50" s="355">
        <f>IFERROR(IF($I50="預設值Default",ROUND(VLOOKUP($J50,'4.Default Emission Factor'!$D:$V,4,FALSE),10),IF($I50="自訂值Custom Value",Q50,0)),0)</f>
        <v>0</v>
      </c>
      <c r="AH50" s="355">
        <f>IFERROR(IF($I50="預設值Default",ROUND(VLOOKUP($J50,'4.Default Emission Factor'!$D:$V,6,FALSE),10),IF($I50="自訂值Custom Value",R50,0)),0)</f>
        <v>0</v>
      </c>
      <c r="AI50" s="355">
        <f>IFERROR(IF($I50="預設值Default",ROUND(VLOOKUP($J50,'4.Default Emission Factor'!$D:$V,8,FALSE),10),IF($I50="自訂值Custom Value",S50,0)),0)</f>
        <v>0</v>
      </c>
      <c r="AJ50" s="355">
        <f>IFERROR(IF($I50="預設值Default",ROUND(VLOOKUP($J50,'4.Default Emission Factor'!$D:$V,10,FALSE),10),IF($I50="自訂值Custom Value",T50,0)),0)</f>
        <v>0</v>
      </c>
      <c r="AK50" s="355">
        <f>IFERROR(IF($I50="預設值Default",ROUND(VLOOKUP($J50,'4.Default Emission Factor'!$D:$V,12,FALSE),10),IF($I50="自訂值Custom Value",U50,0)),0)</f>
        <v>0</v>
      </c>
      <c r="AL50" s="355">
        <f>IFERROR(IF($I50="預設值Default",ROUND(VLOOKUP($J50,'4.Default Emission Factor'!$D:$V,14,FALSE),10),IF($I50="自訂值Custom Value",V50,0)),0)</f>
        <v>0</v>
      </c>
      <c r="AM50" s="356" t="str">
        <f>IFERROR(IF(I50="預設值Default",VLOOKUP($J50,'4.Default Emission Factor'!$D:$V,17,FALSE),IF(I50="自訂值Custom Value",X50,"")),"")</f>
        <v/>
      </c>
      <c r="AN50" s="357">
        <f t="shared" si="7"/>
        <v>0</v>
      </c>
      <c r="AO50" s="357">
        <f>IF(Z50="V",IF('1.GHG Inventory Form'!$E$6="IPCC AR2 Report(1995)",'6.GWP'!$C$2,IF('1.GHG Inventory Form'!$E$6="IPCC AR3 Report(2001)",'6.GWP'!$D$2,IF('1.GHG Inventory Form'!$E$6="IPCC AR4 Report(2007)",'6.GWP'!$E$2,IF('1.GHG Inventory Form'!$E$6="IPCC AR5 Report(2013)",'6.GWP'!$F$2,IF('1.GHG Inventory Form'!$E$6="IPCC AR6 Report(2021)",'6.GWP'!$G$2,0))))),0)</f>
        <v>0</v>
      </c>
      <c r="AP50" s="357">
        <f>IF(AA50="V",IF('1.GHG Inventory Form'!$E$6="IPCC AR2 Report(1995)",'6.GWP'!$C$3,IF('1.GHG Inventory Form'!$E$6="IPCC AR3 Report(2001)",'6.GWP'!$D$3,IF('1.GHG Inventory Form'!$E$6="IPCC AR4 Report(2007)",'6.GWP'!$E$3,IF('1.GHG Inventory Form'!$E$6="IPCC AR5 Report(2013)",'6.GWP'!$F$3,IF('1.GHG Inventory Form'!$E$6="IPCC AR6 Report(2021)",'6.GWP'!$G$3,0))))),0)</f>
        <v>0</v>
      </c>
      <c r="AQ50" s="357">
        <f>IFERROR(IF(AND(AB50="V",$I50="預設值"),IF('1.GHG Inventory Form'!$E$6="IPCC AR2 Report(1995)",VLOOKUP($J50,'6.GWP'!$B$1:$G$173,2,FALSE),IF('1.GHG Inventory Form'!$E$6="IPCC AR3 Report(2001)",VLOOKUP($J50,'6.GWP'!$B$1:$G$173,3,FALSE),IF('1.GHG Inventory Form'!$E$6="IPCC AR4 Report(2007)",VLOOKUP($J50,'6.GWP'!$B$1:$G$173,4,FALSE),IF('1.GHG Inventory Form'!$E$6="IPCC AR5 Report(2013)",VLOOKUP($J50,'6.GWP'!$B$1:$G$173,5,FALSE),IF('1.GHG Inventory Form'!$E$6="IPCC AR6 Report(2021)",VLOOKUP($J50,'6.GWP'!$B$2:$G$173,6,FALSE),0))))),IF(AND(AB50="V",$I50="自訂值"),IF('1.GHG Inventory Form'!$E$6="IPCC AR2 Report(1995)",VLOOKUP($K50,'6.GWP'!$B$1:$G$173,2,FALSE),IF('1.GHG Inventory Form'!$E$6="IPCC AR3 Report(2001)",VLOOKUP($K50,'6.GWP'!$B$1:$G$173,3,FALSE),IF('1.GHG Inventory Form'!$E$6="IPCC AR4 Report(2007)",VLOOKUP($K50,'6.GWP'!$B$1:$G$173,4,FALSE),IF('1.GHG Inventory Form'!$E$6="IPCC AR5 Report(2013)",VLOOKUP($K50,'6.GWP'!$B$1:$G$173,5,FALSE),IF('1.GHG Inventory Form'!$E$6="IPCC AR6 Report(2021)",VLOOKUP($K50,'6.GWP'!$B$2:$G$173,6,FALSE),0))))),0)),0)</f>
        <v>0</v>
      </c>
      <c r="AR50" s="357">
        <f>IFERROR(IF(AND(AC50="V",$I50="預設值"),IF('1.GHG Inventory Form'!$E$6="IPCC AR2 Report(1995)",VLOOKUP($J50,'6.GWP'!$B$1:$G$173,2,FALSE),IF('1.GHG Inventory Form'!$E$6="IPCC AR3 Report(2001)",VLOOKUP($J50,'6.GWP'!$B$1:$G$173,3,FALSE),IF('1.GHG Inventory Form'!$E$6="IPCC AR4 Report(2007)",VLOOKUP($J50,'6.GWP'!$B$1:$G$173,4,FALSE),IF('1.GHG Inventory Form'!$E$6="IPCC AR5 Report(2013)",VLOOKUP($J50,'6.GWP'!$B$1:$G$173,5,FALSE),IF('1.GHG Inventory Form'!$E$6="IPCC AR6 Report(2021)",VLOOKUP($J50,'6.GWP'!$B$2:$G$173,6,FALSE),0))))),IF(AND(AC50="V",$I50="自訂值"),IF('1.GHG Inventory Form'!$E$6="IPCC AR2 Report(1995)",VLOOKUP($K50,'6.GWP'!$B$1:$G$173,2,FALSE),IF('1.GHG Inventory Form'!$E$6="IPCC AR3 Report(2001)",VLOOKUP($K50,'6.GWP'!$B$1:$G$173,3,FALSE),IF('1.GHG Inventory Form'!$E$6="IPCC AR4 Report(2007)",VLOOKUP($K50,'6.GWP'!$B$1:$G$173,4,FALSE),IF('1.GHG Inventory Form'!$E$6="IPCC AR5 Report(2013)",VLOOKUP($K50,'6.GWP'!$B$1:$G$173,5,FALSE),IF('1.GHG Inventory Form'!$E$6="IPCC AR6 Report(2021)",VLOOKUP($K50,'6.GWP'!$B$2:$G$173,6,FALSE),0))))),0)),0)</f>
        <v>0</v>
      </c>
      <c r="AS50" s="357">
        <f>IF(AD50="V",IF('1.GHG Inventory Form'!$E$6="IPCC AR2 Report(1995)",'6.GWP'!$C$5,IF('1.GHG Inventory Form'!$E$6="IPCC AR3 Report(2001)",'6.GWP'!$D$5,IF('1.GHG Inventory Form'!$E$6="IPCC AR4 Report(2007)",'6.GWP'!$E$5,IF('1.GHG Inventory Form'!$E$6="IPCC AR5 Report(2013)",'6.GWP'!$F$5,IF('1.GHG Inventory Form'!$E$6="IPCC AR6 Report(2021)",'6.GWP'!$G$5,0))))),0)</f>
        <v>0</v>
      </c>
      <c r="AT50" s="357">
        <f>IF(AE50="V",IF('1.GHG Inventory Form'!$E$6="IPCC AR2 Report(1995)",'6.GWP'!$C$4,IF('1.GHG Inventory Form'!$E$6="IPCC AR3 Report(2001)",'6.GWP'!$D$4,IF('1.GHG Inventory Form'!$E$6="IPCC AR4 Report(2007)",'6.GWP'!$E$4,IF('1.GHG Inventory Form'!$E$6="IPCC AR5 Report(2013)",'6.GWP'!$F$4,IF('1.GHG Inventory Form'!$E$6="IPCC AR6 Report(2021)",'6.GWP'!$G$4,0))))),0)</f>
        <v>0</v>
      </c>
      <c r="AU50" s="358">
        <f t="shared" si="21"/>
        <v>0</v>
      </c>
      <c r="AV50" s="358">
        <f t="shared" si="22"/>
        <v>0</v>
      </c>
      <c r="AW50" s="358">
        <f t="shared" si="23"/>
        <v>0</v>
      </c>
      <c r="AX50" s="358">
        <f t="shared" si="24"/>
        <v>0</v>
      </c>
      <c r="AY50" s="358">
        <f t="shared" si="25"/>
        <v>0</v>
      </c>
      <c r="AZ50" s="358">
        <f t="shared" si="26"/>
        <v>0</v>
      </c>
      <c r="BA50" s="358">
        <f t="shared" si="27"/>
        <v>0</v>
      </c>
      <c r="BB50" s="358">
        <f t="shared" si="15"/>
        <v>0</v>
      </c>
      <c r="BC50" s="359">
        <f t="shared" si="16"/>
        <v>0</v>
      </c>
      <c r="BD50" s="360">
        <f t="shared" si="17"/>
        <v>0</v>
      </c>
      <c r="BI50" s="86" t="str">
        <f t="shared" si="18"/>
        <v/>
      </c>
      <c r="BJ50" s="86" t="str">
        <f t="shared" si="19"/>
        <v/>
      </c>
      <c r="BK50" s="86" t="str">
        <f t="shared" si="20"/>
        <v/>
      </c>
    </row>
    <row r="51" spans="1:63" customFormat="1" ht="31.5" customHeight="1">
      <c r="A51">
        <v>2</v>
      </c>
      <c r="B51" s="634"/>
      <c r="C51" s="714"/>
      <c r="D51" s="668"/>
      <c r="E51" s="699"/>
      <c r="F51" s="717"/>
      <c r="G51" s="415"/>
      <c r="H51" s="362"/>
      <c r="I51" s="363"/>
      <c r="J51" s="363"/>
      <c r="K51" s="280"/>
      <c r="L51" s="287"/>
      <c r="M51" s="362" t="str">
        <f>IFERROR(IF(I51="預設值Default",VLOOKUP($J51,'4.Default Emission Factor'!$D:$V,16,FALSE),"請填寫自訂活動數據單位Please fill in Custom Unit"),"請選擇預設排放係數名稱Please Choose Default Fuel or Greenhouse Gas")</f>
        <v>請填寫自訂活動數據單位Please fill in Custom Unit</v>
      </c>
      <c r="N51" s="245"/>
      <c r="O51" s="245"/>
      <c r="P51" s="24"/>
      <c r="Q51" s="24"/>
      <c r="R51" s="24"/>
      <c r="S51" s="24"/>
      <c r="T51" s="92"/>
      <c r="U51" s="92"/>
      <c r="V51" s="92"/>
      <c r="W51" s="92"/>
      <c r="X51" s="101"/>
      <c r="Y51" s="364" t="str">
        <f t="shared" si="0"/>
        <v/>
      </c>
      <c r="Z51" s="364" t="str">
        <f t="shared" si="1"/>
        <v/>
      </c>
      <c r="AA51" s="364" t="str">
        <f t="shared" si="2"/>
        <v/>
      </c>
      <c r="AB51" s="364" t="str">
        <f t="shared" si="3"/>
        <v/>
      </c>
      <c r="AC51" s="364" t="str">
        <f t="shared" si="4"/>
        <v/>
      </c>
      <c r="AD51" s="364" t="str">
        <f t="shared" si="5"/>
        <v/>
      </c>
      <c r="AE51" s="364" t="str">
        <f t="shared" si="6"/>
        <v/>
      </c>
      <c r="AF51" s="364">
        <f>IFERROR(IF($I51="預設值Default",ROUND(VLOOKUP($J51,'4.Default Emission Factor'!$D:$V,2,FALSE),10),IF($I51="自訂值Custom Value",P51,0)),0)</f>
        <v>0</v>
      </c>
      <c r="AG51" s="364">
        <f>IFERROR(IF($I51="預設值Default",ROUND(VLOOKUP($J51,'4.Default Emission Factor'!$D:$V,4,FALSE),10),IF($I51="自訂值Custom Value",Q51,0)),0)</f>
        <v>0</v>
      </c>
      <c r="AH51" s="364">
        <f>IFERROR(IF($I51="預設值Default",ROUND(VLOOKUP($J51,'4.Default Emission Factor'!$D:$V,6,FALSE),10),IF($I51="自訂值Custom Value",R51,0)),0)</f>
        <v>0</v>
      </c>
      <c r="AI51" s="364">
        <f>IFERROR(IF($I51="預設值Default",ROUND(VLOOKUP($J51,'4.Default Emission Factor'!$D:$V,8,FALSE),10),IF($I51="自訂值Custom Value",S51,0)),0)</f>
        <v>0</v>
      </c>
      <c r="AJ51" s="364">
        <f>IFERROR(IF($I51="預設值Default",ROUND(VLOOKUP($J51,'4.Default Emission Factor'!$D:$V,10,FALSE),10),IF($I51="自訂值Custom Value",T51,0)),0)</f>
        <v>0</v>
      </c>
      <c r="AK51" s="364">
        <f>IFERROR(IF($I51="預設值Default",ROUND(VLOOKUP($J51,'4.Default Emission Factor'!$D:$V,12,FALSE),10),IF($I51="自訂值Custom Value",U51,0)),0)</f>
        <v>0</v>
      </c>
      <c r="AL51" s="364">
        <f>IFERROR(IF($I51="預設值Default",ROUND(VLOOKUP($J51,'4.Default Emission Factor'!$D:$V,14,FALSE),10),IF($I51="自訂值Custom Value",V51,0)),0)</f>
        <v>0</v>
      </c>
      <c r="AM51" s="365" t="str">
        <f>IFERROR(IF(I51="預設值Default",VLOOKUP($J51,'4.Default Emission Factor'!$D:$V,17,FALSE),IF(I51="自訂值Custom Value",X51,"")),"")</f>
        <v/>
      </c>
      <c r="AN51" s="366">
        <f t="shared" si="7"/>
        <v>0</v>
      </c>
      <c r="AO51" s="366">
        <f>IF(Z51="V",IF('1.GHG Inventory Form'!$E$6="IPCC AR2 Report(1995)",'6.GWP'!$C$2,IF('1.GHG Inventory Form'!$E$6="IPCC AR3 Report(2001)",'6.GWP'!$D$2,IF('1.GHG Inventory Form'!$E$6="IPCC AR4 Report(2007)",'6.GWP'!$E$2,IF('1.GHG Inventory Form'!$E$6="IPCC AR5 Report(2013)",'6.GWP'!$F$2,IF('1.GHG Inventory Form'!$E$6="IPCC AR6 Report(2021)",'6.GWP'!$G$2,0))))),0)</f>
        <v>0</v>
      </c>
      <c r="AP51" s="366">
        <f>IF(AA51="V",IF('1.GHG Inventory Form'!$E$6="IPCC AR2 Report(1995)",'6.GWP'!$C$3,IF('1.GHG Inventory Form'!$E$6="IPCC AR3 Report(2001)",'6.GWP'!$D$3,IF('1.GHG Inventory Form'!$E$6="IPCC AR4 Report(2007)",'6.GWP'!$E$3,IF('1.GHG Inventory Form'!$E$6="IPCC AR5 Report(2013)",'6.GWP'!$F$3,IF('1.GHG Inventory Form'!$E$6="IPCC AR6 Report(2021)",'6.GWP'!$G$3,0))))),0)</f>
        <v>0</v>
      </c>
      <c r="AQ51" s="366">
        <f>IFERROR(IF(AND(AB51="V",$I51="預設值"),IF('1.GHG Inventory Form'!$E$6="IPCC AR2 Report(1995)",VLOOKUP($J51,'6.GWP'!$B$1:$G$173,2,FALSE),IF('1.GHG Inventory Form'!$E$6="IPCC AR3 Report(2001)",VLOOKUP($J51,'6.GWP'!$B$1:$G$173,3,FALSE),IF('1.GHG Inventory Form'!$E$6="IPCC AR4 Report(2007)",VLOOKUP($J51,'6.GWP'!$B$1:$G$173,4,FALSE),IF('1.GHG Inventory Form'!$E$6="IPCC AR5 Report(2013)",VLOOKUP($J51,'6.GWP'!$B$1:$G$173,5,FALSE),IF('1.GHG Inventory Form'!$E$6="IPCC AR6 Report(2021)",VLOOKUP($J51,'6.GWP'!$B$2:$G$173,6,FALSE),0))))),IF(AND(AB51="V",$I51="自訂值"),IF('1.GHG Inventory Form'!$E$6="IPCC AR2 Report(1995)",VLOOKUP($K51,'6.GWP'!$B$1:$G$173,2,FALSE),IF('1.GHG Inventory Form'!$E$6="IPCC AR3 Report(2001)",VLOOKUP($K51,'6.GWP'!$B$1:$G$173,3,FALSE),IF('1.GHG Inventory Form'!$E$6="IPCC AR4 Report(2007)",VLOOKUP($K51,'6.GWP'!$B$1:$G$173,4,FALSE),IF('1.GHG Inventory Form'!$E$6="IPCC AR5 Report(2013)",VLOOKUP($K51,'6.GWP'!$B$1:$G$173,5,FALSE),IF('1.GHG Inventory Form'!$E$6="IPCC AR6 Report(2021)",VLOOKUP($K51,'6.GWP'!$B$2:$G$173,6,FALSE),0))))),0)),0)</f>
        <v>0</v>
      </c>
      <c r="AR51" s="366">
        <f>IFERROR(IF(AND(AC51="V",$I51="預設值"),IF('1.GHG Inventory Form'!$E$6="IPCC AR2 Report(1995)",VLOOKUP($J51,'6.GWP'!$B$1:$G$173,2,FALSE),IF('1.GHG Inventory Form'!$E$6="IPCC AR3 Report(2001)",VLOOKUP($J51,'6.GWP'!$B$1:$G$173,3,FALSE),IF('1.GHG Inventory Form'!$E$6="IPCC AR4 Report(2007)",VLOOKUP($J51,'6.GWP'!$B$1:$G$173,4,FALSE),IF('1.GHG Inventory Form'!$E$6="IPCC AR5 Report(2013)",VLOOKUP($J51,'6.GWP'!$B$1:$G$173,5,FALSE),IF('1.GHG Inventory Form'!$E$6="IPCC AR6 Report(2021)",VLOOKUP($J51,'6.GWP'!$B$2:$G$173,6,FALSE),0))))),IF(AND(AC51="V",$I51="自訂值"),IF('1.GHG Inventory Form'!$E$6="IPCC AR2 Report(1995)",VLOOKUP($K51,'6.GWP'!$B$1:$G$173,2,FALSE),IF('1.GHG Inventory Form'!$E$6="IPCC AR3 Report(2001)",VLOOKUP($K51,'6.GWP'!$B$1:$G$173,3,FALSE),IF('1.GHG Inventory Form'!$E$6="IPCC AR4 Report(2007)",VLOOKUP($K51,'6.GWP'!$B$1:$G$173,4,FALSE),IF('1.GHG Inventory Form'!$E$6="IPCC AR5 Report(2013)",VLOOKUP($K51,'6.GWP'!$B$1:$G$173,5,FALSE),IF('1.GHG Inventory Form'!$E$6="IPCC AR6 Report(2021)",VLOOKUP($K51,'6.GWP'!$B$2:$G$173,6,FALSE),0))))),0)),0)</f>
        <v>0</v>
      </c>
      <c r="AS51" s="366">
        <f>IF(AD51="V",IF('1.GHG Inventory Form'!$E$6="IPCC AR2 Report(1995)",'6.GWP'!$C$5,IF('1.GHG Inventory Form'!$E$6="IPCC AR3 Report(2001)",'6.GWP'!$D$5,IF('1.GHG Inventory Form'!$E$6="IPCC AR4 Report(2007)",'6.GWP'!$E$5,IF('1.GHG Inventory Form'!$E$6="IPCC AR5 Report(2013)",'6.GWP'!$F$5,IF('1.GHG Inventory Form'!$E$6="IPCC AR6 Report(2021)",'6.GWP'!$G$5,0))))),0)</f>
        <v>0</v>
      </c>
      <c r="AT51" s="366">
        <f>IF(AE51="V",IF('1.GHG Inventory Form'!$E$6="IPCC AR2 Report(1995)",'6.GWP'!$C$4,IF('1.GHG Inventory Form'!$E$6="IPCC AR3 Report(2001)",'6.GWP'!$D$4,IF('1.GHG Inventory Form'!$E$6="IPCC AR4 Report(2007)",'6.GWP'!$E$4,IF('1.GHG Inventory Form'!$E$6="IPCC AR5 Report(2013)",'6.GWP'!$F$4,IF('1.GHG Inventory Form'!$E$6="IPCC AR6 Report(2021)",'6.GWP'!$G$4,0))))),0)</f>
        <v>0</v>
      </c>
      <c r="AU51" s="367">
        <f t="shared" si="21"/>
        <v>0</v>
      </c>
      <c r="AV51" s="367">
        <f t="shared" si="22"/>
        <v>0</v>
      </c>
      <c r="AW51" s="367">
        <f t="shared" si="23"/>
        <v>0</v>
      </c>
      <c r="AX51" s="367">
        <f t="shared" si="24"/>
        <v>0</v>
      </c>
      <c r="AY51" s="367">
        <f t="shared" si="25"/>
        <v>0</v>
      </c>
      <c r="AZ51" s="367">
        <f t="shared" si="26"/>
        <v>0</v>
      </c>
      <c r="BA51" s="367">
        <f t="shared" si="27"/>
        <v>0</v>
      </c>
      <c r="BB51" s="367">
        <f t="shared" si="15"/>
        <v>0</v>
      </c>
      <c r="BC51" s="368">
        <f t="shared" si="16"/>
        <v>0</v>
      </c>
      <c r="BD51" s="369">
        <f t="shared" si="17"/>
        <v>0</v>
      </c>
      <c r="BI51" s="86" t="str">
        <f t="shared" si="18"/>
        <v/>
      </c>
      <c r="BJ51" s="86" t="str">
        <f t="shared" si="19"/>
        <v/>
      </c>
      <c r="BK51" s="86" t="str">
        <f t="shared" si="20"/>
        <v/>
      </c>
    </row>
    <row r="52" spans="1:63" customFormat="1" ht="16" customHeight="1">
      <c r="A52">
        <v>3</v>
      </c>
      <c r="B52" s="634"/>
      <c r="C52" s="714"/>
      <c r="D52" s="668"/>
      <c r="E52" s="699"/>
      <c r="F52" s="717"/>
      <c r="G52" s="415"/>
      <c r="H52" s="362"/>
      <c r="I52" s="363"/>
      <c r="J52" s="363"/>
      <c r="K52" s="280"/>
      <c r="L52" s="287"/>
      <c r="M52" s="362" t="str">
        <f>IFERROR(IF(I52="預設值Default",VLOOKUP($J52,'4.Default Emission Factor'!$D:$V,16,FALSE),"請填寫自訂活動數據單位Please fill in Custom Unit"),"請選擇預設排放係數名稱Please Choose Default Fuel or Greenhouse Gas")</f>
        <v>請填寫自訂活動數據單位Please fill in Custom Unit</v>
      </c>
      <c r="N52" s="245"/>
      <c r="O52" s="245"/>
      <c r="P52" s="24"/>
      <c r="Q52" s="24"/>
      <c r="R52" s="24"/>
      <c r="S52" s="24"/>
      <c r="T52" s="92"/>
      <c r="U52" s="92"/>
      <c r="V52" s="92"/>
      <c r="W52" s="92"/>
      <c r="X52" s="101"/>
      <c r="Y52" s="364" t="str">
        <f t="shared" si="0"/>
        <v/>
      </c>
      <c r="Z52" s="364" t="str">
        <f t="shared" si="1"/>
        <v/>
      </c>
      <c r="AA52" s="364" t="str">
        <f t="shared" si="2"/>
        <v/>
      </c>
      <c r="AB52" s="364" t="str">
        <f t="shared" si="3"/>
        <v/>
      </c>
      <c r="AC52" s="364" t="str">
        <f t="shared" si="4"/>
        <v/>
      </c>
      <c r="AD52" s="364" t="str">
        <f t="shared" si="5"/>
        <v/>
      </c>
      <c r="AE52" s="364" t="str">
        <f t="shared" si="6"/>
        <v/>
      </c>
      <c r="AF52" s="364">
        <f>IFERROR(IF($I52="預設值Default",ROUND(VLOOKUP($J52,'4.Default Emission Factor'!$D:$V,2,FALSE),10),IF($I52="自訂值Custom Value",P52,0)),0)</f>
        <v>0</v>
      </c>
      <c r="AG52" s="364">
        <f>IFERROR(IF($I52="預設值Default",ROUND(VLOOKUP($J52,'4.Default Emission Factor'!$D:$V,4,FALSE),10),IF($I52="自訂值Custom Value",Q52,0)),0)</f>
        <v>0</v>
      </c>
      <c r="AH52" s="364">
        <f>IFERROR(IF($I52="預設值Default",ROUND(VLOOKUP($J52,'4.Default Emission Factor'!$D:$V,6,FALSE),10),IF($I52="自訂值Custom Value",R52,0)),0)</f>
        <v>0</v>
      </c>
      <c r="AI52" s="364">
        <f>IFERROR(IF($I52="預設值Default",ROUND(VLOOKUP($J52,'4.Default Emission Factor'!$D:$V,8,FALSE),10),IF($I52="自訂值Custom Value",S52,0)),0)</f>
        <v>0</v>
      </c>
      <c r="AJ52" s="364">
        <f>IFERROR(IF($I52="預設值Default",ROUND(VLOOKUP($J52,'4.Default Emission Factor'!$D:$V,10,FALSE),10),IF($I52="自訂值Custom Value",T52,0)),0)</f>
        <v>0</v>
      </c>
      <c r="AK52" s="364">
        <f>IFERROR(IF($I52="預設值Default",ROUND(VLOOKUP($J52,'4.Default Emission Factor'!$D:$V,12,FALSE),10),IF($I52="自訂值Custom Value",U52,0)),0)</f>
        <v>0</v>
      </c>
      <c r="AL52" s="364">
        <f>IFERROR(IF($I52="預設值Default",ROUND(VLOOKUP($J52,'4.Default Emission Factor'!$D:$V,14,FALSE),10),IF($I52="自訂值Custom Value",V52,0)),0)</f>
        <v>0</v>
      </c>
      <c r="AM52" s="365" t="str">
        <f>IFERROR(IF(I52="預設值Default",VLOOKUP($J52,'4.Default Emission Factor'!$D:$V,17,FALSE),IF(I52="自訂值Custom Value",X52,"")),"")</f>
        <v/>
      </c>
      <c r="AN52" s="366">
        <f t="shared" si="7"/>
        <v>0</v>
      </c>
      <c r="AO52" s="366">
        <f>IF(Z52="V",IF('1.GHG Inventory Form'!$E$6="IPCC AR2 Report(1995)",'6.GWP'!$C$2,IF('1.GHG Inventory Form'!$E$6="IPCC AR3 Report(2001)",'6.GWP'!$D$2,IF('1.GHG Inventory Form'!$E$6="IPCC AR4 Report(2007)",'6.GWP'!$E$2,IF('1.GHG Inventory Form'!$E$6="IPCC AR5 Report(2013)",'6.GWP'!$F$2,IF('1.GHG Inventory Form'!$E$6="IPCC AR6 Report(2021)",'6.GWP'!$G$2,0))))),0)</f>
        <v>0</v>
      </c>
      <c r="AP52" s="366">
        <f>IF(AA52="V",IF('1.GHG Inventory Form'!$E$6="IPCC AR2 Report(1995)",'6.GWP'!$C$3,IF('1.GHG Inventory Form'!$E$6="IPCC AR3 Report(2001)",'6.GWP'!$D$3,IF('1.GHG Inventory Form'!$E$6="IPCC AR4 Report(2007)",'6.GWP'!$E$3,IF('1.GHG Inventory Form'!$E$6="IPCC AR5 Report(2013)",'6.GWP'!$F$3,IF('1.GHG Inventory Form'!$E$6="IPCC AR6 Report(2021)",'6.GWP'!$G$3,0))))),0)</f>
        <v>0</v>
      </c>
      <c r="AQ52" s="366">
        <f>IFERROR(IF(AND(AB52="V",$I52="預設值"),IF('1.GHG Inventory Form'!$E$6="IPCC AR2 Report(1995)",VLOOKUP($J52,'6.GWP'!$B$1:$G$173,2,FALSE),IF('1.GHG Inventory Form'!$E$6="IPCC AR3 Report(2001)",VLOOKUP($J52,'6.GWP'!$B$1:$G$173,3,FALSE),IF('1.GHG Inventory Form'!$E$6="IPCC AR4 Report(2007)",VLOOKUP($J52,'6.GWP'!$B$1:$G$173,4,FALSE),IF('1.GHG Inventory Form'!$E$6="IPCC AR5 Report(2013)",VLOOKUP($J52,'6.GWP'!$B$1:$G$173,5,FALSE),IF('1.GHG Inventory Form'!$E$6="IPCC AR6 Report(2021)",VLOOKUP($J52,'6.GWP'!$B$2:$G$173,6,FALSE),0))))),IF(AND(AB52="V",$I52="自訂值"),IF('1.GHG Inventory Form'!$E$6="IPCC AR2 Report(1995)",VLOOKUP($K52,'6.GWP'!$B$1:$G$173,2,FALSE),IF('1.GHG Inventory Form'!$E$6="IPCC AR3 Report(2001)",VLOOKUP($K52,'6.GWP'!$B$1:$G$173,3,FALSE),IF('1.GHG Inventory Form'!$E$6="IPCC AR4 Report(2007)",VLOOKUP($K52,'6.GWP'!$B$1:$G$173,4,FALSE),IF('1.GHG Inventory Form'!$E$6="IPCC AR5 Report(2013)",VLOOKUP($K52,'6.GWP'!$B$1:$G$173,5,FALSE),IF('1.GHG Inventory Form'!$E$6="IPCC AR6 Report(2021)",VLOOKUP($K52,'6.GWP'!$B$2:$G$173,6,FALSE),0))))),0)),0)</f>
        <v>0</v>
      </c>
      <c r="AR52" s="366">
        <f>IFERROR(IF(AND(AC52="V",$I52="預設值"),IF('1.GHG Inventory Form'!$E$6="IPCC AR2 Report(1995)",VLOOKUP($J52,'6.GWP'!$B$1:$G$173,2,FALSE),IF('1.GHG Inventory Form'!$E$6="IPCC AR3 Report(2001)",VLOOKUP($J52,'6.GWP'!$B$1:$G$173,3,FALSE),IF('1.GHG Inventory Form'!$E$6="IPCC AR4 Report(2007)",VLOOKUP($J52,'6.GWP'!$B$1:$G$173,4,FALSE),IF('1.GHG Inventory Form'!$E$6="IPCC AR5 Report(2013)",VLOOKUP($J52,'6.GWP'!$B$1:$G$173,5,FALSE),IF('1.GHG Inventory Form'!$E$6="IPCC AR6 Report(2021)",VLOOKUP($J52,'6.GWP'!$B$2:$G$173,6,FALSE),0))))),IF(AND(AC52="V",$I52="自訂值"),IF('1.GHG Inventory Form'!$E$6="IPCC AR2 Report(1995)",VLOOKUP($K52,'6.GWP'!$B$1:$G$173,2,FALSE),IF('1.GHG Inventory Form'!$E$6="IPCC AR3 Report(2001)",VLOOKUP($K52,'6.GWP'!$B$1:$G$173,3,FALSE),IF('1.GHG Inventory Form'!$E$6="IPCC AR4 Report(2007)",VLOOKUP($K52,'6.GWP'!$B$1:$G$173,4,FALSE),IF('1.GHG Inventory Form'!$E$6="IPCC AR5 Report(2013)",VLOOKUP($K52,'6.GWP'!$B$1:$G$173,5,FALSE),IF('1.GHG Inventory Form'!$E$6="IPCC AR6 Report(2021)",VLOOKUP($K52,'6.GWP'!$B$2:$G$173,6,FALSE),0))))),0)),0)</f>
        <v>0</v>
      </c>
      <c r="AS52" s="366">
        <f>IF(AD52="V",IF('1.GHG Inventory Form'!$E$6="IPCC AR2 Report(1995)",'6.GWP'!$C$5,IF('1.GHG Inventory Form'!$E$6="IPCC AR3 Report(2001)",'6.GWP'!$D$5,IF('1.GHG Inventory Form'!$E$6="IPCC AR4 Report(2007)",'6.GWP'!$E$5,IF('1.GHG Inventory Form'!$E$6="IPCC AR5 Report(2013)",'6.GWP'!$F$5,IF('1.GHG Inventory Form'!$E$6="IPCC AR6 Report(2021)",'6.GWP'!$G$5,0))))),0)</f>
        <v>0</v>
      </c>
      <c r="AT52" s="366">
        <f>IF(AE52="V",IF('1.GHG Inventory Form'!$E$6="IPCC AR2 Report(1995)",'6.GWP'!$C$4,IF('1.GHG Inventory Form'!$E$6="IPCC AR3 Report(2001)",'6.GWP'!$D$4,IF('1.GHG Inventory Form'!$E$6="IPCC AR4 Report(2007)",'6.GWP'!$E$4,IF('1.GHG Inventory Form'!$E$6="IPCC AR5 Report(2013)",'6.GWP'!$F$4,IF('1.GHG Inventory Form'!$E$6="IPCC AR6 Report(2021)",'6.GWP'!$G$4,0))))),0)</f>
        <v>0</v>
      </c>
      <c r="AU52" s="367">
        <f t="shared" si="21"/>
        <v>0</v>
      </c>
      <c r="AV52" s="367">
        <f t="shared" si="22"/>
        <v>0</v>
      </c>
      <c r="AW52" s="367">
        <f t="shared" si="23"/>
        <v>0</v>
      </c>
      <c r="AX52" s="367">
        <f t="shared" si="24"/>
        <v>0</v>
      </c>
      <c r="AY52" s="367">
        <f t="shared" si="25"/>
        <v>0</v>
      </c>
      <c r="AZ52" s="367">
        <f t="shared" si="26"/>
        <v>0</v>
      </c>
      <c r="BA52" s="367">
        <f t="shared" si="27"/>
        <v>0</v>
      </c>
      <c r="BB52" s="367">
        <f t="shared" si="15"/>
        <v>0</v>
      </c>
      <c r="BC52" s="368">
        <f t="shared" si="16"/>
        <v>0</v>
      </c>
      <c r="BD52" s="369">
        <f t="shared" si="17"/>
        <v>0</v>
      </c>
      <c r="BI52" s="86" t="str">
        <f t="shared" si="18"/>
        <v/>
      </c>
      <c r="BJ52" s="86" t="str">
        <f t="shared" si="19"/>
        <v/>
      </c>
      <c r="BK52" s="86" t="str">
        <f t="shared" si="20"/>
        <v/>
      </c>
    </row>
    <row r="53" spans="1:63" customFormat="1" ht="46.5" customHeight="1">
      <c r="A53">
        <v>4</v>
      </c>
      <c r="B53" s="634"/>
      <c r="C53" s="714"/>
      <c r="D53" s="668"/>
      <c r="E53" s="699"/>
      <c r="F53" s="717"/>
      <c r="G53" s="415"/>
      <c r="H53" s="362"/>
      <c r="I53" s="363"/>
      <c r="J53" s="363"/>
      <c r="K53" s="280"/>
      <c r="L53" s="287"/>
      <c r="M53" s="362" t="str">
        <f>IFERROR(IF(I53="預設值Default",VLOOKUP($J53,'4.Default Emission Factor'!$D:$V,16,FALSE),"請填寫自訂活動數據單位Please fill in Custom Unit"),"請選擇預設排放係數名稱Please Choose Default Fuel or Greenhouse Gas")</f>
        <v>請填寫自訂活動數據單位Please fill in Custom Unit</v>
      </c>
      <c r="N53" s="245"/>
      <c r="O53" s="245"/>
      <c r="P53" s="24"/>
      <c r="Q53" s="24"/>
      <c r="R53" s="24"/>
      <c r="S53" s="24"/>
      <c r="T53" s="92"/>
      <c r="U53" s="92"/>
      <c r="V53" s="92"/>
      <c r="W53" s="92"/>
      <c r="X53" s="101"/>
      <c r="Y53" s="364" t="str">
        <f t="shared" si="0"/>
        <v/>
      </c>
      <c r="Z53" s="364" t="str">
        <f t="shared" si="1"/>
        <v/>
      </c>
      <c r="AA53" s="364" t="str">
        <f t="shared" si="2"/>
        <v/>
      </c>
      <c r="AB53" s="364" t="str">
        <f t="shared" si="3"/>
        <v/>
      </c>
      <c r="AC53" s="364" t="str">
        <f t="shared" si="4"/>
        <v/>
      </c>
      <c r="AD53" s="364" t="str">
        <f t="shared" si="5"/>
        <v/>
      </c>
      <c r="AE53" s="364" t="str">
        <f t="shared" si="6"/>
        <v/>
      </c>
      <c r="AF53" s="364">
        <f>IFERROR(IF($I53="預設值Default",ROUND(VLOOKUP($J53,'4.Default Emission Factor'!$D:$V,2,FALSE),10),IF($I53="自訂值Custom Value",P53,0)),0)</f>
        <v>0</v>
      </c>
      <c r="AG53" s="364">
        <f>IFERROR(IF($I53="預設值Default",ROUND(VLOOKUP($J53,'4.Default Emission Factor'!$D:$V,4,FALSE),10),IF($I53="自訂值Custom Value",Q53,0)),0)</f>
        <v>0</v>
      </c>
      <c r="AH53" s="364">
        <f>IFERROR(IF($I53="預設值Default",ROUND(VLOOKUP($J53,'4.Default Emission Factor'!$D:$V,6,FALSE),10),IF($I53="自訂值Custom Value",R53,0)),0)</f>
        <v>0</v>
      </c>
      <c r="AI53" s="364">
        <f>IFERROR(IF($I53="預設值Default",ROUND(VLOOKUP($J53,'4.Default Emission Factor'!$D:$V,8,FALSE),10),IF($I53="自訂值Custom Value",S53,0)),0)</f>
        <v>0</v>
      </c>
      <c r="AJ53" s="364">
        <f>IFERROR(IF($I53="預設值Default",ROUND(VLOOKUP($J53,'4.Default Emission Factor'!$D:$V,10,FALSE),10),IF($I53="自訂值Custom Value",T53,0)),0)</f>
        <v>0</v>
      </c>
      <c r="AK53" s="364">
        <f>IFERROR(IF($I53="預設值Default",ROUND(VLOOKUP($J53,'4.Default Emission Factor'!$D:$V,12,FALSE),10),IF($I53="自訂值Custom Value",U53,0)),0)</f>
        <v>0</v>
      </c>
      <c r="AL53" s="364">
        <f>IFERROR(IF($I53="預設值Default",ROUND(VLOOKUP($J53,'4.Default Emission Factor'!$D:$V,14,FALSE),10),IF($I53="自訂值Custom Value",V53,0)),0)</f>
        <v>0</v>
      </c>
      <c r="AM53" s="365" t="str">
        <f>IFERROR(IF(I53="預設值Default",VLOOKUP($J53,'4.Default Emission Factor'!$D:$V,17,FALSE),IF(I53="自訂值Custom Value",X53,"")),"")</f>
        <v/>
      </c>
      <c r="AN53" s="366">
        <f t="shared" si="7"/>
        <v>0</v>
      </c>
      <c r="AO53" s="366">
        <f>IF(Z53="V",IF('1.GHG Inventory Form'!$E$6="IPCC AR2 Report(1995)",'6.GWP'!$C$2,IF('1.GHG Inventory Form'!$E$6="IPCC AR3 Report(2001)",'6.GWP'!$D$2,IF('1.GHG Inventory Form'!$E$6="IPCC AR4 Report(2007)",'6.GWP'!$E$2,IF('1.GHG Inventory Form'!$E$6="IPCC AR5 Report(2013)",'6.GWP'!$F$2,IF('1.GHG Inventory Form'!$E$6="IPCC AR6 Report(2021)",'6.GWP'!$G$2,0))))),0)</f>
        <v>0</v>
      </c>
      <c r="AP53" s="366">
        <f>IF(AA53="V",IF('1.GHG Inventory Form'!$E$6="IPCC AR2 Report(1995)",'6.GWP'!$C$3,IF('1.GHG Inventory Form'!$E$6="IPCC AR3 Report(2001)",'6.GWP'!$D$3,IF('1.GHG Inventory Form'!$E$6="IPCC AR4 Report(2007)",'6.GWP'!$E$3,IF('1.GHG Inventory Form'!$E$6="IPCC AR5 Report(2013)",'6.GWP'!$F$3,IF('1.GHG Inventory Form'!$E$6="IPCC AR6 Report(2021)",'6.GWP'!$G$3,0))))),0)</f>
        <v>0</v>
      </c>
      <c r="AQ53" s="366">
        <f>IFERROR(IF(AND(AB53="V",$I53="預設值"),IF('1.GHG Inventory Form'!$E$6="IPCC AR2 Report(1995)",VLOOKUP($J53,'6.GWP'!$B$1:$G$173,2,FALSE),IF('1.GHG Inventory Form'!$E$6="IPCC AR3 Report(2001)",VLOOKUP($J53,'6.GWP'!$B$1:$G$173,3,FALSE),IF('1.GHG Inventory Form'!$E$6="IPCC AR4 Report(2007)",VLOOKUP($J53,'6.GWP'!$B$1:$G$173,4,FALSE),IF('1.GHG Inventory Form'!$E$6="IPCC AR5 Report(2013)",VLOOKUP($J53,'6.GWP'!$B$1:$G$173,5,FALSE),IF('1.GHG Inventory Form'!$E$6="IPCC AR6 Report(2021)",VLOOKUP($J53,'6.GWP'!$B$2:$G$173,6,FALSE),0))))),IF(AND(AB53="V",$I53="自訂值"),IF('1.GHG Inventory Form'!$E$6="IPCC AR2 Report(1995)",VLOOKUP($K53,'6.GWP'!$B$1:$G$173,2,FALSE),IF('1.GHG Inventory Form'!$E$6="IPCC AR3 Report(2001)",VLOOKUP($K53,'6.GWP'!$B$1:$G$173,3,FALSE),IF('1.GHG Inventory Form'!$E$6="IPCC AR4 Report(2007)",VLOOKUP($K53,'6.GWP'!$B$1:$G$173,4,FALSE),IF('1.GHG Inventory Form'!$E$6="IPCC AR5 Report(2013)",VLOOKUP($K53,'6.GWP'!$B$1:$G$173,5,FALSE),IF('1.GHG Inventory Form'!$E$6="IPCC AR6 Report(2021)",VLOOKUP($K53,'6.GWP'!$B$2:$G$173,6,FALSE),0))))),0)),0)</f>
        <v>0</v>
      </c>
      <c r="AR53" s="366">
        <f>IFERROR(IF(AND(AC53="V",$I53="預設值"),IF('1.GHG Inventory Form'!$E$6="IPCC AR2 Report(1995)",VLOOKUP($J53,'6.GWP'!$B$1:$G$173,2,FALSE),IF('1.GHG Inventory Form'!$E$6="IPCC AR3 Report(2001)",VLOOKUP($J53,'6.GWP'!$B$1:$G$173,3,FALSE),IF('1.GHG Inventory Form'!$E$6="IPCC AR4 Report(2007)",VLOOKUP($J53,'6.GWP'!$B$1:$G$173,4,FALSE),IF('1.GHG Inventory Form'!$E$6="IPCC AR5 Report(2013)",VLOOKUP($J53,'6.GWP'!$B$1:$G$173,5,FALSE),IF('1.GHG Inventory Form'!$E$6="IPCC AR6 Report(2021)",VLOOKUP($J53,'6.GWP'!$B$2:$G$173,6,FALSE),0))))),IF(AND(AC53="V",$I53="自訂值"),IF('1.GHG Inventory Form'!$E$6="IPCC AR2 Report(1995)",VLOOKUP($K53,'6.GWP'!$B$1:$G$173,2,FALSE),IF('1.GHG Inventory Form'!$E$6="IPCC AR3 Report(2001)",VLOOKUP($K53,'6.GWP'!$B$1:$G$173,3,FALSE),IF('1.GHG Inventory Form'!$E$6="IPCC AR4 Report(2007)",VLOOKUP($K53,'6.GWP'!$B$1:$G$173,4,FALSE),IF('1.GHG Inventory Form'!$E$6="IPCC AR5 Report(2013)",VLOOKUP($K53,'6.GWP'!$B$1:$G$173,5,FALSE),IF('1.GHG Inventory Form'!$E$6="IPCC AR6 Report(2021)",VLOOKUP($K53,'6.GWP'!$B$2:$G$173,6,FALSE),0))))),0)),0)</f>
        <v>0</v>
      </c>
      <c r="AS53" s="366">
        <f>IF(AD53="V",IF('1.GHG Inventory Form'!$E$6="IPCC AR2 Report(1995)",'6.GWP'!$C$5,IF('1.GHG Inventory Form'!$E$6="IPCC AR3 Report(2001)",'6.GWP'!$D$5,IF('1.GHG Inventory Form'!$E$6="IPCC AR4 Report(2007)",'6.GWP'!$E$5,IF('1.GHG Inventory Form'!$E$6="IPCC AR5 Report(2013)",'6.GWP'!$F$5,IF('1.GHG Inventory Form'!$E$6="IPCC AR6 Report(2021)",'6.GWP'!$G$5,0))))),0)</f>
        <v>0</v>
      </c>
      <c r="AT53" s="366">
        <f>IF(AE53="V",IF('1.GHG Inventory Form'!$E$6="IPCC AR2 Report(1995)",'6.GWP'!$C$4,IF('1.GHG Inventory Form'!$E$6="IPCC AR3 Report(2001)",'6.GWP'!$D$4,IF('1.GHG Inventory Form'!$E$6="IPCC AR4 Report(2007)",'6.GWP'!$E$4,IF('1.GHG Inventory Form'!$E$6="IPCC AR5 Report(2013)",'6.GWP'!$F$4,IF('1.GHG Inventory Form'!$E$6="IPCC AR6 Report(2021)",'6.GWP'!$G$4,0))))),0)</f>
        <v>0</v>
      </c>
      <c r="AU53" s="367">
        <f t="shared" si="21"/>
        <v>0</v>
      </c>
      <c r="AV53" s="367">
        <f t="shared" si="22"/>
        <v>0</v>
      </c>
      <c r="AW53" s="367">
        <f t="shared" si="23"/>
        <v>0</v>
      </c>
      <c r="AX53" s="367">
        <f t="shared" si="24"/>
        <v>0</v>
      </c>
      <c r="AY53" s="367">
        <f t="shared" si="25"/>
        <v>0</v>
      </c>
      <c r="AZ53" s="367">
        <f t="shared" si="26"/>
        <v>0</v>
      </c>
      <c r="BA53" s="367">
        <f t="shared" si="27"/>
        <v>0</v>
      </c>
      <c r="BB53" s="367">
        <f t="shared" si="15"/>
        <v>0</v>
      </c>
      <c r="BC53" s="368">
        <f t="shared" si="16"/>
        <v>0</v>
      </c>
      <c r="BD53" s="369">
        <f t="shared" si="17"/>
        <v>0</v>
      </c>
      <c r="BI53" s="86" t="str">
        <f t="shared" si="18"/>
        <v/>
      </c>
      <c r="BJ53" s="86" t="str">
        <f t="shared" si="19"/>
        <v/>
      </c>
      <c r="BK53" s="86" t="str">
        <f t="shared" si="20"/>
        <v/>
      </c>
    </row>
    <row r="54" spans="1:63" customFormat="1" ht="31" customHeight="1">
      <c r="A54">
        <v>5</v>
      </c>
      <c r="B54" s="634"/>
      <c r="C54" s="714"/>
      <c r="D54" s="668"/>
      <c r="E54" s="699"/>
      <c r="F54" s="717"/>
      <c r="G54" s="415"/>
      <c r="H54" s="362"/>
      <c r="I54" s="363"/>
      <c r="J54" s="363"/>
      <c r="K54" s="280"/>
      <c r="L54" s="234"/>
      <c r="M54" s="362" t="str">
        <f>IFERROR(IF(I54="預設值Default",VLOOKUP($J54,'4.Default Emission Factor'!$D:$V,16,FALSE),"請填寫自訂活動數據單位Please fill in Custom Unit"),"請選擇預設排放係數名稱Please Choose Default Fuel or Greenhouse Gas")</f>
        <v>請填寫自訂活動數據單位Please fill in Custom Unit</v>
      </c>
      <c r="N54" s="245"/>
      <c r="O54" s="245"/>
      <c r="P54" s="24"/>
      <c r="Q54" s="24"/>
      <c r="R54" s="24"/>
      <c r="S54" s="24"/>
      <c r="T54" s="92"/>
      <c r="U54" s="92"/>
      <c r="V54" s="92"/>
      <c r="W54" s="92"/>
      <c r="X54" s="101"/>
      <c r="Y54" s="364" t="str">
        <f t="shared" si="0"/>
        <v/>
      </c>
      <c r="Z54" s="364" t="str">
        <f t="shared" si="1"/>
        <v/>
      </c>
      <c r="AA54" s="364" t="str">
        <f t="shared" si="2"/>
        <v/>
      </c>
      <c r="AB54" s="364" t="str">
        <f t="shared" si="3"/>
        <v/>
      </c>
      <c r="AC54" s="364" t="str">
        <f t="shared" si="4"/>
        <v/>
      </c>
      <c r="AD54" s="364" t="str">
        <f t="shared" si="5"/>
        <v/>
      </c>
      <c r="AE54" s="364" t="str">
        <f t="shared" si="6"/>
        <v/>
      </c>
      <c r="AF54" s="364">
        <f>IFERROR(IF($I54="預設值Default",ROUND(VLOOKUP($J54,'4.Default Emission Factor'!$D:$V,2,FALSE),10),IF($I54="自訂值Custom Value",P54,0)),0)</f>
        <v>0</v>
      </c>
      <c r="AG54" s="364">
        <f>IFERROR(IF($I54="預設值Default",ROUND(VLOOKUP($J54,'4.Default Emission Factor'!$D:$V,4,FALSE),10),IF($I54="自訂值Custom Value",Q54,0)),0)</f>
        <v>0</v>
      </c>
      <c r="AH54" s="364">
        <f>IFERROR(IF($I54="預設值Default",ROUND(VLOOKUP($J54,'4.Default Emission Factor'!$D:$V,6,FALSE),10),IF($I54="自訂值Custom Value",R54,0)),0)</f>
        <v>0</v>
      </c>
      <c r="AI54" s="364">
        <f>IFERROR(IF($I54="預設值Default",ROUND(VLOOKUP($J54,'4.Default Emission Factor'!$D:$V,8,FALSE),10),IF($I54="自訂值Custom Value",S54,0)),0)</f>
        <v>0</v>
      </c>
      <c r="AJ54" s="364">
        <f>IFERROR(IF($I54="預設值Default",ROUND(VLOOKUP($J54,'4.Default Emission Factor'!$D:$V,10,FALSE),10),IF($I54="自訂值Custom Value",T54,0)),0)</f>
        <v>0</v>
      </c>
      <c r="AK54" s="364">
        <f>IFERROR(IF($I54="預設值Default",ROUND(VLOOKUP($J54,'4.Default Emission Factor'!$D:$V,12,FALSE),10),IF($I54="自訂值Custom Value",U54,0)),0)</f>
        <v>0</v>
      </c>
      <c r="AL54" s="364">
        <f>IFERROR(IF($I54="預設值Default",ROUND(VLOOKUP($J54,'4.Default Emission Factor'!$D:$V,14,FALSE),10),IF($I54="自訂值Custom Value",V54,0)),0)</f>
        <v>0</v>
      </c>
      <c r="AM54" s="365" t="str">
        <f>IFERROR(IF(I54="預設值Default",VLOOKUP($J54,'4.Default Emission Factor'!$D:$V,17,FALSE),IF(I54="自訂值Custom Value",X54,"")),"")</f>
        <v/>
      </c>
      <c r="AN54" s="366">
        <f t="shared" si="7"/>
        <v>0</v>
      </c>
      <c r="AO54" s="366">
        <f>IF(Z54="V",IF('1.GHG Inventory Form'!$E$6="IPCC AR2 Report(1995)",'6.GWP'!$C$2,IF('1.GHG Inventory Form'!$E$6="IPCC AR3 Report(2001)",'6.GWP'!$D$2,IF('1.GHG Inventory Form'!$E$6="IPCC AR4 Report(2007)",'6.GWP'!$E$2,IF('1.GHG Inventory Form'!$E$6="IPCC AR5 Report(2013)",'6.GWP'!$F$2,IF('1.GHG Inventory Form'!$E$6="IPCC AR6 Report(2021)",'6.GWP'!$G$2,0))))),0)</f>
        <v>0</v>
      </c>
      <c r="AP54" s="366">
        <f>IF(AA54="V",IF('1.GHG Inventory Form'!$E$6="IPCC AR2 Report(1995)",'6.GWP'!$C$3,IF('1.GHG Inventory Form'!$E$6="IPCC AR3 Report(2001)",'6.GWP'!$D$3,IF('1.GHG Inventory Form'!$E$6="IPCC AR4 Report(2007)",'6.GWP'!$E$3,IF('1.GHG Inventory Form'!$E$6="IPCC AR5 Report(2013)",'6.GWP'!$F$3,IF('1.GHG Inventory Form'!$E$6="IPCC AR6 Report(2021)",'6.GWP'!$G$3,0))))),0)</f>
        <v>0</v>
      </c>
      <c r="AQ54" s="366">
        <f>IFERROR(IF(AND(AB54="V",$I54="預設值"),IF('1.GHG Inventory Form'!$E$6="IPCC AR2 Report(1995)",VLOOKUP($J54,'6.GWP'!$B$1:$G$173,2,FALSE),IF('1.GHG Inventory Form'!$E$6="IPCC AR3 Report(2001)",VLOOKUP($J54,'6.GWP'!$B$1:$G$173,3,FALSE),IF('1.GHG Inventory Form'!$E$6="IPCC AR4 Report(2007)",VLOOKUP($J54,'6.GWP'!$B$1:$G$173,4,FALSE),IF('1.GHG Inventory Form'!$E$6="IPCC AR5 Report(2013)",VLOOKUP($J54,'6.GWP'!$B$1:$G$173,5,FALSE),IF('1.GHG Inventory Form'!$E$6="IPCC AR6 Report(2021)",VLOOKUP($J54,'6.GWP'!$B$2:$G$173,6,FALSE),0))))),IF(AND(AB54="V",$I54="自訂值"),IF('1.GHG Inventory Form'!$E$6="IPCC AR2 Report(1995)",VLOOKUP($K54,'6.GWP'!$B$1:$G$173,2,FALSE),IF('1.GHG Inventory Form'!$E$6="IPCC AR3 Report(2001)",VLOOKUP($K54,'6.GWP'!$B$1:$G$173,3,FALSE),IF('1.GHG Inventory Form'!$E$6="IPCC AR4 Report(2007)",VLOOKUP($K54,'6.GWP'!$B$1:$G$173,4,FALSE),IF('1.GHG Inventory Form'!$E$6="IPCC AR5 Report(2013)",VLOOKUP($K54,'6.GWP'!$B$1:$G$173,5,FALSE),IF('1.GHG Inventory Form'!$E$6="IPCC AR6 Report(2021)",VLOOKUP($K54,'6.GWP'!$B$2:$G$173,6,FALSE),0))))),0)),0)</f>
        <v>0</v>
      </c>
      <c r="AR54" s="366">
        <f>IFERROR(IF(AND(AC54="V",$I54="預設值"),IF('1.GHG Inventory Form'!$E$6="IPCC AR2 Report(1995)",VLOOKUP($J54,'6.GWP'!$B$1:$G$173,2,FALSE),IF('1.GHG Inventory Form'!$E$6="IPCC AR3 Report(2001)",VLOOKUP($J54,'6.GWP'!$B$1:$G$173,3,FALSE),IF('1.GHG Inventory Form'!$E$6="IPCC AR4 Report(2007)",VLOOKUP($J54,'6.GWP'!$B$1:$G$173,4,FALSE),IF('1.GHG Inventory Form'!$E$6="IPCC AR5 Report(2013)",VLOOKUP($J54,'6.GWP'!$B$1:$G$173,5,FALSE),IF('1.GHG Inventory Form'!$E$6="IPCC AR6 Report(2021)",VLOOKUP($J54,'6.GWP'!$B$2:$G$173,6,FALSE),0))))),IF(AND(AC54="V",$I54="自訂值"),IF('1.GHG Inventory Form'!$E$6="IPCC AR2 Report(1995)",VLOOKUP($K54,'6.GWP'!$B$1:$G$173,2,FALSE),IF('1.GHG Inventory Form'!$E$6="IPCC AR3 Report(2001)",VLOOKUP($K54,'6.GWP'!$B$1:$G$173,3,FALSE),IF('1.GHG Inventory Form'!$E$6="IPCC AR4 Report(2007)",VLOOKUP($K54,'6.GWP'!$B$1:$G$173,4,FALSE),IF('1.GHG Inventory Form'!$E$6="IPCC AR5 Report(2013)",VLOOKUP($K54,'6.GWP'!$B$1:$G$173,5,FALSE),IF('1.GHG Inventory Form'!$E$6="IPCC AR6 Report(2021)",VLOOKUP($K54,'6.GWP'!$B$2:$G$173,6,FALSE),0))))),0)),0)</f>
        <v>0</v>
      </c>
      <c r="AS54" s="366">
        <f>IF(AD54="V",IF('1.GHG Inventory Form'!$E$6="IPCC AR2 Report(1995)",'6.GWP'!$C$5,IF('1.GHG Inventory Form'!$E$6="IPCC AR3 Report(2001)",'6.GWP'!$D$5,IF('1.GHG Inventory Form'!$E$6="IPCC AR4 Report(2007)",'6.GWP'!$E$5,IF('1.GHG Inventory Form'!$E$6="IPCC AR5 Report(2013)",'6.GWP'!$F$5,IF('1.GHG Inventory Form'!$E$6="IPCC AR6 Report(2021)",'6.GWP'!$G$5,0))))),0)</f>
        <v>0</v>
      </c>
      <c r="AT54" s="366">
        <f>IF(AE54="V",IF('1.GHG Inventory Form'!$E$6="IPCC AR2 Report(1995)",'6.GWP'!$C$4,IF('1.GHG Inventory Form'!$E$6="IPCC AR3 Report(2001)",'6.GWP'!$D$4,IF('1.GHG Inventory Form'!$E$6="IPCC AR4 Report(2007)",'6.GWP'!$E$4,IF('1.GHG Inventory Form'!$E$6="IPCC AR5 Report(2013)",'6.GWP'!$F$4,IF('1.GHG Inventory Form'!$E$6="IPCC AR6 Report(2021)",'6.GWP'!$G$4,0))))),0)</f>
        <v>0</v>
      </c>
      <c r="AU54" s="367">
        <f t="shared" si="21"/>
        <v>0</v>
      </c>
      <c r="AV54" s="367">
        <f t="shared" si="22"/>
        <v>0</v>
      </c>
      <c r="AW54" s="367">
        <f t="shared" si="23"/>
        <v>0</v>
      </c>
      <c r="AX54" s="367">
        <f t="shared" si="24"/>
        <v>0</v>
      </c>
      <c r="AY54" s="367">
        <f t="shared" si="25"/>
        <v>0</v>
      </c>
      <c r="AZ54" s="367">
        <f t="shared" si="26"/>
        <v>0</v>
      </c>
      <c r="BA54" s="367">
        <f t="shared" si="27"/>
        <v>0</v>
      </c>
      <c r="BB54" s="367">
        <f t="shared" si="15"/>
        <v>0</v>
      </c>
      <c r="BC54" s="368">
        <f t="shared" si="16"/>
        <v>0</v>
      </c>
      <c r="BD54" s="369">
        <f t="shared" si="17"/>
        <v>0</v>
      </c>
      <c r="BI54" s="86" t="str">
        <f t="shared" si="18"/>
        <v/>
      </c>
      <c r="BJ54" s="86" t="str">
        <f t="shared" si="19"/>
        <v/>
      </c>
      <c r="BK54" s="86" t="str">
        <f t="shared" si="20"/>
        <v/>
      </c>
    </row>
    <row r="55" spans="1:63" customFormat="1" ht="31" customHeight="1">
      <c r="A55">
        <v>6</v>
      </c>
      <c r="B55" s="634"/>
      <c r="C55" s="714"/>
      <c r="D55" s="668"/>
      <c r="E55" s="699"/>
      <c r="F55" s="717"/>
      <c r="G55" s="415"/>
      <c r="H55" s="362"/>
      <c r="I55" s="363"/>
      <c r="J55" s="363"/>
      <c r="K55" s="280"/>
      <c r="L55" s="234"/>
      <c r="M55" s="362" t="str">
        <f>IFERROR(IF(I55="預設值Default",VLOOKUP($J55,'4.Default Emission Factor'!$D:$V,16,FALSE),"請填寫自訂活動數據單位Please fill in Custom Unit"),"請選擇預設排放係數名稱Please Choose Default Fuel or Greenhouse Gas")</f>
        <v>請填寫自訂活動數據單位Please fill in Custom Unit</v>
      </c>
      <c r="N55" s="245"/>
      <c r="O55" s="245"/>
      <c r="P55" s="24"/>
      <c r="Q55" s="24"/>
      <c r="R55" s="24"/>
      <c r="S55" s="24"/>
      <c r="T55" s="92"/>
      <c r="U55" s="92"/>
      <c r="V55" s="92"/>
      <c r="W55" s="92"/>
      <c r="X55" s="101"/>
      <c r="Y55" s="364" t="str">
        <f t="shared" si="0"/>
        <v/>
      </c>
      <c r="Z55" s="364" t="str">
        <f t="shared" si="1"/>
        <v/>
      </c>
      <c r="AA55" s="364" t="str">
        <f t="shared" si="2"/>
        <v/>
      </c>
      <c r="AB55" s="364" t="str">
        <f t="shared" si="3"/>
        <v/>
      </c>
      <c r="AC55" s="364" t="str">
        <f t="shared" si="4"/>
        <v/>
      </c>
      <c r="AD55" s="364" t="str">
        <f t="shared" si="5"/>
        <v/>
      </c>
      <c r="AE55" s="364" t="str">
        <f t="shared" si="6"/>
        <v/>
      </c>
      <c r="AF55" s="364">
        <f>IFERROR(IF($I55="預設值Default",ROUND(VLOOKUP($J55,'4.Default Emission Factor'!$D:$V,2,FALSE),10),IF($I55="自訂值Custom Value",P55,0)),0)</f>
        <v>0</v>
      </c>
      <c r="AG55" s="364">
        <f>IFERROR(IF($I55="預設值Default",ROUND(VLOOKUP($J55,'4.Default Emission Factor'!$D:$V,4,FALSE),10),IF($I55="自訂值Custom Value",Q55,0)),0)</f>
        <v>0</v>
      </c>
      <c r="AH55" s="364">
        <f>IFERROR(IF($I55="預設值Default",ROUND(VLOOKUP($J55,'4.Default Emission Factor'!$D:$V,6,FALSE),10),IF($I55="自訂值Custom Value",R55,0)),0)</f>
        <v>0</v>
      </c>
      <c r="AI55" s="364">
        <f>IFERROR(IF($I55="預設值Default",ROUND(VLOOKUP($J55,'4.Default Emission Factor'!$D:$V,8,FALSE),10),IF($I55="自訂值Custom Value",S55,0)),0)</f>
        <v>0</v>
      </c>
      <c r="AJ55" s="364">
        <f>IFERROR(IF($I55="預設值Default",ROUND(VLOOKUP($J55,'4.Default Emission Factor'!$D:$V,10,FALSE),10),IF($I55="自訂值Custom Value",T55,0)),0)</f>
        <v>0</v>
      </c>
      <c r="AK55" s="364">
        <f>IFERROR(IF($I55="預設值Default",ROUND(VLOOKUP($J55,'4.Default Emission Factor'!$D:$V,12,FALSE),10),IF($I55="自訂值Custom Value",U55,0)),0)</f>
        <v>0</v>
      </c>
      <c r="AL55" s="364">
        <f>IFERROR(IF($I55="預設值Default",ROUND(VLOOKUP($J55,'4.Default Emission Factor'!$D:$V,14,FALSE),10),IF($I55="自訂值Custom Value",V55,0)),0)</f>
        <v>0</v>
      </c>
      <c r="AM55" s="365" t="str">
        <f>IFERROR(IF(I55="預設值Default",VLOOKUP($J55,'4.Default Emission Factor'!$D:$V,17,FALSE),IF(I55="自訂值Custom Value",X55,"")),"")</f>
        <v/>
      </c>
      <c r="AN55" s="366">
        <f t="shared" si="7"/>
        <v>0</v>
      </c>
      <c r="AO55" s="366">
        <f>IF(Z55="V",IF('1.GHG Inventory Form'!$E$6="IPCC AR2 Report(1995)",'6.GWP'!$C$2,IF('1.GHG Inventory Form'!$E$6="IPCC AR3 Report(2001)",'6.GWP'!$D$2,IF('1.GHG Inventory Form'!$E$6="IPCC AR4 Report(2007)",'6.GWP'!$E$2,IF('1.GHG Inventory Form'!$E$6="IPCC AR5 Report(2013)",'6.GWP'!$F$2,IF('1.GHG Inventory Form'!$E$6="IPCC AR6 Report(2021)",'6.GWP'!$G$2,0))))),0)</f>
        <v>0</v>
      </c>
      <c r="AP55" s="366">
        <f>IF(AA55="V",IF('1.GHG Inventory Form'!$E$6="IPCC AR2 Report(1995)",'6.GWP'!$C$3,IF('1.GHG Inventory Form'!$E$6="IPCC AR3 Report(2001)",'6.GWP'!$D$3,IF('1.GHG Inventory Form'!$E$6="IPCC AR4 Report(2007)",'6.GWP'!$E$3,IF('1.GHG Inventory Form'!$E$6="IPCC AR5 Report(2013)",'6.GWP'!$F$3,IF('1.GHG Inventory Form'!$E$6="IPCC AR6 Report(2021)",'6.GWP'!$G$3,0))))),0)</f>
        <v>0</v>
      </c>
      <c r="AQ55" s="366">
        <f>IFERROR(IF(AND(AB55="V",$I55="預設值"),IF('1.GHG Inventory Form'!$E$6="IPCC AR2 Report(1995)",VLOOKUP($J55,'6.GWP'!$B$1:$G$173,2,FALSE),IF('1.GHG Inventory Form'!$E$6="IPCC AR3 Report(2001)",VLOOKUP($J55,'6.GWP'!$B$1:$G$173,3,FALSE),IF('1.GHG Inventory Form'!$E$6="IPCC AR4 Report(2007)",VLOOKUP($J55,'6.GWP'!$B$1:$G$173,4,FALSE),IF('1.GHG Inventory Form'!$E$6="IPCC AR5 Report(2013)",VLOOKUP($J55,'6.GWP'!$B$1:$G$173,5,FALSE),IF('1.GHG Inventory Form'!$E$6="IPCC AR6 Report(2021)",VLOOKUP($J55,'6.GWP'!$B$2:$G$173,6,FALSE),0))))),IF(AND(AB55="V",$I55="自訂值"),IF('1.GHG Inventory Form'!$E$6="IPCC AR2 Report(1995)",VLOOKUP($K55,'6.GWP'!$B$1:$G$173,2,FALSE),IF('1.GHG Inventory Form'!$E$6="IPCC AR3 Report(2001)",VLOOKUP($K55,'6.GWP'!$B$1:$G$173,3,FALSE),IF('1.GHG Inventory Form'!$E$6="IPCC AR4 Report(2007)",VLOOKUP($K55,'6.GWP'!$B$1:$G$173,4,FALSE),IF('1.GHG Inventory Form'!$E$6="IPCC AR5 Report(2013)",VLOOKUP($K55,'6.GWP'!$B$1:$G$173,5,FALSE),IF('1.GHG Inventory Form'!$E$6="IPCC AR6 Report(2021)",VLOOKUP($K55,'6.GWP'!$B$2:$G$173,6,FALSE),0))))),0)),0)</f>
        <v>0</v>
      </c>
      <c r="AR55" s="366">
        <f>IFERROR(IF(AND(AC55="V",$I55="預設值"),IF('1.GHG Inventory Form'!$E$6="IPCC AR2 Report(1995)",VLOOKUP($J55,'6.GWP'!$B$1:$G$173,2,FALSE),IF('1.GHG Inventory Form'!$E$6="IPCC AR3 Report(2001)",VLOOKUP($J55,'6.GWP'!$B$1:$G$173,3,FALSE),IF('1.GHG Inventory Form'!$E$6="IPCC AR4 Report(2007)",VLOOKUP($J55,'6.GWP'!$B$1:$G$173,4,FALSE),IF('1.GHG Inventory Form'!$E$6="IPCC AR5 Report(2013)",VLOOKUP($J55,'6.GWP'!$B$1:$G$173,5,FALSE),IF('1.GHG Inventory Form'!$E$6="IPCC AR6 Report(2021)",VLOOKUP($J55,'6.GWP'!$B$2:$G$173,6,FALSE),0))))),IF(AND(AC55="V",$I55="自訂值"),IF('1.GHG Inventory Form'!$E$6="IPCC AR2 Report(1995)",VLOOKUP($K55,'6.GWP'!$B$1:$G$173,2,FALSE),IF('1.GHG Inventory Form'!$E$6="IPCC AR3 Report(2001)",VLOOKUP($K55,'6.GWP'!$B$1:$G$173,3,FALSE),IF('1.GHG Inventory Form'!$E$6="IPCC AR4 Report(2007)",VLOOKUP($K55,'6.GWP'!$B$1:$G$173,4,FALSE),IF('1.GHG Inventory Form'!$E$6="IPCC AR5 Report(2013)",VLOOKUP($K55,'6.GWP'!$B$1:$G$173,5,FALSE),IF('1.GHG Inventory Form'!$E$6="IPCC AR6 Report(2021)",VLOOKUP($K55,'6.GWP'!$B$2:$G$173,6,FALSE),0))))),0)),0)</f>
        <v>0</v>
      </c>
      <c r="AS55" s="366">
        <f>IF(AD55="V",IF('1.GHG Inventory Form'!$E$6="IPCC AR2 Report(1995)",'6.GWP'!$C$5,IF('1.GHG Inventory Form'!$E$6="IPCC AR3 Report(2001)",'6.GWP'!$D$5,IF('1.GHG Inventory Form'!$E$6="IPCC AR4 Report(2007)",'6.GWP'!$E$5,IF('1.GHG Inventory Form'!$E$6="IPCC AR5 Report(2013)",'6.GWP'!$F$5,IF('1.GHG Inventory Form'!$E$6="IPCC AR6 Report(2021)",'6.GWP'!$G$5,0))))),0)</f>
        <v>0</v>
      </c>
      <c r="AT55" s="366">
        <f>IF(AE55="V",IF('1.GHG Inventory Form'!$E$6="IPCC AR2 Report(1995)",'6.GWP'!$C$4,IF('1.GHG Inventory Form'!$E$6="IPCC AR3 Report(2001)",'6.GWP'!$D$4,IF('1.GHG Inventory Form'!$E$6="IPCC AR4 Report(2007)",'6.GWP'!$E$4,IF('1.GHG Inventory Form'!$E$6="IPCC AR5 Report(2013)",'6.GWP'!$F$4,IF('1.GHG Inventory Form'!$E$6="IPCC AR6 Report(2021)",'6.GWP'!$G$4,0))))),0)</f>
        <v>0</v>
      </c>
      <c r="AU55" s="367">
        <f t="shared" si="21"/>
        <v>0</v>
      </c>
      <c r="AV55" s="367">
        <f t="shared" si="22"/>
        <v>0</v>
      </c>
      <c r="AW55" s="367">
        <f t="shared" si="23"/>
        <v>0</v>
      </c>
      <c r="AX55" s="367">
        <f t="shared" si="24"/>
        <v>0</v>
      </c>
      <c r="AY55" s="367">
        <f t="shared" si="25"/>
        <v>0</v>
      </c>
      <c r="AZ55" s="367">
        <f t="shared" si="26"/>
        <v>0</v>
      </c>
      <c r="BA55" s="367">
        <f t="shared" si="27"/>
        <v>0</v>
      </c>
      <c r="BB55" s="367">
        <f t="shared" si="15"/>
        <v>0</v>
      </c>
      <c r="BC55" s="368">
        <f t="shared" si="16"/>
        <v>0</v>
      </c>
      <c r="BD55" s="369">
        <f t="shared" si="17"/>
        <v>0</v>
      </c>
      <c r="BI55" s="86" t="str">
        <f t="shared" si="18"/>
        <v/>
      </c>
      <c r="BJ55" s="86" t="str">
        <f t="shared" si="19"/>
        <v/>
      </c>
      <c r="BK55" s="86" t="str">
        <f t="shared" si="20"/>
        <v/>
      </c>
    </row>
    <row r="56" spans="1:63" customFormat="1" ht="31.5" customHeight="1" thickBot="1">
      <c r="A56">
        <v>7</v>
      </c>
      <c r="B56" s="634"/>
      <c r="C56" s="714"/>
      <c r="D56" s="668"/>
      <c r="E56" s="699"/>
      <c r="F56" s="718"/>
      <c r="G56" s="416"/>
      <c r="H56" s="362"/>
      <c r="I56" s="396"/>
      <c r="J56" s="396"/>
      <c r="K56" s="286"/>
      <c r="L56" s="237"/>
      <c r="M56" s="417" t="str">
        <f>IFERROR(IF(I56="預設值Default",VLOOKUP($J56,'4.Default Emission Factor'!$D:$V,16,FALSE),"請填寫自訂活動數據單位Please fill in Custom Unit"),"請選擇預設排放係數名稱Please Choose Default Fuel or Greenhouse Gas")</f>
        <v>請填寫自訂活動數據單位Please fill in Custom Unit</v>
      </c>
      <c r="N56" s="246"/>
      <c r="O56" s="246"/>
      <c r="P56" s="25"/>
      <c r="Q56" s="25"/>
      <c r="R56" s="25"/>
      <c r="S56" s="25"/>
      <c r="T56" s="95"/>
      <c r="U56" s="95"/>
      <c r="V56" s="95"/>
      <c r="W56" s="95"/>
      <c r="X56" s="102"/>
      <c r="Y56" s="400" t="str">
        <f t="shared" si="0"/>
        <v/>
      </c>
      <c r="Z56" s="400" t="str">
        <f t="shared" si="1"/>
        <v/>
      </c>
      <c r="AA56" s="400" t="str">
        <f t="shared" si="2"/>
        <v/>
      </c>
      <c r="AB56" s="400" t="str">
        <f t="shared" si="3"/>
        <v/>
      </c>
      <c r="AC56" s="400" t="str">
        <f t="shared" si="4"/>
        <v/>
      </c>
      <c r="AD56" s="400" t="str">
        <f t="shared" si="5"/>
        <v/>
      </c>
      <c r="AE56" s="400" t="str">
        <f t="shared" si="6"/>
        <v/>
      </c>
      <c r="AF56" s="400">
        <f>IFERROR(IF($I56="預設值Default",ROUND(VLOOKUP($J56,'4.Default Emission Factor'!$D:$V,2,FALSE),10),IF($I56="自訂值Custom Value",P56,0)),0)</f>
        <v>0</v>
      </c>
      <c r="AG56" s="400">
        <f>IFERROR(IF($I56="預設值Default",ROUND(VLOOKUP($J56,'4.Default Emission Factor'!$D:$V,4,FALSE),10),IF($I56="自訂值Custom Value",Q56,0)),0)</f>
        <v>0</v>
      </c>
      <c r="AH56" s="400">
        <f>IFERROR(IF($I56="預設值Default",ROUND(VLOOKUP($J56,'4.Default Emission Factor'!$D:$V,6,FALSE),10),IF($I56="自訂值Custom Value",R56,0)),0)</f>
        <v>0</v>
      </c>
      <c r="AI56" s="400">
        <f>IFERROR(IF($I56="預設值Default",ROUND(VLOOKUP($J56,'4.Default Emission Factor'!$D:$V,8,FALSE),10),IF($I56="自訂值Custom Value",S56,0)),0)</f>
        <v>0</v>
      </c>
      <c r="AJ56" s="400">
        <f>IFERROR(IF($I56="預設值Default",ROUND(VLOOKUP($J56,'4.Default Emission Factor'!$D:$V,10,FALSE),10),IF($I56="自訂值Custom Value",T56,0)),0)</f>
        <v>0</v>
      </c>
      <c r="AK56" s="400">
        <f>IFERROR(IF($I56="預設值Default",ROUND(VLOOKUP($J56,'4.Default Emission Factor'!$D:$V,12,FALSE),10),IF($I56="自訂值Custom Value",U56,0)),0)</f>
        <v>0</v>
      </c>
      <c r="AL56" s="400">
        <f>IFERROR(IF($I56="預設值Default",ROUND(VLOOKUP($J56,'4.Default Emission Factor'!$D:$V,14,FALSE),10),IF($I56="自訂值Custom Value",V56,0)),0)</f>
        <v>0</v>
      </c>
      <c r="AM56" s="418" t="str">
        <f>IFERROR(IF(I56="預設值Default",VLOOKUP($J56,'4.Default Emission Factor'!$D:$V,17,FALSE),IF(I56="自訂值Custom Value",X56,"")),"")</f>
        <v/>
      </c>
      <c r="AN56" s="406">
        <f t="shared" si="7"/>
        <v>0</v>
      </c>
      <c r="AO56" s="406">
        <f>IF(Z56="V",IF('1.GHG Inventory Form'!$E$6="IPCC AR2 Report(1995)",'6.GWP'!$C$2,IF('1.GHG Inventory Form'!$E$6="IPCC AR3 Report(2001)",'6.GWP'!$D$2,IF('1.GHG Inventory Form'!$E$6="IPCC AR4 Report(2007)",'6.GWP'!$E$2,IF('1.GHG Inventory Form'!$E$6="IPCC AR5 Report(2013)",'6.GWP'!$F$2,IF('1.GHG Inventory Form'!$E$6="IPCC AR6 Report(2021)",'6.GWP'!$G$2,0))))),0)</f>
        <v>0</v>
      </c>
      <c r="AP56" s="406">
        <f>IF(AA56="V",IF('1.GHG Inventory Form'!$E$6="IPCC AR2 Report(1995)",'6.GWP'!$C$3,IF('1.GHG Inventory Form'!$E$6="IPCC AR3 Report(2001)",'6.GWP'!$D$3,IF('1.GHG Inventory Form'!$E$6="IPCC AR4 Report(2007)",'6.GWP'!$E$3,IF('1.GHG Inventory Form'!$E$6="IPCC AR5 Report(2013)",'6.GWP'!$F$3,IF('1.GHG Inventory Form'!$E$6="IPCC AR6 Report(2021)",'6.GWP'!$G$3,0))))),0)</f>
        <v>0</v>
      </c>
      <c r="AQ56" s="406">
        <f>IFERROR(IF(AND(AB56="V",$I56="預設值"),IF('1.GHG Inventory Form'!$E$6="IPCC AR2 Report(1995)",VLOOKUP($J56,'6.GWP'!$B$1:$G$173,2,FALSE),IF('1.GHG Inventory Form'!$E$6="IPCC AR3 Report(2001)",VLOOKUP($J56,'6.GWP'!$B$1:$G$173,3,FALSE),IF('1.GHG Inventory Form'!$E$6="IPCC AR4 Report(2007)",VLOOKUP($J56,'6.GWP'!$B$1:$G$173,4,FALSE),IF('1.GHG Inventory Form'!$E$6="IPCC AR5 Report(2013)",VLOOKUP($J56,'6.GWP'!$B$1:$G$173,5,FALSE),IF('1.GHG Inventory Form'!$E$6="IPCC AR6 Report(2021)",VLOOKUP($J56,'6.GWP'!$B$2:$G$173,6,FALSE),0))))),IF(AND(AB56="V",$I56="自訂值"),IF('1.GHG Inventory Form'!$E$6="IPCC AR2 Report(1995)",VLOOKUP($K56,'6.GWP'!$B$1:$G$173,2,FALSE),IF('1.GHG Inventory Form'!$E$6="IPCC AR3 Report(2001)",VLOOKUP($K56,'6.GWP'!$B$1:$G$173,3,FALSE),IF('1.GHG Inventory Form'!$E$6="IPCC AR4 Report(2007)",VLOOKUP($K56,'6.GWP'!$B$1:$G$173,4,FALSE),IF('1.GHG Inventory Form'!$E$6="IPCC AR5 Report(2013)",VLOOKUP($K56,'6.GWP'!$B$1:$G$173,5,FALSE),IF('1.GHG Inventory Form'!$E$6="IPCC AR6 Report(2021)",VLOOKUP($K56,'6.GWP'!$B$2:$G$173,6,FALSE),0))))),0)),0)</f>
        <v>0</v>
      </c>
      <c r="AR56" s="406">
        <f>IFERROR(IF(AND(AC56="V",$I56="預設值"),IF('1.GHG Inventory Form'!$E$6="IPCC AR2 Report(1995)",VLOOKUP($J56,'6.GWP'!$B$1:$G$173,2,FALSE),IF('1.GHG Inventory Form'!$E$6="IPCC AR3 Report(2001)",VLOOKUP($J56,'6.GWP'!$B$1:$G$173,3,FALSE),IF('1.GHG Inventory Form'!$E$6="IPCC AR4 Report(2007)",VLOOKUP($J56,'6.GWP'!$B$1:$G$173,4,FALSE),IF('1.GHG Inventory Form'!$E$6="IPCC AR5 Report(2013)",VLOOKUP($J56,'6.GWP'!$B$1:$G$173,5,FALSE),IF('1.GHG Inventory Form'!$E$6="IPCC AR6 Report(2021)",VLOOKUP($J56,'6.GWP'!$B$2:$G$173,6,FALSE),0))))),IF(AND(AC56="V",$I56="自訂值"),IF('1.GHG Inventory Form'!$E$6="IPCC AR2 Report(1995)",VLOOKUP($K56,'6.GWP'!$B$1:$G$173,2,FALSE),IF('1.GHG Inventory Form'!$E$6="IPCC AR3 Report(2001)",VLOOKUP($K56,'6.GWP'!$B$1:$G$173,3,FALSE),IF('1.GHG Inventory Form'!$E$6="IPCC AR4 Report(2007)",VLOOKUP($K56,'6.GWP'!$B$1:$G$173,4,FALSE),IF('1.GHG Inventory Form'!$E$6="IPCC AR5 Report(2013)",VLOOKUP($K56,'6.GWP'!$B$1:$G$173,5,FALSE),IF('1.GHG Inventory Form'!$E$6="IPCC AR6 Report(2021)",VLOOKUP($K56,'6.GWP'!$B$2:$G$173,6,FALSE),0))))),0)),0)</f>
        <v>0</v>
      </c>
      <c r="AS56" s="406">
        <f>IF(AD56="V",IF('1.GHG Inventory Form'!$E$6="IPCC AR2 Report(1995)",'6.GWP'!$C$5,IF('1.GHG Inventory Form'!$E$6="IPCC AR3 Report(2001)",'6.GWP'!$D$5,IF('1.GHG Inventory Form'!$E$6="IPCC AR4 Report(2007)",'6.GWP'!$E$5,IF('1.GHG Inventory Form'!$E$6="IPCC AR5 Report(2013)",'6.GWP'!$F$5,IF('1.GHG Inventory Form'!$E$6="IPCC AR6 Report(2021)",'6.GWP'!$G$5,0))))),0)</f>
        <v>0</v>
      </c>
      <c r="AT56" s="406">
        <f>IF(AE56="V",IF('1.GHG Inventory Form'!$E$6="IPCC AR2 Report(1995)",'6.GWP'!$C$4,IF('1.GHG Inventory Form'!$E$6="IPCC AR3 Report(2001)",'6.GWP'!$D$4,IF('1.GHG Inventory Form'!$E$6="IPCC AR4 Report(2007)",'6.GWP'!$E$4,IF('1.GHG Inventory Form'!$E$6="IPCC AR5 Report(2013)",'6.GWP'!$F$4,IF('1.GHG Inventory Form'!$E$6="IPCC AR6 Report(2021)",'6.GWP'!$G$4,0))))),0)</f>
        <v>0</v>
      </c>
      <c r="AU56" s="419">
        <f t="shared" si="21"/>
        <v>0</v>
      </c>
      <c r="AV56" s="419">
        <f t="shared" si="22"/>
        <v>0</v>
      </c>
      <c r="AW56" s="419">
        <f t="shared" si="23"/>
        <v>0</v>
      </c>
      <c r="AX56" s="419">
        <f t="shared" si="24"/>
        <v>0</v>
      </c>
      <c r="AY56" s="419">
        <f t="shared" si="25"/>
        <v>0</v>
      </c>
      <c r="AZ56" s="419">
        <f t="shared" si="26"/>
        <v>0</v>
      </c>
      <c r="BA56" s="419">
        <f t="shared" si="27"/>
        <v>0</v>
      </c>
      <c r="BB56" s="419">
        <f t="shared" si="15"/>
        <v>0</v>
      </c>
      <c r="BC56" s="410">
        <f t="shared" si="16"/>
        <v>0</v>
      </c>
      <c r="BD56" s="411">
        <f t="shared" si="17"/>
        <v>0</v>
      </c>
      <c r="BI56" s="86" t="str">
        <f t="shared" si="18"/>
        <v/>
      </c>
      <c r="BJ56" s="86" t="str">
        <f t="shared" si="19"/>
        <v/>
      </c>
      <c r="BK56" s="86" t="str">
        <f t="shared" si="20"/>
        <v/>
      </c>
    </row>
    <row r="57" spans="1:63" customFormat="1" ht="37.5" customHeight="1" thickBot="1">
      <c r="A57">
        <v>8</v>
      </c>
      <c r="B57" s="634"/>
      <c r="C57" s="714"/>
      <c r="D57" s="668"/>
      <c r="E57" s="699"/>
      <c r="F57" s="634" t="s">
        <v>331</v>
      </c>
      <c r="G57" s="686" t="s">
        <v>332</v>
      </c>
      <c r="H57" s="684" t="s">
        <v>333</v>
      </c>
      <c r="I57" s="688" t="s">
        <v>334</v>
      </c>
      <c r="J57" s="684" t="s">
        <v>335</v>
      </c>
      <c r="K57" s="684" t="s">
        <v>336</v>
      </c>
      <c r="L57" s="684" t="s">
        <v>337</v>
      </c>
      <c r="M57" s="684" t="s">
        <v>278</v>
      </c>
      <c r="N57" s="664" t="s">
        <v>279</v>
      </c>
      <c r="O57" s="684" t="s">
        <v>280</v>
      </c>
      <c r="P57" s="684" t="s">
        <v>338</v>
      </c>
      <c r="Q57" s="674" t="s">
        <v>339</v>
      </c>
      <c r="R57" s="420"/>
      <c r="S57" s="420"/>
      <c r="T57" s="420"/>
      <c r="U57" s="420"/>
      <c r="V57" s="420"/>
      <c r="W57" s="420"/>
      <c r="X57" s="421"/>
      <c r="Y57" s="676" t="s">
        <v>265</v>
      </c>
      <c r="Z57" s="677"/>
      <c r="AA57" s="677"/>
      <c r="AB57" s="677"/>
      <c r="AC57" s="677"/>
      <c r="AD57" s="677"/>
      <c r="AE57" s="678"/>
      <c r="AF57" s="679" t="s">
        <v>266</v>
      </c>
      <c r="AG57" s="680"/>
      <c r="AH57" s="680"/>
      <c r="AI57" s="680"/>
      <c r="AJ57" s="680"/>
      <c r="AK57" s="680"/>
      <c r="AL57" s="680"/>
      <c r="AM57" s="394" t="s">
        <v>304</v>
      </c>
      <c r="AN57" s="679" t="s">
        <v>267</v>
      </c>
      <c r="AO57" s="680"/>
      <c r="AP57" s="680"/>
      <c r="AQ57" s="680"/>
      <c r="AR57" s="680"/>
      <c r="AS57" s="680"/>
      <c r="AT57" s="681"/>
      <c r="AU57" s="334" t="str">
        <f t="shared" si="21"/>
        <v/>
      </c>
      <c r="AV57" s="334" t="str">
        <f t="shared" si="22"/>
        <v/>
      </c>
      <c r="AW57" s="334" t="str">
        <f t="shared" si="23"/>
        <v/>
      </c>
      <c r="AX57" s="334" t="str">
        <f t="shared" si="24"/>
        <v/>
      </c>
      <c r="AY57" s="334" t="str">
        <f t="shared" si="25"/>
        <v/>
      </c>
      <c r="AZ57" s="334" t="str">
        <f t="shared" si="26"/>
        <v/>
      </c>
      <c r="BA57" s="334" t="str">
        <f t="shared" si="27"/>
        <v/>
      </c>
      <c r="BB57" s="682" t="s">
        <v>340</v>
      </c>
      <c r="BC57" s="664" t="s">
        <v>341</v>
      </c>
      <c r="BD57" s="666" t="s">
        <v>342</v>
      </c>
      <c r="BK57" s="86" t="str">
        <f>IF(G57="","",IF(H57="預設值Default",AM57,IF(H57="自訂值Custom Value",X57,"")))</f>
        <v/>
      </c>
    </row>
    <row r="58" spans="1:63" customFormat="1" ht="39" customHeight="1" thickBot="1">
      <c r="A58">
        <v>9</v>
      </c>
      <c r="B58" s="634"/>
      <c r="C58" s="714"/>
      <c r="D58" s="668"/>
      <c r="E58" s="699"/>
      <c r="F58" s="634"/>
      <c r="G58" s="687"/>
      <c r="H58" s="629"/>
      <c r="I58" s="689"/>
      <c r="J58" s="629"/>
      <c r="K58" s="629"/>
      <c r="L58" s="629"/>
      <c r="M58" s="629"/>
      <c r="N58" s="684"/>
      <c r="O58" s="629"/>
      <c r="P58" s="685"/>
      <c r="Q58" s="675"/>
      <c r="R58" s="422"/>
      <c r="S58" s="422"/>
      <c r="T58" s="422"/>
      <c r="U58" s="422"/>
      <c r="V58" s="422"/>
      <c r="W58" s="422"/>
      <c r="X58" s="421"/>
      <c r="Y58" s="389" t="s">
        <v>281</v>
      </c>
      <c r="Z58" s="364" t="s">
        <v>282</v>
      </c>
      <c r="AA58" s="364" t="s">
        <v>283</v>
      </c>
      <c r="AB58" s="364" t="s">
        <v>284</v>
      </c>
      <c r="AC58" s="364" t="s">
        <v>285</v>
      </c>
      <c r="AD58" s="364" t="s">
        <v>286</v>
      </c>
      <c r="AE58" s="423" t="s">
        <v>287</v>
      </c>
      <c r="AF58" s="327" t="s">
        <v>281</v>
      </c>
      <c r="AG58" s="328" t="s">
        <v>282</v>
      </c>
      <c r="AH58" s="328" t="s">
        <v>283</v>
      </c>
      <c r="AI58" s="328" t="s">
        <v>284</v>
      </c>
      <c r="AJ58" s="328" t="s">
        <v>285</v>
      </c>
      <c r="AK58" s="328" t="s">
        <v>286</v>
      </c>
      <c r="AL58" s="328" t="s">
        <v>287</v>
      </c>
      <c r="AM58" s="329" t="s">
        <v>343</v>
      </c>
      <c r="AN58" s="424" t="s">
        <v>281</v>
      </c>
      <c r="AO58" s="332" t="s">
        <v>282</v>
      </c>
      <c r="AP58" s="332" t="s">
        <v>283</v>
      </c>
      <c r="AQ58" s="332" t="s">
        <v>284</v>
      </c>
      <c r="AR58" s="332" t="s">
        <v>285</v>
      </c>
      <c r="AS58" s="332" t="s">
        <v>286</v>
      </c>
      <c r="AT58" s="333" t="s">
        <v>287</v>
      </c>
      <c r="AU58" s="334" t="str">
        <f t="shared" si="21"/>
        <v/>
      </c>
      <c r="AV58" s="334" t="str">
        <f t="shared" si="22"/>
        <v/>
      </c>
      <c r="AW58" s="334" t="str">
        <f t="shared" si="23"/>
        <v/>
      </c>
      <c r="AX58" s="334" t="str">
        <f t="shared" si="24"/>
        <v/>
      </c>
      <c r="AY58" s="334" t="str">
        <f t="shared" si="25"/>
        <v/>
      </c>
      <c r="AZ58" s="334" t="str">
        <f t="shared" si="26"/>
        <v/>
      </c>
      <c r="BA58" s="334" t="str">
        <f t="shared" si="27"/>
        <v/>
      </c>
      <c r="BB58" s="683"/>
      <c r="BC58" s="665"/>
      <c r="BD58" s="667"/>
      <c r="BK58" s="86" t="str">
        <f>IF(G58="","",IF(H58="預設值Default",AM58,IF(H58="自訂值Custom Value",X58,"")))</f>
        <v/>
      </c>
    </row>
    <row r="59" spans="1:63" customFormat="1" ht="46.5" customHeight="1" thickBot="1">
      <c r="A59">
        <v>1</v>
      </c>
      <c r="B59" s="634"/>
      <c r="C59" s="714"/>
      <c r="D59" s="668"/>
      <c r="E59" s="699"/>
      <c r="F59" s="634"/>
      <c r="G59" s="425" t="s">
        <v>344</v>
      </c>
      <c r="H59" s="363" t="s">
        <v>1097</v>
      </c>
      <c r="I59" s="426" t="s">
        <v>24</v>
      </c>
      <c r="J59" s="194" t="s">
        <v>59</v>
      </c>
      <c r="K59" s="415" t="s">
        <v>37</v>
      </c>
      <c r="L59" s="234">
        <v>8.7000000000000008E-2</v>
      </c>
      <c r="M59" s="362" t="s">
        <v>345</v>
      </c>
      <c r="N59" s="245"/>
      <c r="O59" s="245"/>
      <c r="P59" s="427">
        <f t="shared" ref="P59:P87" si="28">IFERROR(IF(H59="預設逸散率Default","",0.08),"自訂冷媒逸散率
Custom Refrigerant Loss Factor")</f>
        <v>0.08</v>
      </c>
      <c r="Q59" s="428"/>
      <c r="R59" s="429"/>
      <c r="S59" s="421"/>
      <c r="T59" s="421"/>
      <c r="U59" s="421"/>
      <c r="V59" s="421"/>
      <c r="W59" s="421"/>
      <c r="X59" s="421"/>
      <c r="Y59" s="389" t="str">
        <f t="shared" ref="Y59:Y87" si="29">IF(AF59&gt;0.0000000001,"V","")</f>
        <v/>
      </c>
      <c r="Z59" s="364" t="str">
        <f t="shared" ref="Z59:Z87" si="30">IF(AG59&gt;0.0000000001,"V","")</f>
        <v/>
      </c>
      <c r="AA59" s="364" t="str">
        <f t="shared" ref="AA59:AA87" si="31">IF(AH59&gt;0.0000000001,"V","")</f>
        <v/>
      </c>
      <c r="AB59" s="364" t="str">
        <f t="shared" ref="AB59:AB87" si="32">IF(AI59&gt;0.0000000001,"V","")</f>
        <v>V</v>
      </c>
      <c r="AC59" s="364" t="str">
        <f t="shared" ref="AC59:AC87" si="33">IF(AJ59&gt;0.0000000001,"V","")</f>
        <v/>
      </c>
      <c r="AD59" s="364" t="str">
        <f t="shared" ref="AD59:AD87" si="34">IF(AK59&gt;0.0000000001,"V","")</f>
        <v/>
      </c>
      <c r="AE59" s="423" t="str">
        <f t="shared" ref="AE59:AE87" si="35">IF(AL59&gt;0.0000000001,"V","")</f>
        <v/>
      </c>
      <c r="AF59" s="389">
        <v>0</v>
      </c>
      <c r="AG59" s="364">
        <v>0</v>
      </c>
      <c r="AH59" s="364">
        <v>0</v>
      </c>
      <c r="AI59" s="364">
        <f>IFERROR(IF(G59="填充量計算 Recharge of Loss Volume",1,IF($H59="預設逸散率Default",ROUND(VLOOKUP($I59,'Other Emission Factor'!$F$4:$I$11,2,FALSE),10),IF($H59="自訂值 Custom Value",P59,0))),0)</f>
        <v>0.08</v>
      </c>
      <c r="AJ59" s="364">
        <v>0</v>
      </c>
      <c r="AK59" s="364">
        <v>0</v>
      </c>
      <c r="AL59" s="364">
        <v>0</v>
      </c>
      <c r="AM59" s="430" t="str">
        <f>IFERROR(IF($H59="預設逸散率Default",VLOOKUP($I59,表格12[],4,FALSE),IF($H59="自訂值Custom Value",Q59,"")),"")</f>
        <v/>
      </c>
      <c r="AN59" s="431">
        <f t="shared" ref="AN59:AN87" si="36">IF(Y59="V",1,0)</f>
        <v>0</v>
      </c>
      <c r="AO59" s="366">
        <f>IF(Z59="V",IF('1.GHG Inventory Form'!$E$6="IPCC AR2 Report(1995)",'6.GWP'!$C$2,IF('1.GHG Inventory Form'!$E$6="IPCC AR3 Report(2001)",'6.GWP'!$D$2,IF('1.GHG Inventory Form'!$E$6="IPCC AR4 Report(2007)",'6.GWP'!$E$2,IF('1.GHG Inventory Form'!$E$6="IPCC AR5 Report(2013)",'6.GWP'!$F$2,IF('1.GHG Inventory Form'!$E$6="IPCC AR6 Report(2021)",'6.GWP'!$G$2,0))))),0)</f>
        <v>0</v>
      </c>
      <c r="AP59" s="366">
        <f>IF(AA59="V",IF('1.GHG Inventory Form'!$E$6="IPCC AR2 Report(1995)",#REF!,IF('1.GHG Inventory Form'!$E$6="IPCC AR3 Report(2001)",#REF!,IF('1.GHG Inventory Form'!$E$6="IPCC AR4 Report(2007)",#REF!,IF('1.GHG Inventory Form'!$E$6="IPCC AR5 Report(2013)",#REF!,IF('1.GHG Inventory Form'!$E$6="IPCC AR6 Report(2021)",#REF!,0))))),0)</f>
        <v>0</v>
      </c>
      <c r="AQ59" s="366">
        <f>IFERROR(IF(AB59="V",IF('1.GHG Inventory Form'!$E$6="IPCC AR2 Report(1995)",VLOOKUP(K59,'6.GWP'!$B$2:$G$173,2,FALSE),IF('1.GHG Inventory Form'!$E$6="IPCC AR3 Report(2001)",VLOOKUP(K59,'6.GWP'!$B$2:$G$173,3,FALSE),IF('1.GHG Inventory Form'!$E$6="IPCC AR4 Report(2007)",VLOOKUP(K59,'6.GWP'!$B$2:$G$173,4,FALSE),IF('1.GHG Inventory Form'!$E$6="IPCC AR5 Report(2013)",VLOOKUP(K59,'6.GWP'!$B$2:$G$173,5,FALSE),IF('1.GHG Inventory Form'!$E$6="IPCC AR6 Report(2021)",VLOOKUP(K59,'6.GWP'!$B$2:$G$173,6,FALSE),0))))),0),0)</f>
        <v>1907.93</v>
      </c>
      <c r="AR59" s="366">
        <f>IFERROR(IF(AC59="V",IF('1.GHG Inventory Form'!$E$6="IPCC AR2 Report(1995)",VLOOKUP(K59,'6.GWP'!$B$2:$G$173,2,FALSE),IF('1.GHG Inventory Form'!$E$6="IPCC AR3 Report(2001)",VLOOKUP(K59,'6.GWP'!$B$2:$G$173,3,FALSE),IF('1.GHG Inventory Form'!$E$6="IPCC AR4 Report(2007)",VLOOKUP(K59,'6.GWP'!$B$2:$G$173,4,FALSE),IF('1.GHG Inventory Form'!$E$6="IPCC AR5 Report(2013)",VLOOKUP(K59,'6.GWP'!$B$2:$G$173,5,FALSE),IF('1.GHG Inventory Form'!$E$6="IPCC AR6 Report(2021)",VLOOKUP(K59,'6.GWP'!$B$2:$G$173,6,FALSE),0))))),0),0)</f>
        <v>0</v>
      </c>
      <c r="AS59" s="366">
        <f>IFERROR(IF(AND(AD59="V",$I59="預設值"),IF('1.GHG Inventory Form'!$E$6="IPCC AR2 Report(1995)",VLOOKUP($J59,'6.GWP'!$B$1:$G$173,2,FALSE),IF('1.GHG Inventory Form'!$E$6="IPCC AR3 Report(2001)",VLOOKUP($J59,'6.GWP'!$B$1:$G$173,3,FALSE),IF('1.GHG Inventory Form'!$E$6="IPCC AR4 Report(2007)",VLOOKUP($J59,'6.GWP'!$B$1:$G$173,4,FALSE),IF('1.GHG Inventory Form'!$E$6="IPCC AR5 Report(2013)",VLOOKUP($J59,'6.GWP'!$B$1:$G$173,5,FALSE),IF('1.GHG Inventory Form'!$E$6="IPCC AR6 Report(2021)",VLOOKUP($J59,'6.GWP'!$B$2:$G$173,6,FALSE),0))))),IF(AND(AD59="V",$I59="自訂值"),IF('1.GHG Inventory Form'!$E$6="IPCC AR2 Report(1995)",VLOOKUP($K59,'6.GWP'!$B$1:$G$173,2,FALSE),IF('1.GHG Inventory Form'!$E$6="IPCC AR3 Report(2001)",VLOOKUP($K59,'6.GWP'!$B$1:$G$173,3,FALSE),IF('1.GHG Inventory Form'!$E$6="IPCC AR4 Report(2007)",VLOOKUP($K59,'6.GWP'!$B$1:$G$173,4,FALSE),IF('1.GHG Inventory Form'!$E$6="IPCC AR5 Report(2013)",VLOOKUP($K59,'6.GWP'!$B$1:$G$173,5,FALSE),IF('1.GHG Inventory Form'!$E$6="IPCC AR6 Report(2021)",VLOOKUP($K59,'6.GWP'!$B$2:$G$173,6,FALSE),0))))),0)),0)</f>
        <v>0</v>
      </c>
      <c r="AT59" s="392">
        <f>IFERROR(IF(AND(AE59="V",$I59="預設值"),IF('1.GHG Inventory Form'!$E$6="IPCC AR2 Report(1995)",VLOOKUP($J59,'6.GWP'!$B$1:$G$173,2,FALSE),IF('1.GHG Inventory Form'!$E$6="IPCC AR3 Report(2001)",VLOOKUP($J59,'6.GWP'!$B$1:$G$173,3,FALSE),IF('1.GHG Inventory Form'!$E$6="IPCC AR4 Report(2007)",VLOOKUP($J59,'6.GWP'!$B$1:$G$173,4,FALSE),IF('1.GHG Inventory Form'!$E$6="IPCC AR5 Report(2013)",VLOOKUP($J59,'6.GWP'!$B$1:$G$173,5,FALSE),IF('1.GHG Inventory Form'!$E$6="IPCC AR6 Report(2021)",VLOOKUP($J59,'6.GWP'!$B$2:$G$173,6,FALSE),0))))),IF(AND(AE59="V",$I59="自訂值"),IF('1.GHG Inventory Form'!$E$6="IPCC AR2 Report(1995)",VLOOKUP($K59,'6.GWP'!$B$1:$G$173,2,FALSE),IF('1.GHG Inventory Form'!$E$6="IPCC AR3 Report(2001)",VLOOKUP($K59,'6.GWP'!$B$1:$G$173,3,FALSE),IF('1.GHG Inventory Form'!$E$6="IPCC AR4 Report(2007)",VLOOKUP($K59,'6.GWP'!$B$1:$G$173,4,FALSE),IF('1.GHG Inventory Form'!$E$6="IPCC AR5 Report(2013)",VLOOKUP($K59,'6.GWP'!$B$1:$G$173,5,FALSE),IF('1.GHG Inventory Form'!$E$6="IPCC AR6 Report(2021)",VLOOKUP($K59,'6.GWP'!$B$2:$G$173,6,FALSE),0))))),0)),0)</f>
        <v>0</v>
      </c>
      <c r="AU59" s="334">
        <f t="shared" si="21"/>
        <v>0</v>
      </c>
      <c r="AV59" s="334">
        <f t="shared" si="22"/>
        <v>0</v>
      </c>
      <c r="AW59" s="334">
        <f t="shared" si="23"/>
        <v>0</v>
      </c>
      <c r="AX59" s="334">
        <f t="shared" si="24"/>
        <v>13.279192800000002</v>
      </c>
      <c r="AY59" s="334">
        <f t="shared" si="25"/>
        <v>0</v>
      </c>
      <c r="AZ59" s="334">
        <f t="shared" si="26"/>
        <v>0</v>
      </c>
      <c r="BA59" s="334">
        <f t="shared" si="27"/>
        <v>0</v>
      </c>
      <c r="BB59" s="393">
        <f t="shared" ref="BB59:BB87" si="37">ROUND(SUM(AU59:BA59),4)</f>
        <v>13.279199999999999</v>
      </c>
      <c r="BC59" s="368">
        <f t="shared" ref="BC59:BC87" si="38">BB59/SUM($BB$16:$BB$99)</f>
        <v>9.2907166925406803E-3</v>
      </c>
      <c r="BD59" s="369">
        <f t="shared" ref="BD59:BD87" si="39">BB59/$BB$169</f>
        <v>8.3732357607637573E-3</v>
      </c>
      <c r="BI59" s="86" t="str">
        <f t="shared" ref="BI59:BI87" si="40">IF(H59="預設逸散率Default",I59&amp;K59,IF(H59="自訂值Custom Value",J59&amp;K59,""))</f>
        <v/>
      </c>
      <c r="BJ59" s="86" t="str">
        <f t="shared" ref="BJ59:BJ87" si="41">IF(G59="","",IF(O59=0,"",O59))</f>
        <v/>
      </c>
      <c r="BK59" s="86" t="str">
        <f t="shared" ref="BK59:BK87" si="42">IF(H59="預設逸散率Default",AM59,IF(H59="自訂值Custom Value",Q59,""))</f>
        <v/>
      </c>
    </row>
    <row r="60" spans="1:63" customFormat="1" ht="31" customHeight="1" thickBot="1">
      <c r="A60">
        <v>2</v>
      </c>
      <c r="B60" s="634"/>
      <c r="C60" s="714"/>
      <c r="D60" s="668"/>
      <c r="E60" s="699"/>
      <c r="F60" s="634"/>
      <c r="G60" s="425" t="s">
        <v>344</v>
      </c>
      <c r="H60" s="363" t="s">
        <v>1097</v>
      </c>
      <c r="I60" s="426" t="s">
        <v>24</v>
      </c>
      <c r="J60" s="194" t="s">
        <v>59</v>
      </c>
      <c r="K60" s="415" t="s">
        <v>60</v>
      </c>
      <c r="L60" s="234">
        <v>1.5E-3</v>
      </c>
      <c r="M60" s="362" t="s">
        <v>346</v>
      </c>
      <c r="N60" s="245"/>
      <c r="O60" s="245"/>
      <c r="P60" s="427">
        <f t="shared" si="28"/>
        <v>0.08</v>
      </c>
      <c r="Q60" s="428"/>
      <c r="R60" s="429"/>
      <c r="S60" s="421"/>
      <c r="T60" s="421"/>
      <c r="U60" s="421"/>
      <c r="V60" s="421"/>
      <c r="W60" s="421"/>
      <c r="X60" s="421"/>
      <c r="Y60" s="389" t="str">
        <f t="shared" si="29"/>
        <v/>
      </c>
      <c r="Z60" s="364" t="str">
        <f t="shared" si="30"/>
        <v/>
      </c>
      <c r="AA60" s="364" t="str">
        <f t="shared" si="31"/>
        <v/>
      </c>
      <c r="AB60" s="364" t="str">
        <f t="shared" si="32"/>
        <v>V</v>
      </c>
      <c r="AC60" s="364" t="str">
        <f t="shared" si="33"/>
        <v/>
      </c>
      <c r="AD60" s="364" t="str">
        <f t="shared" si="34"/>
        <v/>
      </c>
      <c r="AE60" s="423" t="str">
        <f t="shared" si="35"/>
        <v/>
      </c>
      <c r="AF60" s="389">
        <v>0</v>
      </c>
      <c r="AG60" s="364">
        <v>0</v>
      </c>
      <c r="AH60" s="364">
        <v>0</v>
      </c>
      <c r="AI60" s="364">
        <f>IFERROR(IF(G60="填充量計算 Recharge of Loss Volume",1,IF($H60="預設逸散率Default",ROUND(VLOOKUP($I60,'Other Emission Factor'!$F$4:$I$11,2,FALSE),10),IF($H60="自訂值 Custom Value",P60,0))),0)</f>
        <v>0.08</v>
      </c>
      <c r="AJ60" s="364">
        <v>0</v>
      </c>
      <c r="AK60" s="364">
        <v>0</v>
      </c>
      <c r="AL60" s="364">
        <v>0</v>
      </c>
      <c r="AM60" s="430" t="str">
        <f>IFERROR(IF($H60="預設逸散率Default",VLOOKUP($I60,表格12[],4,FALSE),IF($H60="自訂值Custom Value",Q60,"")),"")</f>
        <v/>
      </c>
      <c r="AN60" s="431">
        <f t="shared" si="36"/>
        <v>0</v>
      </c>
      <c r="AO60" s="366">
        <f>IF(Z60="V",IF('1.GHG Inventory Form'!$E$6="IPCC AR2 Report(1995)",'6.GWP'!$C$2,IF('1.GHG Inventory Form'!$E$6="IPCC AR3 Report(2001)",'6.GWP'!$D$2,IF('1.GHG Inventory Form'!$E$6="IPCC AR4 Report(2007)",'6.GWP'!$E$2,IF('1.GHG Inventory Form'!$E$6="IPCC AR5 Report(2013)",'6.GWP'!$F$2,IF('1.GHG Inventory Form'!$E$6="IPCC AR6 Report(2021)",'6.GWP'!$G$2,0))))),0)</f>
        <v>0</v>
      </c>
      <c r="AP60" s="366">
        <f>IF(AA60="V",IF('1.GHG Inventory Form'!$E$6="IPCC AR2 Report(1995)",#REF!,IF('1.GHG Inventory Form'!$E$6="IPCC AR3 Report(2001)",#REF!,IF('1.GHG Inventory Form'!$E$6="IPCC AR4 Report(2007)",#REF!,IF('1.GHG Inventory Form'!$E$6="IPCC AR5 Report(2013)",#REF!,IF('1.GHG Inventory Form'!$E$6="IPCC AR6 Report(2021)",#REF!,0))))),0)</f>
        <v>0</v>
      </c>
      <c r="AQ60" s="366">
        <f>IFERROR(IF(AB60="V",IF('1.GHG Inventory Form'!$E$6="IPCC AR2 Report(1995)",VLOOKUP(K60,'6.GWP'!$B$2:$G$173,2,FALSE),IF('1.GHG Inventory Form'!$E$6="IPCC AR3 Report(2001)",VLOOKUP(K60,'6.GWP'!$B$2:$G$173,3,FALSE),IF('1.GHG Inventory Form'!$E$6="IPCC AR4 Report(2007)",VLOOKUP(K60,'6.GWP'!$B$2:$G$173,4,FALSE),IF('1.GHG Inventory Form'!$E$6="IPCC AR5 Report(2013)",VLOOKUP(K60,'6.GWP'!$B$2:$G$173,5,FALSE),IF('1.GHG Inventory Form'!$E$6="IPCC AR6 Report(2021)",VLOOKUP(K60,'6.GWP'!$B$2:$G$173,6,FALSE),0))))),0),0)</f>
        <v>673.48055999999997</v>
      </c>
      <c r="AR60" s="366">
        <f>IFERROR(IF(AC60="V",IF('1.GHG Inventory Form'!$E$6="IPCC AR2 Report(1995)",VLOOKUP(K60,'6.GWP'!$B$2:$G$173,2,FALSE),IF('1.GHG Inventory Form'!$E$6="IPCC AR3 Report(2001)",VLOOKUP(K60,'6.GWP'!$B$2:$G$173,3,FALSE),IF('1.GHG Inventory Form'!$E$6="IPCC AR4 Report(2007)",VLOOKUP(K60,'6.GWP'!$B$2:$G$173,4,FALSE),IF('1.GHG Inventory Form'!$E$6="IPCC AR5 Report(2013)",VLOOKUP(K60,'6.GWP'!$B$2:$G$173,5,FALSE),IF('1.GHG Inventory Form'!$E$6="IPCC AR6 Report(2021)",VLOOKUP(K60,'6.GWP'!$B$2:$G$173,6,FALSE),0))))),0),0)</f>
        <v>0</v>
      </c>
      <c r="AS60" s="366">
        <f>IFERROR(IF(AD60="V",IF('1.GHG Inventory Form'!$E$6="IPCC AR2 Report(1995)",VLOOKUP(G60,'6.GWP'!$B$2:$G$173,2,FALSE),IF('1.GHG Inventory Form'!$E$6="IPCC AR3 Report(2001)",VLOOKUP(G60,'6.GWP'!$B$2:$G$173,3,FALSE),IF('1.GHG Inventory Form'!$E$6="IPCC AR4 Report(2007)",VLOOKUP(G60,'6.GWP'!$B$2:$G$173,4,FALSE),IF('1.GHG Inventory Form'!$E$6="IPCC AR5 Report(2013)",VLOOKUP(G60,'6.GWP'!$B$2:$G$173,5,FALSE),IF('1.GHG Inventory Form'!$E$6="IPCC AR6 Report(2021)",VLOOKUP(G60,'6.GWP'!$B$2:$G$173,6,FALSE),0))))),0),0)</f>
        <v>0</v>
      </c>
      <c r="AT60"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0" s="334">
        <f t="shared" si="21"/>
        <v>0</v>
      </c>
      <c r="AV60" s="334">
        <f t="shared" si="22"/>
        <v>0</v>
      </c>
      <c r="AW60" s="334">
        <f t="shared" si="23"/>
        <v>0</v>
      </c>
      <c r="AX60" s="334">
        <f t="shared" si="24"/>
        <v>8.0817667199999998E-2</v>
      </c>
      <c r="AY60" s="334">
        <f t="shared" si="25"/>
        <v>0</v>
      </c>
      <c r="AZ60" s="334">
        <f t="shared" si="26"/>
        <v>0</v>
      </c>
      <c r="BA60" s="334">
        <f t="shared" si="27"/>
        <v>0</v>
      </c>
      <c r="BB60" s="393">
        <f t="shared" si="37"/>
        <v>8.0799999999999997E-2</v>
      </c>
      <c r="BC60" s="368">
        <f t="shared" si="38"/>
        <v>5.6531260072691645E-5</v>
      </c>
      <c r="BD60" s="369">
        <f t="shared" si="39"/>
        <v>5.0948660270928333E-5</v>
      </c>
      <c r="BI60" s="86" t="str">
        <f t="shared" si="40"/>
        <v/>
      </c>
      <c r="BJ60" s="86" t="str">
        <f t="shared" si="41"/>
        <v/>
      </c>
      <c r="BK60" s="86" t="str">
        <f t="shared" si="42"/>
        <v/>
      </c>
    </row>
    <row r="61" spans="1:63" customFormat="1" ht="31" customHeight="1" thickBot="1">
      <c r="A61">
        <v>3</v>
      </c>
      <c r="B61" s="634"/>
      <c r="C61" s="714"/>
      <c r="D61" s="668"/>
      <c r="E61" s="699"/>
      <c r="F61" s="634"/>
      <c r="G61" s="425" t="s">
        <v>344</v>
      </c>
      <c r="H61" s="363" t="s">
        <v>1097</v>
      </c>
      <c r="I61" s="426" t="s">
        <v>24</v>
      </c>
      <c r="J61" s="194" t="s">
        <v>61</v>
      </c>
      <c r="K61" s="415" t="s">
        <v>62</v>
      </c>
      <c r="L61" s="234">
        <v>2.4340000000000001E-2</v>
      </c>
      <c r="M61" s="362" t="s">
        <v>347</v>
      </c>
      <c r="N61" s="245"/>
      <c r="O61" s="245"/>
      <c r="P61" s="427">
        <f t="shared" si="28"/>
        <v>0.08</v>
      </c>
      <c r="Q61" s="428"/>
      <c r="R61" s="429"/>
      <c r="S61" s="421"/>
      <c r="T61" s="421"/>
      <c r="U61" s="421"/>
      <c r="V61" s="421"/>
      <c r="W61" s="421"/>
      <c r="X61" s="421"/>
      <c r="Y61" s="389" t="str">
        <f t="shared" si="29"/>
        <v/>
      </c>
      <c r="Z61" s="364" t="str">
        <f t="shared" si="30"/>
        <v/>
      </c>
      <c r="AA61" s="364" t="str">
        <f t="shared" si="31"/>
        <v/>
      </c>
      <c r="AB61" s="364" t="str">
        <f t="shared" si="32"/>
        <v>V</v>
      </c>
      <c r="AC61" s="364" t="str">
        <f t="shared" si="33"/>
        <v/>
      </c>
      <c r="AD61" s="364" t="str">
        <f t="shared" si="34"/>
        <v/>
      </c>
      <c r="AE61" s="423" t="str">
        <f t="shared" si="35"/>
        <v/>
      </c>
      <c r="AF61" s="389">
        <v>0</v>
      </c>
      <c r="AG61" s="364">
        <v>0</v>
      </c>
      <c r="AH61" s="364">
        <v>0</v>
      </c>
      <c r="AI61" s="364">
        <f>IFERROR(IF(G61="填充量計算 Recharge of Loss Volume",1,IF($H61="預設逸散率Default",ROUND(VLOOKUP($I61,'Other Emission Factor'!$F$4:$I$11,2,FALSE),10),IF($H61="自訂值 Custom Value",P61,0))),0)</f>
        <v>0.08</v>
      </c>
      <c r="AJ61" s="364">
        <v>0</v>
      </c>
      <c r="AK61" s="364">
        <v>0</v>
      </c>
      <c r="AL61" s="364">
        <v>0</v>
      </c>
      <c r="AM61" s="430" t="str">
        <f>IFERROR(IF($H61="預設逸散率Default",VLOOKUP($I61,表格12[],4,FALSE),IF($H61="自訂值Custom Value",Q61,"")),"")</f>
        <v/>
      </c>
      <c r="AN61" s="431">
        <f t="shared" si="36"/>
        <v>0</v>
      </c>
      <c r="AO61" s="366">
        <f>IF(Z61="V",IF('1.GHG Inventory Form'!$E$6="IPCC AR2 Report(1995)",'6.GWP'!$C$2,IF('1.GHG Inventory Form'!$E$6="IPCC AR3 Report(2001)",'6.GWP'!$D$2,IF('1.GHG Inventory Form'!$E$6="IPCC AR4 Report(2007)",'6.GWP'!$E$2,IF('1.GHG Inventory Form'!$E$6="IPCC AR5 Report(2013)",'6.GWP'!$F$2,IF('1.GHG Inventory Form'!$E$6="IPCC AR6 Report(2021)",'6.GWP'!$G$2,0))))),0)</f>
        <v>0</v>
      </c>
      <c r="AP61" s="366">
        <f>IF(AA61="V",IF('1.GHG Inventory Form'!$E$6="IPCC AR2 Report(1995)",#REF!,IF('1.GHG Inventory Form'!$E$6="IPCC AR3 Report(2001)",#REF!,IF('1.GHG Inventory Form'!$E$6="IPCC AR4 Report(2007)",#REF!,IF('1.GHG Inventory Form'!$E$6="IPCC AR5 Report(2013)",#REF!,IF('1.GHG Inventory Form'!$E$6="IPCC AR6 Report(2021)",#REF!,0))))),0)</f>
        <v>0</v>
      </c>
      <c r="AQ61" s="366">
        <f>IFERROR(IF(AB61="V",IF('1.GHG Inventory Form'!$E$6="IPCC AR2 Report(1995)",VLOOKUP(K61,'6.GWP'!$B$2:$G$173,2,FALSE),IF('1.GHG Inventory Form'!$E$6="IPCC AR3 Report(2001)",VLOOKUP(K61,'6.GWP'!$B$2:$G$173,3,FALSE),IF('1.GHG Inventory Form'!$E$6="IPCC AR4 Report(2007)",VLOOKUP(K61,'6.GWP'!$B$2:$G$173,4,FALSE),IF('1.GHG Inventory Form'!$E$6="IPCC AR5 Report(2013)",VLOOKUP(K61,'6.GWP'!$B$2:$G$173,5,FALSE),IF('1.GHG Inventory Form'!$E$6="IPCC AR6 Report(2021)",VLOOKUP(K61,'6.GWP'!$B$2:$G$173,6,FALSE),0))))),0),0)</f>
        <v>2292.2109999999998</v>
      </c>
      <c r="AR61" s="366">
        <f>IFERROR(IF(AC61="V",IF('1.GHG Inventory Form'!$E$6="IPCC AR2 Report(1995)",VLOOKUP(K61,'6.GWP'!$B$2:$G$173,2,FALSE),IF('1.GHG Inventory Form'!$E$6="IPCC AR3 Report(2001)",VLOOKUP(K61,'6.GWP'!$B$2:$G$173,3,FALSE),IF('1.GHG Inventory Form'!$E$6="IPCC AR4 Report(2007)",VLOOKUP(K61,'6.GWP'!$B$2:$G$173,4,FALSE),IF('1.GHG Inventory Form'!$E$6="IPCC AR5 Report(2013)",VLOOKUP(K61,'6.GWP'!$B$2:$G$173,5,FALSE),IF('1.GHG Inventory Form'!$E$6="IPCC AR6 Report(2021)",VLOOKUP(K61,'6.GWP'!$B$2:$G$173,6,FALSE),0))))),0),0)</f>
        <v>0</v>
      </c>
      <c r="AS61" s="366">
        <f>IFERROR(IF(AD61="V",IF('1.GHG Inventory Form'!$E$6="IPCC AR2 Report(1995)",VLOOKUP(G61,'6.GWP'!$B$2:$G$173,2,FALSE),IF('1.GHG Inventory Form'!$E$6="IPCC AR3 Report(2001)",VLOOKUP(G61,'6.GWP'!$B$2:$G$173,3,FALSE),IF('1.GHG Inventory Form'!$E$6="IPCC AR4 Report(2007)",VLOOKUP(G61,'6.GWP'!$B$2:$G$173,4,FALSE),IF('1.GHG Inventory Form'!$E$6="IPCC AR5 Report(2013)",VLOOKUP(G61,'6.GWP'!$B$2:$G$173,5,FALSE),IF('1.GHG Inventory Form'!$E$6="IPCC AR6 Report(2021)",VLOOKUP(G61,'6.GWP'!$B$2:$G$173,6,FALSE),0))))),0),0)</f>
        <v>0</v>
      </c>
      <c r="AT61"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1" s="334">
        <f t="shared" si="21"/>
        <v>0</v>
      </c>
      <c r="AV61" s="334">
        <f t="shared" si="22"/>
        <v>0</v>
      </c>
      <c r="AW61" s="334">
        <f t="shared" si="23"/>
        <v>0</v>
      </c>
      <c r="AX61" s="334">
        <f t="shared" si="24"/>
        <v>4.4633932592000001</v>
      </c>
      <c r="AY61" s="334">
        <f t="shared" si="25"/>
        <v>0</v>
      </c>
      <c r="AZ61" s="334">
        <f t="shared" si="26"/>
        <v>0</v>
      </c>
      <c r="BA61" s="334">
        <f t="shared" si="27"/>
        <v>0</v>
      </c>
      <c r="BB61" s="393">
        <f t="shared" si="37"/>
        <v>4.4634</v>
      </c>
      <c r="BC61" s="368">
        <f t="shared" si="38"/>
        <v>3.1227924035699493E-3</v>
      </c>
      <c r="BD61" s="369">
        <f t="shared" si="39"/>
        <v>2.8144090377878904E-3</v>
      </c>
      <c r="BI61" s="86" t="str">
        <f t="shared" si="40"/>
        <v/>
      </c>
      <c r="BJ61" s="86" t="str">
        <f t="shared" si="41"/>
        <v/>
      </c>
      <c r="BK61" s="86" t="str">
        <f t="shared" si="42"/>
        <v/>
      </c>
    </row>
    <row r="62" spans="1:63" customFormat="1" ht="31" customHeight="1" thickBot="1">
      <c r="A62">
        <v>4</v>
      </c>
      <c r="B62" s="634"/>
      <c r="C62" s="714"/>
      <c r="D62" s="668"/>
      <c r="E62" s="699"/>
      <c r="F62" s="634"/>
      <c r="G62" s="425" t="s">
        <v>344</v>
      </c>
      <c r="H62" s="363" t="s">
        <v>1097</v>
      </c>
      <c r="I62" s="426" t="s">
        <v>24</v>
      </c>
      <c r="J62" s="194" t="s">
        <v>61</v>
      </c>
      <c r="K62" s="415" t="s">
        <v>38</v>
      </c>
      <c r="L62" s="234">
        <v>2.9899999999999999E-2</v>
      </c>
      <c r="M62" s="362" t="s">
        <v>348</v>
      </c>
      <c r="N62" s="245"/>
      <c r="O62" s="245"/>
      <c r="P62" s="427">
        <f t="shared" si="28"/>
        <v>0.08</v>
      </c>
      <c r="Q62" s="428"/>
      <c r="R62" s="429"/>
      <c r="S62" s="421"/>
      <c r="T62" s="421"/>
      <c r="U62" s="421"/>
      <c r="V62" s="421"/>
      <c r="W62" s="421"/>
      <c r="X62" s="421"/>
      <c r="Y62" s="389" t="str">
        <f t="shared" si="29"/>
        <v/>
      </c>
      <c r="Z62" s="364" t="str">
        <f t="shared" si="30"/>
        <v/>
      </c>
      <c r="AA62" s="364" t="str">
        <f t="shared" si="31"/>
        <v/>
      </c>
      <c r="AB62" s="364" t="str">
        <f t="shared" si="32"/>
        <v>V</v>
      </c>
      <c r="AC62" s="364" t="str">
        <f t="shared" si="33"/>
        <v/>
      </c>
      <c r="AD62" s="364" t="str">
        <f t="shared" si="34"/>
        <v/>
      </c>
      <c r="AE62" s="423" t="str">
        <f t="shared" si="35"/>
        <v/>
      </c>
      <c r="AF62" s="389">
        <v>0</v>
      </c>
      <c r="AG62" s="364">
        <v>0</v>
      </c>
      <c r="AH62" s="364">
        <v>0</v>
      </c>
      <c r="AI62" s="364">
        <f>IFERROR(IF(G62="填充量計算 Recharge of Loss Volume",1,IF($H62="預設逸散率Default",ROUND(VLOOKUP($I62,'Other Emission Factor'!$F$4:$I$11,2,FALSE),10),IF($H62="自訂值 Custom Value",P62,0))),0)</f>
        <v>0.08</v>
      </c>
      <c r="AJ62" s="364">
        <v>0</v>
      </c>
      <c r="AK62" s="364">
        <v>0</v>
      </c>
      <c r="AL62" s="364">
        <v>0</v>
      </c>
      <c r="AM62" s="430" t="str">
        <f>IFERROR(IF($H62="預設逸散率Default",VLOOKUP($I62,表格12[],4,FALSE),IF($H62="自訂值Custom Value",Q62,"")),"")</f>
        <v/>
      </c>
      <c r="AN62" s="431">
        <f t="shared" si="36"/>
        <v>0</v>
      </c>
      <c r="AO62" s="366">
        <f>IF(Z62="V",IF('1.GHG Inventory Form'!$E$6="IPCC AR2 Report(1995)",'6.GWP'!$C$2,IF('1.GHG Inventory Form'!$E$6="IPCC AR3 Report(2001)",'6.GWP'!$D$2,IF('1.GHG Inventory Form'!$E$6="IPCC AR4 Report(2007)",'6.GWP'!$E$2,IF('1.GHG Inventory Form'!$E$6="IPCC AR5 Report(2013)",'6.GWP'!$F$2,IF('1.GHG Inventory Form'!$E$6="IPCC AR6 Report(2021)",'6.GWP'!$G$2,0))))),0)</f>
        <v>0</v>
      </c>
      <c r="AP62" s="366">
        <f>IF(AA62="V",IF('1.GHG Inventory Form'!$E$6="IPCC AR2 Report(1995)",#REF!,IF('1.GHG Inventory Form'!$E$6="IPCC AR3 Report(2001)",#REF!,IF('1.GHG Inventory Form'!$E$6="IPCC AR4 Report(2007)",#REF!,IF('1.GHG Inventory Form'!$E$6="IPCC AR5 Report(2013)",#REF!,IF('1.GHG Inventory Form'!$E$6="IPCC AR6 Report(2021)",#REF!,0))))),0)</f>
        <v>0</v>
      </c>
      <c r="AQ62" s="366">
        <f>IFERROR(IF(AB62="V",IF('1.GHG Inventory Form'!$E$6="IPCC AR2 Report(1995)",VLOOKUP(K62,'6.GWP'!$B$2:$G$173,2,FALSE),IF('1.GHG Inventory Form'!$E$6="IPCC AR3 Report(2001)",VLOOKUP(K62,'6.GWP'!$B$2:$G$173,3,FALSE),IF('1.GHG Inventory Form'!$E$6="IPCC AR4 Report(2007)",VLOOKUP(K62,'6.GWP'!$B$2:$G$173,4,FALSE),IF('1.GHG Inventory Form'!$E$6="IPCC AR5 Report(2013)",VLOOKUP(K62,'6.GWP'!$B$2:$G$173,5,FALSE),IF('1.GHG Inventory Form'!$E$6="IPCC AR6 Report(2021)",VLOOKUP(K62,'6.GWP'!$B$2:$G$173,6,FALSE),0))))),0),0)</f>
        <v>1505.097</v>
      </c>
      <c r="AR62" s="366">
        <f>IFERROR(IF(AC62="V",IF('1.GHG Inventory Form'!$E$6="IPCC AR2 Report(1995)",VLOOKUP(K62,'6.GWP'!$B$2:$G$173,2,FALSE),IF('1.GHG Inventory Form'!$E$6="IPCC AR3 Report(2001)",VLOOKUP(K62,'6.GWP'!$B$2:$G$173,3,FALSE),IF('1.GHG Inventory Form'!$E$6="IPCC AR4 Report(2007)",VLOOKUP(K62,'6.GWP'!$B$2:$G$173,4,FALSE),IF('1.GHG Inventory Form'!$E$6="IPCC AR5 Report(2013)",VLOOKUP(K62,'6.GWP'!$B$2:$G$173,5,FALSE),IF('1.GHG Inventory Form'!$E$6="IPCC AR6 Report(2021)",VLOOKUP(K62,'6.GWP'!$B$2:$G$173,6,FALSE),0))))),0),0)</f>
        <v>0</v>
      </c>
      <c r="AS62" s="366">
        <f>IFERROR(IF(AD62="V",IF('1.GHG Inventory Form'!$E$6="IPCC AR2 Report(1995)",VLOOKUP(G62,'6.GWP'!$B$2:$G$173,2,FALSE),IF('1.GHG Inventory Form'!$E$6="IPCC AR3 Report(2001)",VLOOKUP(G62,'6.GWP'!$B$2:$G$173,3,FALSE),IF('1.GHG Inventory Form'!$E$6="IPCC AR4 Report(2007)",VLOOKUP(G62,'6.GWP'!$B$2:$G$173,4,FALSE),IF('1.GHG Inventory Form'!$E$6="IPCC AR5 Report(2013)",VLOOKUP(G62,'6.GWP'!$B$2:$G$173,5,FALSE),IF('1.GHG Inventory Form'!$E$6="IPCC AR6 Report(2021)",VLOOKUP(G62,'6.GWP'!$B$2:$G$173,6,FALSE),0))))),0),0)</f>
        <v>0</v>
      </c>
      <c r="AT62"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2" s="334">
        <f t="shared" si="21"/>
        <v>0</v>
      </c>
      <c r="AV62" s="334">
        <f t="shared" si="22"/>
        <v>0</v>
      </c>
      <c r="AW62" s="334">
        <f t="shared" si="23"/>
        <v>0</v>
      </c>
      <c r="AX62" s="334">
        <f t="shared" si="24"/>
        <v>3.600192024</v>
      </c>
      <c r="AY62" s="334">
        <f t="shared" si="25"/>
        <v>0</v>
      </c>
      <c r="AZ62" s="334">
        <f t="shared" si="26"/>
        <v>0</v>
      </c>
      <c r="BA62" s="334">
        <f t="shared" si="27"/>
        <v>0</v>
      </c>
      <c r="BB62" s="393">
        <f t="shared" si="37"/>
        <v>3.6002000000000001</v>
      </c>
      <c r="BC62" s="368">
        <f t="shared" si="38"/>
        <v>2.5188594370507979E-3</v>
      </c>
      <c r="BD62" s="369">
        <f t="shared" si="39"/>
        <v>2.2701159245964875E-3</v>
      </c>
      <c r="BI62" s="86" t="str">
        <f t="shared" si="40"/>
        <v/>
      </c>
      <c r="BJ62" s="86" t="str">
        <f t="shared" si="41"/>
        <v/>
      </c>
      <c r="BK62" s="86" t="str">
        <f t="shared" si="42"/>
        <v/>
      </c>
    </row>
    <row r="63" spans="1:63" customFormat="1" ht="31" customHeight="1" thickBot="1">
      <c r="A63">
        <v>5</v>
      </c>
      <c r="B63" s="634"/>
      <c r="C63" s="714"/>
      <c r="D63" s="668"/>
      <c r="E63" s="699"/>
      <c r="F63" s="634"/>
      <c r="G63" s="425" t="s">
        <v>344</v>
      </c>
      <c r="H63" s="363" t="s">
        <v>1097</v>
      </c>
      <c r="I63" s="426" t="s">
        <v>24</v>
      </c>
      <c r="J63" s="194" t="s">
        <v>61</v>
      </c>
      <c r="K63" s="415" t="s">
        <v>63</v>
      </c>
      <c r="L63" s="234">
        <v>1.9100000000000002E-2</v>
      </c>
      <c r="M63" s="362" t="s">
        <v>349</v>
      </c>
      <c r="N63" s="245"/>
      <c r="O63" s="245"/>
      <c r="P63" s="427">
        <f t="shared" si="28"/>
        <v>0.08</v>
      </c>
      <c r="Q63" s="428"/>
      <c r="R63" s="429"/>
      <c r="S63" s="421"/>
      <c r="T63" s="421"/>
      <c r="U63" s="421"/>
      <c r="V63" s="421"/>
      <c r="W63" s="421"/>
      <c r="X63" s="421"/>
      <c r="Y63" s="389" t="str">
        <f t="shared" si="29"/>
        <v/>
      </c>
      <c r="Z63" s="364" t="str">
        <f t="shared" si="30"/>
        <v/>
      </c>
      <c r="AA63" s="364" t="str">
        <f t="shared" si="31"/>
        <v/>
      </c>
      <c r="AB63" s="364" t="str">
        <f t="shared" si="32"/>
        <v>V</v>
      </c>
      <c r="AC63" s="364" t="str">
        <f t="shared" si="33"/>
        <v/>
      </c>
      <c r="AD63" s="364" t="str">
        <f t="shared" si="34"/>
        <v/>
      </c>
      <c r="AE63" s="423" t="str">
        <f t="shared" si="35"/>
        <v/>
      </c>
      <c r="AF63" s="389">
        <v>0</v>
      </c>
      <c r="AG63" s="364">
        <v>0</v>
      </c>
      <c r="AH63" s="364">
        <v>0</v>
      </c>
      <c r="AI63" s="364">
        <f>IFERROR(IF(G63="填充量計算 Recharge of Loss Volume",1,IF($H63="預設逸散率Default",ROUND(VLOOKUP($I63,'Other Emission Factor'!$F$4:$I$11,2,FALSE),10),IF($H63="自訂值 Custom Value",P63,0))),0)</f>
        <v>0.08</v>
      </c>
      <c r="AJ63" s="364">
        <v>0</v>
      </c>
      <c r="AK63" s="364">
        <v>0</v>
      </c>
      <c r="AL63" s="364">
        <v>0</v>
      </c>
      <c r="AM63" s="430" t="str">
        <f>IFERROR(IF($H63="預設逸散率Default",VLOOKUP($I63,表格12[],4,FALSE),IF($H63="自訂值Custom Value",Q63,"")),"")</f>
        <v/>
      </c>
      <c r="AN63" s="431">
        <f t="shared" si="36"/>
        <v>0</v>
      </c>
      <c r="AO63" s="366">
        <f>IF(Z63="V",IF('1.GHG Inventory Form'!$E$6="IPCC AR2 Report(1995)",'6.GWP'!$C$2,IF('1.GHG Inventory Form'!$E$6="IPCC AR3 Report(2001)",'6.GWP'!$D$2,IF('1.GHG Inventory Form'!$E$6="IPCC AR4 Report(2007)",'6.GWP'!$E$2,IF('1.GHG Inventory Form'!$E$6="IPCC AR5 Report(2013)",'6.GWP'!$F$2,IF('1.GHG Inventory Form'!$E$6="IPCC AR6 Report(2021)",'6.GWP'!$G$2,0))))),0)</f>
        <v>0</v>
      </c>
      <c r="AP63" s="366">
        <f>IF(AA63="V",IF('1.GHG Inventory Form'!$E$6="IPCC AR2 Report(1995)",#REF!,IF('1.GHG Inventory Form'!$E$6="IPCC AR3 Report(2001)",#REF!,IF('1.GHG Inventory Form'!$E$6="IPCC AR4 Report(2007)",#REF!,IF('1.GHG Inventory Form'!$E$6="IPCC AR5 Report(2013)",#REF!,IF('1.GHG Inventory Form'!$E$6="IPCC AR6 Report(2021)",#REF!,0))))),0)</f>
        <v>0</v>
      </c>
      <c r="AQ63" s="366">
        <f>IFERROR(IF(AB63="V",IF('1.GHG Inventory Form'!$E$6="IPCC AR2 Report(1995)",VLOOKUP(K63,'6.GWP'!$B$2:$G$173,2,FALSE),IF('1.GHG Inventory Form'!$E$6="IPCC AR3 Report(2001)",VLOOKUP(K63,'6.GWP'!$B$2:$G$173,3,FALSE),IF('1.GHG Inventory Form'!$E$6="IPCC AR4 Report(2007)",VLOOKUP(K63,'6.GWP'!$B$2:$G$173,4,FALSE),IF('1.GHG Inventory Form'!$E$6="IPCC AR5 Report(2013)",VLOOKUP(K63,'6.GWP'!$B$2:$G$173,5,FALSE),IF('1.GHG Inventory Form'!$E$6="IPCC AR6 Report(2021)",VLOOKUP(K63,'6.GWP'!$B$2:$G$173,6,FALSE),0))))),0),0)</f>
        <v>13258</v>
      </c>
      <c r="AR63" s="366">
        <f>IFERROR(IF(AC63="V",IF('1.GHG Inventory Form'!$E$6="IPCC AR2 Report(1995)",VLOOKUP(K63,'6.GWP'!$B$2:$G$173,2,FALSE),IF('1.GHG Inventory Form'!$E$6="IPCC AR3 Report(2001)",VLOOKUP(K63,'6.GWP'!$B$2:$G$173,3,FALSE),IF('1.GHG Inventory Form'!$E$6="IPCC AR4 Report(2007)",VLOOKUP(K63,'6.GWP'!$B$2:$G$173,4,FALSE),IF('1.GHG Inventory Form'!$E$6="IPCC AR5 Report(2013)",VLOOKUP(K63,'6.GWP'!$B$2:$G$173,5,FALSE),IF('1.GHG Inventory Form'!$E$6="IPCC AR6 Report(2021)",VLOOKUP(K63,'6.GWP'!$B$2:$G$173,6,FALSE),0))))),0),0)</f>
        <v>0</v>
      </c>
      <c r="AS63" s="366">
        <f>IFERROR(IF(AD63="V",IF('1.GHG Inventory Form'!$E$6="IPCC AR2 Report(1995)",VLOOKUP(G63,'6.GWP'!$B$2:$G$173,2,FALSE),IF('1.GHG Inventory Form'!$E$6="IPCC AR3 Report(2001)",VLOOKUP(G63,'6.GWP'!$B$2:$G$173,3,FALSE),IF('1.GHG Inventory Form'!$E$6="IPCC AR4 Report(2007)",VLOOKUP(G63,'6.GWP'!$B$2:$G$173,4,FALSE),IF('1.GHG Inventory Form'!$E$6="IPCC AR5 Report(2013)",VLOOKUP(G63,'6.GWP'!$B$2:$G$173,5,FALSE),IF('1.GHG Inventory Form'!$E$6="IPCC AR6 Report(2021)",VLOOKUP(G63,'6.GWP'!$B$2:$G$173,6,FALSE),0))))),0),0)</f>
        <v>0</v>
      </c>
      <c r="AT63"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3" s="334">
        <f t="shared" si="21"/>
        <v>0</v>
      </c>
      <c r="AV63" s="334">
        <f t="shared" si="22"/>
        <v>0</v>
      </c>
      <c r="AW63" s="334">
        <f t="shared" si="23"/>
        <v>0</v>
      </c>
      <c r="AX63" s="334">
        <f t="shared" si="24"/>
        <v>20.258224000000002</v>
      </c>
      <c r="AY63" s="334">
        <f t="shared" si="25"/>
        <v>0</v>
      </c>
      <c r="AZ63" s="334">
        <f t="shared" si="26"/>
        <v>0</v>
      </c>
      <c r="BA63" s="334">
        <f t="shared" si="27"/>
        <v>0</v>
      </c>
      <c r="BB63" s="393">
        <f t="shared" si="37"/>
        <v>20.258199999999999</v>
      </c>
      <c r="BC63" s="368">
        <f t="shared" si="38"/>
        <v>1.4173534316888638E-2</v>
      </c>
      <c r="BD63" s="369">
        <f t="shared" si="39"/>
        <v>1.2773863236392579E-2</v>
      </c>
      <c r="BI63" s="86" t="str">
        <f t="shared" si="40"/>
        <v/>
      </c>
      <c r="BJ63" s="86" t="str">
        <f t="shared" si="41"/>
        <v/>
      </c>
      <c r="BK63" s="86" t="str">
        <f t="shared" si="42"/>
        <v/>
      </c>
    </row>
    <row r="64" spans="1:63" customFormat="1" ht="31" customHeight="1" thickBot="1">
      <c r="A64">
        <v>6</v>
      </c>
      <c r="B64" s="634"/>
      <c r="C64" s="714"/>
      <c r="D64" s="668"/>
      <c r="E64" s="699"/>
      <c r="F64" s="634"/>
      <c r="G64" s="425" t="s">
        <v>344</v>
      </c>
      <c r="H64" s="363" t="s">
        <v>1086</v>
      </c>
      <c r="I64" s="426" t="s">
        <v>233</v>
      </c>
      <c r="J64" s="194" t="s">
        <v>240</v>
      </c>
      <c r="K64" s="415" t="s">
        <v>25</v>
      </c>
      <c r="L64" s="234">
        <v>1.7250000000000001E-2</v>
      </c>
      <c r="M64" s="362" t="s">
        <v>350</v>
      </c>
      <c r="N64" s="245"/>
      <c r="O64" s="245"/>
      <c r="P64" s="427" t="str">
        <f t="shared" si="28"/>
        <v/>
      </c>
      <c r="Q64" s="428"/>
      <c r="R64" s="429"/>
      <c r="S64" s="421"/>
      <c r="T64" s="421"/>
      <c r="U64" s="421"/>
      <c r="V64" s="421"/>
      <c r="W64" s="421"/>
      <c r="X64" s="421"/>
      <c r="Y64" s="389" t="str">
        <f t="shared" si="29"/>
        <v/>
      </c>
      <c r="Z64" s="364" t="str">
        <f t="shared" si="30"/>
        <v/>
      </c>
      <c r="AA64" s="364" t="str">
        <f t="shared" si="31"/>
        <v/>
      </c>
      <c r="AB64" s="364" t="str">
        <f t="shared" si="32"/>
        <v>V</v>
      </c>
      <c r="AC64" s="364" t="str">
        <f t="shared" si="33"/>
        <v/>
      </c>
      <c r="AD64" s="364" t="str">
        <f t="shared" si="34"/>
        <v/>
      </c>
      <c r="AE64" s="423" t="str">
        <f t="shared" si="35"/>
        <v/>
      </c>
      <c r="AF64" s="389">
        <v>0</v>
      </c>
      <c r="AG64" s="364">
        <v>0</v>
      </c>
      <c r="AH64" s="364">
        <v>0</v>
      </c>
      <c r="AI64" s="364">
        <f>IFERROR(IF(G64="填充量計算 Recharge of Loss Volume",1,IF($H64="預設逸散率Default",ROUND(VLOOKUP($I64,'Other Emission Factor'!$F$4:$I$11,2,FALSE),10),IF($H64="自訂值 Custom Value",P64,0))),0)</f>
        <v>8.5000000000000006E-2</v>
      </c>
      <c r="AJ64" s="364">
        <v>0</v>
      </c>
      <c r="AK64" s="364">
        <v>0</v>
      </c>
      <c r="AL64" s="364">
        <v>0</v>
      </c>
      <c r="AM64" s="430" t="str">
        <f>IFERROR(IF($H64="預設逸散率Default",VLOOKUP($I64,表格12[],4,FALSE),IF($H64="自訂值Custom Value",Q64,"")),"")</f>
        <v>環保署排放係管理表6.0.4Taiwan EPA GHG coefficient table 6.0.4</v>
      </c>
      <c r="AN64" s="431">
        <f t="shared" si="36"/>
        <v>0</v>
      </c>
      <c r="AO64" s="366">
        <f>IF(Z64="V",IF('1.GHG Inventory Form'!$E$6="IPCC AR2 Report(1995)",'6.GWP'!$C$2,IF('1.GHG Inventory Form'!$E$6="IPCC AR3 Report(2001)",'6.GWP'!$D$2,IF('1.GHG Inventory Form'!$E$6="IPCC AR4 Report(2007)",'6.GWP'!$E$2,IF('1.GHG Inventory Form'!$E$6="IPCC AR5 Report(2013)",'6.GWP'!$F$2,IF('1.GHG Inventory Form'!$E$6="IPCC AR6 Report(2021)",'6.GWP'!$G$2,0))))),0)</f>
        <v>0</v>
      </c>
      <c r="AP64" s="366">
        <f>IF(AA64="V",IF('1.GHG Inventory Form'!$E$6="IPCC AR2 Report(1995)",#REF!,IF('1.GHG Inventory Form'!$E$6="IPCC AR3 Report(2001)",#REF!,IF('1.GHG Inventory Form'!$E$6="IPCC AR4 Report(2007)",#REF!,IF('1.GHG Inventory Form'!$E$6="IPCC AR5 Report(2013)",#REF!,IF('1.GHG Inventory Form'!$E$6="IPCC AR6 Report(2021)",#REF!,0))))),0)</f>
        <v>0</v>
      </c>
      <c r="AQ64" s="366">
        <f>IFERROR(IF(AB64="V",IF('1.GHG Inventory Form'!$E$6="IPCC AR2 Report(1995)",VLOOKUP(K64,'6.GWP'!$B$2:$G$173,2,FALSE),IF('1.GHG Inventory Form'!$E$6="IPCC AR3 Report(2001)",VLOOKUP(K64,'6.GWP'!$B$2:$G$173,3,FALSE),IF('1.GHG Inventory Form'!$E$6="IPCC AR4 Report(2007)",VLOOKUP(K64,'6.GWP'!$B$2:$G$173,4,FALSE),IF('1.GHG Inventory Form'!$E$6="IPCC AR5 Report(2013)",VLOOKUP(K64,'6.GWP'!$B$2:$G$173,5,FALSE),IF('1.GHG Inventory Form'!$E$6="IPCC AR6 Report(2021)",VLOOKUP(K64,'6.GWP'!$B$2:$G$173,6,FALSE),0))))),0),0)</f>
        <v>14600</v>
      </c>
      <c r="AR64" s="366">
        <f>IFERROR(IF(AC64="V",IF('1.GHG Inventory Form'!$E$6="IPCC AR2 Report(1995)",VLOOKUP(K64,'6.GWP'!$B$2:$G$173,2,FALSE),IF('1.GHG Inventory Form'!$E$6="IPCC AR3 Report(2001)",VLOOKUP(K64,'6.GWP'!$B$2:$G$173,3,FALSE),IF('1.GHG Inventory Form'!$E$6="IPCC AR4 Report(2007)",VLOOKUP(K64,'6.GWP'!$B$2:$G$173,4,FALSE),IF('1.GHG Inventory Form'!$E$6="IPCC AR5 Report(2013)",VLOOKUP(K64,'6.GWP'!$B$2:$G$173,5,FALSE),IF('1.GHG Inventory Form'!$E$6="IPCC AR6 Report(2021)",VLOOKUP(K64,'6.GWP'!$B$2:$G$173,6,FALSE),0))))),0),0)</f>
        <v>0</v>
      </c>
      <c r="AS64" s="366">
        <f>IFERROR(IF(AD64="V",IF('1.GHG Inventory Form'!$E$6="IPCC AR2 Report(1995)",VLOOKUP(G64,'6.GWP'!$B$2:$G$173,2,FALSE),IF('1.GHG Inventory Form'!$E$6="IPCC AR3 Report(2001)",VLOOKUP(G64,'6.GWP'!$B$2:$G$173,3,FALSE),IF('1.GHG Inventory Form'!$E$6="IPCC AR4 Report(2007)",VLOOKUP(G64,'6.GWP'!$B$2:$G$173,4,FALSE),IF('1.GHG Inventory Form'!$E$6="IPCC AR5 Report(2013)",VLOOKUP(G64,'6.GWP'!$B$2:$G$173,5,FALSE),IF('1.GHG Inventory Form'!$E$6="IPCC AR6 Report(2021)",VLOOKUP(G64,'6.GWP'!$B$2:$G$173,6,FALSE),0))))),0),0)</f>
        <v>0</v>
      </c>
      <c r="AT64"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4" s="334">
        <f t="shared" si="21"/>
        <v>0</v>
      </c>
      <c r="AV64" s="334">
        <f t="shared" si="22"/>
        <v>0</v>
      </c>
      <c r="AW64" s="334">
        <f t="shared" si="23"/>
        <v>0</v>
      </c>
      <c r="AX64" s="334">
        <f t="shared" si="24"/>
        <v>21.407250000000005</v>
      </c>
      <c r="AY64" s="334">
        <f t="shared" si="25"/>
        <v>0</v>
      </c>
      <c r="AZ64" s="334">
        <f t="shared" si="26"/>
        <v>0</v>
      </c>
      <c r="BA64" s="334">
        <f t="shared" si="27"/>
        <v>0</v>
      </c>
      <c r="BB64" s="393">
        <f t="shared" si="37"/>
        <v>21.407299999999999</v>
      </c>
      <c r="BC64" s="368">
        <f t="shared" si="38"/>
        <v>1.4977495591016484E-2</v>
      </c>
      <c r="BD64" s="369">
        <f t="shared" si="39"/>
        <v>1.3498431373983219E-2</v>
      </c>
      <c r="BI64" s="86" t="str">
        <f t="shared" si="40"/>
        <v>冰水機(冷水主機)ChillersR-23</v>
      </c>
      <c r="BJ64" s="86" t="str">
        <f t="shared" si="41"/>
        <v/>
      </c>
      <c r="BK64" s="86" t="str">
        <f t="shared" si="42"/>
        <v>環保署排放係管理表6.0.4Taiwan EPA GHG coefficient table 6.0.4</v>
      </c>
    </row>
    <row r="65" spans="1:63" customFormat="1" ht="31" customHeight="1" thickBot="1">
      <c r="A65">
        <v>7</v>
      </c>
      <c r="B65" s="634"/>
      <c r="C65" s="714"/>
      <c r="D65" s="668"/>
      <c r="E65" s="699"/>
      <c r="F65" s="634"/>
      <c r="G65" s="425" t="s">
        <v>344</v>
      </c>
      <c r="H65" s="363" t="s">
        <v>1086</v>
      </c>
      <c r="I65" s="426" t="s">
        <v>233</v>
      </c>
      <c r="J65" s="194" t="s">
        <v>240</v>
      </c>
      <c r="K65" s="415" t="s">
        <v>35</v>
      </c>
      <c r="L65" s="234">
        <v>0.12040000000000001</v>
      </c>
      <c r="M65" s="362" t="s">
        <v>351</v>
      </c>
      <c r="N65" s="245"/>
      <c r="O65" s="245"/>
      <c r="P65" s="427" t="str">
        <f t="shared" si="28"/>
        <v/>
      </c>
      <c r="Q65" s="428"/>
      <c r="R65" s="429"/>
      <c r="S65" s="421"/>
      <c r="T65" s="421"/>
      <c r="U65" s="421"/>
      <c r="V65" s="421"/>
      <c r="W65" s="421"/>
      <c r="X65" s="421"/>
      <c r="Y65" s="389" t="str">
        <f t="shared" si="29"/>
        <v/>
      </c>
      <c r="Z65" s="364" t="str">
        <f t="shared" si="30"/>
        <v/>
      </c>
      <c r="AA65" s="364" t="str">
        <f t="shared" si="31"/>
        <v/>
      </c>
      <c r="AB65" s="364" t="str">
        <f t="shared" si="32"/>
        <v>V</v>
      </c>
      <c r="AC65" s="364" t="str">
        <f t="shared" si="33"/>
        <v/>
      </c>
      <c r="AD65" s="364" t="str">
        <f t="shared" si="34"/>
        <v/>
      </c>
      <c r="AE65" s="423" t="str">
        <f t="shared" si="35"/>
        <v/>
      </c>
      <c r="AF65" s="389">
        <v>0</v>
      </c>
      <c r="AG65" s="364">
        <v>0</v>
      </c>
      <c r="AH65" s="364">
        <v>0</v>
      </c>
      <c r="AI65" s="364">
        <f>IFERROR(IF(G65="填充量計算 Recharge of Loss Volume",1,IF($H65="預設逸散率Default",ROUND(VLOOKUP($I65,'Other Emission Factor'!$F$4:$I$11,2,FALSE),10),IF($H65="自訂值 Custom Value",P65,0))),0)</f>
        <v>8.5000000000000006E-2</v>
      </c>
      <c r="AJ65" s="364">
        <v>0</v>
      </c>
      <c r="AK65" s="364">
        <v>0</v>
      </c>
      <c r="AL65" s="364">
        <v>0</v>
      </c>
      <c r="AM65" s="430" t="str">
        <f>IFERROR(IF($H65="預設逸散率Default",VLOOKUP($I65,表格12[],4,FALSE),IF($H65="自訂值Custom Value",Q65,"")),"")</f>
        <v>環保署排放係管理表6.0.4Taiwan EPA GHG coefficient table 6.0.4</v>
      </c>
      <c r="AN65" s="431">
        <f t="shared" si="36"/>
        <v>0</v>
      </c>
      <c r="AO65" s="366">
        <f>IF(Z65="V",IF('1.GHG Inventory Form'!$E$6="IPCC AR2 Report(1995)",'6.GWP'!$C$2,IF('1.GHG Inventory Form'!$E$6="IPCC AR3 Report(2001)",'6.GWP'!$D$2,IF('1.GHG Inventory Form'!$E$6="IPCC AR4 Report(2007)",'6.GWP'!$E$2,IF('1.GHG Inventory Form'!$E$6="IPCC AR5 Report(2013)",'6.GWP'!$F$2,IF('1.GHG Inventory Form'!$E$6="IPCC AR6 Report(2021)",'6.GWP'!$G$2,0))))),0)</f>
        <v>0</v>
      </c>
      <c r="AP65" s="366">
        <f>IF(AA65="V",IF('1.GHG Inventory Form'!$E$6="IPCC AR2 Report(1995)",#REF!,IF('1.GHG Inventory Form'!$E$6="IPCC AR3 Report(2001)",#REF!,IF('1.GHG Inventory Form'!$E$6="IPCC AR4 Report(2007)",#REF!,IF('1.GHG Inventory Form'!$E$6="IPCC AR5 Report(2013)",#REF!,IF('1.GHG Inventory Form'!$E$6="IPCC AR6 Report(2021)",#REF!,0))))),0)</f>
        <v>0</v>
      </c>
      <c r="AQ65" s="366">
        <f>IFERROR(IF(AB65="V",IF('1.GHG Inventory Form'!$E$6="IPCC AR2 Report(1995)",VLOOKUP(K65,'6.GWP'!$B$2:$G$173,2,FALSE),IF('1.GHG Inventory Form'!$E$6="IPCC AR3 Report(2001)",VLOOKUP(K65,'6.GWP'!$B$2:$G$173,3,FALSE),IF('1.GHG Inventory Form'!$E$6="IPCC AR4 Report(2007)",VLOOKUP(K65,'6.GWP'!$B$2:$G$173,4,FALSE),IF('1.GHG Inventory Form'!$E$6="IPCC AR5 Report(2013)",VLOOKUP(K65,'6.GWP'!$B$2:$G$173,5,FALSE),IF('1.GHG Inventory Form'!$E$6="IPCC AR6 Report(2021)",VLOOKUP(K65,'6.GWP'!$B$2:$G$173,6,FALSE),0))))),0),0)</f>
        <v>2255.5</v>
      </c>
      <c r="AR65" s="366">
        <f>IFERROR(IF(AC65="V",IF('1.GHG Inventory Form'!$E$6="IPCC AR2 Report(1995)",VLOOKUP(K65,'6.GWP'!$B$2:$G$173,2,FALSE),IF('1.GHG Inventory Form'!$E$6="IPCC AR3 Report(2001)",VLOOKUP(K65,'6.GWP'!$B$2:$G$173,3,FALSE),IF('1.GHG Inventory Form'!$E$6="IPCC AR4 Report(2007)",VLOOKUP(K65,'6.GWP'!$B$2:$G$173,4,FALSE),IF('1.GHG Inventory Form'!$E$6="IPCC AR5 Report(2013)",VLOOKUP(K65,'6.GWP'!$B$2:$G$173,5,FALSE),IF('1.GHG Inventory Form'!$E$6="IPCC AR6 Report(2021)",VLOOKUP(K65,'6.GWP'!$B$2:$G$173,6,FALSE),0))))),0),0)</f>
        <v>0</v>
      </c>
      <c r="AS65" s="366">
        <f>IFERROR(IF(AD65="V",IF('1.GHG Inventory Form'!$E$6="IPCC AR2 Report(1995)",VLOOKUP(G65,'6.GWP'!$B$2:$G$173,2,FALSE),IF('1.GHG Inventory Form'!$E$6="IPCC AR3 Report(2001)",VLOOKUP(G65,'6.GWP'!$B$2:$G$173,3,FALSE),IF('1.GHG Inventory Form'!$E$6="IPCC AR4 Report(2007)",VLOOKUP(G65,'6.GWP'!$B$2:$G$173,4,FALSE),IF('1.GHG Inventory Form'!$E$6="IPCC AR5 Report(2013)",VLOOKUP(G65,'6.GWP'!$B$2:$G$173,5,FALSE),IF('1.GHG Inventory Form'!$E$6="IPCC AR6 Report(2021)",VLOOKUP(G65,'6.GWP'!$B$2:$G$173,6,FALSE),0))))),0),0)</f>
        <v>0</v>
      </c>
      <c r="AT65"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5" s="334">
        <f t="shared" si="21"/>
        <v>0</v>
      </c>
      <c r="AV65" s="334">
        <f t="shared" si="22"/>
        <v>0</v>
      </c>
      <c r="AW65" s="334">
        <f t="shared" si="23"/>
        <v>0</v>
      </c>
      <c r="AX65" s="334">
        <f t="shared" si="24"/>
        <v>23.082787000000003</v>
      </c>
      <c r="AY65" s="334">
        <f t="shared" si="25"/>
        <v>0</v>
      </c>
      <c r="AZ65" s="334">
        <f t="shared" si="26"/>
        <v>0</v>
      </c>
      <c r="BA65" s="334">
        <f t="shared" si="27"/>
        <v>0</v>
      </c>
      <c r="BB65" s="393">
        <f t="shared" si="37"/>
        <v>23.082799999999999</v>
      </c>
      <c r="BC65" s="368">
        <f t="shared" si="38"/>
        <v>1.6149749628786222E-2</v>
      </c>
      <c r="BD65" s="369">
        <f t="shared" si="39"/>
        <v>1.4554922466606245E-2</v>
      </c>
      <c r="BI65" s="86" t="str">
        <f t="shared" si="40"/>
        <v>冰水機(冷水主機)ChillersR-410A</v>
      </c>
      <c r="BJ65" s="86" t="str">
        <f t="shared" si="41"/>
        <v/>
      </c>
      <c r="BK65" s="86" t="str">
        <f t="shared" si="42"/>
        <v>環保署排放係管理表6.0.4Taiwan EPA GHG coefficient table 6.0.4</v>
      </c>
    </row>
    <row r="66" spans="1:63" customFormat="1" ht="31" customHeight="1" thickBot="1">
      <c r="A66">
        <v>8</v>
      </c>
      <c r="B66" s="634"/>
      <c r="C66" s="714"/>
      <c r="D66" s="668"/>
      <c r="E66" s="699"/>
      <c r="F66" s="634"/>
      <c r="G66" s="425" t="s">
        <v>344</v>
      </c>
      <c r="H66" s="363" t="s">
        <v>1086</v>
      </c>
      <c r="I66" s="426" t="s">
        <v>233</v>
      </c>
      <c r="J66" s="194" t="s">
        <v>240</v>
      </c>
      <c r="K66" s="415" t="s">
        <v>64</v>
      </c>
      <c r="L66" s="234">
        <v>2.7000000000000001E-3</v>
      </c>
      <c r="M66" s="362" t="s">
        <v>352</v>
      </c>
      <c r="N66" s="245"/>
      <c r="O66" s="245"/>
      <c r="P66" s="427" t="str">
        <f t="shared" si="28"/>
        <v/>
      </c>
      <c r="Q66" s="428"/>
      <c r="R66" s="429"/>
      <c r="S66" s="421"/>
      <c r="T66" s="421"/>
      <c r="U66" s="421"/>
      <c r="V66" s="421"/>
      <c r="W66" s="421"/>
      <c r="X66" s="421"/>
      <c r="Y66" s="389" t="str">
        <f t="shared" si="29"/>
        <v/>
      </c>
      <c r="Z66" s="364" t="str">
        <f t="shared" si="30"/>
        <v/>
      </c>
      <c r="AA66" s="364" t="str">
        <f t="shared" si="31"/>
        <v/>
      </c>
      <c r="AB66" s="364" t="str">
        <f t="shared" si="32"/>
        <v>V</v>
      </c>
      <c r="AC66" s="364" t="str">
        <f t="shared" si="33"/>
        <v/>
      </c>
      <c r="AD66" s="364" t="str">
        <f t="shared" si="34"/>
        <v/>
      </c>
      <c r="AE66" s="423" t="str">
        <f t="shared" si="35"/>
        <v/>
      </c>
      <c r="AF66" s="389">
        <v>0</v>
      </c>
      <c r="AG66" s="364">
        <v>0</v>
      </c>
      <c r="AH66" s="364">
        <v>0</v>
      </c>
      <c r="AI66" s="364">
        <f>IFERROR(IF(G66="填充量計算 Recharge of Loss Volume",1,IF($H66="預設逸散率Default",ROUND(VLOOKUP($I66,'Other Emission Factor'!$F$4:$I$11,2,FALSE),10),IF($H66="自訂值 Custom Value",P66,0))),0)</f>
        <v>8.5000000000000006E-2</v>
      </c>
      <c r="AJ66" s="364">
        <v>0</v>
      </c>
      <c r="AK66" s="364">
        <v>0</v>
      </c>
      <c r="AL66" s="364">
        <v>0</v>
      </c>
      <c r="AM66" s="430" t="str">
        <f>IFERROR(IF($H66="預設逸散率Default",VLOOKUP($I66,表格12[],4,FALSE),IF($H66="自訂值Custom Value",Q66,"")),"")</f>
        <v>環保署排放係管理表6.0.4Taiwan EPA GHG coefficient table 6.0.4</v>
      </c>
      <c r="AN66" s="431">
        <f t="shared" si="36"/>
        <v>0</v>
      </c>
      <c r="AO66" s="366">
        <f>IF(Z66="V",IF('1.GHG Inventory Form'!$E$6="IPCC AR2 Report(1995)",'6.GWP'!$C$2,IF('1.GHG Inventory Form'!$E$6="IPCC AR3 Report(2001)",'6.GWP'!$D$2,IF('1.GHG Inventory Form'!$E$6="IPCC AR4 Report(2007)",'6.GWP'!$E$2,IF('1.GHG Inventory Form'!$E$6="IPCC AR5 Report(2013)",'6.GWP'!$F$2,IF('1.GHG Inventory Form'!$E$6="IPCC AR6 Report(2021)",'6.GWP'!$G$2,0))))),0)</f>
        <v>0</v>
      </c>
      <c r="AP66" s="366">
        <f>IF(AA66="V",IF('1.GHG Inventory Form'!$E$6="IPCC AR2 Report(1995)",#REF!,IF('1.GHG Inventory Form'!$E$6="IPCC AR3 Report(2001)",#REF!,IF('1.GHG Inventory Form'!$E$6="IPCC AR4 Report(2007)",#REF!,IF('1.GHG Inventory Form'!$E$6="IPCC AR5 Report(2013)",#REF!,IF('1.GHG Inventory Form'!$E$6="IPCC AR6 Report(2021)",#REF!,0))))),0)</f>
        <v>0</v>
      </c>
      <c r="AQ66" s="366">
        <f>IFERROR(IF(AB66="V",IF('1.GHG Inventory Form'!$E$6="IPCC AR2 Report(1995)",VLOOKUP(K66,'6.GWP'!$B$2:$G$173,2,FALSE),IF('1.GHG Inventory Form'!$E$6="IPCC AR3 Report(2001)",VLOOKUP(K66,'6.GWP'!$B$2:$G$173,3,FALSE),IF('1.GHG Inventory Form'!$E$6="IPCC AR4 Report(2007)",VLOOKUP(K66,'6.GWP'!$B$2:$G$173,4,FALSE),IF('1.GHG Inventory Form'!$E$6="IPCC AR5 Report(2013)",VLOOKUP(K66,'6.GWP'!$B$2:$G$173,5,FALSE),IF('1.GHG Inventory Form'!$E$6="IPCC AR6 Report(2021)",VLOOKUP(K66,'6.GWP'!$B$2:$G$173,6,FALSE),0))))),0),0)</f>
        <v>1494.2601999999999</v>
      </c>
      <c r="AR66" s="366">
        <f>IFERROR(IF(AC66="V",IF('1.GHG Inventory Form'!$E$6="IPCC AR2 Report(1995)",VLOOKUP(K66,'6.GWP'!$B$2:$G$173,2,FALSE),IF('1.GHG Inventory Form'!$E$6="IPCC AR3 Report(2001)",VLOOKUP(K66,'6.GWP'!$B$2:$G$173,3,FALSE),IF('1.GHG Inventory Form'!$E$6="IPCC AR4 Report(2007)",VLOOKUP(K66,'6.GWP'!$B$2:$G$173,4,FALSE),IF('1.GHG Inventory Form'!$E$6="IPCC AR5 Report(2013)",VLOOKUP(K66,'6.GWP'!$B$2:$G$173,5,FALSE),IF('1.GHG Inventory Form'!$E$6="IPCC AR6 Report(2021)",VLOOKUP(K66,'6.GWP'!$B$2:$G$173,6,FALSE),0))))),0),0)</f>
        <v>0</v>
      </c>
      <c r="AS66" s="366">
        <f>IFERROR(IF(AD66="V",IF('1.GHG Inventory Form'!$E$6="IPCC AR2 Report(1995)",VLOOKUP(G66,'6.GWP'!$B$2:$G$173,2,FALSE),IF('1.GHG Inventory Form'!$E$6="IPCC AR3 Report(2001)",VLOOKUP(G66,'6.GWP'!$B$2:$G$173,3,FALSE),IF('1.GHG Inventory Form'!$E$6="IPCC AR4 Report(2007)",VLOOKUP(G66,'6.GWP'!$B$2:$G$173,4,FALSE),IF('1.GHG Inventory Form'!$E$6="IPCC AR5 Report(2013)",VLOOKUP(G66,'6.GWP'!$B$2:$G$173,5,FALSE),IF('1.GHG Inventory Form'!$E$6="IPCC AR6 Report(2021)",VLOOKUP(G66,'6.GWP'!$B$2:$G$173,6,FALSE),0))))),0),0)</f>
        <v>0</v>
      </c>
      <c r="AT66"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6" s="334">
        <f t="shared" si="21"/>
        <v>0</v>
      </c>
      <c r="AV66" s="334">
        <f t="shared" si="22"/>
        <v>0</v>
      </c>
      <c r="AW66" s="334">
        <f t="shared" si="23"/>
        <v>0</v>
      </c>
      <c r="AX66" s="334">
        <f t="shared" si="24"/>
        <v>0.34293271590000002</v>
      </c>
      <c r="AY66" s="334">
        <f t="shared" si="25"/>
        <v>0</v>
      </c>
      <c r="AZ66" s="334">
        <f t="shared" si="26"/>
        <v>0</v>
      </c>
      <c r="BA66" s="334">
        <f t="shared" si="27"/>
        <v>0</v>
      </c>
      <c r="BB66" s="393">
        <f t="shared" si="37"/>
        <v>0.34289999999999998</v>
      </c>
      <c r="BC66" s="368">
        <f t="shared" si="38"/>
        <v>2.3990803315502432E-4</v>
      </c>
      <c r="BD66" s="369">
        <f t="shared" si="39"/>
        <v>2.1621652978838274E-4</v>
      </c>
      <c r="BI66" s="86" t="str">
        <f t="shared" si="40"/>
        <v>冰水機(冷水主機)ChillersR-448A</v>
      </c>
      <c r="BJ66" s="86" t="str">
        <f t="shared" si="41"/>
        <v/>
      </c>
      <c r="BK66" s="86" t="str">
        <f t="shared" si="42"/>
        <v>環保署排放係管理表6.0.4Taiwan EPA GHG coefficient table 6.0.4</v>
      </c>
    </row>
    <row r="67" spans="1:63" customFormat="1" ht="31" customHeight="1" thickBot="1">
      <c r="A67">
        <v>9</v>
      </c>
      <c r="B67" s="634"/>
      <c r="C67" s="714"/>
      <c r="D67" s="668"/>
      <c r="E67" s="699"/>
      <c r="F67" s="634"/>
      <c r="G67" s="425" t="s">
        <v>344</v>
      </c>
      <c r="H67" s="363" t="s">
        <v>1086</v>
      </c>
      <c r="I67" s="426" t="s">
        <v>233</v>
      </c>
      <c r="J67" s="194" t="s">
        <v>240</v>
      </c>
      <c r="K67" s="415" t="s">
        <v>65</v>
      </c>
      <c r="L67" s="234">
        <v>5.4000000000000001E-4</v>
      </c>
      <c r="M67" s="362" t="s">
        <v>353</v>
      </c>
      <c r="N67" s="245"/>
      <c r="O67" s="245"/>
      <c r="P67" s="427" t="str">
        <f t="shared" si="28"/>
        <v/>
      </c>
      <c r="Q67" s="428"/>
      <c r="R67" s="429"/>
      <c r="S67" s="421"/>
      <c r="T67" s="421"/>
      <c r="U67" s="421"/>
      <c r="V67" s="421"/>
      <c r="W67" s="421"/>
      <c r="X67" s="421"/>
      <c r="Y67" s="389" t="str">
        <f t="shared" si="29"/>
        <v/>
      </c>
      <c r="Z67" s="364" t="str">
        <f t="shared" si="30"/>
        <v/>
      </c>
      <c r="AA67" s="364" t="str">
        <f t="shared" si="31"/>
        <v/>
      </c>
      <c r="AB67" s="364" t="str">
        <f t="shared" si="32"/>
        <v>V</v>
      </c>
      <c r="AC67" s="364" t="str">
        <f t="shared" si="33"/>
        <v/>
      </c>
      <c r="AD67" s="364" t="str">
        <f t="shared" si="34"/>
        <v/>
      </c>
      <c r="AE67" s="423" t="str">
        <f t="shared" si="35"/>
        <v/>
      </c>
      <c r="AF67" s="389">
        <v>0</v>
      </c>
      <c r="AG67" s="364">
        <v>0</v>
      </c>
      <c r="AH67" s="364">
        <v>0</v>
      </c>
      <c r="AI67" s="364">
        <f>IFERROR(IF(G67="填充量計算 Recharge of Loss Volume",1,IF($H67="預設逸散率Default",ROUND(VLOOKUP($I67,'Other Emission Factor'!$F$4:$I$11,2,FALSE),10),IF($H67="自訂值 Custom Value",P67,0))),0)</f>
        <v>8.5000000000000006E-2</v>
      </c>
      <c r="AJ67" s="364">
        <v>0</v>
      </c>
      <c r="AK67" s="364">
        <v>0</v>
      </c>
      <c r="AL67" s="364">
        <v>0</v>
      </c>
      <c r="AM67" s="430" t="str">
        <f>IFERROR(IF($H67="預設逸散率Default",VLOOKUP($I67,表格12[],4,FALSE),IF($H67="自訂值Custom Value",Q67,"")),"")</f>
        <v>環保署排放係管理表6.0.4Taiwan EPA GHG coefficient table 6.0.4</v>
      </c>
      <c r="AN67" s="431">
        <f t="shared" si="36"/>
        <v>0</v>
      </c>
      <c r="AO67" s="366">
        <f>IF(Z67="V",IF('1.GHG Inventory Form'!$E$6="IPCC AR2 Report(1995)",'6.GWP'!$C$2,IF('1.GHG Inventory Form'!$E$6="IPCC AR3 Report(2001)",'6.GWP'!$D$2,IF('1.GHG Inventory Form'!$E$6="IPCC AR4 Report(2007)",'6.GWP'!$E$2,IF('1.GHG Inventory Form'!$E$6="IPCC AR5 Report(2013)",'6.GWP'!$F$2,IF('1.GHG Inventory Form'!$E$6="IPCC AR6 Report(2021)",'6.GWP'!$G$2,0))))),0)</f>
        <v>0</v>
      </c>
      <c r="AP67" s="366">
        <f>IF(AA67="V",IF('1.GHG Inventory Form'!$E$6="IPCC AR2 Report(1995)",#REF!,IF('1.GHG Inventory Form'!$E$6="IPCC AR3 Report(2001)",#REF!,IF('1.GHG Inventory Form'!$E$6="IPCC AR4 Report(2007)",#REF!,IF('1.GHG Inventory Form'!$E$6="IPCC AR5 Report(2013)",#REF!,IF('1.GHG Inventory Form'!$E$6="IPCC AR6 Report(2021)",#REF!,0))))),0)</f>
        <v>0</v>
      </c>
      <c r="AQ67" s="366">
        <f>IFERROR(IF(AB67="V",IF('1.GHG Inventory Form'!$E$6="IPCC AR2 Report(1995)",VLOOKUP(K67,'6.GWP'!$B$2:$G$173,2,FALSE),IF('1.GHG Inventory Form'!$E$6="IPCC AR3 Report(2001)",VLOOKUP(K67,'6.GWP'!$B$2:$G$173,3,FALSE),IF('1.GHG Inventory Form'!$E$6="IPCC AR4 Report(2007)",VLOOKUP(K67,'6.GWP'!$B$2:$G$173,4,FALSE),IF('1.GHG Inventory Form'!$E$6="IPCC AR5 Report(2013)",VLOOKUP(K67,'6.GWP'!$B$2:$G$173,5,FALSE),IF('1.GHG Inventory Form'!$E$6="IPCC AR6 Report(2021)",VLOOKUP(K67,'6.GWP'!$B$2:$G$173,6,FALSE),0))))),0),0)</f>
        <v>13412</v>
      </c>
      <c r="AR67" s="366">
        <f>IFERROR(IF(AC67="V",IF('1.GHG Inventory Form'!$E$6="IPCC AR2 Report(1995)",VLOOKUP(K67,'6.GWP'!$B$2:$G$173,2,FALSE),IF('1.GHG Inventory Form'!$E$6="IPCC AR3 Report(2001)",VLOOKUP(K67,'6.GWP'!$B$2:$G$173,3,FALSE),IF('1.GHG Inventory Form'!$E$6="IPCC AR4 Report(2007)",VLOOKUP(K67,'6.GWP'!$B$2:$G$173,4,FALSE),IF('1.GHG Inventory Form'!$E$6="IPCC AR5 Report(2013)",VLOOKUP(K67,'6.GWP'!$B$2:$G$173,5,FALSE),IF('1.GHG Inventory Form'!$E$6="IPCC AR6 Report(2021)",VLOOKUP(K67,'6.GWP'!$B$2:$G$173,6,FALSE),0))))),0),0)</f>
        <v>0</v>
      </c>
      <c r="AS67" s="366">
        <f>IFERROR(IF(AD67="V",IF('1.GHG Inventory Form'!$E$6="IPCC AR2 Report(1995)",VLOOKUP(G67,'6.GWP'!$B$2:$G$173,2,FALSE),IF('1.GHG Inventory Form'!$E$6="IPCC AR3 Report(2001)",VLOOKUP(G67,'6.GWP'!$B$2:$G$173,3,FALSE),IF('1.GHG Inventory Form'!$E$6="IPCC AR4 Report(2007)",VLOOKUP(G67,'6.GWP'!$B$2:$G$173,4,FALSE),IF('1.GHG Inventory Form'!$E$6="IPCC AR5 Report(2013)",VLOOKUP(G67,'6.GWP'!$B$2:$G$173,5,FALSE),IF('1.GHG Inventory Form'!$E$6="IPCC AR6 Report(2021)",VLOOKUP(G67,'6.GWP'!$B$2:$G$173,6,FALSE),0))))),0),0)</f>
        <v>0</v>
      </c>
      <c r="AT67"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7" s="334">
        <f t="shared" si="21"/>
        <v>0</v>
      </c>
      <c r="AV67" s="334">
        <f t="shared" si="22"/>
        <v>0</v>
      </c>
      <c r="AW67" s="334">
        <f t="shared" si="23"/>
        <v>0</v>
      </c>
      <c r="AX67" s="334">
        <f t="shared" si="24"/>
        <v>0.61561080000000001</v>
      </c>
      <c r="AY67" s="334">
        <f t="shared" si="25"/>
        <v>0</v>
      </c>
      <c r="AZ67" s="334">
        <f t="shared" si="26"/>
        <v>0</v>
      </c>
      <c r="BA67" s="334">
        <f t="shared" si="27"/>
        <v>0</v>
      </c>
      <c r="BB67" s="393">
        <f t="shared" si="37"/>
        <v>0.61560000000000004</v>
      </c>
      <c r="BC67" s="368">
        <f t="shared" si="38"/>
        <v>4.3070103590035866E-4</v>
      </c>
      <c r="BD67" s="369">
        <f t="shared" si="39"/>
        <v>3.881682582027659E-4</v>
      </c>
      <c r="BI67" s="86" t="str">
        <f t="shared" si="40"/>
        <v>冰水機(冷水主機)ChillersR-508B</v>
      </c>
      <c r="BJ67" s="86" t="str">
        <f t="shared" si="41"/>
        <v/>
      </c>
      <c r="BK67" s="86" t="str">
        <f t="shared" si="42"/>
        <v>環保署排放係管理表6.0.4Taiwan EPA GHG coefficient table 6.0.4</v>
      </c>
    </row>
    <row r="68" spans="1:63" customFormat="1" ht="31" customHeight="1" thickBot="1">
      <c r="A68">
        <v>10</v>
      </c>
      <c r="B68" s="634"/>
      <c r="C68" s="714"/>
      <c r="D68" s="668"/>
      <c r="E68" s="699"/>
      <c r="F68" s="634"/>
      <c r="G68" s="425" t="s">
        <v>344</v>
      </c>
      <c r="H68" s="363" t="s">
        <v>1086</v>
      </c>
      <c r="I68" s="426" t="s">
        <v>98</v>
      </c>
      <c r="J68" s="194" t="s">
        <v>240</v>
      </c>
      <c r="K68" s="415" t="s">
        <v>11</v>
      </c>
      <c r="L68" s="234">
        <v>4.2400000000000001E-4</v>
      </c>
      <c r="M68" s="362" t="s">
        <v>354</v>
      </c>
      <c r="N68" s="245"/>
      <c r="O68" s="245"/>
      <c r="P68" s="427" t="str">
        <f t="shared" si="28"/>
        <v/>
      </c>
      <c r="Q68" s="428"/>
      <c r="R68" s="429"/>
      <c r="S68" s="421"/>
      <c r="T68" s="421"/>
      <c r="U68" s="421"/>
      <c r="V68" s="421"/>
      <c r="W68" s="421"/>
      <c r="X68" s="421"/>
      <c r="Y68" s="389" t="str">
        <f t="shared" si="29"/>
        <v/>
      </c>
      <c r="Z68" s="364" t="str">
        <f t="shared" si="30"/>
        <v/>
      </c>
      <c r="AA68" s="364" t="str">
        <f t="shared" si="31"/>
        <v/>
      </c>
      <c r="AB68" s="364" t="str">
        <f t="shared" si="32"/>
        <v>V</v>
      </c>
      <c r="AC68" s="364" t="str">
        <f t="shared" si="33"/>
        <v/>
      </c>
      <c r="AD68" s="364" t="str">
        <f t="shared" si="34"/>
        <v/>
      </c>
      <c r="AE68" s="423" t="str">
        <f t="shared" si="35"/>
        <v/>
      </c>
      <c r="AF68" s="389">
        <v>0</v>
      </c>
      <c r="AG68" s="364">
        <v>0</v>
      </c>
      <c r="AH68" s="364">
        <v>0</v>
      </c>
      <c r="AI68" s="364">
        <f>IFERROR(IF(G68="填充量計算 Recharge of Loss Volume",1,IF($H68="預設逸散率Default",ROUND(VLOOKUP($I68,'Other Emission Factor'!$F$4:$I$11,2,FALSE),10),IF($H68="自訂值 Custom Value",P68,0))),0)</f>
        <v>3.0000000000000001E-3</v>
      </c>
      <c r="AJ68" s="364">
        <v>0</v>
      </c>
      <c r="AK68" s="364">
        <v>0</v>
      </c>
      <c r="AL68" s="364">
        <v>0</v>
      </c>
      <c r="AM68" s="430" t="str">
        <f>IFERROR(IF($H68="預設逸散率Default",VLOOKUP($I68,表格12[],4,FALSE),IF($H68="自訂值Custom Value",Q68,"")),"")</f>
        <v>環保署排放係管理表6.0.4Taiwan EPA GHG coefficient table 6.0.4</v>
      </c>
      <c r="AN68" s="431">
        <f t="shared" si="36"/>
        <v>0</v>
      </c>
      <c r="AO68" s="366">
        <f>IF(Z68="V",IF('1.GHG Inventory Form'!$E$6="IPCC AR2 Report(1995)",'6.GWP'!$C$2,IF('1.GHG Inventory Form'!$E$6="IPCC AR3 Report(2001)",'6.GWP'!$D$2,IF('1.GHG Inventory Form'!$E$6="IPCC AR4 Report(2007)",'6.GWP'!$E$2,IF('1.GHG Inventory Form'!$E$6="IPCC AR5 Report(2013)",'6.GWP'!$F$2,IF('1.GHG Inventory Form'!$E$6="IPCC AR6 Report(2021)",'6.GWP'!$G$2,0))))),0)</f>
        <v>0</v>
      </c>
      <c r="AP68" s="366">
        <f>IF(AA68="V",IF('1.GHG Inventory Form'!$E$6="IPCC AR2 Report(1995)",#REF!,IF('1.GHG Inventory Form'!$E$6="IPCC AR3 Report(2001)",#REF!,IF('1.GHG Inventory Form'!$E$6="IPCC AR4 Report(2007)",#REF!,IF('1.GHG Inventory Form'!$E$6="IPCC AR5 Report(2013)",#REF!,IF('1.GHG Inventory Form'!$E$6="IPCC AR6 Report(2021)",#REF!,0))))),0)</f>
        <v>0</v>
      </c>
      <c r="AQ68" s="366">
        <f>IFERROR(IF(AB68="V",IF('1.GHG Inventory Form'!$E$6="IPCC AR2 Report(1995)",VLOOKUP(K68,'6.GWP'!$B$2:$G$173,2,FALSE),IF('1.GHG Inventory Form'!$E$6="IPCC AR3 Report(2001)",VLOOKUP(K68,'6.GWP'!$B$2:$G$173,3,FALSE),IF('1.GHG Inventory Form'!$E$6="IPCC AR4 Report(2007)",VLOOKUP(K68,'6.GWP'!$B$2:$G$173,4,FALSE),IF('1.GHG Inventory Form'!$E$6="IPCC AR5 Report(2013)",VLOOKUP(K68,'6.GWP'!$B$2:$G$173,5,FALSE),IF('1.GHG Inventory Form'!$E$6="IPCC AR6 Report(2021)",VLOOKUP(K68,'6.GWP'!$B$2:$G$173,6,FALSE),0))))),0),0)</f>
        <v>0</v>
      </c>
      <c r="AR68" s="366">
        <f>IFERROR(IF(AC68="V",IF('1.GHG Inventory Form'!$E$6="IPCC AR2 Report(1995)",VLOOKUP(K68,'6.GWP'!$B$2:$G$173,2,FALSE),IF('1.GHG Inventory Form'!$E$6="IPCC AR3 Report(2001)",VLOOKUP(K68,'6.GWP'!$B$2:$G$173,3,FALSE),IF('1.GHG Inventory Form'!$E$6="IPCC AR4 Report(2007)",VLOOKUP(K68,'6.GWP'!$B$2:$G$173,4,FALSE),IF('1.GHG Inventory Form'!$E$6="IPCC AR5 Report(2013)",VLOOKUP(K68,'6.GWP'!$B$2:$G$173,5,FALSE),IF('1.GHG Inventory Form'!$E$6="IPCC AR6 Report(2021)",VLOOKUP(K68,'6.GWP'!$B$2:$G$173,6,FALSE),0))))),0),0)</f>
        <v>0</v>
      </c>
      <c r="AS68" s="366">
        <f>IFERROR(IF(AD68="V",IF('1.GHG Inventory Form'!$E$6="IPCC AR2 Report(1995)",VLOOKUP(G68,'6.GWP'!$B$2:$G$173,2,FALSE),IF('1.GHG Inventory Form'!$E$6="IPCC AR3 Report(2001)",VLOOKUP(G68,'6.GWP'!$B$2:$G$173,3,FALSE),IF('1.GHG Inventory Form'!$E$6="IPCC AR4 Report(2007)",VLOOKUP(G68,'6.GWP'!$B$2:$G$173,4,FALSE),IF('1.GHG Inventory Form'!$E$6="IPCC AR5 Report(2013)",VLOOKUP(G68,'6.GWP'!$B$2:$G$173,5,FALSE),IF('1.GHG Inventory Form'!$E$6="IPCC AR6 Report(2021)",VLOOKUP(G68,'6.GWP'!$B$2:$G$173,6,FALSE),0))))),0),0)</f>
        <v>0</v>
      </c>
      <c r="AT68"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8" s="334">
        <f t="shared" si="21"/>
        <v>0</v>
      </c>
      <c r="AV68" s="334">
        <f t="shared" si="22"/>
        <v>0</v>
      </c>
      <c r="AW68" s="334">
        <f t="shared" si="23"/>
        <v>0</v>
      </c>
      <c r="AX68" s="334">
        <f t="shared" si="24"/>
        <v>0</v>
      </c>
      <c r="AY68" s="334">
        <f t="shared" si="25"/>
        <v>0</v>
      </c>
      <c r="AZ68" s="334">
        <f t="shared" si="26"/>
        <v>0</v>
      </c>
      <c r="BA68" s="334">
        <f t="shared" si="27"/>
        <v>0</v>
      </c>
      <c r="BB68" s="393">
        <f t="shared" si="37"/>
        <v>0</v>
      </c>
      <c r="BC68" s="368">
        <f t="shared" si="38"/>
        <v>0</v>
      </c>
      <c r="BD68" s="369">
        <f t="shared" si="39"/>
        <v>0</v>
      </c>
      <c r="BI68" s="86" t="str">
        <f t="shared" si="40"/>
        <v>家用冷凍、冷藏裝備(如冰箱、飲水機、冷凍櫃)Domestic RefrigerationR-600a</v>
      </c>
      <c r="BJ68" s="86" t="str">
        <f t="shared" si="41"/>
        <v/>
      </c>
      <c r="BK68" s="86" t="str">
        <f t="shared" si="42"/>
        <v>環保署排放係管理表6.0.4Taiwan EPA GHG coefficient table 6.0.4</v>
      </c>
    </row>
    <row r="69" spans="1:63" customFormat="1" ht="31" customHeight="1" thickBot="1">
      <c r="A69">
        <v>11</v>
      </c>
      <c r="B69" s="634"/>
      <c r="C69" s="714"/>
      <c r="D69" s="668"/>
      <c r="E69" s="699"/>
      <c r="F69" s="634"/>
      <c r="G69" s="425" t="s">
        <v>344</v>
      </c>
      <c r="H69" s="363" t="s">
        <v>1086</v>
      </c>
      <c r="I69" s="426" t="s">
        <v>98</v>
      </c>
      <c r="J69" s="194" t="s">
        <v>240</v>
      </c>
      <c r="K69" s="415" t="s">
        <v>56</v>
      </c>
      <c r="L69" s="234">
        <v>8.9999999999999992E-5</v>
      </c>
      <c r="M69" s="362" t="s">
        <v>355</v>
      </c>
      <c r="N69" s="245"/>
      <c r="O69" s="245"/>
      <c r="P69" s="427" t="str">
        <f t="shared" si="28"/>
        <v/>
      </c>
      <c r="Q69" s="428"/>
      <c r="R69" s="429"/>
      <c r="S69" s="421"/>
      <c r="T69" s="421"/>
      <c r="U69" s="421"/>
      <c r="V69" s="421"/>
      <c r="W69" s="421"/>
      <c r="X69" s="421"/>
      <c r="Y69" s="389" t="str">
        <f t="shared" si="29"/>
        <v/>
      </c>
      <c r="Z69" s="364" t="str">
        <f t="shared" si="30"/>
        <v/>
      </c>
      <c r="AA69" s="364" t="str">
        <f t="shared" si="31"/>
        <v/>
      </c>
      <c r="AB69" s="364" t="str">
        <f t="shared" si="32"/>
        <v>V</v>
      </c>
      <c r="AC69" s="364" t="str">
        <f t="shared" si="33"/>
        <v/>
      </c>
      <c r="AD69" s="364" t="str">
        <f t="shared" si="34"/>
        <v/>
      </c>
      <c r="AE69" s="423" t="str">
        <f t="shared" si="35"/>
        <v/>
      </c>
      <c r="AF69" s="389">
        <v>0</v>
      </c>
      <c r="AG69" s="364">
        <v>0</v>
      </c>
      <c r="AH69" s="364">
        <v>0</v>
      </c>
      <c r="AI69" s="364">
        <f>IFERROR(IF(G69="填充量計算 Recharge of Loss Volume",1,IF($H69="預設逸散率Default",ROUND(VLOOKUP($I69,'Other Emission Factor'!$F$4:$I$11,2,FALSE),10),IF($H69="自訂值 Custom Value",P69,0))),0)</f>
        <v>3.0000000000000001E-3</v>
      </c>
      <c r="AJ69" s="364">
        <v>0</v>
      </c>
      <c r="AK69" s="364">
        <v>0</v>
      </c>
      <c r="AL69" s="364">
        <v>0</v>
      </c>
      <c r="AM69" s="430" t="str">
        <f>IFERROR(IF($H69="預設逸散率Default",VLOOKUP($I69,表格12[],4,FALSE),IF($H69="自訂值Custom Value",Q69,"")),"")</f>
        <v>環保署排放係管理表6.0.4Taiwan EPA GHG coefficient table 6.0.4</v>
      </c>
      <c r="AN69" s="431">
        <f t="shared" si="36"/>
        <v>0</v>
      </c>
      <c r="AO69" s="366">
        <f>IF(Z69="V",IF('1.GHG Inventory Form'!$E$6="IPCC AR2 Report(1995)",'6.GWP'!$C$2,IF('1.GHG Inventory Form'!$E$6="IPCC AR3 Report(2001)",'6.GWP'!$D$2,IF('1.GHG Inventory Form'!$E$6="IPCC AR4 Report(2007)",'6.GWP'!$E$2,IF('1.GHG Inventory Form'!$E$6="IPCC AR5 Report(2013)",'6.GWP'!$F$2,IF('1.GHG Inventory Form'!$E$6="IPCC AR6 Report(2021)",'6.GWP'!$G$2,0))))),0)</f>
        <v>0</v>
      </c>
      <c r="AP69" s="366">
        <f>IF(AA69="V",IF('1.GHG Inventory Form'!$E$6="IPCC AR2 Report(1995)",#REF!,IF('1.GHG Inventory Form'!$E$6="IPCC AR3 Report(2001)",#REF!,IF('1.GHG Inventory Form'!$E$6="IPCC AR4 Report(2007)",#REF!,IF('1.GHG Inventory Form'!$E$6="IPCC AR5 Report(2013)",#REF!,IF('1.GHG Inventory Form'!$E$6="IPCC AR6 Report(2021)",#REF!,0))))),0)</f>
        <v>0</v>
      </c>
      <c r="AQ69" s="366">
        <f>IFERROR(IF(AB69="V",IF('1.GHG Inventory Form'!$E$6="IPCC AR2 Report(1995)",VLOOKUP(K69,'6.GWP'!$B$2:$G$173,2,FALSE),IF('1.GHG Inventory Form'!$E$6="IPCC AR3 Report(2001)",VLOOKUP(K69,'6.GWP'!$B$2:$G$173,3,FALSE),IF('1.GHG Inventory Form'!$E$6="IPCC AR4 Report(2007)",VLOOKUP(K69,'6.GWP'!$B$2:$G$173,4,FALSE),IF('1.GHG Inventory Form'!$E$6="IPCC AR5 Report(2013)",VLOOKUP(K69,'6.GWP'!$B$2:$G$173,5,FALSE),IF('1.GHG Inventory Form'!$E$6="IPCC AR6 Report(2021)",VLOOKUP(K69,'6.GWP'!$B$2:$G$173,6,FALSE),0))))),0),0)</f>
        <v>0</v>
      </c>
      <c r="AR69" s="366">
        <f>IFERROR(IF(AC69="V",IF('1.GHG Inventory Form'!$E$6="IPCC AR2 Report(1995)",VLOOKUP(K69,'6.GWP'!$B$2:$G$173,2,FALSE),IF('1.GHG Inventory Form'!$E$6="IPCC AR3 Report(2001)",VLOOKUP(K69,'6.GWP'!$B$2:$G$173,3,FALSE),IF('1.GHG Inventory Form'!$E$6="IPCC AR4 Report(2007)",VLOOKUP(K69,'6.GWP'!$B$2:$G$173,4,FALSE),IF('1.GHG Inventory Form'!$E$6="IPCC AR5 Report(2013)",VLOOKUP(K69,'6.GWP'!$B$2:$G$173,5,FALSE),IF('1.GHG Inventory Form'!$E$6="IPCC AR6 Report(2021)",VLOOKUP(K69,'6.GWP'!$B$2:$G$173,6,FALSE),0))))),0),0)</f>
        <v>0</v>
      </c>
      <c r="AS69" s="366">
        <f>IFERROR(IF(AD69="V",IF('1.GHG Inventory Form'!$E$6="IPCC AR2 Report(1995)",VLOOKUP(G69,'6.GWP'!$B$2:$G$173,2,FALSE),IF('1.GHG Inventory Form'!$E$6="IPCC AR3 Report(2001)",VLOOKUP(G69,'6.GWP'!$B$2:$G$173,3,FALSE),IF('1.GHG Inventory Form'!$E$6="IPCC AR4 Report(2007)",VLOOKUP(G69,'6.GWP'!$B$2:$G$173,4,FALSE),IF('1.GHG Inventory Form'!$E$6="IPCC AR5 Report(2013)",VLOOKUP(G69,'6.GWP'!$B$2:$G$173,5,FALSE),IF('1.GHG Inventory Form'!$E$6="IPCC AR6 Report(2021)",VLOOKUP(G69,'6.GWP'!$B$2:$G$173,6,FALSE),0))))),0),0)</f>
        <v>0</v>
      </c>
      <c r="AT69"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9" s="334">
        <f t="shared" si="21"/>
        <v>0</v>
      </c>
      <c r="AV69" s="334">
        <f t="shared" si="22"/>
        <v>0</v>
      </c>
      <c r="AW69" s="334">
        <f t="shared" si="23"/>
        <v>0</v>
      </c>
      <c r="AX69" s="334">
        <f t="shared" si="24"/>
        <v>0</v>
      </c>
      <c r="AY69" s="334">
        <f t="shared" si="25"/>
        <v>0</v>
      </c>
      <c r="AZ69" s="334">
        <f t="shared" si="26"/>
        <v>0</v>
      </c>
      <c r="BA69" s="334">
        <f t="shared" si="27"/>
        <v>0</v>
      </c>
      <c r="BB69" s="393">
        <f t="shared" si="37"/>
        <v>0</v>
      </c>
      <c r="BC69" s="368">
        <f t="shared" si="38"/>
        <v>0</v>
      </c>
      <c r="BD69" s="369">
        <f t="shared" si="39"/>
        <v>0</v>
      </c>
      <c r="BI69" s="86" t="str">
        <f t="shared" si="40"/>
        <v>家用冷凍、冷藏裝備(如冰箱、飲水機、冷凍櫃)Domestic RefrigerationR-290</v>
      </c>
      <c r="BJ69" s="86" t="str">
        <f t="shared" si="41"/>
        <v/>
      </c>
      <c r="BK69" s="86" t="str">
        <f t="shared" si="42"/>
        <v>環保署排放係管理表6.0.4Taiwan EPA GHG coefficient table 6.0.4</v>
      </c>
    </row>
    <row r="70" spans="1:63" customFormat="1" ht="31" customHeight="1" thickBot="1">
      <c r="A70">
        <v>12</v>
      </c>
      <c r="B70" s="634"/>
      <c r="C70" s="714"/>
      <c r="D70" s="668"/>
      <c r="E70" s="699"/>
      <c r="F70" s="634"/>
      <c r="G70" s="425" t="s">
        <v>344</v>
      </c>
      <c r="H70" s="363" t="s">
        <v>1086</v>
      </c>
      <c r="I70" s="426" t="s">
        <v>98</v>
      </c>
      <c r="J70" s="194" t="s">
        <v>240</v>
      </c>
      <c r="K70" s="415" t="s">
        <v>68</v>
      </c>
      <c r="L70" s="234">
        <v>8.0000000000000007E-5</v>
      </c>
      <c r="M70" s="362" t="s">
        <v>356</v>
      </c>
      <c r="N70" s="245"/>
      <c r="O70" s="245"/>
      <c r="P70" s="427" t="str">
        <f t="shared" si="28"/>
        <v/>
      </c>
      <c r="Q70" s="428"/>
      <c r="R70" s="429"/>
      <c r="S70" s="421"/>
      <c r="T70" s="421"/>
      <c r="U70" s="421"/>
      <c r="V70" s="421"/>
      <c r="W70" s="421"/>
      <c r="X70" s="421"/>
      <c r="Y70" s="389" t="str">
        <f t="shared" si="29"/>
        <v/>
      </c>
      <c r="Z70" s="364" t="str">
        <f t="shared" si="30"/>
        <v/>
      </c>
      <c r="AA70" s="364" t="str">
        <f t="shared" si="31"/>
        <v/>
      </c>
      <c r="AB70" s="364" t="str">
        <f t="shared" si="32"/>
        <v>V</v>
      </c>
      <c r="AC70" s="364" t="str">
        <f t="shared" si="33"/>
        <v/>
      </c>
      <c r="AD70" s="364" t="str">
        <f t="shared" si="34"/>
        <v/>
      </c>
      <c r="AE70" s="423" t="str">
        <f t="shared" si="35"/>
        <v/>
      </c>
      <c r="AF70" s="389">
        <v>0</v>
      </c>
      <c r="AG70" s="364">
        <v>0</v>
      </c>
      <c r="AH70" s="364">
        <v>0</v>
      </c>
      <c r="AI70" s="364">
        <f>IFERROR(IF(G70="填充量計算 Recharge of Loss Volume",1,IF($H70="預設逸散率Default",ROUND(VLOOKUP($I70,'Other Emission Factor'!$F$4:$I$11,2,FALSE),10),IF($H70="自訂值 Custom Value",P70,0))),0)</f>
        <v>3.0000000000000001E-3</v>
      </c>
      <c r="AJ70" s="364">
        <v>0</v>
      </c>
      <c r="AK70" s="364">
        <v>0</v>
      </c>
      <c r="AL70" s="364">
        <v>0</v>
      </c>
      <c r="AM70" s="430" t="str">
        <f>IFERROR(IF($H70="預設逸散率Default",VLOOKUP($I70,表格12[],4,FALSE),IF($H70="自訂值Custom Value",Q70,"")),"")</f>
        <v>環保署排放係管理表6.0.4Taiwan EPA GHG coefficient table 6.0.4</v>
      </c>
      <c r="AN70" s="431">
        <f t="shared" si="36"/>
        <v>0</v>
      </c>
      <c r="AO70" s="366">
        <f>IF(Z70="V",IF('1.GHG Inventory Form'!$E$6="IPCC AR2 Report(1995)",'6.GWP'!$C$2,IF('1.GHG Inventory Form'!$E$6="IPCC AR3 Report(2001)",'6.GWP'!$D$2,IF('1.GHG Inventory Form'!$E$6="IPCC AR4 Report(2007)",'6.GWP'!$E$2,IF('1.GHG Inventory Form'!$E$6="IPCC AR5 Report(2013)",'6.GWP'!$F$2,IF('1.GHG Inventory Form'!$E$6="IPCC AR6 Report(2021)",'6.GWP'!$G$2,0))))),0)</f>
        <v>0</v>
      </c>
      <c r="AP70" s="366">
        <f>IF(AA70="V",IF('1.GHG Inventory Form'!$E$6="IPCC AR2 Report(1995)",#REF!,IF('1.GHG Inventory Form'!$E$6="IPCC AR3 Report(2001)",#REF!,IF('1.GHG Inventory Form'!$E$6="IPCC AR4 Report(2007)",#REF!,IF('1.GHG Inventory Form'!$E$6="IPCC AR5 Report(2013)",#REF!,IF('1.GHG Inventory Form'!$E$6="IPCC AR6 Report(2021)",#REF!,0))))),0)</f>
        <v>0</v>
      </c>
      <c r="AQ70" s="366">
        <f>IFERROR(IF(AB70="V",IF('1.GHG Inventory Form'!$E$6="IPCC AR2 Report(1995)",VLOOKUP(K70,'6.GWP'!$B$2:$G$173,2,FALSE),IF('1.GHG Inventory Form'!$E$6="IPCC AR3 Report(2001)",VLOOKUP(K70,'6.GWP'!$B$2:$G$173,3,FALSE),IF('1.GHG Inventory Form'!$E$6="IPCC AR4 Report(2007)",VLOOKUP(K70,'6.GWP'!$B$2:$G$173,4,FALSE),IF('1.GHG Inventory Form'!$E$6="IPCC AR5 Report(2013)",VLOOKUP(K70,'6.GWP'!$B$2:$G$173,5,FALSE),IF('1.GHG Inventory Form'!$E$6="IPCC AR6 Report(2021)",VLOOKUP(K70,'6.GWP'!$B$2:$G$173,6,FALSE),0))))),0),0)</f>
        <v>11200</v>
      </c>
      <c r="AR70" s="366">
        <f>IFERROR(IF(AC70="V",IF('1.GHG Inventory Form'!$E$6="IPCC AR2 Report(1995)",VLOOKUP(K70,'6.GWP'!$B$2:$G$173,2,FALSE),IF('1.GHG Inventory Form'!$E$6="IPCC AR3 Report(2001)",VLOOKUP(K70,'6.GWP'!$B$2:$G$173,3,FALSE),IF('1.GHG Inventory Form'!$E$6="IPCC AR4 Report(2007)",VLOOKUP(K70,'6.GWP'!$B$2:$G$173,4,FALSE),IF('1.GHG Inventory Form'!$E$6="IPCC AR5 Report(2013)",VLOOKUP(K70,'6.GWP'!$B$2:$G$173,5,FALSE),IF('1.GHG Inventory Form'!$E$6="IPCC AR6 Report(2021)",VLOOKUP(K70,'6.GWP'!$B$2:$G$173,6,FALSE),0))))),0),0)</f>
        <v>0</v>
      </c>
      <c r="AS70" s="366">
        <f>IFERROR(IF(AD70="V",IF('1.GHG Inventory Form'!$E$6="IPCC AR2 Report(1995)",VLOOKUP(G70,'6.GWP'!$B$2:$G$173,2,FALSE),IF('1.GHG Inventory Form'!$E$6="IPCC AR3 Report(2001)",VLOOKUP(G70,'6.GWP'!$B$2:$G$173,3,FALSE),IF('1.GHG Inventory Form'!$E$6="IPCC AR4 Report(2007)",VLOOKUP(G70,'6.GWP'!$B$2:$G$173,4,FALSE),IF('1.GHG Inventory Form'!$E$6="IPCC AR5 Report(2013)",VLOOKUP(G70,'6.GWP'!$B$2:$G$173,5,FALSE),IF('1.GHG Inventory Form'!$E$6="IPCC AR6 Report(2021)",VLOOKUP(G70,'6.GWP'!$B$2:$G$173,6,FALSE),0))))),0),0)</f>
        <v>0</v>
      </c>
      <c r="AT70"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0" s="334">
        <f t="shared" si="21"/>
        <v>0</v>
      </c>
      <c r="AV70" s="334">
        <f t="shared" si="22"/>
        <v>0</v>
      </c>
      <c r="AW70" s="334">
        <f t="shared" si="23"/>
        <v>0</v>
      </c>
      <c r="AX70" s="334">
        <f t="shared" si="24"/>
        <v>2.6880000000000003E-3</v>
      </c>
      <c r="AY70" s="334">
        <f t="shared" si="25"/>
        <v>0</v>
      </c>
      <c r="AZ70" s="334">
        <f t="shared" si="26"/>
        <v>0</v>
      </c>
      <c r="BA70" s="334">
        <f t="shared" si="27"/>
        <v>0</v>
      </c>
      <c r="BB70" s="393">
        <f t="shared" si="37"/>
        <v>2.7000000000000001E-3</v>
      </c>
      <c r="BC70" s="368">
        <f t="shared" si="38"/>
        <v>1.8890396311419241E-6</v>
      </c>
      <c r="BD70" s="369">
        <f t="shared" si="39"/>
        <v>1.702492360538447E-6</v>
      </c>
      <c r="BI70" s="86" t="str">
        <f t="shared" si="40"/>
        <v>家用冷凍、冷藏裝備(如冰箱、飲水機、冷凍櫃)Domestic RefrigerationR-12</v>
      </c>
      <c r="BJ70" s="86" t="str">
        <f t="shared" si="41"/>
        <v/>
      </c>
      <c r="BK70" s="86" t="str">
        <f t="shared" si="42"/>
        <v>環保署排放係管理表6.0.4Taiwan EPA GHG coefficient table 6.0.4</v>
      </c>
    </row>
    <row r="71" spans="1:63" customFormat="1" ht="31" customHeight="1" thickBot="1">
      <c r="A71">
        <v>13</v>
      </c>
      <c r="B71" s="634"/>
      <c r="C71" s="714"/>
      <c r="D71" s="668"/>
      <c r="E71" s="699"/>
      <c r="F71" s="634"/>
      <c r="G71" s="425" t="s">
        <v>344</v>
      </c>
      <c r="H71" s="363" t="s">
        <v>1086</v>
      </c>
      <c r="I71" s="426" t="s">
        <v>98</v>
      </c>
      <c r="J71" s="194" t="s">
        <v>240</v>
      </c>
      <c r="K71" s="415" t="s">
        <v>7</v>
      </c>
      <c r="L71" s="234">
        <v>7.0000000000000007E-5</v>
      </c>
      <c r="M71" s="362" t="s">
        <v>357</v>
      </c>
      <c r="N71" s="245"/>
      <c r="O71" s="245"/>
      <c r="P71" s="427" t="str">
        <f t="shared" si="28"/>
        <v/>
      </c>
      <c r="Q71" s="428"/>
      <c r="R71" s="429"/>
      <c r="S71" s="421"/>
      <c r="T71" s="421"/>
      <c r="U71" s="421"/>
      <c r="V71" s="421"/>
      <c r="W71" s="421"/>
      <c r="X71" s="421"/>
      <c r="Y71" s="389" t="str">
        <f t="shared" si="29"/>
        <v/>
      </c>
      <c r="Z71" s="364" t="str">
        <f t="shared" si="30"/>
        <v/>
      </c>
      <c r="AA71" s="364" t="str">
        <f t="shared" si="31"/>
        <v/>
      </c>
      <c r="AB71" s="364" t="str">
        <f t="shared" si="32"/>
        <v>V</v>
      </c>
      <c r="AC71" s="364" t="str">
        <f t="shared" si="33"/>
        <v/>
      </c>
      <c r="AD71" s="364" t="str">
        <f t="shared" si="34"/>
        <v/>
      </c>
      <c r="AE71" s="423" t="str">
        <f t="shared" si="35"/>
        <v/>
      </c>
      <c r="AF71" s="389">
        <v>0</v>
      </c>
      <c r="AG71" s="364">
        <v>0</v>
      </c>
      <c r="AH71" s="364">
        <v>0</v>
      </c>
      <c r="AI71" s="364">
        <f>IFERROR(IF(G71="填充量計算 Recharge of Loss Volume",1,IF($H71="預設逸散率Default",ROUND(VLOOKUP($I71,'Other Emission Factor'!$F$4:$I$11,2,FALSE),10),IF($H71="自訂值 Custom Value",P71,0))),0)</f>
        <v>3.0000000000000001E-3</v>
      </c>
      <c r="AJ71" s="364">
        <v>0</v>
      </c>
      <c r="AK71" s="364">
        <v>0</v>
      </c>
      <c r="AL71" s="364">
        <v>0</v>
      </c>
      <c r="AM71" s="430" t="str">
        <f>IFERROR(IF($H71="預設逸散率Default",VLOOKUP($I71,表格12[],4,FALSE),IF($H71="自訂值Custom Value",Q71,"")),"")</f>
        <v>環保署排放係管理表6.0.4Taiwan EPA GHG coefficient table 6.0.4</v>
      </c>
      <c r="AN71" s="431">
        <f t="shared" si="36"/>
        <v>0</v>
      </c>
      <c r="AO71" s="366">
        <f>IF(Z71="V",IF('1.GHG Inventory Form'!$E$6="IPCC AR2 Report(1995)",'6.GWP'!$C$2,IF('1.GHG Inventory Form'!$E$6="IPCC AR3 Report(2001)",'6.GWP'!$D$2,IF('1.GHG Inventory Form'!$E$6="IPCC AR4 Report(2007)",'6.GWP'!$E$2,IF('1.GHG Inventory Form'!$E$6="IPCC AR5 Report(2013)",'6.GWP'!$F$2,IF('1.GHG Inventory Form'!$E$6="IPCC AR6 Report(2021)",'6.GWP'!$G$2,0))))),0)</f>
        <v>0</v>
      </c>
      <c r="AP71" s="366">
        <f>IF(AA71="V",IF('1.GHG Inventory Form'!$E$6="IPCC AR2 Report(1995)",#REF!,IF('1.GHG Inventory Form'!$E$6="IPCC AR3 Report(2001)",#REF!,IF('1.GHG Inventory Form'!$E$6="IPCC AR4 Report(2007)",#REF!,IF('1.GHG Inventory Form'!$E$6="IPCC AR5 Report(2013)",#REF!,IF('1.GHG Inventory Form'!$E$6="IPCC AR6 Report(2021)",#REF!,0))))),0)</f>
        <v>0</v>
      </c>
      <c r="AQ71" s="366">
        <f>IFERROR(IF(AB71="V",IF('1.GHG Inventory Form'!$E$6="IPCC AR2 Report(1995)",VLOOKUP(K71,'6.GWP'!$B$2:$G$173,2,FALSE),IF('1.GHG Inventory Form'!$E$6="IPCC AR3 Report(2001)",VLOOKUP(K71,'6.GWP'!$B$2:$G$173,3,FALSE),IF('1.GHG Inventory Form'!$E$6="IPCC AR4 Report(2007)",VLOOKUP(K71,'6.GWP'!$B$2:$G$173,4,FALSE),IF('1.GHG Inventory Form'!$E$6="IPCC AR5 Report(2013)",VLOOKUP(K71,'6.GWP'!$B$2:$G$173,5,FALSE),IF('1.GHG Inventory Form'!$E$6="IPCC AR6 Report(2021)",VLOOKUP(K71,'6.GWP'!$B$2:$G$173,6,FALSE),0))))),0),0)</f>
        <v>1530</v>
      </c>
      <c r="AR71" s="366">
        <f>IFERROR(IF(AC71="V",IF('1.GHG Inventory Form'!$E$6="IPCC AR2 Report(1995)",VLOOKUP(K71,'6.GWP'!$B$2:$G$173,2,FALSE),IF('1.GHG Inventory Form'!$E$6="IPCC AR3 Report(2001)",VLOOKUP(K71,'6.GWP'!$B$2:$G$173,3,FALSE),IF('1.GHG Inventory Form'!$E$6="IPCC AR4 Report(2007)",VLOOKUP(K71,'6.GWP'!$B$2:$G$173,4,FALSE),IF('1.GHG Inventory Form'!$E$6="IPCC AR5 Report(2013)",VLOOKUP(K71,'6.GWP'!$B$2:$G$173,5,FALSE),IF('1.GHG Inventory Form'!$E$6="IPCC AR6 Report(2021)",VLOOKUP(K71,'6.GWP'!$B$2:$G$173,6,FALSE),0))))),0),0)</f>
        <v>0</v>
      </c>
      <c r="AS71" s="366">
        <f>IFERROR(IF(AD71="V",IF('1.GHG Inventory Form'!$E$6="IPCC AR2 Report(1995)",VLOOKUP(G71,'6.GWP'!$B$2:$G$173,2,FALSE),IF('1.GHG Inventory Form'!$E$6="IPCC AR3 Report(2001)",VLOOKUP(G71,'6.GWP'!$B$2:$G$173,3,FALSE),IF('1.GHG Inventory Form'!$E$6="IPCC AR4 Report(2007)",VLOOKUP(G71,'6.GWP'!$B$2:$G$173,4,FALSE),IF('1.GHG Inventory Form'!$E$6="IPCC AR5 Report(2013)",VLOOKUP(G71,'6.GWP'!$B$2:$G$173,5,FALSE),IF('1.GHG Inventory Form'!$E$6="IPCC AR6 Report(2021)",VLOOKUP(G71,'6.GWP'!$B$2:$G$173,6,FALSE),0))))),0),0)</f>
        <v>0</v>
      </c>
      <c r="AT71"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1" s="334">
        <f t="shared" si="21"/>
        <v>0</v>
      </c>
      <c r="AV71" s="334">
        <f t="shared" si="22"/>
        <v>0</v>
      </c>
      <c r="AW71" s="334">
        <f t="shared" si="23"/>
        <v>0</v>
      </c>
      <c r="AX71" s="334">
        <f t="shared" si="24"/>
        <v>3.2130000000000006E-4</v>
      </c>
      <c r="AY71" s="334">
        <f t="shared" si="25"/>
        <v>0</v>
      </c>
      <c r="AZ71" s="334">
        <f t="shared" si="26"/>
        <v>0</v>
      </c>
      <c r="BA71" s="334">
        <f t="shared" si="27"/>
        <v>0</v>
      </c>
      <c r="BB71" s="393">
        <f t="shared" si="37"/>
        <v>2.9999999999999997E-4</v>
      </c>
      <c r="BC71" s="368">
        <f t="shared" si="38"/>
        <v>2.0989329234910266E-7</v>
      </c>
      <c r="BD71" s="369">
        <f t="shared" si="39"/>
        <v>1.8916581783760519E-7</v>
      </c>
      <c r="BI71" s="86" t="str">
        <f t="shared" si="40"/>
        <v>家用冷凍、冷藏裝備(如冰箱、飲水機、冷凍櫃)Domestic RefrigerationR-134a</v>
      </c>
      <c r="BJ71" s="86" t="str">
        <f t="shared" si="41"/>
        <v/>
      </c>
      <c r="BK71" s="86" t="str">
        <f t="shared" si="42"/>
        <v>環保署排放係管理表6.0.4Taiwan EPA GHG coefficient table 6.0.4</v>
      </c>
    </row>
    <row r="72" spans="1:63" customFormat="1" ht="31" customHeight="1" thickBot="1">
      <c r="A72">
        <v>14</v>
      </c>
      <c r="B72" s="634"/>
      <c r="C72" s="714"/>
      <c r="D72" s="668"/>
      <c r="E72" s="699"/>
      <c r="F72" s="634"/>
      <c r="G72" s="425" t="s">
        <v>344</v>
      </c>
      <c r="H72" s="363" t="s">
        <v>1086</v>
      </c>
      <c r="I72" s="426" t="s">
        <v>233</v>
      </c>
      <c r="J72" s="194" t="s">
        <v>240</v>
      </c>
      <c r="K72" s="415" t="s">
        <v>23</v>
      </c>
      <c r="L72" s="234">
        <v>7.9150000000000012E-2</v>
      </c>
      <c r="M72" s="362" t="s">
        <v>358</v>
      </c>
      <c r="N72" s="245"/>
      <c r="O72" s="245"/>
      <c r="P72" s="427" t="str">
        <f t="shared" si="28"/>
        <v/>
      </c>
      <c r="Q72" s="428"/>
      <c r="R72" s="429"/>
      <c r="S72" s="421"/>
      <c r="T72" s="421"/>
      <c r="U72" s="421"/>
      <c r="V72" s="421"/>
      <c r="W72" s="421"/>
      <c r="X72" s="421"/>
      <c r="Y72" s="389" t="str">
        <f t="shared" si="29"/>
        <v/>
      </c>
      <c r="Z72" s="364" t="str">
        <f t="shared" si="30"/>
        <v/>
      </c>
      <c r="AA72" s="364" t="str">
        <f t="shared" si="31"/>
        <v/>
      </c>
      <c r="AB72" s="364" t="str">
        <f t="shared" si="32"/>
        <v>V</v>
      </c>
      <c r="AC72" s="364" t="str">
        <f t="shared" si="33"/>
        <v/>
      </c>
      <c r="AD72" s="364" t="str">
        <f t="shared" si="34"/>
        <v/>
      </c>
      <c r="AE72" s="423" t="str">
        <f t="shared" si="35"/>
        <v/>
      </c>
      <c r="AF72" s="389">
        <v>0</v>
      </c>
      <c r="AG72" s="364">
        <v>0</v>
      </c>
      <c r="AH72" s="364">
        <v>0</v>
      </c>
      <c r="AI72" s="364">
        <f>IFERROR(IF(G72="填充量計算 Recharge of Loss Volume",1,IF($H72="預設逸散率Default",ROUND(VLOOKUP($I72,'Other Emission Factor'!$F$4:$I$11,2,FALSE),10),IF($H72="自訂值 Custom Value",P72,0))),0)</f>
        <v>8.5000000000000006E-2</v>
      </c>
      <c r="AJ72" s="364">
        <v>0</v>
      </c>
      <c r="AK72" s="364">
        <v>0</v>
      </c>
      <c r="AL72" s="364">
        <v>0</v>
      </c>
      <c r="AM72" s="430" t="str">
        <f>IFERROR(IF($H72="預設逸散率Default",VLOOKUP($I72,表格12[],4,FALSE),IF($H72="自訂值Custom Value",Q72,"")),"")</f>
        <v>環保署排放係管理表6.0.4Taiwan EPA GHG coefficient table 6.0.4</v>
      </c>
      <c r="AN72" s="431">
        <f t="shared" si="36"/>
        <v>0</v>
      </c>
      <c r="AO72" s="366">
        <f>IF(Z72="V",IF('1.GHG Inventory Form'!$E$6="IPCC AR2 Report(1995)",'6.GWP'!$C$2,IF('1.GHG Inventory Form'!$E$6="IPCC AR3 Report(2001)",'6.GWP'!$D$2,IF('1.GHG Inventory Form'!$E$6="IPCC AR4 Report(2007)",'6.GWP'!$E$2,IF('1.GHG Inventory Form'!$E$6="IPCC AR5 Report(2013)",'6.GWP'!$F$2,IF('1.GHG Inventory Form'!$E$6="IPCC AR6 Report(2021)",'6.GWP'!$G$2,0))))),0)</f>
        <v>0</v>
      </c>
      <c r="AP72" s="366">
        <f>IF(AA72="V",IF('1.GHG Inventory Form'!$E$6="IPCC AR2 Report(1995)",#REF!,IF('1.GHG Inventory Form'!$E$6="IPCC AR3 Report(2001)",#REF!,IF('1.GHG Inventory Form'!$E$6="IPCC AR4 Report(2007)",#REF!,IF('1.GHG Inventory Form'!$E$6="IPCC AR5 Report(2013)",#REF!,IF('1.GHG Inventory Form'!$E$6="IPCC AR6 Report(2021)",#REF!,0))))),0)</f>
        <v>0</v>
      </c>
      <c r="AQ72" s="366">
        <f>IFERROR(IF(AB72="V",IF('1.GHG Inventory Form'!$E$6="IPCC AR2 Report(1995)",VLOOKUP(K72,'6.GWP'!$B$2:$G$173,2,FALSE),IF('1.GHG Inventory Form'!$E$6="IPCC AR3 Report(2001)",VLOOKUP(K72,'6.GWP'!$B$2:$G$173,3,FALSE),IF('1.GHG Inventory Form'!$E$6="IPCC AR4 Report(2007)",VLOOKUP(K72,'6.GWP'!$B$2:$G$173,4,FALSE),IF('1.GHG Inventory Form'!$E$6="IPCC AR5 Report(2013)",VLOOKUP(K72,'6.GWP'!$B$2:$G$173,5,FALSE),IF('1.GHG Inventory Form'!$E$6="IPCC AR6 Report(2021)",VLOOKUP(K72,'6.GWP'!$B$2:$G$173,6,FALSE),0))))),0),0)</f>
        <v>4728</v>
      </c>
      <c r="AR72" s="366">
        <f>IFERROR(IF(AC72="V",IF('1.GHG Inventory Form'!$E$6="IPCC AR2 Report(1995)",VLOOKUP(K72,'6.GWP'!$B$2:$G$173,2,FALSE),IF('1.GHG Inventory Form'!$E$6="IPCC AR3 Report(2001)",VLOOKUP(K72,'6.GWP'!$B$2:$G$173,3,FALSE),IF('1.GHG Inventory Form'!$E$6="IPCC AR4 Report(2007)",VLOOKUP(K72,'6.GWP'!$B$2:$G$173,4,FALSE),IF('1.GHG Inventory Form'!$E$6="IPCC AR5 Report(2013)",VLOOKUP(K72,'6.GWP'!$B$2:$G$173,5,FALSE),IF('1.GHG Inventory Form'!$E$6="IPCC AR6 Report(2021)",VLOOKUP(K72,'6.GWP'!$B$2:$G$173,6,FALSE),0))))),0),0)</f>
        <v>0</v>
      </c>
      <c r="AS72" s="366">
        <f>IFERROR(IF(AD72="V",IF('1.GHG Inventory Form'!$E$6="IPCC AR2 Report(1995)",VLOOKUP(G72,'6.GWP'!$B$2:$G$173,2,FALSE),IF('1.GHG Inventory Form'!$E$6="IPCC AR3 Report(2001)",VLOOKUP(G72,'6.GWP'!$B$2:$G$173,3,FALSE),IF('1.GHG Inventory Form'!$E$6="IPCC AR4 Report(2007)",VLOOKUP(G72,'6.GWP'!$B$2:$G$173,4,FALSE),IF('1.GHG Inventory Form'!$E$6="IPCC AR5 Report(2013)",VLOOKUP(G72,'6.GWP'!$B$2:$G$173,5,FALSE),IF('1.GHG Inventory Form'!$E$6="IPCC AR6 Report(2021)",VLOOKUP(G72,'6.GWP'!$B$2:$G$173,6,FALSE),0))))),0),0)</f>
        <v>0</v>
      </c>
      <c r="AT72"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2" s="334">
        <f t="shared" si="21"/>
        <v>0</v>
      </c>
      <c r="AV72" s="334">
        <f t="shared" si="22"/>
        <v>0</v>
      </c>
      <c r="AW72" s="334">
        <f t="shared" si="23"/>
        <v>0</v>
      </c>
      <c r="AX72" s="334">
        <f t="shared" si="24"/>
        <v>31.808802000000004</v>
      </c>
      <c r="AY72" s="334">
        <f t="shared" si="25"/>
        <v>0</v>
      </c>
      <c r="AZ72" s="334">
        <f t="shared" si="26"/>
        <v>0</v>
      </c>
      <c r="BA72" s="334">
        <f t="shared" si="27"/>
        <v>0</v>
      </c>
      <c r="BB72" s="393">
        <f t="shared" si="37"/>
        <v>31.808800000000002</v>
      </c>
      <c r="BC72" s="368">
        <f t="shared" si="38"/>
        <v>2.225484585891379E-2</v>
      </c>
      <c r="BD72" s="369">
        <f t="shared" si="39"/>
        <v>2.0057125554776057E-2</v>
      </c>
      <c r="BI72" s="86" t="str">
        <f t="shared" si="40"/>
        <v>冰水機(冷水主機)ChillersR-404A</v>
      </c>
      <c r="BJ72" s="86" t="str">
        <f t="shared" si="41"/>
        <v/>
      </c>
      <c r="BK72" s="86" t="str">
        <f t="shared" si="42"/>
        <v>環保署排放係管理表6.0.4Taiwan EPA GHG coefficient table 6.0.4</v>
      </c>
    </row>
    <row r="73" spans="1:63" customFormat="1" ht="31" customHeight="1" thickBot="1">
      <c r="A73">
        <v>15</v>
      </c>
      <c r="B73" s="634"/>
      <c r="C73" s="714"/>
      <c r="D73" s="668"/>
      <c r="E73" s="699"/>
      <c r="F73" s="634"/>
      <c r="G73" s="425" t="s">
        <v>344</v>
      </c>
      <c r="H73" s="363" t="str">
        <f t="shared" ref="H59:H87" si="43">IF(I73="其他 Others","自訂值 Custom Value","預設逸散率Default")</f>
        <v>預設逸散率Default</v>
      </c>
      <c r="I73" s="426" t="str">
        <f>IFERROR(LOOKUP(1,0/((#REF!='1.GHG Inventory Form'!$C$50)*(#REF!='1.GHG Inventory Form'!$A73)),#REF!),"")</f>
        <v/>
      </c>
      <c r="J73" s="194" t="str">
        <f>IFERROR(LOOKUP(1,0/((#REF!='1.GHG Inventory Form'!$C$50)*(#REF!='1.GHG Inventory Form'!$A73)),#REF!),"")</f>
        <v/>
      </c>
      <c r="K73" s="415" t="str">
        <f>IFERROR(LOOKUP(1,0/((#REF!=$C$50)*(#REF!='1.GHG Inventory Form'!$A73)),#REF!),"")</f>
        <v/>
      </c>
      <c r="L73" s="234" t="str">
        <f>IFERROR(LOOKUP(1,0/((#REF!='1.GHG Inventory Form'!$C$50)*(#REF!='1.GHG Inventory Form'!$A73)),#REF!),"")</f>
        <v/>
      </c>
      <c r="M73" s="362" t="s">
        <v>359</v>
      </c>
      <c r="N73" s="245"/>
      <c r="O73" s="245"/>
      <c r="P73" s="427" t="str">
        <f t="shared" si="28"/>
        <v/>
      </c>
      <c r="Q73" s="428"/>
      <c r="R73" s="429"/>
      <c r="S73" s="421"/>
      <c r="T73" s="421"/>
      <c r="U73" s="421"/>
      <c r="V73" s="421"/>
      <c r="W73" s="421"/>
      <c r="X73" s="421"/>
      <c r="Y73" s="389" t="str">
        <f t="shared" si="29"/>
        <v/>
      </c>
      <c r="Z73" s="364" t="str">
        <f t="shared" si="30"/>
        <v/>
      </c>
      <c r="AA73" s="364" t="str">
        <f t="shared" si="31"/>
        <v/>
      </c>
      <c r="AB73" s="364" t="str">
        <f t="shared" si="32"/>
        <v/>
      </c>
      <c r="AC73" s="364" t="str">
        <f t="shared" si="33"/>
        <v/>
      </c>
      <c r="AD73" s="364" t="str">
        <f t="shared" si="34"/>
        <v/>
      </c>
      <c r="AE73" s="423" t="str">
        <f t="shared" si="35"/>
        <v/>
      </c>
      <c r="AF73" s="389">
        <v>0</v>
      </c>
      <c r="AG73" s="364">
        <v>0</v>
      </c>
      <c r="AH73" s="364">
        <v>0</v>
      </c>
      <c r="AI73" s="364">
        <f>IFERROR(IF(G73="填充量計算 Recharge of Loss Volume",1,IF($H73="預設逸散率Default",ROUND(VLOOKUP($I73,'Other Emission Factor'!$F$4:$I$11,2,FALSE),10),IF($H73="自訂值 Custom Value",P73,0))),0)</f>
        <v>0</v>
      </c>
      <c r="AJ73" s="364">
        <v>0</v>
      </c>
      <c r="AK73" s="364">
        <v>0</v>
      </c>
      <c r="AL73" s="364">
        <v>0</v>
      </c>
      <c r="AM73" s="430" t="str">
        <f>IFERROR(IF($H73="預設逸散率Default",VLOOKUP($I73,表格12[],4,FALSE),IF($H73="自訂值Custom Value",Q73,"")),"")</f>
        <v/>
      </c>
      <c r="AN73" s="431">
        <f t="shared" si="36"/>
        <v>0</v>
      </c>
      <c r="AO73" s="366">
        <f>IF(Z73="V",IF('1.GHG Inventory Form'!$E$6="IPCC AR2 Report(1995)",'6.GWP'!$C$2,IF('1.GHG Inventory Form'!$E$6="IPCC AR3 Report(2001)",'6.GWP'!$D$2,IF('1.GHG Inventory Form'!$E$6="IPCC AR4 Report(2007)",'6.GWP'!$E$2,IF('1.GHG Inventory Form'!$E$6="IPCC AR5 Report(2013)",'6.GWP'!$F$2,IF('1.GHG Inventory Form'!$E$6="IPCC AR6 Report(2021)",'6.GWP'!$G$2,0))))),0)</f>
        <v>0</v>
      </c>
      <c r="AP73" s="366">
        <f>IF(AA73="V",IF('1.GHG Inventory Form'!$E$6="IPCC AR2 Report(1995)",#REF!,IF('1.GHG Inventory Form'!$E$6="IPCC AR3 Report(2001)",#REF!,IF('1.GHG Inventory Form'!$E$6="IPCC AR4 Report(2007)",#REF!,IF('1.GHG Inventory Form'!$E$6="IPCC AR5 Report(2013)",#REF!,IF('1.GHG Inventory Form'!$E$6="IPCC AR6 Report(2021)",#REF!,0))))),0)</f>
        <v>0</v>
      </c>
      <c r="AQ73" s="366">
        <f>IFERROR(IF(AB73="V",IF('1.GHG Inventory Form'!$E$6="IPCC AR2 Report(1995)",VLOOKUP(K73,'6.GWP'!$B$2:$G$173,2,FALSE),IF('1.GHG Inventory Form'!$E$6="IPCC AR3 Report(2001)",VLOOKUP(K73,'6.GWP'!$B$2:$G$173,3,FALSE),IF('1.GHG Inventory Form'!$E$6="IPCC AR4 Report(2007)",VLOOKUP(K73,'6.GWP'!$B$2:$G$173,4,FALSE),IF('1.GHG Inventory Form'!$E$6="IPCC AR5 Report(2013)",VLOOKUP(K73,'6.GWP'!$B$2:$G$173,5,FALSE),IF('1.GHG Inventory Form'!$E$6="IPCC AR6 Report(2021)",VLOOKUP(K73,'6.GWP'!$B$2:$G$173,6,FALSE),0))))),0),0)</f>
        <v>0</v>
      </c>
      <c r="AR73" s="366">
        <f>IFERROR(IF(AC73="V",IF('1.GHG Inventory Form'!$E$6="IPCC AR2 Report(1995)",VLOOKUP(K73,'6.GWP'!$B$2:$G$173,2,FALSE),IF('1.GHG Inventory Form'!$E$6="IPCC AR3 Report(2001)",VLOOKUP(K73,'6.GWP'!$B$2:$G$173,3,FALSE),IF('1.GHG Inventory Form'!$E$6="IPCC AR4 Report(2007)",VLOOKUP(K73,'6.GWP'!$B$2:$G$173,4,FALSE),IF('1.GHG Inventory Form'!$E$6="IPCC AR5 Report(2013)",VLOOKUP(K73,'6.GWP'!$B$2:$G$173,5,FALSE),IF('1.GHG Inventory Form'!$E$6="IPCC AR6 Report(2021)",VLOOKUP(K73,'6.GWP'!$B$2:$G$173,6,FALSE),0))))),0),0)</f>
        <v>0</v>
      </c>
      <c r="AS73" s="366">
        <f>IFERROR(IF(AD73="V",IF('1.GHG Inventory Form'!$E$6="IPCC AR2 Report(1995)",VLOOKUP(G73,'6.GWP'!$B$2:$G$173,2,FALSE),IF('1.GHG Inventory Form'!$E$6="IPCC AR3 Report(2001)",VLOOKUP(G73,'6.GWP'!$B$2:$G$173,3,FALSE),IF('1.GHG Inventory Form'!$E$6="IPCC AR4 Report(2007)",VLOOKUP(G73,'6.GWP'!$B$2:$G$173,4,FALSE),IF('1.GHG Inventory Form'!$E$6="IPCC AR5 Report(2013)",VLOOKUP(G73,'6.GWP'!$B$2:$G$173,5,FALSE),IF('1.GHG Inventory Form'!$E$6="IPCC AR6 Report(2021)",VLOOKUP(G73,'6.GWP'!$B$2:$G$173,6,FALSE),0))))),0),0)</f>
        <v>0</v>
      </c>
      <c r="AT73"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3" s="334" t="str">
        <f t="shared" si="21"/>
        <v/>
      </c>
      <c r="AV73" s="334" t="str">
        <f t="shared" si="22"/>
        <v/>
      </c>
      <c r="AW73" s="334" t="str">
        <f t="shared" si="23"/>
        <v/>
      </c>
      <c r="AX73" s="334" t="str">
        <f t="shared" si="24"/>
        <v/>
      </c>
      <c r="AY73" s="334" t="str">
        <f t="shared" si="25"/>
        <v/>
      </c>
      <c r="AZ73" s="334" t="str">
        <f t="shared" si="26"/>
        <v/>
      </c>
      <c r="BA73" s="334" t="str">
        <f t="shared" si="27"/>
        <v/>
      </c>
      <c r="BB73" s="393">
        <f t="shared" si="37"/>
        <v>0</v>
      </c>
      <c r="BC73" s="368">
        <f t="shared" si="38"/>
        <v>0</v>
      </c>
      <c r="BD73" s="369">
        <f t="shared" si="39"/>
        <v>0</v>
      </c>
      <c r="BI73" s="86" t="str">
        <f t="shared" si="40"/>
        <v/>
      </c>
      <c r="BJ73" s="86" t="str">
        <f t="shared" si="41"/>
        <v/>
      </c>
      <c r="BK73" s="86" t="str">
        <f t="shared" si="42"/>
        <v/>
      </c>
    </row>
    <row r="74" spans="1:63" customFormat="1" ht="39.5" customHeight="1" thickBot="1">
      <c r="A74">
        <v>16</v>
      </c>
      <c r="B74" s="634"/>
      <c r="C74" s="714"/>
      <c r="D74" s="668"/>
      <c r="E74" s="699"/>
      <c r="F74" s="634"/>
      <c r="G74" s="425" t="s">
        <v>344</v>
      </c>
      <c r="H74" s="363" t="str">
        <f t="shared" si="43"/>
        <v>預設逸散率Default</v>
      </c>
      <c r="I74" s="426" t="str">
        <f>IFERROR(LOOKUP(1,0/((#REF!='1.GHG Inventory Form'!$C$50)*(#REF!='1.GHG Inventory Form'!$A74)),#REF!),"")</f>
        <v/>
      </c>
      <c r="J74" s="194" t="str">
        <f>IFERROR(LOOKUP(1,0/((#REF!='1.GHG Inventory Form'!$C$50)*(#REF!='1.GHG Inventory Form'!$A74)),#REF!),"")</f>
        <v/>
      </c>
      <c r="K74" s="415" t="str">
        <f>IFERROR(LOOKUP(1,0/((#REF!=$C$50)*(#REF!='1.GHG Inventory Form'!$A74)),#REF!),"")</f>
        <v/>
      </c>
      <c r="L74" s="234" t="str">
        <f>IFERROR(LOOKUP(1,0/((#REF!='1.GHG Inventory Form'!$C$50)*(#REF!='1.GHG Inventory Form'!$A74)),#REF!),"")</f>
        <v/>
      </c>
      <c r="M74" s="362" t="s">
        <v>360</v>
      </c>
      <c r="N74" s="245"/>
      <c r="O74" s="245"/>
      <c r="P74" s="427" t="str">
        <f t="shared" si="28"/>
        <v/>
      </c>
      <c r="Q74" s="428"/>
      <c r="R74" s="429"/>
      <c r="S74" s="421"/>
      <c r="T74" s="421"/>
      <c r="U74" s="421"/>
      <c r="V74" s="421"/>
      <c r="W74" s="421"/>
      <c r="X74" s="421"/>
      <c r="Y74" s="389" t="str">
        <f t="shared" si="29"/>
        <v/>
      </c>
      <c r="Z74" s="364" t="str">
        <f t="shared" si="30"/>
        <v/>
      </c>
      <c r="AA74" s="364" t="str">
        <f t="shared" si="31"/>
        <v/>
      </c>
      <c r="AB74" s="364" t="str">
        <f t="shared" si="32"/>
        <v/>
      </c>
      <c r="AC74" s="364" t="str">
        <f t="shared" si="33"/>
        <v/>
      </c>
      <c r="AD74" s="364" t="str">
        <f t="shared" si="34"/>
        <v/>
      </c>
      <c r="AE74" s="423" t="str">
        <f t="shared" si="35"/>
        <v/>
      </c>
      <c r="AF74" s="389">
        <v>0</v>
      </c>
      <c r="AG74" s="364">
        <v>0</v>
      </c>
      <c r="AH74" s="364">
        <v>0</v>
      </c>
      <c r="AI74" s="364">
        <f>IFERROR(IF(G74="填充量計算 Recharge of Loss Volume",1,IF($H74="預設逸散率Default",ROUND(VLOOKUP($I74,'Other Emission Factor'!$F$4:$I$11,2,FALSE),10),IF($H74="自訂值 Custom Value",P74,0))),0)</f>
        <v>0</v>
      </c>
      <c r="AJ74" s="364">
        <v>0</v>
      </c>
      <c r="AK74" s="364">
        <v>0</v>
      </c>
      <c r="AL74" s="364">
        <v>0</v>
      </c>
      <c r="AM74" s="430" t="str">
        <f>IFERROR(IF($H74="預設逸散率Default",VLOOKUP($I74,表格12[],4,FALSE),IF($H74="自訂值Custom Value",Q74,"")),"")</f>
        <v/>
      </c>
      <c r="AN74" s="431">
        <f t="shared" si="36"/>
        <v>0</v>
      </c>
      <c r="AO74" s="366">
        <f>IF(Z74="V",IF('1.GHG Inventory Form'!$E$6="IPCC AR2 Report(1995)",'6.GWP'!$C$2,IF('1.GHG Inventory Form'!$E$6="IPCC AR3 Report(2001)",'6.GWP'!$D$2,IF('1.GHG Inventory Form'!$E$6="IPCC AR4 Report(2007)",'6.GWP'!$E$2,IF('1.GHG Inventory Form'!$E$6="IPCC AR5 Report(2013)",'6.GWP'!$F$2,IF('1.GHG Inventory Form'!$E$6="IPCC AR6 Report(2021)",'6.GWP'!$G$2,0))))),0)</f>
        <v>0</v>
      </c>
      <c r="AP74" s="366">
        <f>IF(AA74="V",IF('1.GHG Inventory Form'!$E$6="IPCC AR2 Report(1995)",#REF!,IF('1.GHG Inventory Form'!$E$6="IPCC AR3 Report(2001)",#REF!,IF('1.GHG Inventory Form'!$E$6="IPCC AR4 Report(2007)",#REF!,IF('1.GHG Inventory Form'!$E$6="IPCC AR5 Report(2013)",#REF!,IF('1.GHG Inventory Form'!$E$6="IPCC AR6 Report(2021)",#REF!,0))))),0)</f>
        <v>0</v>
      </c>
      <c r="AQ74" s="366">
        <f>IFERROR(IF(AB74="V",IF('1.GHG Inventory Form'!$E$6="IPCC AR2 Report(1995)",VLOOKUP(K74,'6.GWP'!$B$2:$G$173,2,FALSE),IF('1.GHG Inventory Form'!$E$6="IPCC AR3 Report(2001)",VLOOKUP(K74,'6.GWP'!$B$2:$G$173,3,FALSE),IF('1.GHG Inventory Form'!$E$6="IPCC AR4 Report(2007)",VLOOKUP(K74,'6.GWP'!$B$2:$G$173,4,FALSE),IF('1.GHG Inventory Form'!$E$6="IPCC AR5 Report(2013)",VLOOKUP(K74,'6.GWP'!$B$2:$G$173,5,FALSE),IF('1.GHG Inventory Form'!$E$6="IPCC AR6 Report(2021)",VLOOKUP(K74,'6.GWP'!$B$2:$G$173,6,FALSE),0))))),0),0)</f>
        <v>0</v>
      </c>
      <c r="AR74" s="366">
        <f>IFERROR(IF(AC74="V",IF('1.GHG Inventory Form'!$E$6="IPCC AR2 Report(1995)",VLOOKUP(K74,'6.GWP'!$B$2:$G$173,2,FALSE),IF('1.GHG Inventory Form'!$E$6="IPCC AR3 Report(2001)",VLOOKUP(K74,'6.GWP'!$B$2:$G$173,3,FALSE),IF('1.GHG Inventory Form'!$E$6="IPCC AR4 Report(2007)",VLOOKUP(K74,'6.GWP'!$B$2:$G$173,4,FALSE),IF('1.GHG Inventory Form'!$E$6="IPCC AR5 Report(2013)",VLOOKUP(K74,'6.GWP'!$B$2:$G$173,5,FALSE),IF('1.GHG Inventory Form'!$E$6="IPCC AR6 Report(2021)",VLOOKUP(K74,'6.GWP'!$B$2:$G$173,6,FALSE),0))))),0),0)</f>
        <v>0</v>
      </c>
      <c r="AS74" s="366">
        <f>IFERROR(IF(AD74="V",IF('1.GHG Inventory Form'!$E$6="IPCC AR2 Report(1995)",VLOOKUP(G74,'6.GWP'!$B$2:$G$173,2,FALSE),IF('1.GHG Inventory Form'!$E$6="IPCC AR3 Report(2001)",VLOOKUP(G74,'6.GWP'!$B$2:$G$173,3,FALSE),IF('1.GHG Inventory Form'!$E$6="IPCC AR4 Report(2007)",VLOOKUP(G74,'6.GWP'!$B$2:$G$173,4,FALSE),IF('1.GHG Inventory Form'!$E$6="IPCC AR5 Report(2013)",VLOOKUP(G74,'6.GWP'!$B$2:$G$173,5,FALSE),IF('1.GHG Inventory Form'!$E$6="IPCC AR6 Report(2021)",VLOOKUP(G74,'6.GWP'!$B$2:$G$173,6,FALSE),0))))),0),0)</f>
        <v>0</v>
      </c>
      <c r="AT74"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4" s="334" t="str">
        <f t="shared" si="21"/>
        <v/>
      </c>
      <c r="AV74" s="334" t="str">
        <f t="shared" si="22"/>
        <v/>
      </c>
      <c r="AW74" s="334" t="str">
        <f t="shared" si="23"/>
        <v/>
      </c>
      <c r="AX74" s="334" t="str">
        <f t="shared" si="24"/>
        <v/>
      </c>
      <c r="AY74" s="334" t="str">
        <f t="shared" si="25"/>
        <v/>
      </c>
      <c r="AZ74" s="334" t="str">
        <f t="shared" si="26"/>
        <v/>
      </c>
      <c r="BA74" s="334" t="str">
        <f t="shared" si="27"/>
        <v/>
      </c>
      <c r="BB74" s="393">
        <f t="shared" si="37"/>
        <v>0</v>
      </c>
      <c r="BC74" s="368">
        <f t="shared" si="38"/>
        <v>0</v>
      </c>
      <c r="BD74" s="369">
        <f t="shared" si="39"/>
        <v>0</v>
      </c>
      <c r="BI74" s="86" t="str">
        <f t="shared" si="40"/>
        <v/>
      </c>
      <c r="BJ74" s="86" t="str">
        <f t="shared" si="41"/>
        <v/>
      </c>
      <c r="BK74" s="86" t="str">
        <f t="shared" si="42"/>
        <v/>
      </c>
    </row>
    <row r="75" spans="1:63" customFormat="1" ht="44.5" customHeight="1" thickBot="1">
      <c r="A75">
        <v>17</v>
      </c>
      <c r="B75" s="634"/>
      <c r="C75" s="714"/>
      <c r="D75" s="668"/>
      <c r="E75" s="699"/>
      <c r="F75" s="634"/>
      <c r="G75" s="425" t="s">
        <v>344</v>
      </c>
      <c r="H75" s="363" t="str">
        <f t="shared" si="43"/>
        <v>預設逸散率Default</v>
      </c>
      <c r="I75" s="426" t="str">
        <f>IFERROR(LOOKUP(1,0/((#REF!='1.GHG Inventory Form'!$C$50)*(#REF!='1.GHG Inventory Form'!$A75)),#REF!),"")</f>
        <v/>
      </c>
      <c r="J75" s="194" t="str">
        <f>IFERROR(LOOKUP(1,0/((#REF!='1.GHG Inventory Form'!$C$50)*(#REF!='1.GHG Inventory Form'!$A75)),#REF!),"")</f>
        <v/>
      </c>
      <c r="K75" s="415" t="str">
        <f>IFERROR(LOOKUP(1,0/((#REF!=$C$50)*(#REF!='1.GHG Inventory Form'!$A75)),#REF!),"")</f>
        <v/>
      </c>
      <c r="L75" s="234" t="str">
        <f>IFERROR(LOOKUP(1,0/((#REF!='1.GHG Inventory Form'!$C$50)*(#REF!='1.GHG Inventory Form'!$A75)),#REF!),"")</f>
        <v/>
      </c>
      <c r="M75" s="362" t="s">
        <v>361</v>
      </c>
      <c r="N75" s="245"/>
      <c r="O75" s="245"/>
      <c r="P75" s="427" t="str">
        <f t="shared" si="28"/>
        <v/>
      </c>
      <c r="Q75" s="428"/>
      <c r="R75" s="429"/>
      <c r="S75" s="421"/>
      <c r="T75" s="421"/>
      <c r="U75" s="421"/>
      <c r="V75" s="421"/>
      <c r="W75" s="421"/>
      <c r="X75" s="421"/>
      <c r="Y75" s="389" t="str">
        <f t="shared" si="29"/>
        <v/>
      </c>
      <c r="Z75" s="364" t="str">
        <f t="shared" si="30"/>
        <v/>
      </c>
      <c r="AA75" s="364" t="str">
        <f t="shared" si="31"/>
        <v/>
      </c>
      <c r="AB75" s="364" t="str">
        <f t="shared" si="32"/>
        <v/>
      </c>
      <c r="AC75" s="364" t="str">
        <f t="shared" si="33"/>
        <v/>
      </c>
      <c r="AD75" s="364" t="str">
        <f t="shared" si="34"/>
        <v/>
      </c>
      <c r="AE75" s="423" t="str">
        <f t="shared" si="35"/>
        <v/>
      </c>
      <c r="AF75" s="389">
        <v>0</v>
      </c>
      <c r="AG75" s="364">
        <v>0</v>
      </c>
      <c r="AH75" s="364">
        <v>0</v>
      </c>
      <c r="AI75" s="364">
        <f>IFERROR(IF(G75="填充量計算 Recharge of Loss Volume",1,IF($H75="預設逸散率Default",ROUND(VLOOKUP($I75,'Other Emission Factor'!$F$4:$I$11,2,FALSE),10),IF($H75="自訂值 Custom Value",P75,0))),0)</f>
        <v>0</v>
      </c>
      <c r="AJ75" s="364">
        <v>0</v>
      </c>
      <c r="AK75" s="364">
        <v>0</v>
      </c>
      <c r="AL75" s="364">
        <v>0</v>
      </c>
      <c r="AM75" s="430" t="str">
        <f>IFERROR(IF($H75="預設逸散率Default",VLOOKUP($I75,表格12[],4,FALSE),IF($H75="自訂值Custom Value",Q75,"")),"")</f>
        <v/>
      </c>
      <c r="AN75" s="431">
        <f t="shared" si="36"/>
        <v>0</v>
      </c>
      <c r="AO75" s="366">
        <f>IF(Z75="V",IF('1.GHG Inventory Form'!$E$6="IPCC AR2 Report(1995)",'6.GWP'!$C$2,IF('1.GHG Inventory Form'!$E$6="IPCC AR3 Report(2001)",'6.GWP'!$D$2,IF('1.GHG Inventory Form'!$E$6="IPCC AR4 Report(2007)",'6.GWP'!$E$2,IF('1.GHG Inventory Form'!$E$6="IPCC AR5 Report(2013)",'6.GWP'!$F$2,IF('1.GHG Inventory Form'!$E$6="IPCC AR6 Report(2021)",'6.GWP'!$G$2,0))))),0)</f>
        <v>0</v>
      </c>
      <c r="AP75" s="366">
        <f>IF(AA75="V",IF('1.GHG Inventory Form'!$E$6="IPCC AR2 Report(1995)",#REF!,IF('1.GHG Inventory Form'!$E$6="IPCC AR3 Report(2001)",#REF!,IF('1.GHG Inventory Form'!$E$6="IPCC AR4 Report(2007)",#REF!,IF('1.GHG Inventory Form'!$E$6="IPCC AR5 Report(2013)",#REF!,IF('1.GHG Inventory Form'!$E$6="IPCC AR6 Report(2021)",#REF!,0))))),0)</f>
        <v>0</v>
      </c>
      <c r="AQ75" s="366">
        <f>IFERROR(IF(AB75="V",IF('1.GHG Inventory Form'!$E$6="IPCC AR2 Report(1995)",VLOOKUP(K75,'6.GWP'!$B$2:$G$173,2,FALSE),IF('1.GHG Inventory Form'!$E$6="IPCC AR3 Report(2001)",VLOOKUP(K75,'6.GWP'!$B$2:$G$173,3,FALSE),IF('1.GHG Inventory Form'!$E$6="IPCC AR4 Report(2007)",VLOOKUP(K75,'6.GWP'!$B$2:$G$173,4,FALSE),IF('1.GHG Inventory Form'!$E$6="IPCC AR5 Report(2013)",VLOOKUP(K75,'6.GWP'!$B$2:$G$173,5,FALSE),IF('1.GHG Inventory Form'!$E$6="IPCC AR6 Report(2021)",VLOOKUP(K75,'6.GWP'!$B$2:$G$173,6,FALSE),0))))),0),0)</f>
        <v>0</v>
      </c>
      <c r="AR75" s="366">
        <f>IFERROR(IF(AC75="V",IF('1.GHG Inventory Form'!$E$6="IPCC AR2 Report(1995)",VLOOKUP(K75,'6.GWP'!$B$2:$G$173,2,FALSE),IF('1.GHG Inventory Form'!$E$6="IPCC AR3 Report(2001)",VLOOKUP(K75,'6.GWP'!$B$2:$G$173,3,FALSE),IF('1.GHG Inventory Form'!$E$6="IPCC AR4 Report(2007)",VLOOKUP(K75,'6.GWP'!$B$2:$G$173,4,FALSE),IF('1.GHG Inventory Form'!$E$6="IPCC AR5 Report(2013)",VLOOKUP(K75,'6.GWP'!$B$2:$G$173,5,FALSE),IF('1.GHG Inventory Form'!$E$6="IPCC AR6 Report(2021)",VLOOKUP(K75,'6.GWP'!$B$2:$G$173,6,FALSE),0))))),0),0)</f>
        <v>0</v>
      </c>
      <c r="AS75" s="366">
        <f>IFERROR(IF(AD75="V",IF('1.GHG Inventory Form'!$E$6="IPCC AR2 Report(1995)",VLOOKUP(G75,'6.GWP'!$B$2:$G$173,2,FALSE),IF('1.GHG Inventory Form'!$E$6="IPCC AR3 Report(2001)",VLOOKUP(G75,'6.GWP'!$B$2:$G$173,3,FALSE),IF('1.GHG Inventory Form'!$E$6="IPCC AR4 Report(2007)",VLOOKUP(G75,'6.GWP'!$B$2:$G$173,4,FALSE),IF('1.GHG Inventory Form'!$E$6="IPCC AR5 Report(2013)",VLOOKUP(G75,'6.GWP'!$B$2:$G$173,5,FALSE),IF('1.GHG Inventory Form'!$E$6="IPCC AR6 Report(2021)",VLOOKUP(G75,'6.GWP'!$B$2:$G$173,6,FALSE),0))))),0),0)</f>
        <v>0</v>
      </c>
      <c r="AT75"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5" s="334" t="str">
        <f t="shared" si="21"/>
        <v/>
      </c>
      <c r="AV75" s="334" t="str">
        <f t="shared" si="22"/>
        <v/>
      </c>
      <c r="AW75" s="334" t="str">
        <f t="shared" si="23"/>
        <v/>
      </c>
      <c r="AX75" s="334" t="str">
        <f t="shared" si="24"/>
        <v/>
      </c>
      <c r="AY75" s="334" t="str">
        <f t="shared" si="25"/>
        <v/>
      </c>
      <c r="AZ75" s="334" t="str">
        <f t="shared" si="26"/>
        <v/>
      </c>
      <c r="BA75" s="334" t="str">
        <f t="shared" si="27"/>
        <v/>
      </c>
      <c r="BB75" s="393">
        <f t="shared" si="37"/>
        <v>0</v>
      </c>
      <c r="BC75" s="368">
        <f t="shared" si="38"/>
        <v>0</v>
      </c>
      <c r="BD75" s="369">
        <f t="shared" si="39"/>
        <v>0</v>
      </c>
      <c r="BI75" s="86" t="str">
        <f t="shared" si="40"/>
        <v/>
      </c>
      <c r="BJ75" s="86" t="str">
        <f t="shared" si="41"/>
        <v/>
      </c>
      <c r="BK75" s="86" t="str">
        <f t="shared" si="42"/>
        <v/>
      </c>
    </row>
    <row r="76" spans="1:63" customFormat="1" ht="31" customHeight="1" thickBot="1">
      <c r="A76">
        <v>18</v>
      </c>
      <c r="B76" s="634"/>
      <c r="C76" s="714"/>
      <c r="D76" s="668"/>
      <c r="E76" s="699"/>
      <c r="F76" s="634"/>
      <c r="G76" s="425" t="s">
        <v>344</v>
      </c>
      <c r="H76" s="363" t="str">
        <f t="shared" si="43"/>
        <v>預設逸散率Default</v>
      </c>
      <c r="I76" s="426" t="str">
        <f>IFERROR(LOOKUP(1,0/((#REF!='1.GHG Inventory Form'!$C$50)*(#REF!='1.GHG Inventory Form'!$A76)),#REF!),"")</f>
        <v/>
      </c>
      <c r="J76" s="194" t="str">
        <f>IFERROR(LOOKUP(1,0/((#REF!='1.GHG Inventory Form'!$C$50)*(#REF!='1.GHG Inventory Form'!$A76)),#REF!),"")</f>
        <v/>
      </c>
      <c r="K76" s="415" t="str">
        <f>IFERROR(LOOKUP(1,0/((#REF!=$C$50)*(#REF!='1.GHG Inventory Form'!$A76)),#REF!),"")</f>
        <v/>
      </c>
      <c r="L76" s="234" t="str">
        <f>IFERROR(LOOKUP(1,0/((#REF!='1.GHG Inventory Form'!$C$50)*(#REF!='1.GHG Inventory Form'!$A76)),#REF!),"")</f>
        <v/>
      </c>
      <c r="M76" s="362" t="s">
        <v>362</v>
      </c>
      <c r="N76" s="245"/>
      <c r="O76" s="245"/>
      <c r="P76" s="427" t="str">
        <f t="shared" si="28"/>
        <v/>
      </c>
      <c r="Q76" s="428"/>
      <c r="R76" s="429"/>
      <c r="S76" s="421"/>
      <c r="T76" s="421"/>
      <c r="U76" s="421"/>
      <c r="V76" s="421"/>
      <c r="W76" s="421"/>
      <c r="X76" s="421"/>
      <c r="Y76" s="389" t="str">
        <f t="shared" si="29"/>
        <v/>
      </c>
      <c r="Z76" s="364" t="str">
        <f t="shared" si="30"/>
        <v/>
      </c>
      <c r="AA76" s="364" t="str">
        <f t="shared" si="31"/>
        <v/>
      </c>
      <c r="AB76" s="364" t="str">
        <f t="shared" si="32"/>
        <v/>
      </c>
      <c r="AC76" s="364" t="str">
        <f t="shared" si="33"/>
        <v/>
      </c>
      <c r="AD76" s="364" t="str">
        <f t="shared" si="34"/>
        <v/>
      </c>
      <c r="AE76" s="423" t="str">
        <f t="shared" si="35"/>
        <v/>
      </c>
      <c r="AF76" s="389">
        <v>0</v>
      </c>
      <c r="AG76" s="364">
        <v>0</v>
      </c>
      <c r="AH76" s="364">
        <v>0</v>
      </c>
      <c r="AI76" s="364">
        <f>IFERROR(IF(G76="填充量計算 Recharge of Loss Volume",1,IF($H76="預設逸散率Default",ROUND(VLOOKUP($I76,'Other Emission Factor'!$F$4:$I$11,2,FALSE),10),IF($H76="自訂值 Custom Value",P76,0))),0)</f>
        <v>0</v>
      </c>
      <c r="AJ76" s="364">
        <v>0</v>
      </c>
      <c r="AK76" s="364">
        <v>0</v>
      </c>
      <c r="AL76" s="364">
        <v>0</v>
      </c>
      <c r="AM76" s="430" t="str">
        <f>IFERROR(IF($H76="預設逸散率Default",VLOOKUP($I76,表格12[],4,FALSE),IF($H76="自訂值Custom Value",Q76,"")),"")</f>
        <v/>
      </c>
      <c r="AN76" s="431">
        <f t="shared" si="36"/>
        <v>0</v>
      </c>
      <c r="AO76" s="366">
        <f>IF(Z76="V",IF('1.GHG Inventory Form'!$E$6="IPCC AR2 Report(1995)",'6.GWP'!$C$2,IF('1.GHG Inventory Form'!$E$6="IPCC AR3 Report(2001)",'6.GWP'!$D$2,IF('1.GHG Inventory Form'!$E$6="IPCC AR4 Report(2007)",'6.GWP'!$E$2,IF('1.GHG Inventory Form'!$E$6="IPCC AR5 Report(2013)",'6.GWP'!$F$2,IF('1.GHG Inventory Form'!$E$6="IPCC AR6 Report(2021)",'6.GWP'!$G$2,0))))),0)</f>
        <v>0</v>
      </c>
      <c r="AP76" s="366">
        <f>IF(AA76="V",IF('1.GHG Inventory Form'!$E$6="IPCC AR2 Report(1995)",#REF!,IF('1.GHG Inventory Form'!$E$6="IPCC AR3 Report(2001)",#REF!,IF('1.GHG Inventory Form'!$E$6="IPCC AR4 Report(2007)",#REF!,IF('1.GHG Inventory Form'!$E$6="IPCC AR5 Report(2013)",#REF!,IF('1.GHG Inventory Form'!$E$6="IPCC AR6 Report(2021)",#REF!,0))))),0)</f>
        <v>0</v>
      </c>
      <c r="AQ76" s="366">
        <f>IFERROR(IF(AB76="V",IF('1.GHG Inventory Form'!$E$6="IPCC AR2 Report(1995)",VLOOKUP(K76,'6.GWP'!$B$2:$G$173,2,FALSE),IF('1.GHG Inventory Form'!$E$6="IPCC AR3 Report(2001)",VLOOKUP(K76,'6.GWP'!$B$2:$G$173,3,FALSE),IF('1.GHG Inventory Form'!$E$6="IPCC AR4 Report(2007)",VLOOKUP(K76,'6.GWP'!$B$2:$G$173,4,FALSE),IF('1.GHG Inventory Form'!$E$6="IPCC AR5 Report(2013)",VLOOKUP(K76,'6.GWP'!$B$2:$G$173,5,FALSE),IF('1.GHG Inventory Form'!$E$6="IPCC AR6 Report(2021)",VLOOKUP(K76,'6.GWP'!$B$2:$G$173,6,FALSE),0))))),0),0)</f>
        <v>0</v>
      </c>
      <c r="AR76" s="366">
        <f>IFERROR(IF(AC76="V",IF('1.GHG Inventory Form'!$E$6="IPCC AR2 Report(1995)",VLOOKUP(K76,'6.GWP'!$B$2:$G$173,2,FALSE),IF('1.GHG Inventory Form'!$E$6="IPCC AR3 Report(2001)",VLOOKUP(K76,'6.GWP'!$B$2:$G$173,3,FALSE),IF('1.GHG Inventory Form'!$E$6="IPCC AR4 Report(2007)",VLOOKUP(K76,'6.GWP'!$B$2:$G$173,4,FALSE),IF('1.GHG Inventory Form'!$E$6="IPCC AR5 Report(2013)",VLOOKUP(K76,'6.GWP'!$B$2:$G$173,5,FALSE),IF('1.GHG Inventory Form'!$E$6="IPCC AR6 Report(2021)",VLOOKUP(K76,'6.GWP'!$B$2:$G$173,6,FALSE),0))))),0),0)</f>
        <v>0</v>
      </c>
      <c r="AS76" s="366">
        <f>IFERROR(IF(AD76="V",IF('1.GHG Inventory Form'!$E$6="IPCC AR2 Report(1995)",VLOOKUP(G76,'6.GWP'!$B$2:$G$173,2,FALSE),IF('1.GHG Inventory Form'!$E$6="IPCC AR3 Report(2001)",VLOOKUP(G76,'6.GWP'!$B$2:$G$173,3,FALSE),IF('1.GHG Inventory Form'!$E$6="IPCC AR4 Report(2007)",VLOOKUP(G76,'6.GWP'!$B$2:$G$173,4,FALSE),IF('1.GHG Inventory Form'!$E$6="IPCC AR5 Report(2013)",VLOOKUP(G76,'6.GWP'!$B$2:$G$173,5,FALSE),IF('1.GHG Inventory Form'!$E$6="IPCC AR6 Report(2021)",VLOOKUP(G76,'6.GWP'!$B$2:$G$173,6,FALSE),0))))),0),0)</f>
        <v>0</v>
      </c>
      <c r="AT76"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6" s="334" t="str">
        <f t="shared" si="21"/>
        <v/>
      </c>
      <c r="AV76" s="334" t="str">
        <f t="shared" si="22"/>
        <v/>
      </c>
      <c r="AW76" s="334" t="str">
        <f t="shared" si="23"/>
        <v/>
      </c>
      <c r="AX76" s="334" t="str">
        <f t="shared" si="24"/>
        <v/>
      </c>
      <c r="AY76" s="334" t="str">
        <f t="shared" si="25"/>
        <v/>
      </c>
      <c r="AZ76" s="334" t="str">
        <f t="shared" si="26"/>
        <v/>
      </c>
      <c r="BA76" s="334" t="str">
        <f t="shared" si="27"/>
        <v/>
      </c>
      <c r="BB76" s="393">
        <f t="shared" si="37"/>
        <v>0</v>
      </c>
      <c r="BC76" s="368">
        <f t="shared" si="38"/>
        <v>0</v>
      </c>
      <c r="BD76" s="369">
        <f t="shared" si="39"/>
        <v>0</v>
      </c>
      <c r="BI76" s="86" t="str">
        <f t="shared" si="40"/>
        <v/>
      </c>
      <c r="BJ76" s="86" t="str">
        <f t="shared" si="41"/>
        <v/>
      </c>
      <c r="BK76" s="86" t="str">
        <f t="shared" si="42"/>
        <v/>
      </c>
    </row>
    <row r="77" spans="1:63" customFormat="1" ht="31" customHeight="1" thickBot="1">
      <c r="A77">
        <v>19</v>
      </c>
      <c r="B77" s="634"/>
      <c r="C77" s="714"/>
      <c r="D77" s="668"/>
      <c r="E77" s="699"/>
      <c r="F77" s="634"/>
      <c r="G77" s="425" t="s">
        <v>344</v>
      </c>
      <c r="H77" s="363" t="str">
        <f t="shared" si="43"/>
        <v>預設逸散率Default</v>
      </c>
      <c r="I77" s="426" t="str">
        <f>IFERROR(LOOKUP(1,0/((#REF!='1.GHG Inventory Form'!$C$50)*(#REF!='1.GHG Inventory Form'!$A77)),#REF!),"")</f>
        <v/>
      </c>
      <c r="J77" s="194" t="str">
        <f>IFERROR(LOOKUP(1,0/((#REF!='1.GHG Inventory Form'!$C$50)*(#REF!='1.GHG Inventory Form'!$A77)),#REF!),"")</f>
        <v/>
      </c>
      <c r="K77" s="415" t="str">
        <f>IFERROR(LOOKUP(1,0/((#REF!=$C$50)*(#REF!='1.GHG Inventory Form'!$A77)),#REF!),"")</f>
        <v/>
      </c>
      <c r="L77" s="234" t="str">
        <f>IFERROR(LOOKUP(1,0/((#REF!='1.GHG Inventory Form'!$C$50)*(#REF!='1.GHG Inventory Form'!$A77)),#REF!),"")</f>
        <v/>
      </c>
      <c r="M77" s="362" t="s">
        <v>363</v>
      </c>
      <c r="N77" s="245"/>
      <c r="O77" s="245"/>
      <c r="P77" s="427" t="str">
        <f t="shared" si="28"/>
        <v/>
      </c>
      <c r="Q77" s="428"/>
      <c r="R77" s="429"/>
      <c r="S77" s="421"/>
      <c r="T77" s="421"/>
      <c r="U77" s="421"/>
      <c r="V77" s="421"/>
      <c r="W77" s="421"/>
      <c r="X77" s="421"/>
      <c r="Y77" s="389" t="str">
        <f t="shared" si="29"/>
        <v/>
      </c>
      <c r="Z77" s="364" t="str">
        <f t="shared" si="30"/>
        <v/>
      </c>
      <c r="AA77" s="364" t="str">
        <f t="shared" si="31"/>
        <v/>
      </c>
      <c r="AB77" s="364" t="str">
        <f t="shared" si="32"/>
        <v/>
      </c>
      <c r="AC77" s="364" t="str">
        <f t="shared" si="33"/>
        <v/>
      </c>
      <c r="AD77" s="364" t="str">
        <f t="shared" si="34"/>
        <v/>
      </c>
      <c r="AE77" s="423" t="str">
        <f t="shared" si="35"/>
        <v/>
      </c>
      <c r="AF77" s="389">
        <v>0</v>
      </c>
      <c r="AG77" s="364">
        <v>0</v>
      </c>
      <c r="AH77" s="364">
        <v>0</v>
      </c>
      <c r="AI77" s="364">
        <f>IFERROR(IF(G77="填充量計算 Recharge of Loss Volume",1,IF($H77="預設逸散率Default",ROUND(VLOOKUP($I77,'Other Emission Factor'!$F$4:$I$11,2,FALSE),10),IF($H77="自訂值 Custom Value",P77,0))),0)</f>
        <v>0</v>
      </c>
      <c r="AJ77" s="364">
        <v>0</v>
      </c>
      <c r="AK77" s="364">
        <v>0</v>
      </c>
      <c r="AL77" s="364">
        <v>0</v>
      </c>
      <c r="AM77" s="430" t="str">
        <f>IFERROR(IF($H77="預設逸散率Default",VLOOKUP($I77,表格12[],4,FALSE),IF($H77="自訂值Custom Value",Q77,"")),"")</f>
        <v/>
      </c>
      <c r="AN77" s="431">
        <f t="shared" si="36"/>
        <v>0</v>
      </c>
      <c r="AO77" s="366">
        <f>IF(Z77="V",IF('1.GHG Inventory Form'!$E$6="IPCC AR2 Report(1995)",'6.GWP'!$C$2,IF('1.GHG Inventory Form'!$E$6="IPCC AR3 Report(2001)",'6.GWP'!$D$2,IF('1.GHG Inventory Form'!$E$6="IPCC AR4 Report(2007)",'6.GWP'!$E$2,IF('1.GHG Inventory Form'!$E$6="IPCC AR5 Report(2013)",'6.GWP'!$F$2,IF('1.GHG Inventory Form'!$E$6="IPCC AR6 Report(2021)",'6.GWP'!$G$2,0))))),0)</f>
        <v>0</v>
      </c>
      <c r="AP77" s="366">
        <f>IF(AA77="V",IF('1.GHG Inventory Form'!$E$6="IPCC AR2 Report(1995)",#REF!,IF('1.GHG Inventory Form'!$E$6="IPCC AR3 Report(2001)",#REF!,IF('1.GHG Inventory Form'!$E$6="IPCC AR4 Report(2007)",#REF!,IF('1.GHG Inventory Form'!$E$6="IPCC AR5 Report(2013)",#REF!,IF('1.GHG Inventory Form'!$E$6="IPCC AR6 Report(2021)",#REF!,0))))),0)</f>
        <v>0</v>
      </c>
      <c r="AQ77" s="366">
        <f>IFERROR(IF(AB77="V",IF('1.GHG Inventory Form'!$E$6="IPCC AR2 Report(1995)",VLOOKUP(K77,'6.GWP'!$B$2:$G$173,2,FALSE),IF('1.GHG Inventory Form'!$E$6="IPCC AR3 Report(2001)",VLOOKUP(K77,'6.GWP'!$B$2:$G$173,3,FALSE),IF('1.GHG Inventory Form'!$E$6="IPCC AR4 Report(2007)",VLOOKUP(K77,'6.GWP'!$B$2:$G$173,4,FALSE),IF('1.GHG Inventory Form'!$E$6="IPCC AR5 Report(2013)",VLOOKUP(K77,'6.GWP'!$B$2:$G$173,5,FALSE),IF('1.GHG Inventory Form'!$E$6="IPCC AR6 Report(2021)",VLOOKUP(K77,'6.GWP'!$B$2:$G$173,6,FALSE),0))))),0),0)</f>
        <v>0</v>
      </c>
      <c r="AR77" s="366">
        <f>IFERROR(IF(AC77="V",IF('1.GHG Inventory Form'!$E$6="IPCC AR2 Report(1995)",VLOOKUP(K77,'6.GWP'!$B$2:$G$173,2,FALSE),IF('1.GHG Inventory Form'!$E$6="IPCC AR3 Report(2001)",VLOOKUP(K77,'6.GWP'!$B$2:$G$173,3,FALSE),IF('1.GHG Inventory Form'!$E$6="IPCC AR4 Report(2007)",VLOOKUP(K77,'6.GWP'!$B$2:$G$173,4,FALSE),IF('1.GHG Inventory Form'!$E$6="IPCC AR5 Report(2013)",VLOOKUP(K77,'6.GWP'!$B$2:$G$173,5,FALSE),IF('1.GHG Inventory Form'!$E$6="IPCC AR6 Report(2021)",VLOOKUP(K77,'6.GWP'!$B$2:$G$173,6,FALSE),0))))),0),0)</f>
        <v>0</v>
      </c>
      <c r="AS77" s="366">
        <f>IFERROR(IF(AD77="V",IF('1.GHG Inventory Form'!$E$6="IPCC AR2 Report(1995)",VLOOKUP(G77,'6.GWP'!$B$2:$G$173,2,FALSE),IF('1.GHG Inventory Form'!$E$6="IPCC AR3 Report(2001)",VLOOKUP(G77,'6.GWP'!$B$2:$G$173,3,FALSE),IF('1.GHG Inventory Form'!$E$6="IPCC AR4 Report(2007)",VLOOKUP(G77,'6.GWP'!$B$2:$G$173,4,FALSE),IF('1.GHG Inventory Form'!$E$6="IPCC AR5 Report(2013)",VLOOKUP(G77,'6.GWP'!$B$2:$G$173,5,FALSE),IF('1.GHG Inventory Form'!$E$6="IPCC AR6 Report(2021)",VLOOKUP(G77,'6.GWP'!$B$2:$G$173,6,FALSE),0))))),0),0)</f>
        <v>0</v>
      </c>
      <c r="AT77"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7" s="334" t="str">
        <f t="shared" si="21"/>
        <v/>
      </c>
      <c r="AV77" s="334" t="str">
        <f t="shared" si="22"/>
        <v/>
      </c>
      <c r="AW77" s="334" t="str">
        <f t="shared" si="23"/>
        <v/>
      </c>
      <c r="AX77" s="334" t="str">
        <f t="shared" si="24"/>
        <v/>
      </c>
      <c r="AY77" s="334" t="str">
        <f t="shared" si="25"/>
        <v/>
      </c>
      <c r="AZ77" s="334" t="str">
        <f t="shared" si="26"/>
        <v/>
      </c>
      <c r="BA77" s="334" t="str">
        <f t="shared" si="27"/>
        <v/>
      </c>
      <c r="BB77" s="393">
        <f t="shared" si="37"/>
        <v>0</v>
      </c>
      <c r="BC77" s="368">
        <f t="shared" si="38"/>
        <v>0</v>
      </c>
      <c r="BD77" s="369">
        <f t="shared" si="39"/>
        <v>0</v>
      </c>
      <c r="BI77" s="86" t="str">
        <f t="shared" si="40"/>
        <v/>
      </c>
      <c r="BJ77" s="86" t="str">
        <f t="shared" si="41"/>
        <v/>
      </c>
      <c r="BK77" s="86" t="str">
        <f t="shared" si="42"/>
        <v/>
      </c>
    </row>
    <row r="78" spans="1:63" customFormat="1" ht="31" customHeight="1" thickBot="1">
      <c r="A78">
        <v>20</v>
      </c>
      <c r="B78" s="634"/>
      <c r="C78" s="714"/>
      <c r="D78" s="668"/>
      <c r="E78" s="699"/>
      <c r="F78" s="634"/>
      <c r="G78" s="425" t="s">
        <v>344</v>
      </c>
      <c r="H78" s="363" t="str">
        <f t="shared" si="43"/>
        <v>預設逸散率Default</v>
      </c>
      <c r="I78" s="426" t="str">
        <f>IFERROR(LOOKUP(1,0/((#REF!='1.GHG Inventory Form'!$C$50)*(#REF!='1.GHG Inventory Form'!$A78)),#REF!),"")</f>
        <v/>
      </c>
      <c r="J78" s="194" t="str">
        <f>IFERROR(LOOKUP(1,0/((#REF!='1.GHG Inventory Form'!$C$50)*(#REF!='1.GHG Inventory Form'!$A78)),#REF!),"")</f>
        <v/>
      </c>
      <c r="K78" s="415" t="str">
        <f>IFERROR(LOOKUP(1,0/((#REF!=$C$50)*(#REF!='1.GHG Inventory Form'!$A78)),#REF!),"")</f>
        <v/>
      </c>
      <c r="L78" s="234" t="str">
        <f>IFERROR(LOOKUP(1,0/((#REF!='1.GHG Inventory Form'!$C$50)*(#REF!='1.GHG Inventory Form'!$A78)),#REF!),"")</f>
        <v/>
      </c>
      <c r="M78" s="362" t="s">
        <v>364</v>
      </c>
      <c r="N78" s="245"/>
      <c r="O78" s="245"/>
      <c r="P78" s="427" t="str">
        <f t="shared" si="28"/>
        <v/>
      </c>
      <c r="Q78" s="428"/>
      <c r="R78" s="429"/>
      <c r="S78" s="421"/>
      <c r="T78" s="421"/>
      <c r="U78" s="421"/>
      <c r="V78" s="421"/>
      <c r="W78" s="421"/>
      <c r="X78" s="421"/>
      <c r="Y78" s="389" t="str">
        <f t="shared" si="29"/>
        <v/>
      </c>
      <c r="Z78" s="364" t="str">
        <f t="shared" si="30"/>
        <v/>
      </c>
      <c r="AA78" s="364" t="str">
        <f t="shared" si="31"/>
        <v/>
      </c>
      <c r="AB78" s="364" t="str">
        <f t="shared" si="32"/>
        <v/>
      </c>
      <c r="AC78" s="364" t="str">
        <f t="shared" si="33"/>
        <v/>
      </c>
      <c r="AD78" s="364" t="str">
        <f t="shared" si="34"/>
        <v/>
      </c>
      <c r="AE78" s="423" t="str">
        <f t="shared" si="35"/>
        <v/>
      </c>
      <c r="AF78" s="389">
        <v>0</v>
      </c>
      <c r="AG78" s="364">
        <v>0</v>
      </c>
      <c r="AH78" s="364">
        <v>0</v>
      </c>
      <c r="AI78" s="364">
        <f>IFERROR(IF(G78="填充量計算 Recharge of Loss Volume",1,IF($H78="預設逸散率Default",ROUND(VLOOKUP($I78,'Other Emission Factor'!$F$4:$I$11,2,FALSE),10),IF($H78="自訂值 Custom Value",P78,0))),0)</f>
        <v>0</v>
      </c>
      <c r="AJ78" s="364">
        <v>0</v>
      </c>
      <c r="AK78" s="364">
        <v>0</v>
      </c>
      <c r="AL78" s="364">
        <v>0</v>
      </c>
      <c r="AM78" s="430" t="str">
        <f>IFERROR(IF($H78="預設逸散率Default",VLOOKUP($I78,表格12[],4,FALSE),IF($H78="自訂值Custom Value",Q78,"")),"")</f>
        <v/>
      </c>
      <c r="AN78" s="431">
        <f t="shared" si="36"/>
        <v>0</v>
      </c>
      <c r="AO78" s="366">
        <f>IF(Z78="V",IF('1.GHG Inventory Form'!$E$6="IPCC AR2 Report(1995)",'6.GWP'!$C$2,IF('1.GHG Inventory Form'!$E$6="IPCC AR3 Report(2001)",'6.GWP'!$D$2,IF('1.GHG Inventory Form'!$E$6="IPCC AR4 Report(2007)",'6.GWP'!$E$2,IF('1.GHG Inventory Form'!$E$6="IPCC AR5 Report(2013)",'6.GWP'!$F$2,IF('1.GHG Inventory Form'!$E$6="IPCC AR6 Report(2021)",'6.GWP'!$G$2,0))))),0)</f>
        <v>0</v>
      </c>
      <c r="AP78" s="366">
        <f>IF(AA78="V",IF('1.GHG Inventory Form'!$E$6="IPCC AR2 Report(1995)",#REF!,IF('1.GHG Inventory Form'!$E$6="IPCC AR3 Report(2001)",#REF!,IF('1.GHG Inventory Form'!$E$6="IPCC AR4 Report(2007)",#REF!,IF('1.GHG Inventory Form'!$E$6="IPCC AR5 Report(2013)",#REF!,IF('1.GHG Inventory Form'!$E$6="IPCC AR6 Report(2021)",#REF!,0))))),0)</f>
        <v>0</v>
      </c>
      <c r="AQ78" s="366">
        <f>IFERROR(IF(AB78="V",IF('1.GHG Inventory Form'!$E$6="IPCC AR2 Report(1995)",VLOOKUP(K78,'6.GWP'!$B$2:$G$173,2,FALSE),IF('1.GHG Inventory Form'!$E$6="IPCC AR3 Report(2001)",VLOOKUP(K78,'6.GWP'!$B$2:$G$173,3,FALSE),IF('1.GHG Inventory Form'!$E$6="IPCC AR4 Report(2007)",VLOOKUP(K78,'6.GWP'!$B$2:$G$173,4,FALSE),IF('1.GHG Inventory Form'!$E$6="IPCC AR5 Report(2013)",VLOOKUP(K78,'6.GWP'!$B$2:$G$173,5,FALSE),IF('1.GHG Inventory Form'!$E$6="IPCC AR6 Report(2021)",VLOOKUP(K78,'6.GWP'!$B$2:$G$173,6,FALSE),0))))),0),0)</f>
        <v>0</v>
      </c>
      <c r="AR78" s="366">
        <f>IFERROR(IF(AC78="V",IF('1.GHG Inventory Form'!$E$6="IPCC AR2 Report(1995)",VLOOKUP(K78,'6.GWP'!$B$2:$G$173,2,FALSE),IF('1.GHG Inventory Form'!$E$6="IPCC AR3 Report(2001)",VLOOKUP(K78,'6.GWP'!$B$2:$G$173,3,FALSE),IF('1.GHG Inventory Form'!$E$6="IPCC AR4 Report(2007)",VLOOKUP(K78,'6.GWP'!$B$2:$G$173,4,FALSE),IF('1.GHG Inventory Form'!$E$6="IPCC AR5 Report(2013)",VLOOKUP(K78,'6.GWP'!$B$2:$G$173,5,FALSE),IF('1.GHG Inventory Form'!$E$6="IPCC AR6 Report(2021)",VLOOKUP(K78,'6.GWP'!$B$2:$G$173,6,FALSE),0))))),0),0)</f>
        <v>0</v>
      </c>
      <c r="AS78" s="366">
        <f>IFERROR(IF(AD78="V",IF('1.GHG Inventory Form'!$E$6="IPCC AR2 Report(1995)",VLOOKUP(G78,'6.GWP'!$B$2:$G$173,2,FALSE),IF('1.GHG Inventory Form'!$E$6="IPCC AR3 Report(2001)",VLOOKUP(G78,'6.GWP'!$B$2:$G$173,3,FALSE),IF('1.GHG Inventory Form'!$E$6="IPCC AR4 Report(2007)",VLOOKUP(G78,'6.GWP'!$B$2:$G$173,4,FALSE),IF('1.GHG Inventory Form'!$E$6="IPCC AR5 Report(2013)",VLOOKUP(G78,'6.GWP'!$B$2:$G$173,5,FALSE),IF('1.GHG Inventory Form'!$E$6="IPCC AR6 Report(2021)",VLOOKUP(G78,'6.GWP'!$B$2:$G$173,6,FALSE),0))))),0),0)</f>
        <v>0</v>
      </c>
      <c r="AT78"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8" s="334" t="str">
        <f t="shared" si="21"/>
        <v/>
      </c>
      <c r="AV78" s="334" t="str">
        <f t="shared" si="22"/>
        <v/>
      </c>
      <c r="AW78" s="334" t="str">
        <f t="shared" si="23"/>
        <v/>
      </c>
      <c r="AX78" s="334" t="str">
        <f t="shared" si="24"/>
        <v/>
      </c>
      <c r="AY78" s="334" t="str">
        <f t="shared" si="25"/>
        <v/>
      </c>
      <c r="AZ78" s="334" t="str">
        <f t="shared" si="26"/>
        <v/>
      </c>
      <c r="BA78" s="334" t="str">
        <f t="shared" si="27"/>
        <v/>
      </c>
      <c r="BB78" s="393">
        <f t="shared" si="37"/>
        <v>0</v>
      </c>
      <c r="BC78" s="368">
        <f t="shared" si="38"/>
        <v>0</v>
      </c>
      <c r="BD78" s="369">
        <f t="shared" si="39"/>
        <v>0</v>
      </c>
      <c r="BI78" s="86" t="str">
        <f t="shared" si="40"/>
        <v/>
      </c>
      <c r="BJ78" s="86" t="str">
        <f t="shared" si="41"/>
        <v/>
      </c>
      <c r="BK78" s="86" t="str">
        <f t="shared" si="42"/>
        <v/>
      </c>
    </row>
    <row r="79" spans="1:63" customFormat="1" ht="31" customHeight="1" thickBot="1">
      <c r="A79">
        <v>21</v>
      </c>
      <c r="B79" s="634"/>
      <c r="C79" s="714"/>
      <c r="D79" s="668"/>
      <c r="E79" s="699"/>
      <c r="F79" s="634"/>
      <c r="G79" s="425" t="s">
        <v>344</v>
      </c>
      <c r="H79" s="363" t="str">
        <f t="shared" si="43"/>
        <v>預設逸散率Default</v>
      </c>
      <c r="I79" s="426" t="str">
        <f>IFERROR(LOOKUP(1,0/((#REF!='1.GHG Inventory Form'!$C$50)*(#REF!='1.GHG Inventory Form'!$A79)),#REF!),"")</f>
        <v/>
      </c>
      <c r="J79" s="194" t="str">
        <f>IFERROR(LOOKUP(1,0/((#REF!='1.GHG Inventory Form'!$C$50)*(#REF!='1.GHG Inventory Form'!$A79)),#REF!),"")</f>
        <v/>
      </c>
      <c r="K79" s="415" t="str">
        <f>IFERROR(LOOKUP(1,0/((#REF!=$C$50)*(#REF!='1.GHG Inventory Form'!$A79)),#REF!),"")</f>
        <v/>
      </c>
      <c r="L79" s="234" t="str">
        <f>IFERROR(LOOKUP(1,0/((#REF!='1.GHG Inventory Form'!$C$50)*(#REF!='1.GHG Inventory Form'!$A79)),#REF!),"")</f>
        <v/>
      </c>
      <c r="M79" s="362" t="s">
        <v>365</v>
      </c>
      <c r="N79" s="245"/>
      <c r="O79" s="245"/>
      <c r="P79" s="427" t="str">
        <f t="shared" si="28"/>
        <v/>
      </c>
      <c r="Q79" s="428"/>
      <c r="R79" s="429"/>
      <c r="S79" s="421"/>
      <c r="T79" s="421"/>
      <c r="U79" s="421"/>
      <c r="V79" s="421"/>
      <c r="W79" s="421"/>
      <c r="X79" s="421"/>
      <c r="Y79" s="389" t="str">
        <f t="shared" si="29"/>
        <v/>
      </c>
      <c r="Z79" s="364" t="str">
        <f t="shared" si="30"/>
        <v/>
      </c>
      <c r="AA79" s="364" t="str">
        <f t="shared" si="31"/>
        <v/>
      </c>
      <c r="AB79" s="364" t="str">
        <f t="shared" si="32"/>
        <v/>
      </c>
      <c r="AC79" s="364" t="str">
        <f t="shared" si="33"/>
        <v/>
      </c>
      <c r="AD79" s="364" t="str">
        <f t="shared" si="34"/>
        <v/>
      </c>
      <c r="AE79" s="423" t="str">
        <f t="shared" si="35"/>
        <v/>
      </c>
      <c r="AF79" s="389">
        <v>0</v>
      </c>
      <c r="AG79" s="364">
        <v>0</v>
      </c>
      <c r="AH79" s="364">
        <v>0</v>
      </c>
      <c r="AI79" s="364">
        <f>IFERROR(IF(G79="填充量計算 Recharge of Loss Volume",1,IF($H79="預設逸散率Default",ROUND(VLOOKUP($I79,'Other Emission Factor'!$F$4:$I$11,2,FALSE),10),IF($H79="自訂值 Custom Value",P79,0))),0)</f>
        <v>0</v>
      </c>
      <c r="AJ79" s="364">
        <v>0</v>
      </c>
      <c r="AK79" s="364">
        <v>0</v>
      </c>
      <c r="AL79" s="364">
        <v>0</v>
      </c>
      <c r="AM79" s="430" t="str">
        <f>IFERROR(IF($H79="預設逸散率Default",VLOOKUP($I79,表格12[],4,FALSE),IF($H79="自訂值Custom Value",Q79,"")),"")</f>
        <v/>
      </c>
      <c r="AN79" s="431">
        <f t="shared" si="36"/>
        <v>0</v>
      </c>
      <c r="AO79" s="366">
        <f>IF(Z79="V",IF('1.GHG Inventory Form'!$E$6="IPCC AR2 Report(1995)",'6.GWP'!$C$2,IF('1.GHG Inventory Form'!$E$6="IPCC AR3 Report(2001)",'6.GWP'!$D$2,IF('1.GHG Inventory Form'!$E$6="IPCC AR4 Report(2007)",'6.GWP'!$E$2,IF('1.GHG Inventory Form'!$E$6="IPCC AR5 Report(2013)",'6.GWP'!$F$2,IF('1.GHG Inventory Form'!$E$6="IPCC AR6 Report(2021)",'6.GWP'!$G$2,0))))),0)</f>
        <v>0</v>
      </c>
      <c r="AP79" s="366">
        <f>IF(AA79="V",IF('1.GHG Inventory Form'!$E$6="IPCC AR2 Report(1995)",#REF!,IF('1.GHG Inventory Form'!$E$6="IPCC AR3 Report(2001)",#REF!,IF('1.GHG Inventory Form'!$E$6="IPCC AR4 Report(2007)",#REF!,IF('1.GHG Inventory Form'!$E$6="IPCC AR5 Report(2013)",#REF!,IF('1.GHG Inventory Form'!$E$6="IPCC AR6 Report(2021)",#REF!,0))))),0)</f>
        <v>0</v>
      </c>
      <c r="AQ79" s="366">
        <f>IFERROR(IF(AB79="V",IF('1.GHG Inventory Form'!$E$6="IPCC AR2 Report(1995)",VLOOKUP(K79,'6.GWP'!$B$2:$G$173,2,FALSE),IF('1.GHG Inventory Form'!$E$6="IPCC AR3 Report(2001)",VLOOKUP(K79,'6.GWP'!$B$2:$G$173,3,FALSE),IF('1.GHG Inventory Form'!$E$6="IPCC AR4 Report(2007)",VLOOKUP(K79,'6.GWP'!$B$2:$G$173,4,FALSE),IF('1.GHG Inventory Form'!$E$6="IPCC AR5 Report(2013)",VLOOKUP(K79,'6.GWP'!$B$2:$G$173,5,FALSE),IF('1.GHG Inventory Form'!$E$6="IPCC AR6 Report(2021)",VLOOKUP(K79,'6.GWP'!$B$2:$G$173,6,FALSE),0))))),0),0)</f>
        <v>0</v>
      </c>
      <c r="AR79" s="366">
        <f>IFERROR(IF(AC79="V",IF('1.GHG Inventory Form'!$E$6="IPCC AR2 Report(1995)",VLOOKUP(K79,'6.GWP'!$B$2:$G$173,2,FALSE),IF('1.GHG Inventory Form'!$E$6="IPCC AR3 Report(2001)",VLOOKUP(K79,'6.GWP'!$B$2:$G$173,3,FALSE),IF('1.GHG Inventory Form'!$E$6="IPCC AR4 Report(2007)",VLOOKUP(K79,'6.GWP'!$B$2:$G$173,4,FALSE),IF('1.GHG Inventory Form'!$E$6="IPCC AR5 Report(2013)",VLOOKUP(K79,'6.GWP'!$B$2:$G$173,5,FALSE),IF('1.GHG Inventory Form'!$E$6="IPCC AR6 Report(2021)",VLOOKUP(K79,'6.GWP'!$B$2:$G$173,6,FALSE),0))))),0),0)</f>
        <v>0</v>
      </c>
      <c r="AS79" s="366">
        <f>IFERROR(IF(AD79="V",IF('1.GHG Inventory Form'!$E$6="IPCC AR2 Report(1995)",VLOOKUP(G79,'6.GWP'!$B$2:$G$173,2,FALSE),IF('1.GHG Inventory Form'!$E$6="IPCC AR3 Report(2001)",VLOOKUP(G79,'6.GWP'!$B$2:$G$173,3,FALSE),IF('1.GHG Inventory Form'!$E$6="IPCC AR4 Report(2007)",VLOOKUP(G79,'6.GWP'!$B$2:$G$173,4,FALSE),IF('1.GHG Inventory Form'!$E$6="IPCC AR5 Report(2013)",VLOOKUP(G79,'6.GWP'!$B$2:$G$173,5,FALSE),IF('1.GHG Inventory Form'!$E$6="IPCC AR6 Report(2021)",VLOOKUP(G79,'6.GWP'!$B$2:$G$173,6,FALSE),0))))),0),0)</f>
        <v>0</v>
      </c>
      <c r="AT79"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9" s="334" t="str">
        <f t="shared" si="21"/>
        <v/>
      </c>
      <c r="AV79" s="334" t="str">
        <f t="shared" si="22"/>
        <v/>
      </c>
      <c r="AW79" s="334" t="str">
        <f t="shared" si="23"/>
        <v/>
      </c>
      <c r="AX79" s="334" t="str">
        <f t="shared" si="24"/>
        <v/>
      </c>
      <c r="AY79" s="334" t="str">
        <f t="shared" si="25"/>
        <v/>
      </c>
      <c r="AZ79" s="334" t="str">
        <f t="shared" si="26"/>
        <v/>
      </c>
      <c r="BA79" s="334" t="str">
        <f t="shared" si="27"/>
        <v/>
      </c>
      <c r="BB79" s="393">
        <f t="shared" si="37"/>
        <v>0</v>
      </c>
      <c r="BC79" s="368">
        <f t="shared" si="38"/>
        <v>0</v>
      </c>
      <c r="BD79" s="369">
        <f t="shared" si="39"/>
        <v>0</v>
      </c>
      <c r="BI79" s="86" t="str">
        <f t="shared" si="40"/>
        <v/>
      </c>
      <c r="BJ79" s="86" t="str">
        <f t="shared" si="41"/>
        <v/>
      </c>
      <c r="BK79" s="86" t="str">
        <f t="shared" si="42"/>
        <v/>
      </c>
    </row>
    <row r="80" spans="1:63" customFormat="1" ht="31" customHeight="1" thickBot="1">
      <c r="A80">
        <v>22</v>
      </c>
      <c r="B80" s="634"/>
      <c r="C80" s="714"/>
      <c r="D80" s="668"/>
      <c r="E80" s="699"/>
      <c r="F80" s="634"/>
      <c r="G80" s="425" t="s">
        <v>344</v>
      </c>
      <c r="H80" s="363" t="str">
        <f t="shared" si="43"/>
        <v>預設逸散率Default</v>
      </c>
      <c r="I80" s="426" t="str">
        <f>IFERROR(LOOKUP(1,0/((#REF!='1.GHG Inventory Form'!$C$50)*(#REF!='1.GHG Inventory Form'!$A80)),#REF!),"")</f>
        <v/>
      </c>
      <c r="J80" s="194" t="str">
        <f>IFERROR(LOOKUP(1,0/((#REF!='1.GHG Inventory Form'!$C$50)*(#REF!='1.GHG Inventory Form'!$A80)),#REF!),"")</f>
        <v/>
      </c>
      <c r="K80" s="415" t="str">
        <f>IFERROR(LOOKUP(1,0/((#REF!=$C$50)*(#REF!='1.GHG Inventory Form'!$A80)),#REF!),"")</f>
        <v/>
      </c>
      <c r="L80" s="234" t="str">
        <f>IFERROR(LOOKUP(1,0/((#REF!='1.GHG Inventory Form'!$C$50)*(#REF!='1.GHG Inventory Form'!$A80)),#REF!),"")</f>
        <v/>
      </c>
      <c r="M80" s="362" t="s">
        <v>366</v>
      </c>
      <c r="N80" s="245"/>
      <c r="O80" s="245"/>
      <c r="P80" s="427" t="str">
        <f t="shared" si="28"/>
        <v/>
      </c>
      <c r="Q80" s="428"/>
      <c r="R80" s="429"/>
      <c r="S80" s="421"/>
      <c r="T80" s="421"/>
      <c r="U80" s="421"/>
      <c r="V80" s="421"/>
      <c r="W80" s="421"/>
      <c r="X80" s="421"/>
      <c r="Y80" s="389" t="str">
        <f t="shared" si="29"/>
        <v/>
      </c>
      <c r="Z80" s="364" t="str">
        <f t="shared" si="30"/>
        <v/>
      </c>
      <c r="AA80" s="364" t="str">
        <f t="shared" si="31"/>
        <v/>
      </c>
      <c r="AB80" s="364" t="str">
        <f t="shared" si="32"/>
        <v/>
      </c>
      <c r="AC80" s="364" t="str">
        <f t="shared" si="33"/>
        <v/>
      </c>
      <c r="AD80" s="364" t="str">
        <f t="shared" si="34"/>
        <v/>
      </c>
      <c r="AE80" s="423" t="str">
        <f t="shared" si="35"/>
        <v/>
      </c>
      <c r="AF80" s="389">
        <v>0</v>
      </c>
      <c r="AG80" s="364">
        <v>0</v>
      </c>
      <c r="AH80" s="364">
        <v>0</v>
      </c>
      <c r="AI80" s="364">
        <f>IFERROR(IF(G80="填充量計算 Recharge of Loss Volume",1,IF($H80="預設逸散率Default",ROUND(VLOOKUP($I80,'Other Emission Factor'!$F$4:$I$11,2,FALSE),10),IF($H80="自訂值 Custom Value",P80,0))),0)</f>
        <v>0</v>
      </c>
      <c r="AJ80" s="364">
        <v>0</v>
      </c>
      <c r="AK80" s="364">
        <v>0</v>
      </c>
      <c r="AL80" s="364">
        <v>0</v>
      </c>
      <c r="AM80" s="430" t="str">
        <f>IFERROR(IF($H80="預設逸散率Default",VLOOKUP($I80,表格12[],4,FALSE),IF($H80="自訂值Custom Value",Q80,"")),"")</f>
        <v/>
      </c>
      <c r="AN80" s="431">
        <f t="shared" si="36"/>
        <v>0</v>
      </c>
      <c r="AO80" s="366">
        <f>IF(Z80="V",IF('1.GHG Inventory Form'!$E$6="IPCC AR2 Report(1995)",'6.GWP'!$C$2,IF('1.GHG Inventory Form'!$E$6="IPCC AR3 Report(2001)",'6.GWP'!$D$2,IF('1.GHG Inventory Form'!$E$6="IPCC AR4 Report(2007)",'6.GWP'!$E$2,IF('1.GHG Inventory Form'!$E$6="IPCC AR5 Report(2013)",'6.GWP'!$F$2,IF('1.GHG Inventory Form'!$E$6="IPCC AR6 Report(2021)",'6.GWP'!$G$2,0))))),0)</f>
        <v>0</v>
      </c>
      <c r="AP80" s="366">
        <f>IF(AA80="V",IF('1.GHG Inventory Form'!$E$6="IPCC AR2 Report(1995)",#REF!,IF('1.GHG Inventory Form'!$E$6="IPCC AR3 Report(2001)",#REF!,IF('1.GHG Inventory Form'!$E$6="IPCC AR4 Report(2007)",#REF!,IF('1.GHG Inventory Form'!$E$6="IPCC AR5 Report(2013)",#REF!,IF('1.GHG Inventory Form'!$E$6="IPCC AR6 Report(2021)",#REF!,0))))),0)</f>
        <v>0</v>
      </c>
      <c r="AQ80" s="366">
        <f>IFERROR(IF(AB80="V",IF('1.GHG Inventory Form'!$E$6="IPCC AR2 Report(1995)",VLOOKUP(K80,'6.GWP'!$B$2:$G$173,2,FALSE),IF('1.GHG Inventory Form'!$E$6="IPCC AR3 Report(2001)",VLOOKUP(K80,'6.GWP'!$B$2:$G$173,3,FALSE),IF('1.GHG Inventory Form'!$E$6="IPCC AR4 Report(2007)",VLOOKUP(K80,'6.GWP'!$B$2:$G$173,4,FALSE),IF('1.GHG Inventory Form'!$E$6="IPCC AR5 Report(2013)",VLOOKUP(K80,'6.GWP'!$B$2:$G$173,5,FALSE),IF('1.GHG Inventory Form'!$E$6="IPCC AR6 Report(2021)",VLOOKUP(K80,'6.GWP'!$B$2:$G$173,6,FALSE),0))))),0),0)</f>
        <v>0</v>
      </c>
      <c r="AR80" s="366">
        <f>IFERROR(IF(AC80="V",IF('1.GHG Inventory Form'!$E$6="IPCC AR2 Report(1995)",VLOOKUP(K80,'6.GWP'!$B$2:$G$173,2,FALSE),IF('1.GHG Inventory Form'!$E$6="IPCC AR3 Report(2001)",VLOOKUP(K80,'6.GWP'!$B$2:$G$173,3,FALSE),IF('1.GHG Inventory Form'!$E$6="IPCC AR4 Report(2007)",VLOOKUP(K80,'6.GWP'!$B$2:$G$173,4,FALSE),IF('1.GHG Inventory Form'!$E$6="IPCC AR5 Report(2013)",VLOOKUP(K80,'6.GWP'!$B$2:$G$173,5,FALSE),IF('1.GHG Inventory Form'!$E$6="IPCC AR6 Report(2021)",VLOOKUP(K80,'6.GWP'!$B$2:$G$173,6,FALSE),0))))),0),0)</f>
        <v>0</v>
      </c>
      <c r="AS80" s="366">
        <f>IFERROR(IF(AD80="V",IF('1.GHG Inventory Form'!$E$6="IPCC AR2 Report(1995)",VLOOKUP(G80,'6.GWP'!$B$2:$G$173,2,FALSE),IF('1.GHG Inventory Form'!$E$6="IPCC AR3 Report(2001)",VLOOKUP(G80,'6.GWP'!$B$2:$G$173,3,FALSE),IF('1.GHG Inventory Form'!$E$6="IPCC AR4 Report(2007)",VLOOKUP(G80,'6.GWP'!$B$2:$G$173,4,FALSE),IF('1.GHG Inventory Form'!$E$6="IPCC AR5 Report(2013)",VLOOKUP(G80,'6.GWP'!$B$2:$G$173,5,FALSE),IF('1.GHG Inventory Form'!$E$6="IPCC AR6 Report(2021)",VLOOKUP(G80,'6.GWP'!$B$2:$G$173,6,FALSE),0))))),0),0)</f>
        <v>0</v>
      </c>
      <c r="AT80"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80" s="334" t="str">
        <f t="shared" ref="AU80:AU87" si="44">IFERROR($L80*AF80*AN80,"")</f>
        <v/>
      </c>
      <c r="AV80" s="334" t="str">
        <f t="shared" ref="AV80:AV87" si="45">IFERROR($L80*AG80*AO80,"")</f>
        <v/>
      </c>
      <c r="AW80" s="334" t="str">
        <f t="shared" ref="AW80:AW87" si="46">IFERROR($L80*AH80*AP80,"")</f>
        <v/>
      </c>
      <c r="AX80" s="334" t="str">
        <f t="shared" ref="AX80:AX87" si="47">IFERROR($L80*AI80*AQ80,"")</f>
        <v/>
      </c>
      <c r="AY80" s="334" t="str">
        <f t="shared" ref="AY80:AY87" si="48">IFERROR($L80*AJ80*AR80,"")</f>
        <v/>
      </c>
      <c r="AZ80" s="334" t="str">
        <f t="shared" ref="AZ80:AZ87" si="49">IFERROR($L80*AK80*AS80,"")</f>
        <v/>
      </c>
      <c r="BA80" s="334" t="str">
        <f t="shared" ref="BA80:BA87" si="50">IFERROR($L80*AL80*AT80,"")</f>
        <v/>
      </c>
      <c r="BB80" s="393">
        <f t="shared" si="37"/>
        <v>0</v>
      </c>
      <c r="BC80" s="368">
        <f t="shared" si="38"/>
        <v>0</v>
      </c>
      <c r="BD80" s="369">
        <f t="shared" si="39"/>
        <v>0</v>
      </c>
      <c r="BI80" s="86" t="str">
        <f t="shared" si="40"/>
        <v/>
      </c>
      <c r="BJ80" s="86" t="str">
        <f t="shared" si="41"/>
        <v/>
      </c>
      <c r="BK80" s="86" t="str">
        <f t="shared" si="42"/>
        <v/>
      </c>
    </row>
    <row r="81" spans="1:63" customFormat="1" ht="31" customHeight="1" thickBot="1">
      <c r="A81">
        <v>23</v>
      </c>
      <c r="B81" s="634"/>
      <c r="C81" s="714"/>
      <c r="D81" s="668"/>
      <c r="E81" s="699"/>
      <c r="F81" s="634"/>
      <c r="G81" s="425" t="s">
        <v>344</v>
      </c>
      <c r="H81" s="363" t="str">
        <f t="shared" si="43"/>
        <v>預設逸散率Default</v>
      </c>
      <c r="I81" s="426" t="str">
        <f>IFERROR(LOOKUP(1,0/((#REF!='1.GHG Inventory Form'!$C$50)*(#REF!='1.GHG Inventory Form'!$A81)),#REF!),"")</f>
        <v/>
      </c>
      <c r="J81" s="194" t="str">
        <f>IFERROR(LOOKUP(1,0/((#REF!='1.GHG Inventory Form'!$C$50)*(#REF!='1.GHG Inventory Form'!$A81)),#REF!),"")</f>
        <v/>
      </c>
      <c r="K81" s="415" t="str">
        <f>IFERROR(LOOKUP(1,0/((#REF!=$C$50)*(#REF!='1.GHG Inventory Form'!$A81)),#REF!),"")</f>
        <v/>
      </c>
      <c r="L81" s="234" t="str">
        <f>IFERROR(LOOKUP(1,0/((#REF!='1.GHG Inventory Form'!$C$50)*(#REF!='1.GHG Inventory Form'!$A81)),#REF!),"")</f>
        <v/>
      </c>
      <c r="M81" s="362" t="s">
        <v>367</v>
      </c>
      <c r="N81" s="245"/>
      <c r="O81" s="245"/>
      <c r="P81" s="427" t="str">
        <f t="shared" si="28"/>
        <v/>
      </c>
      <c r="Q81" s="428"/>
      <c r="R81" s="429"/>
      <c r="S81" s="421"/>
      <c r="T81" s="421"/>
      <c r="U81" s="421"/>
      <c r="V81" s="421"/>
      <c r="W81" s="421"/>
      <c r="X81" s="421"/>
      <c r="Y81" s="389" t="str">
        <f t="shared" si="29"/>
        <v/>
      </c>
      <c r="Z81" s="364" t="str">
        <f t="shared" si="30"/>
        <v/>
      </c>
      <c r="AA81" s="364" t="str">
        <f t="shared" si="31"/>
        <v/>
      </c>
      <c r="AB81" s="364" t="str">
        <f t="shared" si="32"/>
        <v/>
      </c>
      <c r="AC81" s="364" t="str">
        <f t="shared" si="33"/>
        <v/>
      </c>
      <c r="AD81" s="364" t="str">
        <f t="shared" si="34"/>
        <v/>
      </c>
      <c r="AE81" s="423" t="str">
        <f t="shared" si="35"/>
        <v/>
      </c>
      <c r="AF81" s="389">
        <v>0</v>
      </c>
      <c r="AG81" s="364">
        <v>0</v>
      </c>
      <c r="AH81" s="364">
        <v>0</v>
      </c>
      <c r="AI81" s="364">
        <f>IFERROR(IF(G81="填充量計算 Recharge of Loss Volume",1,IF($H81="預設逸散率Default",ROUND(VLOOKUP($I81,'Other Emission Factor'!$F$4:$I$11,2,FALSE),10),IF($H81="自訂值 Custom Value",P81,0))),0)</f>
        <v>0</v>
      </c>
      <c r="AJ81" s="364">
        <v>0</v>
      </c>
      <c r="AK81" s="364">
        <v>0</v>
      </c>
      <c r="AL81" s="364">
        <v>0</v>
      </c>
      <c r="AM81" s="430" t="str">
        <f>IFERROR(IF($H81="預設逸散率Default",VLOOKUP($I81,表格12[],4,FALSE),IF($H81="自訂值Custom Value",Q81,"")),"")</f>
        <v/>
      </c>
      <c r="AN81" s="431">
        <f t="shared" si="36"/>
        <v>0</v>
      </c>
      <c r="AO81" s="366">
        <f>IF(Z81="V",IF('1.GHG Inventory Form'!$E$6="IPCC AR2 Report(1995)",'6.GWP'!$C$2,IF('1.GHG Inventory Form'!$E$6="IPCC AR3 Report(2001)",'6.GWP'!$D$2,IF('1.GHG Inventory Form'!$E$6="IPCC AR4 Report(2007)",'6.GWP'!$E$2,IF('1.GHG Inventory Form'!$E$6="IPCC AR5 Report(2013)",'6.GWP'!$F$2,IF('1.GHG Inventory Form'!$E$6="IPCC AR6 Report(2021)",'6.GWP'!$G$2,0))))),0)</f>
        <v>0</v>
      </c>
      <c r="AP81" s="366">
        <f>IF(AA81="V",IF('1.GHG Inventory Form'!$E$6="IPCC AR2 Report(1995)",#REF!,IF('1.GHG Inventory Form'!$E$6="IPCC AR3 Report(2001)",#REF!,IF('1.GHG Inventory Form'!$E$6="IPCC AR4 Report(2007)",#REF!,IF('1.GHG Inventory Form'!$E$6="IPCC AR5 Report(2013)",#REF!,IF('1.GHG Inventory Form'!$E$6="IPCC AR6 Report(2021)",#REF!,0))))),0)</f>
        <v>0</v>
      </c>
      <c r="AQ81" s="366">
        <f>IFERROR(IF(AB81="V",IF('1.GHG Inventory Form'!$E$6="IPCC AR2 Report(1995)",VLOOKUP(K81,'6.GWP'!$B$2:$G$173,2,FALSE),IF('1.GHG Inventory Form'!$E$6="IPCC AR3 Report(2001)",VLOOKUP(K81,'6.GWP'!$B$2:$G$173,3,FALSE),IF('1.GHG Inventory Form'!$E$6="IPCC AR4 Report(2007)",VLOOKUP(K81,'6.GWP'!$B$2:$G$173,4,FALSE),IF('1.GHG Inventory Form'!$E$6="IPCC AR5 Report(2013)",VLOOKUP(K81,'6.GWP'!$B$2:$G$173,5,FALSE),IF('1.GHG Inventory Form'!$E$6="IPCC AR6 Report(2021)",VLOOKUP(K81,'6.GWP'!$B$2:$G$173,6,FALSE),0))))),0),0)</f>
        <v>0</v>
      </c>
      <c r="AR81" s="366">
        <f>IFERROR(IF(AC81="V",IF('1.GHG Inventory Form'!$E$6="IPCC AR2 Report(1995)",VLOOKUP(K81,'6.GWP'!$B$2:$G$173,2,FALSE),IF('1.GHG Inventory Form'!$E$6="IPCC AR3 Report(2001)",VLOOKUP(K81,'6.GWP'!$B$2:$G$173,3,FALSE),IF('1.GHG Inventory Form'!$E$6="IPCC AR4 Report(2007)",VLOOKUP(K81,'6.GWP'!$B$2:$G$173,4,FALSE),IF('1.GHG Inventory Form'!$E$6="IPCC AR5 Report(2013)",VLOOKUP(K81,'6.GWP'!$B$2:$G$173,5,FALSE),IF('1.GHG Inventory Form'!$E$6="IPCC AR6 Report(2021)",VLOOKUP(K81,'6.GWP'!$B$2:$G$173,6,FALSE),0))))),0),0)</f>
        <v>0</v>
      </c>
      <c r="AS81" s="366">
        <f>IFERROR(IF(AD81="V",IF('1.GHG Inventory Form'!$E$6="IPCC AR2 Report(1995)",VLOOKUP(G81,'6.GWP'!$B$2:$G$173,2,FALSE),IF('1.GHG Inventory Form'!$E$6="IPCC AR3 Report(2001)",VLOOKUP(G81,'6.GWP'!$B$2:$G$173,3,FALSE),IF('1.GHG Inventory Form'!$E$6="IPCC AR4 Report(2007)",VLOOKUP(G81,'6.GWP'!$B$2:$G$173,4,FALSE),IF('1.GHG Inventory Form'!$E$6="IPCC AR5 Report(2013)",VLOOKUP(G81,'6.GWP'!$B$2:$G$173,5,FALSE),IF('1.GHG Inventory Form'!$E$6="IPCC AR6 Report(2021)",VLOOKUP(G81,'6.GWP'!$B$2:$G$173,6,FALSE),0))))),0),0)</f>
        <v>0</v>
      </c>
      <c r="AT81"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81" s="334" t="str">
        <f t="shared" si="44"/>
        <v/>
      </c>
      <c r="AV81" s="334" t="str">
        <f t="shared" si="45"/>
        <v/>
      </c>
      <c r="AW81" s="334" t="str">
        <f t="shared" si="46"/>
        <v/>
      </c>
      <c r="AX81" s="334" t="str">
        <f t="shared" si="47"/>
        <v/>
      </c>
      <c r="AY81" s="334" t="str">
        <f t="shared" si="48"/>
        <v/>
      </c>
      <c r="AZ81" s="334" t="str">
        <f t="shared" si="49"/>
        <v/>
      </c>
      <c r="BA81" s="334" t="str">
        <f t="shared" si="50"/>
        <v/>
      </c>
      <c r="BB81" s="393">
        <f t="shared" si="37"/>
        <v>0</v>
      </c>
      <c r="BC81" s="368">
        <f t="shared" si="38"/>
        <v>0</v>
      </c>
      <c r="BD81" s="369">
        <f t="shared" si="39"/>
        <v>0</v>
      </c>
      <c r="BI81" s="86" t="str">
        <f t="shared" si="40"/>
        <v/>
      </c>
      <c r="BJ81" s="86" t="str">
        <f t="shared" si="41"/>
        <v/>
      </c>
      <c r="BK81" s="86" t="str">
        <f t="shared" si="42"/>
        <v/>
      </c>
    </row>
    <row r="82" spans="1:63" customFormat="1" ht="31" customHeight="1" thickBot="1">
      <c r="A82">
        <v>24</v>
      </c>
      <c r="B82" s="634"/>
      <c r="C82" s="714"/>
      <c r="D82" s="668"/>
      <c r="E82" s="699"/>
      <c r="F82" s="634"/>
      <c r="G82" s="425" t="s">
        <v>344</v>
      </c>
      <c r="H82" s="363" t="str">
        <f t="shared" si="43"/>
        <v>預設逸散率Default</v>
      </c>
      <c r="I82" s="426" t="str">
        <f>IFERROR(LOOKUP(1,0/((#REF!='1.GHG Inventory Form'!$C$50)*(#REF!='1.GHG Inventory Form'!$A82)),#REF!),"")</f>
        <v/>
      </c>
      <c r="J82" s="194" t="str">
        <f>IFERROR(LOOKUP(1,0/((#REF!='1.GHG Inventory Form'!$C$50)*(#REF!='1.GHG Inventory Form'!$A82)),#REF!),"")</f>
        <v/>
      </c>
      <c r="K82" s="415" t="str">
        <f>IFERROR(LOOKUP(1,0/((#REF!=$C$50)*(#REF!='1.GHG Inventory Form'!$A82)),#REF!),"")</f>
        <v/>
      </c>
      <c r="L82" s="234" t="str">
        <f>IFERROR(LOOKUP(1,0/((#REF!='1.GHG Inventory Form'!$C$50)*(#REF!='1.GHG Inventory Form'!$A82)),#REF!),"")</f>
        <v/>
      </c>
      <c r="M82" s="362" t="s">
        <v>368</v>
      </c>
      <c r="N82" s="245"/>
      <c r="O82" s="245"/>
      <c r="P82" s="427" t="str">
        <f t="shared" si="28"/>
        <v/>
      </c>
      <c r="Q82" s="428"/>
      <c r="R82" s="429"/>
      <c r="S82" s="421"/>
      <c r="T82" s="421"/>
      <c r="U82" s="421"/>
      <c r="V82" s="421"/>
      <c r="W82" s="421"/>
      <c r="X82" s="421"/>
      <c r="Y82" s="389" t="str">
        <f t="shared" si="29"/>
        <v/>
      </c>
      <c r="Z82" s="364" t="str">
        <f t="shared" si="30"/>
        <v/>
      </c>
      <c r="AA82" s="364" t="str">
        <f t="shared" si="31"/>
        <v/>
      </c>
      <c r="AB82" s="364" t="str">
        <f t="shared" si="32"/>
        <v/>
      </c>
      <c r="AC82" s="364" t="str">
        <f t="shared" si="33"/>
        <v/>
      </c>
      <c r="AD82" s="364" t="str">
        <f t="shared" si="34"/>
        <v/>
      </c>
      <c r="AE82" s="423" t="str">
        <f t="shared" si="35"/>
        <v/>
      </c>
      <c r="AF82" s="389">
        <v>0</v>
      </c>
      <c r="AG82" s="364">
        <v>0</v>
      </c>
      <c r="AH82" s="364">
        <v>0</v>
      </c>
      <c r="AI82" s="364">
        <f>IFERROR(IF(G82="填充量計算 Recharge of Loss Volume",1,IF($H82="預設逸散率Default",ROUND(VLOOKUP($I82,'Other Emission Factor'!$F$4:$I$11,2,FALSE),10),IF($H82="自訂值 Custom Value",P82,0))),0)</f>
        <v>0</v>
      </c>
      <c r="AJ82" s="364">
        <v>0</v>
      </c>
      <c r="AK82" s="364">
        <v>0</v>
      </c>
      <c r="AL82" s="364">
        <v>0</v>
      </c>
      <c r="AM82" s="430" t="str">
        <f>IFERROR(IF($H82="預設逸散率Default",VLOOKUP($I82,表格12[],4,FALSE),IF($H82="自訂值Custom Value",Q82,"")),"")</f>
        <v/>
      </c>
      <c r="AN82" s="431">
        <f t="shared" si="36"/>
        <v>0</v>
      </c>
      <c r="AO82" s="366">
        <f>IF(Z82="V",IF('1.GHG Inventory Form'!$E$6="IPCC AR2 Report(1995)",'6.GWP'!$C$2,IF('1.GHG Inventory Form'!$E$6="IPCC AR3 Report(2001)",'6.GWP'!$D$2,IF('1.GHG Inventory Form'!$E$6="IPCC AR4 Report(2007)",'6.GWP'!$E$2,IF('1.GHG Inventory Form'!$E$6="IPCC AR5 Report(2013)",'6.GWP'!$F$2,IF('1.GHG Inventory Form'!$E$6="IPCC AR6 Report(2021)",'6.GWP'!$G$2,0))))),0)</f>
        <v>0</v>
      </c>
      <c r="AP82" s="366">
        <f>IF(AA82="V",IF('1.GHG Inventory Form'!$E$6="IPCC AR2 Report(1995)",#REF!,IF('1.GHG Inventory Form'!$E$6="IPCC AR3 Report(2001)",#REF!,IF('1.GHG Inventory Form'!$E$6="IPCC AR4 Report(2007)",#REF!,IF('1.GHG Inventory Form'!$E$6="IPCC AR5 Report(2013)",#REF!,IF('1.GHG Inventory Form'!$E$6="IPCC AR6 Report(2021)",#REF!,0))))),0)</f>
        <v>0</v>
      </c>
      <c r="AQ82" s="366">
        <f>IFERROR(IF(AB82="V",IF('1.GHG Inventory Form'!$E$6="IPCC AR2 Report(1995)",VLOOKUP(K82,'6.GWP'!$B$2:$G$173,2,FALSE),IF('1.GHG Inventory Form'!$E$6="IPCC AR3 Report(2001)",VLOOKUP(K82,'6.GWP'!$B$2:$G$173,3,FALSE),IF('1.GHG Inventory Form'!$E$6="IPCC AR4 Report(2007)",VLOOKUP(K82,'6.GWP'!$B$2:$G$173,4,FALSE),IF('1.GHG Inventory Form'!$E$6="IPCC AR5 Report(2013)",VLOOKUP(K82,'6.GWP'!$B$2:$G$173,5,FALSE),IF('1.GHG Inventory Form'!$E$6="IPCC AR6 Report(2021)",VLOOKUP(K82,'6.GWP'!$B$2:$G$173,6,FALSE),0))))),0),0)</f>
        <v>0</v>
      </c>
      <c r="AR82" s="366">
        <f>IFERROR(IF(AC82="V",IF('1.GHG Inventory Form'!$E$6="IPCC AR2 Report(1995)",VLOOKUP(K82,'6.GWP'!$B$2:$G$173,2,FALSE),IF('1.GHG Inventory Form'!$E$6="IPCC AR3 Report(2001)",VLOOKUP(K82,'6.GWP'!$B$2:$G$173,3,FALSE),IF('1.GHG Inventory Form'!$E$6="IPCC AR4 Report(2007)",VLOOKUP(K82,'6.GWP'!$B$2:$G$173,4,FALSE),IF('1.GHG Inventory Form'!$E$6="IPCC AR5 Report(2013)",VLOOKUP(K82,'6.GWP'!$B$2:$G$173,5,FALSE),IF('1.GHG Inventory Form'!$E$6="IPCC AR6 Report(2021)",VLOOKUP(K82,'6.GWP'!$B$2:$G$173,6,FALSE),0))))),0),0)</f>
        <v>0</v>
      </c>
      <c r="AS82" s="366">
        <f>IFERROR(IF(AD82="V",IF('1.GHG Inventory Form'!$E$6="IPCC AR2 Report(1995)",VLOOKUP(G82,'6.GWP'!$B$2:$G$173,2,FALSE),IF('1.GHG Inventory Form'!$E$6="IPCC AR3 Report(2001)",VLOOKUP(G82,'6.GWP'!$B$2:$G$173,3,FALSE),IF('1.GHG Inventory Form'!$E$6="IPCC AR4 Report(2007)",VLOOKUP(G82,'6.GWP'!$B$2:$G$173,4,FALSE),IF('1.GHG Inventory Form'!$E$6="IPCC AR5 Report(2013)",VLOOKUP(G82,'6.GWP'!$B$2:$G$173,5,FALSE),IF('1.GHG Inventory Form'!$E$6="IPCC AR6 Report(2021)",VLOOKUP(G82,'6.GWP'!$B$2:$G$173,6,FALSE),0))))),0),0)</f>
        <v>0</v>
      </c>
      <c r="AT82"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82" s="334" t="str">
        <f t="shared" si="44"/>
        <v/>
      </c>
      <c r="AV82" s="334" t="str">
        <f t="shared" si="45"/>
        <v/>
      </c>
      <c r="AW82" s="334" t="str">
        <f t="shared" si="46"/>
        <v/>
      </c>
      <c r="AX82" s="334" t="str">
        <f t="shared" si="47"/>
        <v/>
      </c>
      <c r="AY82" s="334" t="str">
        <f t="shared" si="48"/>
        <v/>
      </c>
      <c r="AZ82" s="334" t="str">
        <f t="shared" si="49"/>
        <v/>
      </c>
      <c r="BA82" s="334" t="str">
        <f t="shared" si="50"/>
        <v/>
      </c>
      <c r="BB82" s="393">
        <f t="shared" si="37"/>
        <v>0</v>
      </c>
      <c r="BC82" s="368">
        <f t="shared" si="38"/>
        <v>0</v>
      </c>
      <c r="BD82" s="369">
        <f t="shared" si="39"/>
        <v>0</v>
      </c>
      <c r="BI82" s="86" t="str">
        <f t="shared" si="40"/>
        <v/>
      </c>
      <c r="BJ82" s="86" t="str">
        <f t="shared" si="41"/>
        <v/>
      </c>
      <c r="BK82" s="86" t="str">
        <f t="shared" si="42"/>
        <v/>
      </c>
    </row>
    <row r="83" spans="1:63" customFormat="1" ht="31" customHeight="1" thickBot="1">
      <c r="A83">
        <v>25</v>
      </c>
      <c r="B83" s="634"/>
      <c r="C83" s="714"/>
      <c r="D83" s="668"/>
      <c r="E83" s="699"/>
      <c r="F83" s="634"/>
      <c r="G83" s="425" t="s">
        <v>344</v>
      </c>
      <c r="H83" s="363" t="str">
        <f t="shared" si="43"/>
        <v>預設逸散率Default</v>
      </c>
      <c r="I83" s="426" t="str">
        <f>IFERROR(LOOKUP(1,0/((#REF!='1.GHG Inventory Form'!$C$50)*(#REF!='1.GHG Inventory Form'!$A83)),#REF!),"")</f>
        <v/>
      </c>
      <c r="J83" s="194" t="str">
        <f>IFERROR(LOOKUP(1,0/((#REF!='1.GHG Inventory Form'!$C$50)*(#REF!='1.GHG Inventory Form'!$A83)),#REF!),"")</f>
        <v/>
      </c>
      <c r="K83" s="415" t="str">
        <f>IFERROR(LOOKUP(1,0/((#REF!=$C$50)*(#REF!='1.GHG Inventory Form'!$A83)),#REF!),"")</f>
        <v/>
      </c>
      <c r="L83" s="234" t="str">
        <f>IFERROR(LOOKUP(1,0/((#REF!='1.GHG Inventory Form'!$C$50)*(#REF!='1.GHG Inventory Form'!$A83)),#REF!),"")</f>
        <v/>
      </c>
      <c r="M83" s="362" t="s">
        <v>369</v>
      </c>
      <c r="N83" s="245"/>
      <c r="O83" s="245"/>
      <c r="P83" s="427" t="str">
        <f t="shared" si="28"/>
        <v/>
      </c>
      <c r="Q83" s="428"/>
      <c r="R83" s="429"/>
      <c r="S83" s="421"/>
      <c r="T83" s="421"/>
      <c r="U83" s="421"/>
      <c r="V83" s="421"/>
      <c r="W83" s="421"/>
      <c r="X83" s="421"/>
      <c r="Y83" s="389" t="str">
        <f t="shared" si="29"/>
        <v/>
      </c>
      <c r="Z83" s="364" t="str">
        <f t="shared" si="30"/>
        <v/>
      </c>
      <c r="AA83" s="364" t="str">
        <f t="shared" si="31"/>
        <v/>
      </c>
      <c r="AB83" s="364" t="str">
        <f t="shared" si="32"/>
        <v/>
      </c>
      <c r="AC83" s="364" t="str">
        <f t="shared" si="33"/>
        <v/>
      </c>
      <c r="AD83" s="364" t="str">
        <f t="shared" si="34"/>
        <v/>
      </c>
      <c r="AE83" s="423" t="str">
        <f t="shared" si="35"/>
        <v/>
      </c>
      <c r="AF83" s="389">
        <v>0</v>
      </c>
      <c r="AG83" s="364">
        <v>0</v>
      </c>
      <c r="AH83" s="364">
        <v>0</v>
      </c>
      <c r="AI83" s="364">
        <f>IFERROR(IF(G83="填充量計算 Recharge of Loss Volume",1,IF($H83="預設逸散率Default",ROUND(VLOOKUP($I83,'Other Emission Factor'!$F$4:$I$11,2,FALSE),10),IF($H83="自訂值 Custom Value",P83,0))),0)</f>
        <v>0</v>
      </c>
      <c r="AJ83" s="364">
        <v>0</v>
      </c>
      <c r="AK83" s="364">
        <v>0</v>
      </c>
      <c r="AL83" s="364">
        <v>0</v>
      </c>
      <c r="AM83" s="430" t="str">
        <f>IFERROR(IF($H83="預設逸散率Default",VLOOKUP($I83,表格12[],4,FALSE),IF($H83="自訂值Custom Value",Q83,"")),"")</f>
        <v/>
      </c>
      <c r="AN83" s="431">
        <f t="shared" si="36"/>
        <v>0</v>
      </c>
      <c r="AO83" s="366">
        <f>IF(Z83="V",IF('1.GHG Inventory Form'!$E$6="IPCC AR2 Report(1995)",'6.GWP'!$C$2,IF('1.GHG Inventory Form'!$E$6="IPCC AR3 Report(2001)",'6.GWP'!$D$2,IF('1.GHG Inventory Form'!$E$6="IPCC AR4 Report(2007)",'6.GWP'!$E$2,IF('1.GHG Inventory Form'!$E$6="IPCC AR5 Report(2013)",'6.GWP'!$F$2,IF('1.GHG Inventory Form'!$E$6="IPCC AR6 Report(2021)",'6.GWP'!$G$2,0))))),0)</f>
        <v>0</v>
      </c>
      <c r="AP83" s="366">
        <f>IF(AA83="V",IF('1.GHG Inventory Form'!$E$6="IPCC AR2 Report(1995)",#REF!,IF('1.GHG Inventory Form'!$E$6="IPCC AR3 Report(2001)",#REF!,IF('1.GHG Inventory Form'!$E$6="IPCC AR4 Report(2007)",#REF!,IF('1.GHG Inventory Form'!$E$6="IPCC AR5 Report(2013)",#REF!,IF('1.GHG Inventory Form'!$E$6="IPCC AR6 Report(2021)",#REF!,0))))),0)</f>
        <v>0</v>
      </c>
      <c r="AQ83" s="366">
        <f>IFERROR(IF(AB83="V",IF('1.GHG Inventory Form'!$E$6="IPCC AR2 Report(1995)",VLOOKUP(K83,'6.GWP'!$B$2:$G$173,2,FALSE),IF('1.GHG Inventory Form'!$E$6="IPCC AR3 Report(2001)",VLOOKUP(K83,'6.GWP'!$B$2:$G$173,3,FALSE),IF('1.GHG Inventory Form'!$E$6="IPCC AR4 Report(2007)",VLOOKUP(K83,'6.GWP'!$B$2:$G$173,4,FALSE),IF('1.GHG Inventory Form'!$E$6="IPCC AR5 Report(2013)",VLOOKUP(K83,'6.GWP'!$B$2:$G$173,5,FALSE),IF('1.GHG Inventory Form'!$E$6="IPCC AR6 Report(2021)",VLOOKUP(K83,'6.GWP'!$B$2:$G$173,6,FALSE),0))))),0),0)</f>
        <v>0</v>
      </c>
      <c r="AR83" s="366">
        <f>IFERROR(IF(AC83="V",IF('1.GHG Inventory Form'!$E$6="IPCC AR2 Report(1995)",VLOOKUP(K83,'6.GWP'!$B$2:$G$173,2,FALSE),IF('1.GHG Inventory Form'!$E$6="IPCC AR3 Report(2001)",VLOOKUP(K83,'6.GWP'!$B$2:$G$173,3,FALSE),IF('1.GHG Inventory Form'!$E$6="IPCC AR4 Report(2007)",VLOOKUP(K83,'6.GWP'!$B$2:$G$173,4,FALSE),IF('1.GHG Inventory Form'!$E$6="IPCC AR5 Report(2013)",VLOOKUP(K83,'6.GWP'!$B$2:$G$173,5,FALSE),IF('1.GHG Inventory Form'!$E$6="IPCC AR6 Report(2021)",VLOOKUP(K83,'6.GWP'!$B$2:$G$173,6,FALSE),0))))),0),0)</f>
        <v>0</v>
      </c>
      <c r="AS83" s="366">
        <f>IFERROR(IF(AD83="V",IF('1.GHG Inventory Form'!$E$6="IPCC AR2 Report(1995)",VLOOKUP(G83,'6.GWP'!$B$2:$G$173,2,FALSE),IF('1.GHG Inventory Form'!$E$6="IPCC AR3 Report(2001)",VLOOKUP(G83,'6.GWP'!$B$2:$G$173,3,FALSE),IF('1.GHG Inventory Form'!$E$6="IPCC AR4 Report(2007)",VLOOKUP(G83,'6.GWP'!$B$2:$G$173,4,FALSE),IF('1.GHG Inventory Form'!$E$6="IPCC AR5 Report(2013)",VLOOKUP(G83,'6.GWP'!$B$2:$G$173,5,FALSE),IF('1.GHG Inventory Form'!$E$6="IPCC AR6 Report(2021)",VLOOKUP(G83,'6.GWP'!$B$2:$G$173,6,FALSE),0))))),0),0)</f>
        <v>0</v>
      </c>
      <c r="AT83"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83" s="334" t="str">
        <f t="shared" si="44"/>
        <v/>
      </c>
      <c r="AV83" s="334" t="str">
        <f t="shared" si="45"/>
        <v/>
      </c>
      <c r="AW83" s="334" t="str">
        <f t="shared" si="46"/>
        <v/>
      </c>
      <c r="AX83" s="334" t="str">
        <f t="shared" si="47"/>
        <v/>
      </c>
      <c r="AY83" s="334" t="str">
        <f t="shared" si="48"/>
        <v/>
      </c>
      <c r="AZ83" s="334" t="str">
        <f t="shared" si="49"/>
        <v/>
      </c>
      <c r="BA83" s="334" t="str">
        <f t="shared" si="50"/>
        <v/>
      </c>
      <c r="BB83" s="393">
        <f t="shared" si="37"/>
        <v>0</v>
      </c>
      <c r="BC83" s="368">
        <f t="shared" si="38"/>
        <v>0</v>
      </c>
      <c r="BD83" s="369">
        <f t="shared" si="39"/>
        <v>0</v>
      </c>
      <c r="BI83" s="86" t="str">
        <f t="shared" si="40"/>
        <v/>
      </c>
      <c r="BJ83" s="86" t="str">
        <f t="shared" si="41"/>
        <v/>
      </c>
      <c r="BK83" s="86" t="str">
        <f t="shared" si="42"/>
        <v/>
      </c>
    </row>
    <row r="84" spans="1:63" customFormat="1" ht="31" customHeight="1" thickBot="1">
      <c r="A84">
        <v>26</v>
      </c>
      <c r="B84" s="634"/>
      <c r="C84" s="714"/>
      <c r="D84" s="668"/>
      <c r="E84" s="699"/>
      <c r="F84" s="634"/>
      <c r="G84" s="425" t="s">
        <v>344</v>
      </c>
      <c r="H84" s="363" t="str">
        <f t="shared" si="43"/>
        <v>預設逸散率Default</v>
      </c>
      <c r="I84" s="426" t="str">
        <f>IFERROR(LOOKUP(1,0/((#REF!='1.GHG Inventory Form'!$C$50)*(#REF!='1.GHG Inventory Form'!$A84)),#REF!),"")</f>
        <v/>
      </c>
      <c r="J84" s="194" t="str">
        <f>IFERROR(LOOKUP(1,0/((#REF!='1.GHG Inventory Form'!$C$50)*(#REF!='1.GHG Inventory Form'!$A84)),#REF!),"")</f>
        <v/>
      </c>
      <c r="K84" s="415" t="str">
        <f>IFERROR(LOOKUP(1,0/((#REF!=$C$50)*(#REF!='1.GHG Inventory Form'!$A84)),#REF!),"")</f>
        <v/>
      </c>
      <c r="L84" s="234" t="str">
        <f>IFERROR(LOOKUP(1,0/((#REF!='1.GHG Inventory Form'!$C$50)*(#REF!='1.GHG Inventory Form'!$A84)),#REF!),"")</f>
        <v/>
      </c>
      <c r="M84" s="362" t="s">
        <v>370</v>
      </c>
      <c r="N84" s="245"/>
      <c r="O84" s="245"/>
      <c r="P84" s="427" t="str">
        <f t="shared" si="28"/>
        <v/>
      </c>
      <c r="Q84" s="428"/>
      <c r="R84" s="429"/>
      <c r="S84" s="421"/>
      <c r="T84" s="421"/>
      <c r="U84" s="421"/>
      <c r="V84" s="421"/>
      <c r="W84" s="421"/>
      <c r="X84" s="421"/>
      <c r="Y84" s="389" t="str">
        <f t="shared" si="29"/>
        <v/>
      </c>
      <c r="Z84" s="364" t="str">
        <f t="shared" si="30"/>
        <v/>
      </c>
      <c r="AA84" s="364" t="str">
        <f t="shared" si="31"/>
        <v/>
      </c>
      <c r="AB84" s="364" t="str">
        <f t="shared" si="32"/>
        <v/>
      </c>
      <c r="AC84" s="364" t="str">
        <f t="shared" si="33"/>
        <v/>
      </c>
      <c r="AD84" s="364" t="str">
        <f t="shared" si="34"/>
        <v/>
      </c>
      <c r="AE84" s="423" t="str">
        <f t="shared" si="35"/>
        <v/>
      </c>
      <c r="AF84" s="389">
        <v>0</v>
      </c>
      <c r="AG84" s="364">
        <v>0</v>
      </c>
      <c r="AH84" s="364">
        <v>0</v>
      </c>
      <c r="AI84" s="364">
        <f>IFERROR(IF(G84="填充量計算 Recharge of Loss Volume",1,IF($H84="預設逸散率Default",ROUND(VLOOKUP($I84,'Other Emission Factor'!$F$4:$I$11,2,FALSE),10),IF($H84="自訂值 Custom Value",P84,0))),0)</f>
        <v>0</v>
      </c>
      <c r="AJ84" s="364">
        <v>0</v>
      </c>
      <c r="AK84" s="364">
        <v>0</v>
      </c>
      <c r="AL84" s="364">
        <v>0</v>
      </c>
      <c r="AM84" s="430" t="str">
        <f>IFERROR(IF($H84="預設逸散率Default",VLOOKUP($I84,表格12[],4,FALSE),IF($H84="自訂值Custom Value",Q84,"")),"")</f>
        <v/>
      </c>
      <c r="AN84" s="431">
        <f t="shared" si="36"/>
        <v>0</v>
      </c>
      <c r="AO84" s="366">
        <f>IF(Z84="V",IF('1.GHG Inventory Form'!$E$6="IPCC AR2 Report(1995)",'6.GWP'!$C$2,IF('1.GHG Inventory Form'!$E$6="IPCC AR3 Report(2001)",'6.GWP'!$D$2,IF('1.GHG Inventory Form'!$E$6="IPCC AR4 Report(2007)",'6.GWP'!$E$2,IF('1.GHG Inventory Form'!$E$6="IPCC AR5 Report(2013)",'6.GWP'!$F$2,IF('1.GHG Inventory Form'!$E$6="IPCC AR6 Report(2021)",'6.GWP'!$G$2,0))))),0)</f>
        <v>0</v>
      </c>
      <c r="AP84" s="366">
        <f>IF(AA84="V",IF('1.GHG Inventory Form'!$E$6="IPCC AR2 Report(1995)",#REF!,IF('1.GHG Inventory Form'!$E$6="IPCC AR3 Report(2001)",#REF!,IF('1.GHG Inventory Form'!$E$6="IPCC AR4 Report(2007)",#REF!,IF('1.GHG Inventory Form'!$E$6="IPCC AR5 Report(2013)",#REF!,IF('1.GHG Inventory Form'!$E$6="IPCC AR6 Report(2021)",#REF!,0))))),0)</f>
        <v>0</v>
      </c>
      <c r="AQ84" s="366">
        <f>IFERROR(IF(AB84="V",IF('1.GHG Inventory Form'!$E$6="IPCC AR2 Report(1995)",VLOOKUP(K84,'6.GWP'!$B$2:$G$173,2,FALSE),IF('1.GHG Inventory Form'!$E$6="IPCC AR3 Report(2001)",VLOOKUP(K84,'6.GWP'!$B$2:$G$173,3,FALSE),IF('1.GHG Inventory Form'!$E$6="IPCC AR4 Report(2007)",VLOOKUP(K84,'6.GWP'!$B$2:$G$173,4,FALSE),IF('1.GHG Inventory Form'!$E$6="IPCC AR5 Report(2013)",VLOOKUP(K84,'6.GWP'!$B$2:$G$173,5,FALSE),IF('1.GHG Inventory Form'!$E$6="IPCC AR6 Report(2021)",VLOOKUP(K84,'6.GWP'!$B$2:$G$173,6,FALSE),0))))),0),0)</f>
        <v>0</v>
      </c>
      <c r="AR84" s="366">
        <f>IFERROR(IF(AC84="V",IF('1.GHG Inventory Form'!$E$6="IPCC AR2 Report(1995)",VLOOKUP(K84,'6.GWP'!$B$2:$G$173,2,FALSE),IF('1.GHG Inventory Form'!$E$6="IPCC AR3 Report(2001)",VLOOKUP(K84,'6.GWP'!$B$2:$G$173,3,FALSE),IF('1.GHG Inventory Form'!$E$6="IPCC AR4 Report(2007)",VLOOKUP(K84,'6.GWP'!$B$2:$G$173,4,FALSE),IF('1.GHG Inventory Form'!$E$6="IPCC AR5 Report(2013)",VLOOKUP(K84,'6.GWP'!$B$2:$G$173,5,FALSE),IF('1.GHG Inventory Form'!$E$6="IPCC AR6 Report(2021)",VLOOKUP(K84,'6.GWP'!$B$2:$G$173,6,FALSE),0))))),0),0)</f>
        <v>0</v>
      </c>
      <c r="AS84" s="366">
        <f>IFERROR(IF(AD84="V",IF('1.GHG Inventory Form'!$E$6="IPCC AR2 Report(1995)",VLOOKUP(G84,'6.GWP'!$B$2:$G$173,2,FALSE),IF('1.GHG Inventory Form'!$E$6="IPCC AR3 Report(2001)",VLOOKUP(G84,'6.GWP'!$B$2:$G$173,3,FALSE),IF('1.GHG Inventory Form'!$E$6="IPCC AR4 Report(2007)",VLOOKUP(G84,'6.GWP'!$B$2:$G$173,4,FALSE),IF('1.GHG Inventory Form'!$E$6="IPCC AR5 Report(2013)",VLOOKUP(G84,'6.GWP'!$B$2:$G$173,5,FALSE),IF('1.GHG Inventory Form'!$E$6="IPCC AR6 Report(2021)",VLOOKUP(G84,'6.GWP'!$B$2:$G$173,6,FALSE),0))))),0),0)</f>
        <v>0</v>
      </c>
      <c r="AT84"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84" s="334" t="str">
        <f t="shared" si="44"/>
        <v/>
      </c>
      <c r="AV84" s="334" t="str">
        <f t="shared" si="45"/>
        <v/>
      </c>
      <c r="AW84" s="334" t="str">
        <f t="shared" si="46"/>
        <v/>
      </c>
      <c r="AX84" s="334" t="str">
        <f t="shared" si="47"/>
        <v/>
      </c>
      <c r="AY84" s="334" t="str">
        <f t="shared" si="48"/>
        <v/>
      </c>
      <c r="AZ84" s="334" t="str">
        <f t="shared" si="49"/>
        <v/>
      </c>
      <c r="BA84" s="334" t="str">
        <f t="shared" si="50"/>
        <v/>
      </c>
      <c r="BB84" s="393">
        <f t="shared" si="37"/>
        <v>0</v>
      </c>
      <c r="BC84" s="368">
        <f t="shared" si="38"/>
        <v>0</v>
      </c>
      <c r="BD84" s="369">
        <f t="shared" si="39"/>
        <v>0</v>
      </c>
      <c r="BI84" s="86" t="str">
        <f t="shared" si="40"/>
        <v/>
      </c>
      <c r="BJ84" s="86" t="str">
        <f t="shared" si="41"/>
        <v/>
      </c>
      <c r="BK84" s="86" t="str">
        <f t="shared" si="42"/>
        <v/>
      </c>
    </row>
    <row r="85" spans="1:63" customFormat="1" ht="31" customHeight="1" thickBot="1">
      <c r="A85">
        <v>27</v>
      </c>
      <c r="B85" s="634"/>
      <c r="C85" s="714"/>
      <c r="D85" s="668"/>
      <c r="E85" s="699"/>
      <c r="F85" s="634"/>
      <c r="G85" s="425" t="s">
        <v>344</v>
      </c>
      <c r="H85" s="363" t="str">
        <f t="shared" si="43"/>
        <v>預設逸散率Default</v>
      </c>
      <c r="I85" s="426" t="str">
        <f>IFERROR(LOOKUP(1,0/((#REF!='1.GHG Inventory Form'!$C$50)*(#REF!='1.GHG Inventory Form'!$A85)),#REF!),"")</f>
        <v/>
      </c>
      <c r="J85" s="194" t="str">
        <f>IFERROR(LOOKUP(1,0/((#REF!='1.GHG Inventory Form'!$C$50)*(#REF!='1.GHG Inventory Form'!$A85)),#REF!),"")</f>
        <v/>
      </c>
      <c r="K85" s="415" t="str">
        <f>IFERROR(LOOKUP(1,0/((#REF!=$C$50)*(#REF!='1.GHG Inventory Form'!$A85)),#REF!),"")</f>
        <v/>
      </c>
      <c r="L85" s="234" t="str">
        <f>IFERROR(LOOKUP(1,0/((#REF!='1.GHG Inventory Form'!$C$50)*(#REF!='1.GHG Inventory Form'!$A85)),#REF!),"")</f>
        <v/>
      </c>
      <c r="M85" s="362" t="s">
        <v>371</v>
      </c>
      <c r="N85" s="245"/>
      <c r="O85" s="245"/>
      <c r="P85" s="427" t="str">
        <f t="shared" si="28"/>
        <v/>
      </c>
      <c r="Q85" s="428"/>
      <c r="R85" s="429"/>
      <c r="S85" s="421"/>
      <c r="T85" s="421"/>
      <c r="U85" s="421"/>
      <c r="V85" s="421"/>
      <c r="W85" s="421"/>
      <c r="X85" s="421"/>
      <c r="Y85" s="389" t="str">
        <f t="shared" si="29"/>
        <v/>
      </c>
      <c r="Z85" s="364" t="str">
        <f t="shared" si="30"/>
        <v/>
      </c>
      <c r="AA85" s="364" t="str">
        <f t="shared" si="31"/>
        <v/>
      </c>
      <c r="AB85" s="364" t="str">
        <f t="shared" si="32"/>
        <v/>
      </c>
      <c r="AC85" s="364" t="str">
        <f t="shared" si="33"/>
        <v/>
      </c>
      <c r="AD85" s="364" t="str">
        <f t="shared" si="34"/>
        <v/>
      </c>
      <c r="AE85" s="423" t="str">
        <f t="shared" si="35"/>
        <v/>
      </c>
      <c r="AF85" s="389">
        <v>0</v>
      </c>
      <c r="AG85" s="364">
        <v>0</v>
      </c>
      <c r="AH85" s="364">
        <v>0</v>
      </c>
      <c r="AI85" s="364">
        <f>IFERROR(IF(G85="填充量計算 Recharge of Loss Volume",1,IF($H85="預設逸散率Default",ROUND(VLOOKUP($I85,'Other Emission Factor'!$F$4:$I$11,2,FALSE),10),IF($H85="自訂值 Custom Value",P85,0))),0)</f>
        <v>0</v>
      </c>
      <c r="AJ85" s="364">
        <v>0</v>
      </c>
      <c r="AK85" s="364">
        <v>0</v>
      </c>
      <c r="AL85" s="364">
        <v>0</v>
      </c>
      <c r="AM85" s="430" t="str">
        <f>IFERROR(IF($H85="預設逸散率Default",VLOOKUP($I85,表格12[],4,FALSE),IF($H85="自訂值Custom Value",Q85,"")),"")</f>
        <v/>
      </c>
      <c r="AN85" s="431">
        <f t="shared" si="36"/>
        <v>0</v>
      </c>
      <c r="AO85" s="366">
        <f>IF(Z85="V",IF('1.GHG Inventory Form'!$E$6="IPCC AR2 Report(1995)",'6.GWP'!$C$2,IF('1.GHG Inventory Form'!$E$6="IPCC AR3 Report(2001)",'6.GWP'!$D$2,IF('1.GHG Inventory Form'!$E$6="IPCC AR4 Report(2007)",'6.GWP'!$E$2,IF('1.GHG Inventory Form'!$E$6="IPCC AR5 Report(2013)",'6.GWP'!$F$2,IF('1.GHG Inventory Form'!$E$6="IPCC AR6 Report(2021)",'6.GWP'!$G$2,0))))),0)</f>
        <v>0</v>
      </c>
      <c r="AP85" s="366">
        <f>IF(AA85="V",IF('1.GHG Inventory Form'!$E$6="IPCC AR2 Report(1995)",#REF!,IF('1.GHG Inventory Form'!$E$6="IPCC AR3 Report(2001)",#REF!,IF('1.GHG Inventory Form'!$E$6="IPCC AR4 Report(2007)",#REF!,IF('1.GHG Inventory Form'!$E$6="IPCC AR5 Report(2013)",#REF!,IF('1.GHG Inventory Form'!$E$6="IPCC AR6 Report(2021)",#REF!,0))))),0)</f>
        <v>0</v>
      </c>
      <c r="AQ85" s="366">
        <f>IFERROR(IF(AB85="V",IF('1.GHG Inventory Form'!$E$6="IPCC AR2 Report(1995)",VLOOKUP(K85,'6.GWP'!$B$2:$G$173,2,FALSE),IF('1.GHG Inventory Form'!$E$6="IPCC AR3 Report(2001)",VLOOKUP(K85,'6.GWP'!$B$2:$G$173,3,FALSE),IF('1.GHG Inventory Form'!$E$6="IPCC AR4 Report(2007)",VLOOKUP(K85,'6.GWP'!$B$2:$G$173,4,FALSE),IF('1.GHG Inventory Form'!$E$6="IPCC AR5 Report(2013)",VLOOKUP(K85,'6.GWP'!$B$2:$G$173,5,FALSE),IF('1.GHG Inventory Form'!$E$6="IPCC AR6 Report(2021)",VLOOKUP(K85,'6.GWP'!$B$2:$G$173,6,FALSE),0))))),0),0)</f>
        <v>0</v>
      </c>
      <c r="AR85" s="366">
        <f>IFERROR(IF(AC85="V",IF('1.GHG Inventory Form'!$E$6="IPCC AR2 Report(1995)",VLOOKUP(K85,'6.GWP'!$B$2:$G$173,2,FALSE),IF('1.GHG Inventory Form'!$E$6="IPCC AR3 Report(2001)",VLOOKUP(K85,'6.GWP'!$B$2:$G$173,3,FALSE),IF('1.GHG Inventory Form'!$E$6="IPCC AR4 Report(2007)",VLOOKUP(K85,'6.GWP'!$B$2:$G$173,4,FALSE),IF('1.GHG Inventory Form'!$E$6="IPCC AR5 Report(2013)",VLOOKUP(K85,'6.GWP'!$B$2:$G$173,5,FALSE),IF('1.GHG Inventory Form'!$E$6="IPCC AR6 Report(2021)",VLOOKUP(K85,'6.GWP'!$B$2:$G$173,6,FALSE),0))))),0),0)</f>
        <v>0</v>
      </c>
      <c r="AS85" s="366">
        <f>IFERROR(IF(AD85="V",IF('1.GHG Inventory Form'!$E$6="IPCC AR2 Report(1995)",VLOOKUP(G85,'6.GWP'!$B$2:$G$173,2,FALSE),IF('1.GHG Inventory Form'!$E$6="IPCC AR3 Report(2001)",VLOOKUP(G85,'6.GWP'!$B$2:$G$173,3,FALSE),IF('1.GHG Inventory Form'!$E$6="IPCC AR4 Report(2007)",VLOOKUP(G85,'6.GWP'!$B$2:$G$173,4,FALSE),IF('1.GHG Inventory Form'!$E$6="IPCC AR5 Report(2013)",VLOOKUP(G85,'6.GWP'!$B$2:$G$173,5,FALSE),IF('1.GHG Inventory Form'!$E$6="IPCC AR6 Report(2021)",VLOOKUP(G85,'6.GWP'!$B$2:$G$173,6,FALSE),0))))),0),0)</f>
        <v>0</v>
      </c>
      <c r="AT85"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85" s="334" t="str">
        <f t="shared" si="44"/>
        <v/>
      </c>
      <c r="AV85" s="334" t="str">
        <f t="shared" si="45"/>
        <v/>
      </c>
      <c r="AW85" s="334" t="str">
        <f t="shared" si="46"/>
        <v/>
      </c>
      <c r="AX85" s="334" t="str">
        <f t="shared" si="47"/>
        <v/>
      </c>
      <c r="AY85" s="334" t="str">
        <f t="shared" si="48"/>
        <v/>
      </c>
      <c r="AZ85" s="334" t="str">
        <f t="shared" si="49"/>
        <v/>
      </c>
      <c r="BA85" s="334" t="str">
        <f t="shared" si="50"/>
        <v/>
      </c>
      <c r="BB85" s="393">
        <f t="shared" si="37"/>
        <v>0</v>
      </c>
      <c r="BC85" s="368">
        <f t="shared" si="38"/>
        <v>0</v>
      </c>
      <c r="BD85" s="369">
        <f t="shared" si="39"/>
        <v>0</v>
      </c>
      <c r="BI85" s="86" t="str">
        <f t="shared" si="40"/>
        <v/>
      </c>
      <c r="BJ85" s="86" t="str">
        <f t="shared" si="41"/>
        <v/>
      </c>
      <c r="BK85" s="86" t="str">
        <f t="shared" si="42"/>
        <v/>
      </c>
    </row>
    <row r="86" spans="1:63" customFormat="1" ht="31" customHeight="1" thickBot="1">
      <c r="A86">
        <v>28</v>
      </c>
      <c r="B86" s="634"/>
      <c r="C86" s="714"/>
      <c r="D86" s="668"/>
      <c r="E86" s="699"/>
      <c r="F86" s="634"/>
      <c r="G86" s="425" t="s">
        <v>344</v>
      </c>
      <c r="H86" s="363" t="str">
        <f t="shared" si="43"/>
        <v>預設逸散率Default</v>
      </c>
      <c r="I86" s="426" t="str">
        <f>IFERROR(LOOKUP(1,0/((#REF!='1.GHG Inventory Form'!$C$50)*(#REF!='1.GHG Inventory Form'!$A86)),#REF!),"")</f>
        <v/>
      </c>
      <c r="J86" s="194" t="str">
        <f>IFERROR(LOOKUP(1,0/((#REF!='1.GHG Inventory Form'!$C$50)*(#REF!='1.GHG Inventory Form'!$A86)),#REF!),"")</f>
        <v/>
      </c>
      <c r="K86" s="415" t="str">
        <f>IFERROR(LOOKUP(1,0/((#REF!=$C$50)*(#REF!='1.GHG Inventory Form'!$A86)),#REF!),"")</f>
        <v/>
      </c>
      <c r="L86" s="234" t="str">
        <f>IFERROR(LOOKUP(1,0/((#REF!='1.GHG Inventory Form'!$C$50)*(#REF!='1.GHG Inventory Form'!$A86)),#REF!),"")</f>
        <v/>
      </c>
      <c r="M86" s="362" t="s">
        <v>372</v>
      </c>
      <c r="N86" s="245"/>
      <c r="O86" s="245"/>
      <c r="P86" s="427" t="str">
        <f t="shared" si="28"/>
        <v/>
      </c>
      <c r="Q86" s="428"/>
      <c r="R86" s="429"/>
      <c r="S86" s="421"/>
      <c r="T86" s="421"/>
      <c r="U86" s="421"/>
      <c r="V86" s="421"/>
      <c r="W86" s="421"/>
      <c r="X86" s="421"/>
      <c r="Y86" s="389" t="str">
        <f t="shared" si="29"/>
        <v/>
      </c>
      <c r="Z86" s="364" t="str">
        <f t="shared" si="30"/>
        <v/>
      </c>
      <c r="AA86" s="364" t="str">
        <f t="shared" si="31"/>
        <v/>
      </c>
      <c r="AB86" s="364" t="str">
        <f t="shared" si="32"/>
        <v/>
      </c>
      <c r="AC86" s="364" t="str">
        <f t="shared" si="33"/>
        <v/>
      </c>
      <c r="AD86" s="364" t="str">
        <f t="shared" si="34"/>
        <v/>
      </c>
      <c r="AE86" s="423" t="str">
        <f t="shared" si="35"/>
        <v/>
      </c>
      <c r="AF86" s="389">
        <v>0</v>
      </c>
      <c r="AG86" s="364">
        <v>0</v>
      </c>
      <c r="AH86" s="364">
        <v>0</v>
      </c>
      <c r="AI86" s="364">
        <f>IFERROR(IF(G86="填充量計算 Recharge of Loss Volume",1,IF($H86="預設逸散率Default",ROUND(VLOOKUP($I86,'Other Emission Factor'!$F$4:$I$11,2,FALSE),10),IF($H86="自訂值 Custom Value",P86,0))),0)</f>
        <v>0</v>
      </c>
      <c r="AJ86" s="364">
        <v>0</v>
      </c>
      <c r="AK86" s="364">
        <v>0</v>
      </c>
      <c r="AL86" s="364">
        <v>0</v>
      </c>
      <c r="AM86" s="430" t="str">
        <f>IFERROR(IF($H86="預設逸散率Default",VLOOKUP($I86,表格12[],4,FALSE),IF($H86="自訂值Custom Value",Q86,"")),"")</f>
        <v/>
      </c>
      <c r="AN86" s="431">
        <f t="shared" si="36"/>
        <v>0</v>
      </c>
      <c r="AO86" s="366">
        <f>IF(Z86="V",IF('1.GHG Inventory Form'!$E$6="IPCC AR2 Report(1995)",'6.GWP'!$C$2,IF('1.GHG Inventory Form'!$E$6="IPCC AR3 Report(2001)",'6.GWP'!$D$2,IF('1.GHG Inventory Form'!$E$6="IPCC AR4 Report(2007)",'6.GWP'!$E$2,IF('1.GHG Inventory Form'!$E$6="IPCC AR5 Report(2013)",'6.GWP'!$F$2,IF('1.GHG Inventory Form'!$E$6="IPCC AR6 Report(2021)",'6.GWP'!$G$2,0))))),0)</f>
        <v>0</v>
      </c>
      <c r="AP86" s="366">
        <f>IF(AA86="V",IF('1.GHG Inventory Form'!$E$6="IPCC AR2 Report(1995)",#REF!,IF('1.GHG Inventory Form'!$E$6="IPCC AR3 Report(2001)",#REF!,IF('1.GHG Inventory Form'!$E$6="IPCC AR4 Report(2007)",#REF!,IF('1.GHG Inventory Form'!$E$6="IPCC AR5 Report(2013)",#REF!,IF('1.GHG Inventory Form'!$E$6="IPCC AR6 Report(2021)",#REF!,0))))),0)</f>
        <v>0</v>
      </c>
      <c r="AQ86" s="366">
        <f>IFERROR(IF(AB86="V",IF('1.GHG Inventory Form'!$E$6="IPCC AR2 Report(1995)",VLOOKUP(K86,'6.GWP'!$B$2:$G$173,2,FALSE),IF('1.GHG Inventory Form'!$E$6="IPCC AR3 Report(2001)",VLOOKUP(K86,'6.GWP'!$B$2:$G$173,3,FALSE),IF('1.GHG Inventory Form'!$E$6="IPCC AR4 Report(2007)",VLOOKUP(K86,'6.GWP'!$B$2:$G$173,4,FALSE),IF('1.GHG Inventory Form'!$E$6="IPCC AR5 Report(2013)",VLOOKUP(K86,'6.GWP'!$B$2:$G$173,5,FALSE),IF('1.GHG Inventory Form'!$E$6="IPCC AR6 Report(2021)",VLOOKUP(K86,'6.GWP'!$B$2:$G$173,6,FALSE),0))))),0),0)</f>
        <v>0</v>
      </c>
      <c r="AR86" s="366">
        <f>IFERROR(IF(AC86="V",IF('1.GHG Inventory Form'!$E$6="IPCC AR2 Report(1995)",VLOOKUP(K86,'6.GWP'!$B$2:$G$173,2,FALSE),IF('1.GHG Inventory Form'!$E$6="IPCC AR3 Report(2001)",VLOOKUP(K86,'6.GWP'!$B$2:$G$173,3,FALSE),IF('1.GHG Inventory Form'!$E$6="IPCC AR4 Report(2007)",VLOOKUP(K86,'6.GWP'!$B$2:$G$173,4,FALSE),IF('1.GHG Inventory Form'!$E$6="IPCC AR5 Report(2013)",VLOOKUP(K86,'6.GWP'!$B$2:$G$173,5,FALSE),IF('1.GHG Inventory Form'!$E$6="IPCC AR6 Report(2021)",VLOOKUP(K86,'6.GWP'!$B$2:$G$173,6,FALSE),0))))),0),0)</f>
        <v>0</v>
      </c>
      <c r="AS86" s="366">
        <f>IFERROR(IF(AD86="V",IF('1.GHG Inventory Form'!$E$6="IPCC AR2 Report(1995)",VLOOKUP(G86,'6.GWP'!$B$2:$G$173,2,FALSE),IF('1.GHG Inventory Form'!$E$6="IPCC AR3 Report(2001)",VLOOKUP(G86,'6.GWP'!$B$2:$G$173,3,FALSE),IF('1.GHG Inventory Form'!$E$6="IPCC AR4 Report(2007)",VLOOKUP(G86,'6.GWP'!$B$2:$G$173,4,FALSE),IF('1.GHG Inventory Form'!$E$6="IPCC AR5 Report(2013)",VLOOKUP(G86,'6.GWP'!$B$2:$G$173,5,FALSE),IF('1.GHG Inventory Form'!$E$6="IPCC AR6 Report(2021)",VLOOKUP(G86,'6.GWP'!$B$2:$G$173,6,FALSE),0))))),0),0)</f>
        <v>0</v>
      </c>
      <c r="AT86"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86" s="334" t="str">
        <f t="shared" si="44"/>
        <v/>
      </c>
      <c r="AV86" s="334" t="str">
        <f t="shared" si="45"/>
        <v/>
      </c>
      <c r="AW86" s="334" t="str">
        <f t="shared" si="46"/>
        <v/>
      </c>
      <c r="AX86" s="334" t="str">
        <f t="shared" si="47"/>
        <v/>
      </c>
      <c r="AY86" s="334" t="str">
        <f t="shared" si="48"/>
        <v/>
      </c>
      <c r="AZ86" s="334" t="str">
        <f t="shared" si="49"/>
        <v/>
      </c>
      <c r="BA86" s="334" t="str">
        <f t="shared" si="50"/>
        <v/>
      </c>
      <c r="BB86" s="393">
        <f t="shared" si="37"/>
        <v>0</v>
      </c>
      <c r="BC86" s="368">
        <f t="shared" si="38"/>
        <v>0</v>
      </c>
      <c r="BD86" s="369">
        <f t="shared" si="39"/>
        <v>0</v>
      </c>
      <c r="BI86" s="86" t="str">
        <f t="shared" si="40"/>
        <v/>
      </c>
      <c r="BJ86" s="86" t="str">
        <f t="shared" si="41"/>
        <v/>
      </c>
      <c r="BK86" s="86" t="str">
        <f t="shared" si="42"/>
        <v/>
      </c>
    </row>
    <row r="87" spans="1:63" customFormat="1" ht="31.5" customHeight="1" thickBot="1">
      <c r="A87">
        <v>29</v>
      </c>
      <c r="B87" s="631"/>
      <c r="C87" s="715"/>
      <c r="D87" s="669"/>
      <c r="E87" s="711"/>
      <c r="F87" s="631"/>
      <c r="G87" s="425" t="s">
        <v>344</v>
      </c>
      <c r="H87" s="363" t="str">
        <f t="shared" si="43"/>
        <v>預設逸散率Default</v>
      </c>
      <c r="I87" s="432" t="str">
        <f>IFERROR(LOOKUP(1,0/((#REF!='1.GHG Inventory Form'!$C$50)*(#REF!='1.GHG Inventory Form'!$A87)),#REF!),"")</f>
        <v/>
      </c>
      <c r="J87" s="194" t="str">
        <f>IFERROR(LOOKUP(1,0/((#REF!='1.GHG Inventory Form'!$C$50)*(#REF!='1.GHG Inventory Form'!$A87)),#REF!),"")</f>
        <v/>
      </c>
      <c r="K87" s="416" t="str">
        <f>IFERROR(LOOKUP(1,0/((#REF!=$C$50)*(#REF!='1.GHG Inventory Form'!$A87)),#REF!),"")</f>
        <v/>
      </c>
      <c r="L87" s="237" t="str">
        <f>IFERROR(LOOKUP(1,0/((#REF!='1.GHG Inventory Form'!$C$50)*(#REF!='1.GHG Inventory Form'!$A87)),#REF!),"")</f>
        <v/>
      </c>
      <c r="M87" s="362" t="str">
        <f>IFERROR(IF(H87="預設逸散率Default","ton","請填寫自訂活動數據單位Please fill in Custom Unit"),"請選擇預設冷媒種類")</f>
        <v>ton</v>
      </c>
      <c r="N87" s="246"/>
      <c r="O87" s="246"/>
      <c r="P87" s="427" t="str">
        <f t="shared" si="28"/>
        <v/>
      </c>
      <c r="Q87" s="433"/>
      <c r="R87" s="429"/>
      <c r="S87" s="421"/>
      <c r="T87" s="421"/>
      <c r="U87" s="421"/>
      <c r="V87" s="421"/>
      <c r="W87" s="421"/>
      <c r="X87" s="421"/>
      <c r="Y87" s="399" t="str">
        <f t="shared" si="29"/>
        <v/>
      </c>
      <c r="Z87" s="400" t="str">
        <f t="shared" si="30"/>
        <v/>
      </c>
      <c r="AA87" s="400" t="str">
        <f t="shared" si="31"/>
        <v/>
      </c>
      <c r="AB87" s="400" t="str">
        <f t="shared" si="32"/>
        <v/>
      </c>
      <c r="AC87" s="400" t="str">
        <f t="shared" si="33"/>
        <v/>
      </c>
      <c r="AD87" s="400" t="str">
        <f t="shared" si="34"/>
        <v/>
      </c>
      <c r="AE87" s="434" t="str">
        <f t="shared" si="35"/>
        <v/>
      </c>
      <c r="AF87" s="399">
        <v>0</v>
      </c>
      <c r="AG87" s="400">
        <v>0</v>
      </c>
      <c r="AH87" s="400">
        <v>0</v>
      </c>
      <c r="AI87" s="364">
        <f>IFERROR(IF(G87="填充量計算 Recharge of Loss Volume",1,IF($H87="預設逸散率Default",ROUND(VLOOKUP($I87,'Other Emission Factor'!$F$4:$I$11,2,FALSE),10),IF($H87="自訂值 Custom Value",P87,0))),0)</f>
        <v>0</v>
      </c>
      <c r="AJ87" s="400">
        <v>0</v>
      </c>
      <c r="AK87" s="400">
        <v>0</v>
      </c>
      <c r="AL87" s="400">
        <v>0</v>
      </c>
      <c r="AM87" s="435" t="str">
        <f>IFERROR(IF($H87="預設逸散率Default",VLOOKUP($I87,表格12[],4,FALSE),IF($H87="自訂值Custom Value",Q87,"")),"")</f>
        <v/>
      </c>
      <c r="AN87" s="436">
        <f t="shared" si="36"/>
        <v>0</v>
      </c>
      <c r="AO87" s="406">
        <f>IF(Z87="V",IF('1.GHG Inventory Form'!$E$6="IPCC AR2 Report(1995)",'6.GWP'!$C$2,IF('1.GHG Inventory Form'!$E$6="IPCC AR3 Report(2001)",'6.GWP'!$D$2,IF('1.GHG Inventory Form'!$E$6="IPCC AR4 Report(2007)",'6.GWP'!$E$2,IF('1.GHG Inventory Form'!$E$6="IPCC AR5 Report(2013)",'6.GWP'!$F$2,IF('1.GHG Inventory Form'!$E$6="IPCC AR6 Report(2021)",'6.GWP'!$G$2,0))))),0)</f>
        <v>0</v>
      </c>
      <c r="AP87" s="406">
        <f>IF(AA87="V",IF('1.GHG Inventory Form'!$E$6="IPCC AR2 Report(1995)",#REF!,IF('1.GHG Inventory Form'!$E$6="IPCC AR3 Report(2001)",#REF!,IF('1.GHG Inventory Form'!$E$6="IPCC AR4 Report(2007)",#REF!,IF('1.GHG Inventory Form'!$E$6="IPCC AR5 Report(2013)",#REF!,IF('1.GHG Inventory Form'!$E$6="IPCC AR6 Report(2021)",#REF!,0))))),0)</f>
        <v>0</v>
      </c>
      <c r="AQ87" s="406">
        <f>IFERROR(IF(AB87="V",IF('1.GHG Inventory Form'!$E$6="IPCC AR2 Report(1995)",VLOOKUP(K87,'6.GWP'!$B$2:$G$173,2,FALSE),IF('1.GHG Inventory Form'!$E$6="IPCC AR3 Report(2001)",VLOOKUP(K87,'6.GWP'!$B$2:$G$173,3,FALSE),IF('1.GHG Inventory Form'!$E$6="IPCC AR4 Report(2007)",VLOOKUP(K87,'6.GWP'!$B$2:$G$173,4,FALSE),IF('1.GHG Inventory Form'!$E$6="IPCC AR5 Report(2013)",VLOOKUP(K87,'6.GWP'!$B$2:$G$173,5,FALSE),IF('1.GHG Inventory Form'!$E$6="IPCC AR6 Report(2021)",VLOOKUP(K87,'6.GWP'!$B$2:$G$173,6,FALSE),0))))),0),0)</f>
        <v>0</v>
      </c>
      <c r="AR87" s="406">
        <f>IFERROR(IF(AC87="V",IF('1.GHG Inventory Form'!$E$6="IPCC AR2 Report(1995)",VLOOKUP(K87,'6.GWP'!$B$2:$G$173,2,FALSE),IF('1.GHG Inventory Form'!$E$6="IPCC AR3 Report(2001)",VLOOKUP(K87,'6.GWP'!$B$2:$G$173,3,FALSE),IF('1.GHG Inventory Form'!$E$6="IPCC AR4 Report(2007)",VLOOKUP(K87,'6.GWP'!$B$2:$G$173,4,FALSE),IF('1.GHG Inventory Form'!$E$6="IPCC AR5 Report(2013)",VLOOKUP(K87,'6.GWP'!$B$2:$G$173,5,FALSE),IF('1.GHG Inventory Form'!$E$6="IPCC AR6 Report(2021)",VLOOKUP(K87,'6.GWP'!$B$2:$G$173,6,FALSE),0))))),0),0)</f>
        <v>0</v>
      </c>
      <c r="AS87" s="406">
        <f>IFERROR(IF(AD87="V",IF('1.GHG Inventory Form'!$E$6="IPCC AR2 Report(1995)",VLOOKUP(G87,'6.GWP'!$B$2:$G$173,2,FALSE),IF('1.GHG Inventory Form'!$E$6="IPCC AR3 Report(2001)",VLOOKUP(G87,'6.GWP'!$B$2:$G$173,3,FALSE),IF('1.GHG Inventory Form'!$E$6="IPCC AR4 Report(2007)",VLOOKUP(G87,'6.GWP'!$B$2:$G$173,4,FALSE),IF('1.GHG Inventory Form'!$E$6="IPCC AR5 Report(2013)",VLOOKUP(G87,'6.GWP'!$B$2:$G$173,5,FALSE),IF('1.GHG Inventory Form'!$E$6="IPCC AR6 Report(2021)",VLOOKUP(G87,'6.GWP'!$B$2:$G$173,6,FALSE),0))))),0),0)</f>
        <v>0</v>
      </c>
      <c r="AT87" s="407">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87" s="334" t="str">
        <f t="shared" si="44"/>
        <v/>
      </c>
      <c r="AV87" s="334" t="str">
        <f t="shared" si="45"/>
        <v/>
      </c>
      <c r="AW87" s="334" t="str">
        <f t="shared" si="46"/>
        <v/>
      </c>
      <c r="AX87" s="334" t="str">
        <f t="shared" si="47"/>
        <v/>
      </c>
      <c r="AY87" s="334" t="str">
        <f t="shared" si="48"/>
        <v/>
      </c>
      <c r="AZ87" s="334" t="str">
        <f t="shared" si="49"/>
        <v/>
      </c>
      <c r="BA87" s="334" t="str">
        <f t="shared" si="50"/>
        <v/>
      </c>
      <c r="BB87" s="409">
        <f t="shared" si="37"/>
        <v>0</v>
      </c>
      <c r="BC87" s="410">
        <f t="shared" si="38"/>
        <v>0</v>
      </c>
      <c r="BD87" s="411">
        <f t="shared" si="39"/>
        <v>0</v>
      </c>
      <c r="BI87" s="86" t="str">
        <f t="shared" si="40"/>
        <v/>
      </c>
      <c r="BJ87" s="86" t="str">
        <f t="shared" si="41"/>
        <v/>
      </c>
      <c r="BK87" s="86" t="str">
        <f t="shared" si="42"/>
        <v/>
      </c>
    </row>
    <row r="88" spans="1:63" customFormat="1" ht="19" customHeight="1" thickBot="1">
      <c r="B88" s="134" t="s">
        <v>373</v>
      </c>
      <c r="C88" s="21"/>
      <c r="D88" s="9"/>
      <c r="E88" s="9"/>
      <c r="F88" s="9"/>
      <c r="G88" s="9"/>
      <c r="H88" s="9"/>
      <c r="I88" s="9"/>
      <c r="J88" s="9"/>
      <c r="K88" s="9"/>
      <c r="L88" s="9"/>
      <c r="M88" s="429"/>
      <c r="N88" s="429"/>
      <c r="O88" s="437"/>
      <c r="P88" s="429"/>
      <c r="Q88" s="429"/>
      <c r="R88" s="429"/>
      <c r="S88" s="429"/>
      <c r="T88" s="438"/>
      <c r="U88" s="438"/>
      <c r="V88" s="438"/>
      <c r="W88" s="438"/>
      <c r="X88" s="438"/>
      <c r="Y88" s="10"/>
      <c r="Z88" s="8"/>
      <c r="AA88" s="8"/>
      <c r="AB88" s="8"/>
      <c r="AC88" s="8"/>
      <c r="AD88" s="8"/>
      <c r="AE88" s="8"/>
      <c r="AF88" s="8"/>
      <c r="AG88" s="8"/>
      <c r="AH88" s="8"/>
      <c r="AI88" s="8"/>
      <c r="AJ88" s="103"/>
      <c r="AK88" s="103"/>
      <c r="AL88" s="103"/>
      <c r="AM88" s="156"/>
      <c r="AN88" s="103"/>
      <c r="AO88" s="103"/>
      <c r="AP88" s="103"/>
      <c r="AY88" s="273"/>
      <c r="AZ88" s="273"/>
      <c r="BD88" s="104"/>
    </row>
    <row r="89" spans="1:63" s="133" customFormat="1" ht="64.5" customHeight="1" thickBot="1">
      <c r="B89" s="439" t="s">
        <v>374</v>
      </c>
      <c r="C89" s="311" t="s">
        <v>375</v>
      </c>
      <c r="D89" s="660" t="s">
        <v>376</v>
      </c>
      <c r="E89" s="661"/>
      <c r="F89" s="314" t="s">
        <v>272</v>
      </c>
      <c r="G89" s="312" t="s">
        <v>377</v>
      </c>
      <c r="H89" s="312" t="s">
        <v>378</v>
      </c>
      <c r="I89" s="312" t="s">
        <v>278</v>
      </c>
      <c r="J89" s="312" t="s">
        <v>280</v>
      </c>
      <c r="K89" s="313" t="s">
        <v>379</v>
      </c>
      <c r="M89" s="441"/>
      <c r="N89" s="441"/>
      <c r="O89" s="441"/>
      <c r="P89" s="441"/>
      <c r="Q89" s="442"/>
      <c r="R89" s="441"/>
      <c r="S89" s="441"/>
      <c r="T89" s="441"/>
      <c r="U89" s="441"/>
      <c r="V89" s="441"/>
      <c r="W89" s="441"/>
      <c r="X89" s="441"/>
      <c r="Y89" s="443" t="s">
        <v>281</v>
      </c>
      <c r="Z89" s="444" t="s">
        <v>282</v>
      </c>
      <c r="AA89" s="444" t="s">
        <v>283</v>
      </c>
      <c r="AB89" s="444" t="s">
        <v>284</v>
      </c>
      <c r="AC89" s="444" t="s">
        <v>285</v>
      </c>
      <c r="AD89" s="444" t="s">
        <v>286</v>
      </c>
      <c r="AE89" s="445" t="s">
        <v>287</v>
      </c>
      <c r="AF89" s="443" t="s">
        <v>281</v>
      </c>
      <c r="AG89" s="444" t="s">
        <v>282</v>
      </c>
      <c r="AH89" s="444" t="s">
        <v>283</v>
      </c>
      <c r="AI89" s="444" t="s">
        <v>284</v>
      </c>
      <c r="AJ89" s="444" t="s">
        <v>285</v>
      </c>
      <c r="AK89" s="444" t="s">
        <v>286</v>
      </c>
      <c r="AL89" s="444" t="s">
        <v>287</v>
      </c>
      <c r="AM89" s="445" t="s">
        <v>380</v>
      </c>
      <c r="AN89" s="446" t="s">
        <v>281</v>
      </c>
      <c r="AO89" s="447" t="s">
        <v>282</v>
      </c>
      <c r="AP89" s="447" t="s">
        <v>283</v>
      </c>
      <c r="AQ89" s="447" t="s">
        <v>284</v>
      </c>
      <c r="AR89" s="447" t="s">
        <v>285</v>
      </c>
      <c r="AS89" s="447" t="s">
        <v>286</v>
      </c>
      <c r="AT89" s="448" t="s">
        <v>287</v>
      </c>
      <c r="AU89" s="449" t="s">
        <v>281</v>
      </c>
      <c r="AV89" s="315" t="s">
        <v>282</v>
      </c>
      <c r="AW89" s="315" t="s">
        <v>283</v>
      </c>
      <c r="AX89" s="315" t="s">
        <v>284</v>
      </c>
      <c r="AY89" s="315" t="s">
        <v>285</v>
      </c>
      <c r="AZ89" s="315" t="s">
        <v>286</v>
      </c>
      <c r="BA89" s="450" t="s">
        <v>287</v>
      </c>
      <c r="BB89" s="303" t="s">
        <v>381</v>
      </c>
      <c r="BC89" s="451" t="s">
        <v>382</v>
      </c>
      <c r="BD89" s="452" t="s">
        <v>383</v>
      </c>
    </row>
    <row r="90" spans="1:63" customFormat="1" ht="46.5" customHeight="1">
      <c r="B90" s="668" t="s">
        <v>384</v>
      </c>
      <c r="C90" s="670">
        <v>2.1</v>
      </c>
      <c r="D90" s="671" t="s">
        <v>385</v>
      </c>
      <c r="E90" s="649"/>
      <c r="F90" s="453" t="s">
        <v>386</v>
      </c>
      <c r="G90" s="454" t="s">
        <v>241</v>
      </c>
      <c r="H90" s="247">
        <v>0</v>
      </c>
      <c r="I90" s="455" t="s">
        <v>82</v>
      </c>
      <c r="J90" s="163"/>
      <c r="K90" s="456" t="s">
        <v>1098</v>
      </c>
      <c r="M90" s="421"/>
      <c r="N90" s="421"/>
      <c r="O90" s="421"/>
      <c r="P90" s="421"/>
      <c r="Q90" s="429"/>
      <c r="R90" s="421"/>
      <c r="S90" s="421"/>
      <c r="T90" s="421"/>
      <c r="U90" s="421"/>
      <c r="V90" s="421"/>
      <c r="W90" s="421"/>
      <c r="X90" s="421"/>
      <c r="Y90" s="389" t="str">
        <f t="shared" ref="Y90:AE96" si="51">IF(AF90&gt;0.0000000001,"V","")</f>
        <v>V</v>
      </c>
      <c r="Z90" s="364" t="str">
        <f t="shared" si="51"/>
        <v/>
      </c>
      <c r="AA90" s="364" t="str">
        <f t="shared" si="51"/>
        <v/>
      </c>
      <c r="AB90" s="364" t="str">
        <f t="shared" si="51"/>
        <v/>
      </c>
      <c r="AC90" s="364" t="str">
        <f t="shared" si="51"/>
        <v/>
      </c>
      <c r="AD90" s="364" t="str">
        <f t="shared" si="51"/>
        <v/>
      </c>
      <c r="AE90" s="390" t="str">
        <f t="shared" si="51"/>
        <v/>
      </c>
      <c r="AF90" s="389">
        <f>IFERROR(VLOOKUP(K90,表格13[[國家&amp;電網]:[電力係數2]],2,FALSE),0)</f>
        <v>0.36599999999999999</v>
      </c>
      <c r="AG90" s="364">
        <v>0</v>
      </c>
      <c r="AH90" s="364">
        <v>0</v>
      </c>
      <c r="AI90" s="364">
        <v>0</v>
      </c>
      <c r="AJ90" s="364">
        <v>0</v>
      </c>
      <c r="AK90" s="364">
        <v>0</v>
      </c>
      <c r="AL90" s="364">
        <v>0</v>
      </c>
      <c r="AM90" s="430" t="str">
        <f>IFERROR(IF(AND(H90&gt;0,#REF!="S"),VLOOKUP(K90,表格13[[國家&amp;電網]:[電力係數來源2]],3,FALSE),""),"")</f>
        <v/>
      </c>
      <c r="AN90" s="431">
        <f t="shared" ref="AN90:AN99" si="52">IF(Y90="V",1,0)</f>
        <v>1</v>
      </c>
      <c r="AO90" s="366">
        <f>IF(Z90="V",IF('1.GHG Inventory Form'!$E$6="IPCC AR2 Report(1995)",'6.GWP'!$C$2,IF('1.GHG Inventory Form'!$E$6="IPCC AR3 Report(2001)",'6.GWP'!$D$2,IF('1.GHG Inventory Form'!$E$6="IPCC AR4 Report(2007)",'6.GWP'!$E$2,IF('1.GHG Inventory Form'!$E$6="IPCC AR5 Report(2013)",'6.GWP'!$F$2,IF('1.GHG Inventory Form'!$E$6="IPCC AR6 Report(2021)",'6.GWP'!$G$2,0))))),0)</f>
        <v>0</v>
      </c>
      <c r="AP90" s="366">
        <f>IF(AA90="V",IF('1.GHG Inventory Form'!$E$6="IPCC AR2 Report(1995)",'6.GWP'!$C$3,IF('1.GHG Inventory Form'!$E$6="IPCC AR3 Report(2001)",'6.GWP'!$D$3,IF('1.GHG Inventory Form'!$E$6="IPCC AR4 Report(2007)",'6.GWP'!$E$3,IF('1.GHG Inventory Form'!$E$6="IPCC AR5 Report(2013)",'6.GWP'!$F$3,IF('1.GHG Inventory Form'!$E$6="IPCC AR6 Report(2021)",'6.GWP'!$G$3,0))))),0)</f>
        <v>0</v>
      </c>
      <c r="AQ90" s="366">
        <v>0</v>
      </c>
      <c r="AR90" s="366">
        <v>0</v>
      </c>
      <c r="AS90" s="366">
        <f>IF(AA90="V",IF('1.GHG Inventory Form'!$E$6="IPCC AR2 Report(1995)",'6.GWP'!$C$5,IF('1.GHG Inventory Form'!$E$6="IPCC AR3 Report(2001)",'6.GWP'!$D$5,IF('1.GHG Inventory Form'!$E$6="IPCC AR4 Report(2007)",'6.GWP'!$E$5,IF('1.GHG Inventory Form'!$E$6="IPCC AR5 Report(2013)",'6.GWP'!$F$5,IF('1.GHG Inventory Form'!$E$6="IPCC AR6 Report(2021)",'6.GWP'!$G$5,0))))),0)</f>
        <v>0</v>
      </c>
      <c r="AT90" s="392">
        <f>IF(AA90="V",IF('1.GHG Inventory Form'!$E$6="IPCC AR2 Report(1995)",'6.GWP'!$C$4,IF('1.GHG Inventory Form'!$E$6="IPCC AR3 Report(2001)",'6.GWP'!$D$4,IF('1.GHG Inventory Form'!$E$6="IPCC AR4 Report(2007)",'6.GWP'!$E$4,IF('1.GHG Inventory Form'!$E$6="IPCC AR5 Report(2013)",'6.GWP'!$F$4,IF('1.GHG Inventory Form'!$E$6="IPCC AR6 Report(2021)",'6.GWP'!$G$4,0))))),0)</f>
        <v>0</v>
      </c>
      <c r="AU90" s="457">
        <f t="shared" ref="AU90:AU99" si="53">IFERROR($H90*AF90*AN90,"")</f>
        <v>0</v>
      </c>
      <c r="AV90" s="457">
        <f t="shared" ref="AV90:AV99" si="54">IFERROR($H90*AG90*AO90,"")</f>
        <v>0</v>
      </c>
      <c r="AW90" s="457">
        <f t="shared" ref="AW90:AW99" si="55">IFERROR($H90*AH90*AP90,"")</f>
        <v>0</v>
      </c>
      <c r="AX90" s="457">
        <f t="shared" ref="AX90:AX99" si="56">IFERROR($H90*AI90*AQ90,"")</f>
        <v>0</v>
      </c>
      <c r="AY90" s="457">
        <f t="shared" ref="AY90:AY99" si="57">IFERROR($H90*AJ90*AR90,"")</f>
        <v>0</v>
      </c>
      <c r="AZ90" s="457">
        <f t="shared" ref="AZ90:AZ99" si="58">IFERROR($H90*AK90*AS90,"")</f>
        <v>0</v>
      </c>
      <c r="BA90" s="457">
        <f t="shared" ref="BA90:BA99" si="59">IFERROR($H90*AL90*AT90,"")</f>
        <v>0</v>
      </c>
      <c r="BB90" s="458">
        <f t="shared" ref="BB90:BB99" si="60">ROUND(SUM(AU90:BA90),4)</f>
        <v>0</v>
      </c>
      <c r="BC90" s="368">
        <f t="shared" ref="BC90:BC99" si="61">BB90/SUM($BB$16:$BB$99)</f>
        <v>0</v>
      </c>
      <c r="BD90" s="369">
        <f t="shared" ref="BD90:BD99" si="62">BB90/$BB$169</f>
        <v>0</v>
      </c>
      <c r="BI90" s="86" t="str">
        <f t="shared" ref="BI90:BI99" si="63">IF(F90="Y",G90,"")</f>
        <v>外購電力(灰電)
Unspecified non-renewable electricity purchase from grid</v>
      </c>
      <c r="BJ90" s="86" t="str">
        <f t="shared" ref="BJ90:BJ95" si="64">IF(IF(F90="Y",J90,"")=0,"",(IF(F90="Y",J90,"")))</f>
        <v/>
      </c>
      <c r="BK90" s="86" t="str">
        <f t="shared" ref="BK90:BK95" si="65">IF(IF(F90="Y",K90,"")=0,"",(IF(F90="Y",K90,"")))</f>
        <v>Germany2022</v>
      </c>
    </row>
    <row r="91" spans="1:63" customFormat="1" ht="46.5" customHeight="1">
      <c r="B91" s="668"/>
      <c r="C91" s="670"/>
      <c r="D91" s="671"/>
      <c r="E91" s="649"/>
      <c r="F91" s="453" t="s">
        <v>386</v>
      </c>
      <c r="G91" s="454" t="s">
        <v>387</v>
      </c>
      <c r="H91" s="247">
        <v>257.39658000000003</v>
      </c>
      <c r="I91" s="455" t="s">
        <v>82</v>
      </c>
      <c r="J91" s="248"/>
      <c r="K91" s="456" t="s">
        <v>388</v>
      </c>
      <c r="M91" s="421"/>
      <c r="N91" s="421"/>
      <c r="O91" s="421"/>
      <c r="P91" s="421"/>
      <c r="Q91" s="429"/>
      <c r="R91" s="421"/>
      <c r="S91" s="421"/>
      <c r="T91" s="421"/>
      <c r="U91" s="421"/>
      <c r="V91" s="421"/>
      <c r="W91" s="421"/>
      <c r="X91" s="421"/>
      <c r="Y91" s="389" t="str">
        <f t="shared" si="51"/>
        <v/>
      </c>
      <c r="Z91" s="364" t="str">
        <f t="shared" si="51"/>
        <v/>
      </c>
      <c r="AA91" s="364" t="str">
        <f t="shared" si="51"/>
        <v/>
      </c>
      <c r="AB91" s="364" t="str">
        <f t="shared" si="51"/>
        <v/>
      </c>
      <c r="AC91" s="364" t="str">
        <f t="shared" si="51"/>
        <v/>
      </c>
      <c r="AD91" s="364" t="str">
        <f t="shared" si="51"/>
        <v/>
      </c>
      <c r="AE91" s="390" t="str">
        <f t="shared" si="51"/>
        <v/>
      </c>
      <c r="AF91" s="389">
        <f>IFERROR(VLOOKUP(K91,表格13[[國家&amp;電網]:[電力係數2]],2,FALSE),0)</f>
        <v>0</v>
      </c>
      <c r="AG91" s="364">
        <v>0</v>
      </c>
      <c r="AH91" s="364">
        <v>0</v>
      </c>
      <c r="AI91" s="364">
        <v>0</v>
      </c>
      <c r="AJ91" s="364">
        <v>0</v>
      </c>
      <c r="AK91" s="364">
        <v>0</v>
      </c>
      <c r="AL91" s="364">
        <v>0</v>
      </c>
      <c r="AM91" s="430" t="str">
        <f>IFERROR(IF(AND(H91&gt;0,#REF!="S"),VLOOKUP(K91,表格13[[國家&amp;電網]:[電力係數來源2]],3,FALSE),""),"")</f>
        <v/>
      </c>
      <c r="AN91" s="431">
        <f t="shared" si="52"/>
        <v>0</v>
      </c>
      <c r="AO91" s="366">
        <f>IF(Z91="V",IF('1.GHG Inventory Form'!$E$6="IPCC AR2 Report(1995)",'6.GWP'!$C$2,IF('1.GHG Inventory Form'!$E$6="IPCC AR3 Report(2001)",'6.GWP'!$D$2,IF('1.GHG Inventory Form'!$E$6="IPCC AR4 Report(2007)",'6.GWP'!$E$2,IF('1.GHG Inventory Form'!$E$6="IPCC AR5 Report(2013)",'6.GWP'!$F$2,IF('1.GHG Inventory Form'!$E$6="IPCC AR6 Report(2021)",'6.GWP'!$G$2,0))))),0)</f>
        <v>0</v>
      </c>
      <c r="AP91" s="366">
        <f>IF(AA91="V",IF('1.GHG Inventory Form'!$E$6="IPCC AR2 Report(1995)",'6.GWP'!$C$3,IF('1.GHG Inventory Form'!$E$6="IPCC AR3 Report(2001)",'6.GWP'!$D$3,IF('1.GHG Inventory Form'!$E$6="IPCC AR4 Report(2007)",'6.GWP'!$E$3,IF('1.GHG Inventory Form'!$E$6="IPCC AR5 Report(2013)",'6.GWP'!$F$3,IF('1.GHG Inventory Form'!$E$6="IPCC AR6 Report(2021)",'6.GWP'!$G$3,0))))),0)</f>
        <v>0</v>
      </c>
      <c r="AQ91" s="366">
        <v>0</v>
      </c>
      <c r="AR91" s="366">
        <v>0</v>
      </c>
      <c r="AS91" s="366">
        <f>IF(AA91="V",IF('1.GHG Inventory Form'!$E$6="IPCC AR2 Report(1995)",'6.GWP'!$C$5,IF('1.GHG Inventory Form'!$E$6="IPCC AR3 Report(2001)",'6.GWP'!$D$5,IF('1.GHG Inventory Form'!$E$6="IPCC AR4 Report(2007)",'6.GWP'!$E$5,IF('1.GHG Inventory Form'!$E$6="IPCC AR5 Report(2013)",'6.GWP'!$F$5,IF('1.GHG Inventory Form'!$E$6="IPCC AR6 Report(2021)",'6.GWP'!$G$5,0))))),0)</f>
        <v>0</v>
      </c>
      <c r="AT91" s="392">
        <f>IF(AA91="V",IF('1.GHG Inventory Form'!$E$6="IPCC AR2 Report(1995)",'6.GWP'!$C$4,IF('1.GHG Inventory Form'!$E$6="IPCC AR3 Report(2001)",'6.GWP'!$D$4,IF('1.GHG Inventory Form'!$E$6="IPCC AR4 Report(2007)",'6.GWP'!$E$4,IF('1.GHG Inventory Form'!$E$6="IPCC AR5 Report(2013)",'6.GWP'!$F$4,IF('1.GHG Inventory Form'!$E$6="IPCC AR6 Report(2021)",'6.GWP'!$G$4,0))))),0)</f>
        <v>0</v>
      </c>
      <c r="AU91" s="457">
        <f t="shared" si="53"/>
        <v>0</v>
      </c>
      <c r="AV91" s="457">
        <f t="shared" si="54"/>
        <v>0</v>
      </c>
      <c r="AW91" s="457">
        <f t="shared" si="55"/>
        <v>0</v>
      </c>
      <c r="AX91" s="457">
        <f t="shared" si="56"/>
        <v>0</v>
      </c>
      <c r="AY91" s="457">
        <f t="shared" si="57"/>
        <v>0</v>
      </c>
      <c r="AZ91" s="457">
        <f t="shared" si="58"/>
        <v>0</v>
      </c>
      <c r="BA91" s="457">
        <f t="shared" si="59"/>
        <v>0</v>
      </c>
      <c r="BB91" s="458">
        <f t="shared" si="60"/>
        <v>0</v>
      </c>
      <c r="BC91" s="368">
        <f t="shared" si="61"/>
        <v>0</v>
      </c>
      <c r="BD91" s="369">
        <f t="shared" si="62"/>
        <v>0</v>
      </c>
      <c r="BI91" s="86" t="str">
        <f t="shared" si="63"/>
        <v>自發自用-再生能源電力
Self-generated and consumed Renewable electricity</v>
      </c>
      <c r="BJ91" s="86" t="str">
        <f t="shared" si="64"/>
        <v/>
      </c>
      <c r="BK91" s="86" t="str">
        <f t="shared" si="65"/>
        <v>Renewable electricity2022</v>
      </c>
    </row>
    <row r="92" spans="1:63" customFormat="1" ht="46.5" customHeight="1">
      <c r="B92" s="668"/>
      <c r="C92" s="670"/>
      <c r="D92" s="671"/>
      <c r="E92" s="649"/>
      <c r="F92" s="453" t="s">
        <v>386</v>
      </c>
      <c r="G92" s="454" t="s">
        <v>389</v>
      </c>
      <c r="H92" s="247">
        <v>0</v>
      </c>
      <c r="I92" s="455" t="s">
        <v>82</v>
      </c>
      <c r="J92" s="248"/>
      <c r="K92" s="456" t="s">
        <v>388</v>
      </c>
      <c r="M92" s="421"/>
      <c r="N92" s="421"/>
      <c r="O92" s="421"/>
      <c r="P92" s="421"/>
      <c r="Q92" s="429"/>
      <c r="R92" s="421"/>
      <c r="S92" s="421"/>
      <c r="T92" s="421"/>
      <c r="U92" s="421"/>
      <c r="V92" s="421"/>
      <c r="W92" s="421"/>
      <c r="X92" s="421"/>
      <c r="Y92" s="389" t="str">
        <f t="shared" si="51"/>
        <v/>
      </c>
      <c r="Z92" s="364" t="str">
        <f t="shared" si="51"/>
        <v/>
      </c>
      <c r="AA92" s="364" t="str">
        <f t="shared" si="51"/>
        <v/>
      </c>
      <c r="AB92" s="364" t="str">
        <f t="shared" si="51"/>
        <v/>
      </c>
      <c r="AC92" s="364" t="str">
        <f t="shared" si="51"/>
        <v/>
      </c>
      <c r="AD92" s="364" t="str">
        <f t="shared" si="51"/>
        <v/>
      </c>
      <c r="AE92" s="390" t="str">
        <f t="shared" si="51"/>
        <v/>
      </c>
      <c r="AF92" s="389">
        <f>IFERROR(VLOOKUP(K92,表格13[[國家&amp;電網]:[電力係數2]],2,FALSE),0)</f>
        <v>0</v>
      </c>
      <c r="AG92" s="364">
        <v>0</v>
      </c>
      <c r="AH92" s="364">
        <v>0</v>
      </c>
      <c r="AI92" s="364">
        <v>0</v>
      </c>
      <c r="AJ92" s="364">
        <v>0</v>
      </c>
      <c r="AK92" s="364">
        <v>0</v>
      </c>
      <c r="AL92" s="364">
        <v>0</v>
      </c>
      <c r="AM92" s="430" t="str">
        <f>IFERROR(IF(AND(H92&gt;0,#REF!="S"),VLOOKUP(K92,表格13[[國家&amp;電網]:[電力係數來源2]],3,FALSE),""),"")</f>
        <v/>
      </c>
      <c r="AN92" s="431">
        <f t="shared" si="52"/>
        <v>0</v>
      </c>
      <c r="AO92" s="366">
        <f>IF(Z92="V",IF('1.GHG Inventory Form'!$E$6="IPCC AR2 Report(1995)",'6.GWP'!$C$2,IF('1.GHG Inventory Form'!$E$6="IPCC AR3 Report(2001)",'6.GWP'!$D$2,IF('1.GHG Inventory Form'!$E$6="IPCC AR4 Report(2007)",'6.GWP'!$E$2,IF('1.GHG Inventory Form'!$E$6="IPCC AR5 Report(2013)",'6.GWP'!$F$2,IF('1.GHG Inventory Form'!$E$6="IPCC AR6 Report(2021)",'6.GWP'!$G$2,0))))),0)</f>
        <v>0</v>
      </c>
      <c r="AP92" s="366">
        <f>IF(AA92="V",IF('1.GHG Inventory Form'!$E$6="IPCC AR2 Report(1995)",'6.GWP'!$C$3,IF('1.GHG Inventory Form'!$E$6="IPCC AR3 Report(2001)",'6.GWP'!$D$3,IF('1.GHG Inventory Form'!$E$6="IPCC AR4 Report(2007)",'6.GWP'!$E$3,IF('1.GHG Inventory Form'!$E$6="IPCC AR5 Report(2013)",'6.GWP'!$F$3,IF('1.GHG Inventory Form'!$E$6="IPCC AR6 Report(2021)",'6.GWP'!$G$3,0))))),0)</f>
        <v>0</v>
      </c>
      <c r="AQ92" s="366">
        <v>0</v>
      </c>
      <c r="AR92" s="366">
        <v>0</v>
      </c>
      <c r="AS92" s="366">
        <f>IF(AA92="V",IF('1.GHG Inventory Form'!$E$6="IPCC AR2 Report(1995)",'6.GWP'!$C$5,IF('1.GHG Inventory Form'!$E$6="IPCC AR3 Report(2001)",'6.GWP'!$D$5,IF('1.GHG Inventory Form'!$E$6="IPCC AR4 Report(2007)",'6.GWP'!$E$5,IF('1.GHG Inventory Form'!$E$6="IPCC AR5 Report(2013)",'6.GWP'!$F$5,IF('1.GHG Inventory Form'!$E$6="IPCC AR6 Report(2021)",'6.GWP'!$G$5,0))))),0)</f>
        <v>0</v>
      </c>
      <c r="AT92" s="392">
        <f>IF(AA92="V",IF('1.GHG Inventory Form'!$E$6="IPCC AR2 Report(1995)",'6.GWP'!$C$4,IF('1.GHG Inventory Form'!$E$6="IPCC AR3 Report(2001)",'6.GWP'!$D$4,IF('1.GHG Inventory Form'!$E$6="IPCC AR4 Report(2007)",'6.GWP'!$E$4,IF('1.GHG Inventory Form'!$E$6="IPCC AR5 Report(2013)",'6.GWP'!$F$4,IF('1.GHG Inventory Form'!$E$6="IPCC AR6 Report(2021)",'6.GWP'!$G$4,0))))),0)</f>
        <v>0</v>
      </c>
      <c r="AU92" s="457">
        <f t="shared" si="53"/>
        <v>0</v>
      </c>
      <c r="AV92" s="457">
        <f t="shared" si="54"/>
        <v>0</v>
      </c>
      <c r="AW92" s="457">
        <f t="shared" si="55"/>
        <v>0</v>
      </c>
      <c r="AX92" s="457">
        <f t="shared" si="56"/>
        <v>0</v>
      </c>
      <c r="AY92" s="457">
        <f t="shared" si="57"/>
        <v>0</v>
      </c>
      <c r="AZ92" s="457">
        <f t="shared" si="58"/>
        <v>0</v>
      </c>
      <c r="BA92" s="457">
        <f t="shared" si="59"/>
        <v>0</v>
      </c>
      <c r="BB92" s="458">
        <f t="shared" si="60"/>
        <v>0</v>
      </c>
      <c r="BC92" s="368">
        <f t="shared" si="61"/>
        <v>0</v>
      </c>
      <c r="BD92" s="369">
        <f t="shared" si="62"/>
        <v>0</v>
      </c>
      <c r="BI92" s="86" t="str">
        <f t="shared" si="63"/>
        <v>自發再生電力並售出
Self generated but sold renewable electricity</v>
      </c>
      <c r="BJ92" s="86" t="str">
        <f t="shared" si="64"/>
        <v/>
      </c>
      <c r="BK92" s="86" t="str">
        <f t="shared" si="65"/>
        <v>Renewable electricity2022</v>
      </c>
    </row>
    <row r="93" spans="1:63" customFormat="1" ht="77.5" customHeight="1">
      <c r="B93" s="668"/>
      <c r="C93" s="670"/>
      <c r="D93" s="672"/>
      <c r="E93" s="649"/>
      <c r="F93" s="453" t="s">
        <v>240</v>
      </c>
      <c r="G93" s="454" t="s">
        <v>390</v>
      </c>
      <c r="H93" s="247">
        <v>0</v>
      </c>
      <c r="I93" s="455" t="s">
        <v>82</v>
      </c>
      <c r="J93" s="163"/>
      <c r="K93" s="456" t="s">
        <v>388</v>
      </c>
      <c r="M93" s="421"/>
      <c r="N93" s="421"/>
      <c r="O93" s="421"/>
      <c r="P93" s="421"/>
      <c r="Q93" s="429"/>
      <c r="R93" s="421"/>
      <c r="S93" s="421"/>
      <c r="T93" s="421"/>
      <c r="U93" s="421"/>
      <c r="V93" s="421"/>
      <c r="W93" s="421"/>
      <c r="X93" s="421"/>
      <c r="Y93" s="389" t="str">
        <f t="shared" si="51"/>
        <v/>
      </c>
      <c r="Z93" s="364" t="str">
        <f t="shared" si="51"/>
        <v/>
      </c>
      <c r="AA93" s="364" t="str">
        <f t="shared" si="51"/>
        <v/>
      </c>
      <c r="AB93" s="364" t="str">
        <f t="shared" si="51"/>
        <v/>
      </c>
      <c r="AC93" s="364" t="str">
        <f t="shared" si="51"/>
        <v/>
      </c>
      <c r="AD93" s="364" t="str">
        <f t="shared" si="51"/>
        <v/>
      </c>
      <c r="AE93" s="390" t="str">
        <f t="shared" si="51"/>
        <v/>
      </c>
      <c r="AF93" s="389">
        <f>IFERROR(VLOOKUP(K93,表格13[[國家&amp;電網]:[電力係數2]],2,FALSE),0)</f>
        <v>0</v>
      </c>
      <c r="AG93" s="364">
        <v>0</v>
      </c>
      <c r="AH93" s="364">
        <v>0</v>
      </c>
      <c r="AI93" s="364">
        <v>0</v>
      </c>
      <c r="AJ93" s="364">
        <v>0</v>
      </c>
      <c r="AK93" s="364">
        <v>0</v>
      </c>
      <c r="AL93" s="364">
        <v>0</v>
      </c>
      <c r="AM93" s="430" t="str">
        <f>IFERROR(IF(AND(H93&gt;0,#REF!="S"),VLOOKUP(K93,表格13[[國家&amp;電網]:[電力係數來源2]],3,FALSE),""),"")</f>
        <v/>
      </c>
      <c r="AN93" s="431">
        <f t="shared" si="52"/>
        <v>0</v>
      </c>
      <c r="AO93" s="366">
        <f>IF(Z93="V",IF('1.GHG Inventory Form'!$E$6="IPCC AR2 Report(1995)",'6.GWP'!$C$2,IF('1.GHG Inventory Form'!$E$6="IPCC AR3 Report(2001)",'6.GWP'!$D$2,IF('1.GHG Inventory Form'!$E$6="IPCC AR4 Report(2007)",'6.GWP'!$E$2,IF('1.GHG Inventory Form'!$E$6="IPCC AR5 Report(2013)",'6.GWP'!$F$2,IF('1.GHG Inventory Form'!$E$6="IPCC AR6 Report(2021)",'6.GWP'!$G$2,0))))),0)</f>
        <v>0</v>
      </c>
      <c r="AP93" s="366">
        <f>IF(AA93="V",IF('1.GHG Inventory Form'!$E$6="IPCC AR2 Report(1995)",'6.GWP'!$C$3,IF('1.GHG Inventory Form'!$E$6="IPCC AR3 Report(2001)",'6.GWP'!$D$3,IF('1.GHG Inventory Form'!$E$6="IPCC AR4 Report(2007)",'6.GWP'!$E$3,IF('1.GHG Inventory Form'!$E$6="IPCC AR5 Report(2013)",'6.GWP'!$F$3,IF('1.GHG Inventory Form'!$E$6="IPCC AR6 Report(2021)",'6.GWP'!$G$3,0))))),0)</f>
        <v>0</v>
      </c>
      <c r="AQ93" s="366">
        <v>0</v>
      </c>
      <c r="AR93" s="366">
        <v>0</v>
      </c>
      <c r="AS93" s="366">
        <f>IF(AA93="V",IF('1.GHG Inventory Form'!$E$6="IPCC AR2 Report(1995)",'6.GWP'!$C$5,IF('1.GHG Inventory Form'!$E$6="IPCC AR3 Report(2001)",'6.GWP'!$D$5,IF('1.GHG Inventory Form'!$E$6="IPCC AR4 Report(2007)",'6.GWP'!$E$5,IF('1.GHG Inventory Form'!$E$6="IPCC AR5 Report(2013)",'6.GWP'!$F$5,IF('1.GHG Inventory Form'!$E$6="IPCC AR6 Report(2021)",'6.GWP'!$G$5,0))))),0)</f>
        <v>0</v>
      </c>
      <c r="AT93" s="392">
        <f>IF(AA93="V",IF('1.GHG Inventory Form'!$E$6="IPCC AR2 Report(1995)",'6.GWP'!$C$4,IF('1.GHG Inventory Form'!$E$6="IPCC AR3 Report(2001)",'6.GWP'!$D$4,IF('1.GHG Inventory Form'!$E$6="IPCC AR4 Report(2007)",'6.GWP'!$E$4,IF('1.GHG Inventory Form'!$E$6="IPCC AR5 Report(2013)",'6.GWP'!$F$4,IF('1.GHG Inventory Form'!$E$6="IPCC AR6 Report(2021)",'6.GWP'!$G$4,0))))),0)</f>
        <v>0</v>
      </c>
      <c r="AU93" s="457">
        <f t="shared" si="53"/>
        <v>0</v>
      </c>
      <c r="AV93" s="457">
        <f t="shared" si="54"/>
        <v>0</v>
      </c>
      <c r="AW93" s="457">
        <f t="shared" si="55"/>
        <v>0</v>
      </c>
      <c r="AX93" s="457">
        <f t="shared" si="56"/>
        <v>0</v>
      </c>
      <c r="AY93" s="457">
        <f t="shared" si="57"/>
        <v>0</v>
      </c>
      <c r="AZ93" s="457">
        <f t="shared" si="58"/>
        <v>0</v>
      </c>
      <c r="BA93" s="457">
        <f t="shared" si="59"/>
        <v>0</v>
      </c>
      <c r="BB93" s="458">
        <f t="shared" si="60"/>
        <v>0</v>
      </c>
      <c r="BC93" s="368">
        <f t="shared" si="61"/>
        <v>0</v>
      </c>
      <c r="BD93" s="369">
        <f t="shared" si="62"/>
        <v>0</v>
      </c>
      <c r="BI93" s="86" t="str">
        <f t="shared" si="63"/>
        <v/>
      </c>
      <c r="BJ93" s="86" t="str">
        <f t="shared" si="64"/>
        <v/>
      </c>
      <c r="BK93" s="86" t="str">
        <f t="shared" si="65"/>
        <v/>
      </c>
    </row>
    <row r="94" spans="1:63" customFormat="1" ht="31" customHeight="1">
      <c r="B94" s="668"/>
      <c r="C94" s="670"/>
      <c r="D94" s="672"/>
      <c r="E94" s="649"/>
      <c r="F94" s="453" t="s">
        <v>386</v>
      </c>
      <c r="G94" s="454" t="s">
        <v>391</v>
      </c>
      <c r="H94" s="247">
        <v>2297.741</v>
      </c>
      <c r="I94" s="455" t="s">
        <v>82</v>
      </c>
      <c r="J94" s="163"/>
      <c r="K94" s="456" t="s">
        <v>388</v>
      </c>
      <c r="M94" s="421"/>
      <c r="N94" s="421"/>
      <c r="O94" s="421"/>
      <c r="P94" s="421"/>
      <c r="Q94" s="429"/>
      <c r="R94" s="421"/>
      <c r="S94" s="421"/>
      <c r="T94" s="421"/>
      <c r="U94" s="421"/>
      <c r="V94" s="421"/>
      <c r="W94" s="421"/>
      <c r="X94" s="421"/>
      <c r="Y94" s="389" t="str">
        <f t="shared" si="51"/>
        <v/>
      </c>
      <c r="Z94" s="364" t="str">
        <f t="shared" si="51"/>
        <v/>
      </c>
      <c r="AA94" s="364" t="str">
        <f t="shared" si="51"/>
        <v/>
      </c>
      <c r="AB94" s="364" t="str">
        <f t="shared" si="51"/>
        <v/>
      </c>
      <c r="AC94" s="364" t="str">
        <f t="shared" si="51"/>
        <v/>
      </c>
      <c r="AD94" s="364" t="str">
        <f t="shared" si="51"/>
        <v/>
      </c>
      <c r="AE94" s="390" t="str">
        <f t="shared" si="51"/>
        <v/>
      </c>
      <c r="AF94" s="389">
        <f>IFERROR(VLOOKUP(K94,表格13[[國家&amp;電網]:[電力係數2]],2,FALSE),0)</f>
        <v>0</v>
      </c>
      <c r="AG94" s="364">
        <v>0</v>
      </c>
      <c r="AH94" s="364">
        <v>0</v>
      </c>
      <c r="AI94" s="364">
        <v>0</v>
      </c>
      <c r="AJ94" s="364">
        <v>0</v>
      </c>
      <c r="AK94" s="364">
        <v>0</v>
      </c>
      <c r="AL94" s="364">
        <v>0</v>
      </c>
      <c r="AM94" s="430" t="str">
        <f>IFERROR(IF(AND(H94&gt;0,#REF!="S"),VLOOKUP(K94,表格13[[國家&amp;電網]:[電力係數來源2]],3,FALSE),""),"")</f>
        <v/>
      </c>
      <c r="AN94" s="431">
        <f t="shared" si="52"/>
        <v>0</v>
      </c>
      <c r="AO94" s="366">
        <f>IF(Z94="V",IF('1.GHG Inventory Form'!$E$6="IPCC AR2 Report(1995)",'6.GWP'!$C$2,IF('1.GHG Inventory Form'!$E$6="IPCC AR3 Report(2001)",'6.GWP'!$D$2,IF('1.GHG Inventory Form'!$E$6="IPCC AR4 Report(2007)",'6.GWP'!$E$2,IF('1.GHG Inventory Form'!$E$6="IPCC AR5 Report(2013)",'6.GWP'!$F$2,IF('1.GHG Inventory Form'!$E$6="IPCC AR6 Report(2021)",'6.GWP'!$G$2,0))))),0)</f>
        <v>0</v>
      </c>
      <c r="AP94" s="366">
        <f>IF(AA94="V",IF('1.GHG Inventory Form'!$E$6="IPCC AR2 Report(1995)",'6.GWP'!$C$3,IF('1.GHG Inventory Form'!$E$6="IPCC AR3 Report(2001)",'6.GWP'!$D$3,IF('1.GHG Inventory Form'!$E$6="IPCC AR4 Report(2007)",'6.GWP'!$E$3,IF('1.GHG Inventory Form'!$E$6="IPCC AR5 Report(2013)",'6.GWP'!$F$3,IF('1.GHG Inventory Form'!$E$6="IPCC AR6 Report(2021)",'6.GWP'!$G$3,0))))),0)</f>
        <v>0</v>
      </c>
      <c r="AQ94" s="366">
        <v>0</v>
      </c>
      <c r="AR94" s="366">
        <v>0</v>
      </c>
      <c r="AS94" s="366">
        <f>IF(AA94="V",IF('1.GHG Inventory Form'!$E$6="IPCC AR2 Report(1995)",'6.GWP'!$C$5,IF('1.GHG Inventory Form'!$E$6="IPCC AR3 Report(2001)",'6.GWP'!$D$5,IF('1.GHG Inventory Form'!$E$6="IPCC AR4 Report(2007)",'6.GWP'!$E$5,IF('1.GHG Inventory Form'!$E$6="IPCC AR5 Report(2013)",'6.GWP'!$F$5,IF('1.GHG Inventory Form'!$E$6="IPCC AR6 Report(2021)",'6.GWP'!$G$5,0))))),0)</f>
        <v>0</v>
      </c>
      <c r="AT94" s="392">
        <f>IF(AA94="V",IF('1.GHG Inventory Form'!$E$6="IPCC AR2 Report(1995)",'6.GWP'!$C$4,IF('1.GHG Inventory Form'!$E$6="IPCC AR3 Report(2001)",'6.GWP'!$D$4,IF('1.GHG Inventory Form'!$E$6="IPCC AR4 Report(2007)",'6.GWP'!$E$4,IF('1.GHG Inventory Form'!$E$6="IPCC AR5 Report(2013)",'6.GWP'!$F$4,IF('1.GHG Inventory Form'!$E$6="IPCC AR6 Report(2021)",'6.GWP'!$G$4,0))))),0)</f>
        <v>0</v>
      </c>
      <c r="AU94" s="457">
        <f t="shared" si="53"/>
        <v>0</v>
      </c>
      <c r="AV94" s="457">
        <f t="shared" si="54"/>
        <v>0</v>
      </c>
      <c r="AW94" s="457">
        <f t="shared" si="55"/>
        <v>0</v>
      </c>
      <c r="AX94" s="457">
        <f t="shared" si="56"/>
        <v>0</v>
      </c>
      <c r="AY94" s="457">
        <f t="shared" si="57"/>
        <v>0</v>
      </c>
      <c r="AZ94" s="457">
        <f t="shared" si="58"/>
        <v>0</v>
      </c>
      <c r="BA94" s="457">
        <f t="shared" si="59"/>
        <v>0</v>
      </c>
      <c r="BB94" s="458">
        <f t="shared" si="60"/>
        <v>0</v>
      </c>
      <c r="BC94" s="368">
        <f t="shared" si="61"/>
        <v>0</v>
      </c>
      <c r="BD94" s="369">
        <f t="shared" si="62"/>
        <v>0</v>
      </c>
      <c r="BI94" s="86" t="str">
        <f t="shared" si="63"/>
        <v>轉供-綠色電力產品
Green Electricity Products</v>
      </c>
      <c r="BJ94" s="86" t="str">
        <f t="shared" si="64"/>
        <v/>
      </c>
      <c r="BK94" s="86" t="str">
        <f t="shared" si="65"/>
        <v>Renewable electricity2022</v>
      </c>
    </row>
    <row r="95" spans="1:63" customFormat="1" ht="62" customHeight="1">
      <c r="B95" s="668"/>
      <c r="C95" s="670"/>
      <c r="D95" s="672"/>
      <c r="E95" s="649"/>
      <c r="F95" s="453" t="s">
        <v>240</v>
      </c>
      <c r="G95" s="454" t="s">
        <v>242</v>
      </c>
      <c r="H95" s="247">
        <v>0</v>
      </c>
      <c r="I95" s="455" t="s">
        <v>82</v>
      </c>
      <c r="J95" s="248"/>
      <c r="K95" s="456" t="s">
        <v>388</v>
      </c>
      <c r="M95" s="421"/>
      <c r="N95" s="421"/>
      <c r="O95" s="421"/>
      <c r="P95" s="421"/>
      <c r="Q95" s="429"/>
      <c r="R95" s="421"/>
      <c r="S95" s="421"/>
      <c r="T95" s="421"/>
      <c r="U95" s="421"/>
      <c r="V95" s="421"/>
      <c r="W95" s="421"/>
      <c r="X95" s="421"/>
      <c r="Y95" s="389" t="str">
        <f t="shared" si="51"/>
        <v/>
      </c>
      <c r="Z95" s="364" t="str">
        <f t="shared" si="51"/>
        <v/>
      </c>
      <c r="AA95" s="364" t="str">
        <f t="shared" si="51"/>
        <v/>
      </c>
      <c r="AB95" s="364" t="str">
        <f t="shared" si="51"/>
        <v/>
      </c>
      <c r="AC95" s="364" t="str">
        <f t="shared" si="51"/>
        <v/>
      </c>
      <c r="AD95" s="364" t="str">
        <f t="shared" si="51"/>
        <v/>
      </c>
      <c r="AE95" s="390" t="str">
        <f t="shared" si="51"/>
        <v/>
      </c>
      <c r="AF95" s="389">
        <f>IFERROR(VLOOKUP(K95,表格13[[國家&amp;電網]:[電力係數2]],2,FALSE),0)</f>
        <v>0</v>
      </c>
      <c r="AG95" s="364">
        <v>0</v>
      </c>
      <c r="AH95" s="364">
        <v>0</v>
      </c>
      <c r="AI95" s="364">
        <v>0</v>
      </c>
      <c r="AJ95" s="364">
        <v>0</v>
      </c>
      <c r="AK95" s="364">
        <v>0</v>
      </c>
      <c r="AL95" s="364">
        <v>0</v>
      </c>
      <c r="AM95" s="430" t="str">
        <f>IFERROR(IF(AND(H95&gt;0,#REF!="S"),VLOOKUP(K95,表格13[[國家&amp;電網]:[電力係數來源2]],3,FALSE),""),"")</f>
        <v/>
      </c>
      <c r="AN95" s="431">
        <f t="shared" si="52"/>
        <v>0</v>
      </c>
      <c r="AO95" s="366">
        <f>IF(Z95="V",IF('1.GHG Inventory Form'!$E$6="IPCC AR2 Report(1995)",'6.GWP'!$C$2,IF('1.GHG Inventory Form'!$E$6="IPCC AR3 Report(2001)",'6.GWP'!$D$2,IF('1.GHG Inventory Form'!$E$6="IPCC AR4 Report(2007)",'6.GWP'!$E$2,IF('1.GHG Inventory Form'!$E$6="IPCC AR5 Report(2013)",'6.GWP'!$F$2,IF('1.GHG Inventory Form'!$E$6="IPCC AR6 Report(2021)",'6.GWP'!$G$2,0))))),0)</f>
        <v>0</v>
      </c>
      <c r="AP95" s="366">
        <f>IF(AA95="V",IF('1.GHG Inventory Form'!$E$6="IPCC AR2 Report(1995)",'6.GWP'!$C$3,IF('1.GHG Inventory Form'!$E$6="IPCC AR3 Report(2001)",'6.GWP'!$D$3,IF('1.GHG Inventory Form'!$E$6="IPCC AR4 Report(2007)",'6.GWP'!$E$3,IF('1.GHG Inventory Form'!$E$6="IPCC AR5 Report(2013)",'6.GWP'!$F$3,IF('1.GHG Inventory Form'!$E$6="IPCC AR6 Report(2021)",'6.GWP'!$G$3,0))))),0)</f>
        <v>0</v>
      </c>
      <c r="AQ95" s="366">
        <v>0</v>
      </c>
      <c r="AR95" s="366">
        <v>0</v>
      </c>
      <c r="AS95" s="366">
        <f>IF(AA95="V",IF('1.GHG Inventory Form'!$E$6="IPCC AR2 Report(1995)",'6.GWP'!$C$5,IF('1.GHG Inventory Form'!$E$6="IPCC AR3 Report(2001)",'6.GWP'!$D$5,IF('1.GHG Inventory Form'!$E$6="IPCC AR4 Report(2007)",'6.GWP'!$E$5,IF('1.GHG Inventory Form'!$E$6="IPCC AR5 Report(2013)",'6.GWP'!$F$5,IF('1.GHG Inventory Form'!$E$6="IPCC AR6 Report(2021)",'6.GWP'!$G$5,0))))),0)</f>
        <v>0</v>
      </c>
      <c r="AT95" s="392">
        <f>IF(AA95="V",IF('1.GHG Inventory Form'!$E$6="IPCC AR2 Report(1995)",'6.GWP'!$C$4,IF('1.GHG Inventory Form'!$E$6="IPCC AR3 Report(2001)",'6.GWP'!$D$4,IF('1.GHG Inventory Form'!$E$6="IPCC AR4 Report(2007)",'6.GWP'!$E$4,IF('1.GHG Inventory Form'!$E$6="IPCC AR5 Report(2013)",'6.GWP'!$F$4,IF('1.GHG Inventory Form'!$E$6="IPCC AR6 Report(2021)",'6.GWP'!$G$4,0))))),0)</f>
        <v>0</v>
      </c>
      <c r="AU95" s="457">
        <f t="shared" si="53"/>
        <v>0</v>
      </c>
      <c r="AV95" s="457">
        <f t="shared" si="54"/>
        <v>0</v>
      </c>
      <c r="AW95" s="457">
        <f t="shared" si="55"/>
        <v>0</v>
      </c>
      <c r="AX95" s="457">
        <f t="shared" si="56"/>
        <v>0</v>
      </c>
      <c r="AY95" s="457">
        <f t="shared" si="57"/>
        <v>0</v>
      </c>
      <c r="AZ95" s="457">
        <f t="shared" si="58"/>
        <v>0</v>
      </c>
      <c r="BA95" s="457">
        <f t="shared" si="59"/>
        <v>0</v>
      </c>
      <c r="BB95" s="458">
        <f t="shared" si="60"/>
        <v>0</v>
      </c>
      <c r="BC95" s="368">
        <f t="shared" si="61"/>
        <v>0</v>
      </c>
      <c r="BD95" s="369">
        <f t="shared" si="62"/>
        <v>0</v>
      </c>
      <c r="BI95" s="86" t="str">
        <f t="shared" si="63"/>
        <v/>
      </c>
      <c r="BJ95" s="86" t="str">
        <f t="shared" si="64"/>
        <v/>
      </c>
      <c r="BK95" s="86" t="str">
        <f t="shared" si="65"/>
        <v/>
      </c>
    </row>
    <row r="96" spans="1:63" customFormat="1" ht="62" customHeight="1">
      <c r="B96" s="668"/>
      <c r="C96" s="670"/>
      <c r="D96" s="672"/>
      <c r="E96" s="649"/>
      <c r="F96" s="453" t="s">
        <v>386</v>
      </c>
      <c r="G96" s="454" t="s">
        <v>243</v>
      </c>
      <c r="H96" s="247">
        <v>1107</v>
      </c>
      <c r="I96" s="455" t="s">
        <v>82</v>
      </c>
      <c r="J96" s="248"/>
      <c r="K96" s="456" t="s">
        <v>1099</v>
      </c>
      <c r="M96" s="421"/>
      <c r="N96" s="421"/>
      <c r="O96" s="421"/>
      <c r="P96" s="421"/>
      <c r="Q96" s="429"/>
      <c r="R96" s="421"/>
      <c r="S96" s="421"/>
      <c r="T96" s="421"/>
      <c r="U96" s="421"/>
      <c r="V96" s="421"/>
      <c r="W96" s="421"/>
      <c r="X96" s="421"/>
      <c r="Y96" s="389" t="str">
        <f t="shared" si="51"/>
        <v>V</v>
      </c>
      <c r="Z96" s="364" t="str">
        <f t="shared" si="51"/>
        <v/>
      </c>
      <c r="AA96" s="364" t="str">
        <f t="shared" si="51"/>
        <v/>
      </c>
      <c r="AB96" s="364" t="str">
        <f t="shared" si="51"/>
        <v/>
      </c>
      <c r="AC96" s="364" t="str">
        <f t="shared" si="51"/>
        <v/>
      </c>
      <c r="AD96" s="364" t="str">
        <f t="shared" si="51"/>
        <v/>
      </c>
      <c r="AE96" s="390" t="str">
        <f t="shared" si="51"/>
        <v/>
      </c>
      <c r="AF96" s="389">
        <f>IFERROR(VLOOKUP(K96,表格13[[國家&amp;電網]:[電力係數2]],2,FALSE),0)</f>
        <v>0.68403000000000003</v>
      </c>
      <c r="AG96" s="364">
        <v>0</v>
      </c>
      <c r="AH96" s="364">
        <v>0</v>
      </c>
      <c r="AI96" s="364">
        <v>0</v>
      </c>
      <c r="AJ96" s="364">
        <v>0</v>
      </c>
      <c r="AK96" s="364">
        <v>0</v>
      </c>
      <c r="AL96" s="364">
        <v>0</v>
      </c>
      <c r="AM96" s="430" t="str">
        <f>IFERROR(IF(AND(H96&gt;0,#REF!="S"),VLOOKUP(K96,表格13[[國家&amp;電網]:[電力係數來源2]],3,FALSE),""),"")</f>
        <v/>
      </c>
      <c r="AN96" s="431">
        <f t="shared" si="52"/>
        <v>1</v>
      </c>
      <c r="AO96" s="366">
        <f>IF(Z96="V",IF('1.GHG Inventory Form'!$E$6="IPCC AR2 Report(1995)",'6.GWP'!$C$2,IF('1.GHG Inventory Form'!$E$6="IPCC AR3 Report(2001)",'6.GWP'!$D$2,IF('1.GHG Inventory Form'!$E$6="IPCC AR4 Report(2007)",'6.GWP'!$E$2,IF('1.GHG Inventory Form'!$E$6="IPCC AR5 Report(2013)",'6.GWP'!$F$2,IF('1.GHG Inventory Form'!$E$6="IPCC AR6 Report(2021)",'6.GWP'!$G$2,0))))),0)</f>
        <v>0</v>
      </c>
      <c r="AP96" s="366">
        <f>IF(AA96="V",IF('1.GHG Inventory Form'!$E$6="IPCC AR2 Report(1995)",'6.GWP'!$C$3,IF('1.GHG Inventory Form'!$E$6="IPCC AR3 Report(2001)",'6.GWP'!$D$3,IF('1.GHG Inventory Form'!$E$6="IPCC AR4 Report(2007)",'6.GWP'!$E$3,IF('1.GHG Inventory Form'!$E$6="IPCC AR5 Report(2013)",'6.GWP'!$F$3,IF('1.GHG Inventory Form'!$E$6="IPCC AR6 Report(2021)",'6.GWP'!$G$3,0))))),0)</f>
        <v>0</v>
      </c>
      <c r="AQ96" s="366">
        <v>0</v>
      </c>
      <c r="AR96" s="366">
        <v>0</v>
      </c>
      <c r="AS96" s="366">
        <f>IF(AA96="V",IF('1.GHG Inventory Form'!$E$6="IPCC AR2 Report(1995)",'6.GWP'!$C$5,IF('1.GHG Inventory Form'!$E$6="IPCC AR3 Report(2001)",'6.GWP'!$D$5,IF('1.GHG Inventory Form'!$E$6="IPCC AR4 Report(2007)",'6.GWP'!$E$5,IF('1.GHG Inventory Form'!$E$6="IPCC AR5 Report(2013)",'6.GWP'!$F$5,IF('1.GHG Inventory Form'!$E$6="IPCC AR6 Report(2021)",'6.GWP'!$G$5,0))))),0)</f>
        <v>0</v>
      </c>
      <c r="AT96" s="392">
        <f>IF(AA96="V",IF('1.GHG Inventory Form'!$E$6="IPCC AR2 Report(1995)",'6.GWP'!$C$4,IF('1.GHG Inventory Form'!$E$6="IPCC AR3 Report(2001)",'6.GWP'!$D$4,IF('1.GHG Inventory Form'!$E$6="IPCC AR4 Report(2007)",'6.GWP'!$E$4,IF('1.GHG Inventory Form'!$E$6="IPCC AR5 Report(2013)",'6.GWP'!$F$4,IF('1.GHG Inventory Form'!$E$6="IPCC AR6 Report(2021)",'6.GWP'!$G$4,0))))),0)</f>
        <v>0</v>
      </c>
      <c r="AU96" s="457">
        <f t="shared" si="53"/>
        <v>757.22121000000004</v>
      </c>
      <c r="AV96" s="457">
        <f t="shared" si="54"/>
        <v>0</v>
      </c>
      <c r="AW96" s="457">
        <f t="shared" si="55"/>
        <v>0</v>
      </c>
      <c r="AX96" s="457">
        <f t="shared" si="56"/>
        <v>0</v>
      </c>
      <c r="AY96" s="457">
        <f t="shared" si="57"/>
        <v>0</v>
      </c>
      <c r="AZ96" s="457">
        <f t="shared" si="58"/>
        <v>0</v>
      </c>
      <c r="BA96" s="457">
        <f t="shared" si="59"/>
        <v>0</v>
      </c>
      <c r="BB96" s="458">
        <f t="shared" si="60"/>
        <v>757.22119999999995</v>
      </c>
      <c r="BC96" s="368">
        <f t="shared" si="61"/>
        <v>0.52978550234846111</v>
      </c>
      <c r="BD96" s="369">
        <f t="shared" si="62"/>
        <v>0.47746789193990935</v>
      </c>
      <c r="BI96" s="86" t="str">
        <f t="shared" si="63"/>
        <v>購買之REC or I-REC(非自發自用申請之憑證)
Unbundled EAC purchase (REC or I-REC)</v>
      </c>
      <c r="BJ96" s="86" t="str">
        <f>IF(IF(80="Y",J96,"")=0,"",(IF(80="Y",J96,"")))</f>
        <v/>
      </c>
      <c r="BK96" s="86" t="str">
        <f>IF(IF(80="Y",K96,"")=0,"",(IF(80="Y",K96,"")))</f>
        <v/>
      </c>
    </row>
    <row r="97" spans="1:66">
      <c r="B97" s="668"/>
      <c r="C97" s="670"/>
      <c r="D97" s="672"/>
      <c r="E97" s="649"/>
      <c r="F97" s="453" t="s">
        <v>240</v>
      </c>
      <c r="G97" s="43"/>
      <c r="H97" s="247"/>
      <c r="I97" s="365" t="s">
        <v>240</v>
      </c>
      <c r="J97" s="249"/>
      <c r="K97" s="456" t="s">
        <v>392</v>
      </c>
      <c r="M97" s="421"/>
      <c r="N97" s="421"/>
      <c r="O97" s="421"/>
      <c r="P97" s="421"/>
      <c r="Q97" s="429"/>
      <c r="R97" s="421"/>
      <c r="S97" s="421"/>
      <c r="T97" s="421"/>
      <c r="U97" s="421"/>
      <c r="V97" s="421"/>
      <c r="W97" s="421"/>
      <c r="X97" s="421"/>
      <c r="Y97" s="389"/>
      <c r="Z97" s="373"/>
      <c r="AA97" s="373"/>
      <c r="AB97" s="373"/>
      <c r="AC97" s="373"/>
      <c r="AD97" s="373"/>
      <c r="AE97" s="459"/>
      <c r="AF97" s="389">
        <f>IFERROR(VLOOKUP(K97,表格13[[國家&amp;電網]:[電力係數2]],2,FALSE),0)</f>
        <v>0</v>
      </c>
      <c r="AG97" s="364">
        <v>0</v>
      </c>
      <c r="AH97" s="364">
        <v>0</v>
      </c>
      <c r="AI97" s="364">
        <v>0</v>
      </c>
      <c r="AJ97" s="364">
        <v>0</v>
      </c>
      <c r="AK97" s="364">
        <v>0</v>
      </c>
      <c r="AL97" s="364">
        <v>0</v>
      </c>
      <c r="AM97" s="430" t="str">
        <f>IFERROR(IF(AND(H97&gt;0,#REF!="S"),VLOOKUP(K97,表格13[[國家&amp;電網]:[電力係數來源2]],3,FALSE),""),"")</f>
        <v/>
      </c>
      <c r="AN97" s="431">
        <f t="shared" si="52"/>
        <v>0</v>
      </c>
      <c r="AO97" s="366">
        <f>IF(Z97="V",IF('1.GHG Inventory Form'!$E$6="IPCC AR2 Report(1995)",'6.GWP'!$C$2,IF('1.GHG Inventory Form'!$E$6="IPCC AR3 Report(2001)",'6.GWP'!$D$2,IF('1.GHG Inventory Form'!$E$6="IPCC AR4 Report(2007)",'6.GWP'!$E$2,IF('1.GHG Inventory Form'!$E$6="IPCC AR5 Report(2013)",'6.GWP'!$F$2,IF('1.GHG Inventory Form'!$E$6="IPCC AR6 Report(2021)",'6.GWP'!$G$2,0))))),0)</f>
        <v>0</v>
      </c>
      <c r="AP97" s="366">
        <f>IF(AA97="V",IF('1.GHG Inventory Form'!$E$6="IPCC AR2 Report(1995)",#REF!,IF('1.GHG Inventory Form'!$E$6="IPCC AR3 Report(2001)",#REF!,IF('1.GHG Inventory Form'!$E$6="IPCC AR4 Report(2007)",#REF!,IF('1.GHG Inventory Form'!$E$6="IPCC AR5 Report(2013)",#REF!,IF('1.GHG Inventory Form'!$E$6="IPCC AR6 Report(2021)",#REF!,0))))),0)</f>
        <v>0</v>
      </c>
      <c r="AQ97" s="366">
        <v>0</v>
      </c>
      <c r="AR97" s="366">
        <v>0</v>
      </c>
      <c r="AS97" s="366">
        <f>IFERROR(IF(AD97="V",IF('1.GHG Inventory Form'!$E$6="IPCC AR2 Report(1995)",VLOOKUP(#REF!,'6.GWP'!$B$2:$G$173,2,FALSE),IF('1.GHG Inventory Form'!$E$6="IPCC AR3 Report(2001)",VLOOKUP(#REF!,'6.GWP'!$B$2:$G$173,3,FALSE),IF('1.GHG Inventory Form'!$E$6="IPCC AR4 Report(2007)",VLOOKUP(#REF!,'6.GWP'!$B$2:$G$173,4,FALSE),IF('1.GHG Inventory Form'!$E$6="IPCC AR5 Report(2013)",VLOOKUP(#REF!,'6.GWP'!$B$2:$G$173,5,FALSE),IF('1.GHG Inventory Form'!$E$6="IPCC AR6 Report(2021)",VLOOKUP(#REF!,'6.GWP'!$B$2:$G$173,6,FALSE),0))))),0),0)</f>
        <v>0</v>
      </c>
      <c r="AT97" s="392">
        <f>IFERROR(IF(K97=1,IF('1.GHG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97" s="457">
        <f t="shared" si="53"/>
        <v>0</v>
      </c>
      <c r="AV97" s="457">
        <f t="shared" si="54"/>
        <v>0</v>
      </c>
      <c r="AW97" s="457">
        <f t="shared" si="55"/>
        <v>0</v>
      </c>
      <c r="AX97" s="457">
        <f t="shared" si="56"/>
        <v>0</v>
      </c>
      <c r="AY97" s="457">
        <f t="shared" si="57"/>
        <v>0</v>
      </c>
      <c r="AZ97" s="457">
        <f t="shared" si="58"/>
        <v>0</v>
      </c>
      <c r="BA97" s="457">
        <f t="shared" si="59"/>
        <v>0</v>
      </c>
      <c r="BB97" s="393">
        <f t="shared" si="60"/>
        <v>0</v>
      </c>
      <c r="BC97" s="368">
        <f t="shared" si="61"/>
        <v>0</v>
      </c>
      <c r="BD97" s="369">
        <f t="shared" si="62"/>
        <v>0</v>
      </c>
      <c r="BI97" s="86" t="str">
        <f t="shared" si="63"/>
        <v/>
      </c>
      <c r="BJ97" s="86" t="str">
        <f>IF(IF(F97="Y",J97,"")=0,"",(IF(F97="Y",J97,"")))</f>
        <v/>
      </c>
      <c r="BK97" s="86" t="str">
        <f>IF(IF(F97="Y",K97,"")=0,"",(IF(F97="Y",K97,"")))</f>
        <v/>
      </c>
    </row>
    <row r="98" spans="1:66">
      <c r="B98" s="668"/>
      <c r="C98" s="670"/>
      <c r="D98" s="672"/>
      <c r="E98" s="649"/>
      <c r="F98" s="453" t="s">
        <v>240</v>
      </c>
      <c r="G98" s="43"/>
      <c r="H98" s="247"/>
      <c r="I98" s="365" t="s">
        <v>240</v>
      </c>
      <c r="J98" s="249"/>
      <c r="K98" s="456" t="s">
        <v>392</v>
      </c>
      <c r="M98" s="421"/>
      <c r="N98" s="421"/>
      <c r="O98" s="421"/>
      <c r="P98" s="421"/>
      <c r="Q98" s="429"/>
      <c r="R98" s="421"/>
      <c r="S98" s="421"/>
      <c r="T98" s="421"/>
      <c r="U98" s="421"/>
      <c r="V98" s="421"/>
      <c r="W98" s="421"/>
      <c r="X98" s="421"/>
      <c r="Y98" s="389"/>
      <c r="Z98" s="373"/>
      <c r="AA98" s="373"/>
      <c r="AB98" s="373"/>
      <c r="AC98" s="373"/>
      <c r="AD98" s="373"/>
      <c r="AE98" s="459"/>
      <c r="AF98" s="389">
        <f>IFERROR(VLOOKUP(K98,表格13[[國家&amp;電網]:[電力係數2]],2,FALSE),0)</f>
        <v>0</v>
      </c>
      <c r="AG98" s="364">
        <v>0</v>
      </c>
      <c r="AH98" s="364">
        <v>0</v>
      </c>
      <c r="AI98" s="364">
        <v>0</v>
      </c>
      <c r="AJ98" s="364">
        <v>0</v>
      </c>
      <c r="AK98" s="364">
        <v>0</v>
      </c>
      <c r="AL98" s="364">
        <v>0</v>
      </c>
      <c r="AM98" s="430" t="str">
        <f>IFERROR(IF(AND(H98&gt;0,#REF!="S"),VLOOKUP(K98,表格13[[國家&amp;電網]:[電力係數來源2]],3,FALSE),""),"")</f>
        <v/>
      </c>
      <c r="AN98" s="431">
        <f t="shared" si="52"/>
        <v>0</v>
      </c>
      <c r="AO98" s="366">
        <f>IF(Z98="V",IF('1.GHG Inventory Form'!$E$6="IPCC AR2 Report(1995)",'6.GWP'!$C$2,IF('1.GHG Inventory Form'!$E$6="IPCC AR3 Report(2001)",'6.GWP'!$D$2,IF('1.GHG Inventory Form'!$E$6="IPCC AR4 Report(2007)",'6.GWP'!$E$2,IF('1.GHG Inventory Form'!$E$6="IPCC AR5 Report(2013)",'6.GWP'!$F$2,IF('1.GHG Inventory Form'!$E$6="IPCC AR6 Report(2021)",'6.GWP'!$G$2,0))))),0)</f>
        <v>0</v>
      </c>
      <c r="AP98" s="366">
        <f>IF(AA98="V",IF('1.GHG Inventory Form'!$E$6="IPCC AR2 Report(1995)",#REF!,IF('1.GHG Inventory Form'!$E$6="IPCC AR3 Report(2001)",#REF!,IF('1.GHG Inventory Form'!$E$6="IPCC AR4 Report(2007)",#REF!,IF('1.GHG Inventory Form'!$E$6="IPCC AR5 Report(2013)",#REF!,IF('1.GHG Inventory Form'!$E$6="IPCC AR6 Report(2021)",#REF!,0))))),0)</f>
        <v>0</v>
      </c>
      <c r="AQ98" s="366">
        <v>0</v>
      </c>
      <c r="AR98" s="366">
        <v>0</v>
      </c>
      <c r="AS98" s="366">
        <f>IFERROR(IF(AD98="V",IF('1.GHG Inventory Form'!$E$6="IPCC AR2 Report(1995)",VLOOKUP(#REF!,'6.GWP'!$B$2:$G$173,2,FALSE),IF('1.GHG Inventory Form'!$E$6="IPCC AR3 Report(2001)",VLOOKUP(#REF!,'6.GWP'!$B$2:$G$173,3,FALSE),IF('1.GHG Inventory Form'!$E$6="IPCC AR4 Report(2007)",VLOOKUP(#REF!,'6.GWP'!$B$2:$G$173,4,FALSE),IF('1.GHG Inventory Form'!$E$6="IPCC AR5 Report(2013)",VLOOKUP(#REF!,'6.GWP'!$B$2:$G$173,5,FALSE),IF('1.GHG Inventory Form'!$E$6="IPCC AR6 Report(2021)",VLOOKUP(#REF!,'6.GWP'!$B$2:$G$173,6,FALSE),0))))),0),0)</f>
        <v>0</v>
      </c>
      <c r="AT98" s="392">
        <f>IFERROR(IF(K98=1,IF('1.GHG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98" s="457">
        <f t="shared" si="53"/>
        <v>0</v>
      </c>
      <c r="AV98" s="457">
        <f t="shared" si="54"/>
        <v>0</v>
      </c>
      <c r="AW98" s="457">
        <f t="shared" si="55"/>
        <v>0</v>
      </c>
      <c r="AX98" s="457">
        <f t="shared" si="56"/>
        <v>0</v>
      </c>
      <c r="AY98" s="457">
        <f t="shared" si="57"/>
        <v>0</v>
      </c>
      <c r="AZ98" s="457">
        <f t="shared" si="58"/>
        <v>0</v>
      </c>
      <c r="BA98" s="457">
        <f t="shared" si="59"/>
        <v>0</v>
      </c>
      <c r="BB98" s="393">
        <f t="shared" si="60"/>
        <v>0</v>
      </c>
      <c r="BC98" s="368">
        <f t="shared" si="61"/>
        <v>0</v>
      </c>
      <c r="BD98" s="369">
        <f t="shared" si="62"/>
        <v>0</v>
      </c>
      <c r="BI98" s="86" t="str">
        <f t="shared" si="63"/>
        <v/>
      </c>
      <c r="BJ98" s="86" t="str">
        <f>IF(IF(F98="Y",J98,"")=0,"",(IF(F98="Y",J98,"")))</f>
        <v/>
      </c>
      <c r="BK98" s="86" t="str">
        <f>IF(IF(F98="Y",K98,"")=0,"",(IF(F98="Y",K98,"")))</f>
        <v/>
      </c>
    </row>
    <row r="99" spans="1:66" customFormat="1" ht="41.25" customHeight="1" thickBot="1">
      <c r="A99">
        <v>1</v>
      </c>
      <c r="B99" s="669"/>
      <c r="C99" s="460">
        <v>2.2000000000000002</v>
      </c>
      <c r="D99" s="673" t="s">
        <v>393</v>
      </c>
      <c r="E99" s="651"/>
      <c r="F99" s="453" t="s">
        <v>240</v>
      </c>
      <c r="G99" s="48" t="s">
        <v>240</v>
      </c>
      <c r="H99" s="250" t="s">
        <v>240</v>
      </c>
      <c r="I99" s="365" t="s">
        <v>240</v>
      </c>
      <c r="J99" s="251"/>
      <c r="K99" s="461" t="s">
        <v>394</v>
      </c>
      <c r="M99" s="421"/>
      <c r="N99" s="421"/>
      <c r="O99" s="421"/>
      <c r="P99" s="421"/>
      <c r="Q99" s="429"/>
      <c r="R99" s="421"/>
      <c r="S99" s="421"/>
      <c r="T99" s="421"/>
      <c r="U99" s="421"/>
      <c r="V99" s="421"/>
      <c r="W99" s="421"/>
      <c r="X99" s="421"/>
      <c r="Y99" s="399" t="str">
        <f t="shared" ref="Y99:AE99" si="66">IF(AF99&gt;0.0000000001,"V","")</f>
        <v>V</v>
      </c>
      <c r="Z99" s="400" t="str">
        <f t="shared" si="66"/>
        <v/>
      </c>
      <c r="AA99" s="400" t="str">
        <f t="shared" si="66"/>
        <v/>
      </c>
      <c r="AB99" s="400" t="str">
        <f t="shared" si="66"/>
        <v/>
      </c>
      <c r="AC99" s="400" t="str">
        <f t="shared" si="66"/>
        <v/>
      </c>
      <c r="AD99" s="400" t="str">
        <f t="shared" si="66"/>
        <v/>
      </c>
      <c r="AE99" s="401" t="str">
        <f t="shared" si="66"/>
        <v/>
      </c>
      <c r="AF99" s="399">
        <v>0.27900000000000003</v>
      </c>
      <c r="AG99" s="400">
        <f>IFERROR(IF(#REF!="預設值",ROUND(VLOOKUP(#REF!,'4.Default Emission Factor'!$D:$V,4,FALSE),10),IF(#REF!="自訂值",H99,0)),0)</f>
        <v>0</v>
      </c>
      <c r="AH99" s="400">
        <f>IFERROR(IF(#REF!="預設值",ROUND(VLOOKUP(#REF!,'4.Default Emission Factor'!$D:$V,6,FALSE),10),IF(#REF!="自訂值",I99,0)),0)</f>
        <v>0</v>
      </c>
      <c r="AI99" s="400">
        <f>IFERROR(IF(#REF!="預設值",ROUND(VLOOKUP(#REF!,'4.Default Emission Factor'!$D:$V,8,FALSE),10),IF(#REF!="自訂值",J99,0)),0)</f>
        <v>0</v>
      </c>
      <c r="AJ99" s="400">
        <f>IFERROR(IF(#REF!="預設值",ROUND(VLOOKUP(#REF!,'4.Default Emission Factor'!$D:$V,10,FALSE),10),IF(#REF!="自訂值",#REF!,0)),0)</f>
        <v>0</v>
      </c>
      <c r="AK99" s="400">
        <f>IFERROR(IF(#REF!="預設值",ROUND(VLOOKUP(#REF!,'4.Default Emission Factor'!$D:$V,12,FALSE),10),IF(#REF!="自訂值",#REF!,0)),0)</f>
        <v>0</v>
      </c>
      <c r="AL99" s="400">
        <f>IFERROR(IF(#REF!="預設值",ROUND(VLOOKUP(#REF!,'4.Default Emission Factor'!$D:$V,14,FALSE),10),IF(#REF!="自訂值",#REF!,0)),0)</f>
        <v>0</v>
      </c>
      <c r="AM99" s="435" t="str">
        <f>IFERROR(IF(AND(H99&gt;0,#REF!="S"),VLOOKUP(K99,表格13[[國家&amp;電網]:[電力係數來源2]],3,FALSE),""),"")</f>
        <v/>
      </c>
      <c r="AN99" s="436">
        <f t="shared" si="52"/>
        <v>1</v>
      </c>
      <c r="AO99" s="406">
        <f>IF(Z99="V",IF('1.GHG Inventory Form'!$E$6="IPCC AR2 Report(1995)",'6.GWP'!$C$2,IF('1.GHG Inventory Form'!$E$6="IPCC AR3 Report(2001)",'6.GWP'!$D$2,IF('1.GHG Inventory Form'!$E$6="IPCC AR4 Report(2007)",'6.GWP'!$E$2,IF('1.GHG Inventory Form'!$E$6="IPCC AR5 Report(2013)",'6.GWP'!$F$2,IF('1.GHG Inventory Form'!$E$6="IPCC AR6 Report(2021)",'6.GWP'!$G$2,0))))),0)</f>
        <v>0</v>
      </c>
      <c r="AP99" s="406">
        <f>IF(AA99="V",IF('1.GHG Inventory Form'!$E$6="IPCC AR2 Report(1995)",#REF!,IF('1.GHG Inventory Form'!$E$6="IPCC AR3 Report(2001)",#REF!,IF('1.GHG Inventory Form'!$E$6="IPCC AR4 Report(2007)",#REF!,IF('1.GHG Inventory Form'!$E$6="IPCC AR5 Report(2013)",#REF!,IF('1.GHG Inventory Form'!$E$6="IPCC AR6 Report(2021)",#REF!,0))))),0)</f>
        <v>0</v>
      </c>
      <c r="AQ99" s="366">
        <v>0</v>
      </c>
      <c r="AR99" s="366">
        <v>0</v>
      </c>
      <c r="AS99" s="406">
        <f>IFERROR(IF(AD99="V",IF('1.GHG Inventory Form'!$E$6="IPCC AR2 Report(1995)",VLOOKUP(#REF!,'6.GWP'!$B$2:$G$173,2,FALSE),IF('1.GHG Inventory Form'!$E$6="IPCC AR3 Report(2001)",VLOOKUP(#REF!,'6.GWP'!$B$2:$G$173,3,FALSE),IF('1.GHG Inventory Form'!$E$6="IPCC AR4 Report(2007)",VLOOKUP(#REF!,'6.GWP'!$B$2:$G$173,4,FALSE),IF('1.GHG Inventory Form'!$E$6="IPCC AR5 Report(2013)",VLOOKUP(#REF!,'6.GWP'!$B$2:$G$173,5,FALSE),IF('1.GHG Inventory Form'!$E$6="IPCC AR6 Report(2021)",VLOOKUP(#REF!,'6.GWP'!$B$2:$G$173,6,FALSE),0))))),0),0)</f>
        <v>0</v>
      </c>
      <c r="AT99" s="407">
        <f>IFERROR(IF(K99=1,IF('1.GHG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99" s="457" t="str">
        <f t="shared" si="53"/>
        <v/>
      </c>
      <c r="AV99" s="457" t="str">
        <f t="shared" si="54"/>
        <v/>
      </c>
      <c r="AW99" s="457" t="str">
        <f t="shared" si="55"/>
        <v/>
      </c>
      <c r="AX99" s="457" t="str">
        <f t="shared" si="56"/>
        <v/>
      </c>
      <c r="AY99" s="457" t="str">
        <f t="shared" si="57"/>
        <v/>
      </c>
      <c r="AZ99" s="457" t="str">
        <f t="shared" si="58"/>
        <v/>
      </c>
      <c r="BA99" s="457" t="str">
        <f t="shared" si="59"/>
        <v/>
      </c>
      <c r="BB99" s="409">
        <f t="shared" si="60"/>
        <v>0</v>
      </c>
      <c r="BC99" s="410">
        <f t="shared" si="61"/>
        <v>0</v>
      </c>
      <c r="BD99" s="411">
        <f t="shared" si="62"/>
        <v>0</v>
      </c>
      <c r="BI99" s="86" t="str">
        <f t="shared" si="63"/>
        <v/>
      </c>
      <c r="BJ99" s="86" t="e">
        <f>IF(IF(F99="Y",J99,"")=0,"",(IF(#REF!="S",J99,"")))</f>
        <v>#REF!</v>
      </c>
      <c r="BK99" s="86" t="str">
        <f>IF(IF(F99="Y",K99,"")=0,"",(IF(F99="Y",K99,"")))</f>
        <v/>
      </c>
    </row>
    <row r="100" spans="1:66" customFormat="1" ht="12" customHeight="1" thickBot="1">
      <c r="B100" s="82"/>
      <c r="C100" s="9"/>
      <c r="D100" s="9"/>
      <c r="E100" s="9"/>
      <c r="F100" s="9"/>
      <c r="G100" s="20"/>
      <c r="H100" s="7"/>
      <c r="I100" s="14"/>
      <c r="J100" s="15"/>
      <c r="K100" s="15"/>
      <c r="L100" s="7"/>
      <c r="M100" s="437"/>
      <c r="N100" s="421"/>
      <c r="O100" s="437"/>
      <c r="P100" s="421"/>
      <c r="Q100" s="429"/>
      <c r="R100" s="421"/>
      <c r="S100" s="421"/>
      <c r="T100" s="421"/>
      <c r="U100" s="421"/>
      <c r="V100" s="421"/>
      <c r="W100" s="421"/>
      <c r="X100" s="421"/>
      <c r="Y100" s="11"/>
      <c r="Z100" s="12"/>
      <c r="AA100" s="12"/>
      <c r="AB100" s="12"/>
      <c r="AC100" s="12"/>
      <c r="AD100" s="12"/>
      <c r="AE100" s="12"/>
      <c r="AF100" s="12"/>
      <c r="AG100" s="12"/>
      <c r="AH100" s="12"/>
      <c r="AI100" s="12"/>
      <c r="AJ100" s="12"/>
      <c r="AK100" s="12"/>
      <c r="AL100" s="12"/>
      <c r="AM100" s="13"/>
      <c r="AN100" s="105"/>
      <c r="AO100" s="105"/>
      <c r="AP100" s="105"/>
      <c r="AQ100" s="105"/>
      <c r="AR100" s="105"/>
      <c r="AS100" s="105"/>
      <c r="AT100" s="105"/>
      <c r="AU100" s="106"/>
      <c r="AV100" s="106"/>
      <c r="AW100" s="106"/>
      <c r="AX100" s="106"/>
      <c r="AY100" s="106"/>
      <c r="AZ100" s="106"/>
      <c r="BA100" s="107"/>
      <c r="BC100" s="273"/>
      <c r="BD100" s="273"/>
      <c r="BJ100" s="86" t="str">
        <f>IF(I100="S",N100,"")</f>
        <v/>
      </c>
    </row>
    <row r="101" spans="1:66" s="133" customFormat="1" ht="62.25" customHeight="1" thickBot="1">
      <c r="A101"/>
      <c r="B101" s="462" t="s">
        <v>395</v>
      </c>
      <c r="C101" s="311" t="s">
        <v>375</v>
      </c>
      <c r="D101" s="660" t="s">
        <v>376</v>
      </c>
      <c r="E101" s="661"/>
      <c r="F101" s="314" t="s">
        <v>272</v>
      </c>
      <c r="G101" s="463" t="s">
        <v>396</v>
      </c>
      <c r="H101" s="312" t="s">
        <v>397</v>
      </c>
      <c r="I101" s="312" t="s">
        <v>278</v>
      </c>
      <c r="J101" s="312" t="s">
        <v>280</v>
      </c>
      <c r="K101" s="463" t="s">
        <v>398</v>
      </c>
      <c r="L101" s="463" t="s">
        <v>399</v>
      </c>
      <c r="M101" s="463" t="s">
        <v>400</v>
      </c>
      <c r="N101" s="464" t="s">
        <v>401</v>
      </c>
      <c r="O101" s="463" t="s">
        <v>402</v>
      </c>
      <c r="P101" s="463" t="s">
        <v>403</v>
      </c>
      <c r="Q101" s="464" t="s">
        <v>404</v>
      </c>
      <c r="R101" s="441"/>
      <c r="S101" s="441"/>
      <c r="T101" s="441"/>
      <c r="U101" s="442"/>
      <c r="V101" s="441"/>
      <c r="W101" s="441"/>
      <c r="X101" s="441"/>
      <c r="Y101" s="443"/>
      <c r="Z101" s="444"/>
      <c r="AA101" s="444"/>
      <c r="AB101" s="444"/>
      <c r="AC101" s="444"/>
      <c r="AD101" s="444"/>
      <c r="AE101" s="445"/>
      <c r="AF101" s="465"/>
      <c r="AG101" s="444"/>
      <c r="AH101" s="444"/>
      <c r="AI101" s="444"/>
      <c r="AJ101" s="444"/>
      <c r="AK101" s="444"/>
      <c r="AL101" s="444"/>
      <c r="AM101" s="440"/>
      <c r="AN101" s="466"/>
      <c r="AO101" s="467"/>
      <c r="AP101" s="467"/>
      <c r="AQ101" s="467"/>
      <c r="AR101" s="467"/>
      <c r="AS101" s="467"/>
      <c r="AT101" s="468"/>
      <c r="AU101" s="469"/>
      <c r="AV101" s="470"/>
      <c r="AW101" s="470"/>
      <c r="AX101" s="470"/>
      <c r="AY101" s="470"/>
      <c r="AZ101" s="470"/>
      <c r="BA101" s="471"/>
      <c r="BB101" s="303" t="s">
        <v>405</v>
      </c>
      <c r="BC101" s="451" t="s">
        <v>406</v>
      </c>
      <c r="BD101" s="452" t="s">
        <v>407</v>
      </c>
      <c r="BE101"/>
      <c r="BF101"/>
      <c r="BG101"/>
      <c r="BH101"/>
      <c r="BI101"/>
      <c r="BJ101"/>
      <c r="BK101"/>
      <c r="BL101"/>
      <c r="BM101"/>
      <c r="BN101"/>
    </row>
    <row r="102" spans="1:66">
      <c r="B102" s="630" t="s">
        <v>408</v>
      </c>
      <c r="C102" s="662">
        <v>3.1</v>
      </c>
      <c r="D102" s="663" t="s">
        <v>409</v>
      </c>
      <c r="E102" s="663"/>
      <c r="F102" s="472"/>
      <c r="G102" s="70" t="s">
        <v>410</v>
      </c>
      <c r="H102" s="108"/>
      <c r="I102" s="174"/>
      <c r="J102" s="22"/>
      <c r="K102" s="472"/>
      <c r="L102" s="199"/>
      <c r="M102" s="199"/>
      <c r="N102" s="200"/>
      <c r="O102" s="31"/>
      <c r="P102" s="31"/>
      <c r="Q102" s="27"/>
      <c r="R102" s="421"/>
      <c r="S102" s="421"/>
      <c r="T102" s="421"/>
      <c r="U102" s="421"/>
      <c r="V102" s="421"/>
      <c r="W102" s="421"/>
      <c r="X102" s="421"/>
      <c r="Y102" s="389" t="str">
        <f t="shared" ref="Y102:Y133" si="67">IF(AF102&gt;0.0000000001,"V","")</f>
        <v/>
      </c>
      <c r="Z102" s="364" t="str">
        <f t="shared" ref="Z102:Z133" si="68">IF(AG102&gt;0.0000000001,"V","")</f>
        <v/>
      </c>
      <c r="AA102" s="364" t="str">
        <f t="shared" ref="AA102:AA133" si="69">IF(AH102&gt;0.0000000001,"V","")</f>
        <v/>
      </c>
      <c r="AB102" s="364" t="str">
        <f t="shared" ref="AB102:AB133" si="70">IF(AI102&gt;0.0000000001,"V","")</f>
        <v/>
      </c>
      <c r="AC102" s="364" t="str">
        <f t="shared" ref="AC102:AC133" si="71">IF(AJ102&gt;0.0000000001,"V","")</f>
        <v/>
      </c>
      <c r="AD102" s="364" t="str">
        <f t="shared" ref="AD102:AD133" si="72">IF(AK102&gt;0.0000000001,"V","")</f>
        <v/>
      </c>
      <c r="AE102" s="390" t="str">
        <f t="shared" ref="AE102:AE133" si="73">IF(AL102&gt;0.0000000001,"V","")</f>
        <v/>
      </c>
      <c r="AF102" s="473">
        <f t="shared" ref="AF102:AF133" si="74">IFERROR(IF(K102="預設值Default",L102,IF(K102="自訂值Custom Value",O102,0)),0)</f>
        <v>0</v>
      </c>
      <c r="AG102" s="364">
        <f>IFERROR(VLOOKUP($O102,#REF!,4,FALSE),0)</f>
        <v>0</v>
      </c>
      <c r="AH102" s="364">
        <f>IFERROR(VLOOKUP($O102,#REF!,6,FALSE),0)</f>
        <v>0</v>
      </c>
      <c r="AI102" s="364">
        <f>IFERROR(VLOOKUP($O102,#REF!,8,FALSE),0)</f>
        <v>0</v>
      </c>
      <c r="AJ102" s="364">
        <f>IFERROR(VLOOKUP($O102,#REF!,10,FALSE),0)</f>
        <v>0</v>
      </c>
      <c r="AK102" s="364">
        <f>IFERROR(VLOOKUP($O102,#REF!,12,FALSE),0)</f>
        <v>0</v>
      </c>
      <c r="AL102" s="364">
        <f>IFERROR(VLOOKUP($O102,#REF!,14,FALSE),0)</f>
        <v>0</v>
      </c>
      <c r="AM102" s="390">
        <f t="shared" ref="AM102:AM133" si="75">IFERROR(IF(K102="預設值Default",N102,IF(K102="自訂值Custom Value",Q102,0)),0)</f>
        <v>0</v>
      </c>
      <c r="AN102" s="384">
        <f t="shared" ref="AN102:AN133" si="76">IF(Y102="V",1,0)</f>
        <v>0</v>
      </c>
      <c r="AO102" s="357">
        <f>IF(Z102="V",IF('1.GHG Inventory Form'!$E$6="IPCC AR2 Report(1995)",'6.GWP'!$C$2,IF('1.GHG Inventory Form'!$E$6="IPCC AR3 Report(2001)",'6.GWP'!$D$2,IF('1.GHG Inventory Form'!$E$6="IPCC AR4 Report(2007)",'6.GWP'!$E$2,IF('1.GHG Inventory Form'!$E$6="IPCC AR5 Report(2013)",'6.GWP'!$F$2,IF('1.GHG Inventory Form'!$E$6="IPCC AR6 Report(2021)",'6.GWP'!$G$2,0))))),0)</f>
        <v>0</v>
      </c>
      <c r="AP102" s="357">
        <f>IF(AA102="V",IF('1.GHG Inventory Form'!$E$6="IPCC AR2 Report(1995)",'6.GWP'!$C$3,IF('1.GHG Inventory Form'!$E$6="IPCC AR3 Report(2001)",'6.GWP'!$D$3,IF('1.GHG Inventory Form'!$E$6="IPCC AR4 Report(2007)",'6.GWP'!$E$3,IF('1.GHG Inventory Form'!$E$6="IPCC AR5 Report(2013)",'6.GWP'!$F$3,IF('1.GHG Inventory Form'!$E$6="IPCC AR6 Report(2021)",'6.GWP'!$G$3,0))))),0)</f>
        <v>0</v>
      </c>
      <c r="AQ102" s="357">
        <f>IFERROR(IF(AB102="V",IF('1.GHG Inventory Form'!$E$6="IPCC AR2 Report(1995)",VLOOKUP($O102,'6.GWP'!$B$1:$G$173,2,FALSE),IF('1.GHG Inventory Form'!$E$6="IPCC AR3 Report(2001)",VLOOKUP($O102,'6.GWP'!$B$1:$G$173,3,FALSE),IF('1.GHG Inventory Form'!$E$6="IPCC AR4 Report(2007)",VLOOKUP($KQ2,'6.GWP'!$B$1:$G$173,4,FALSE),IF('1.GHG Inventory Form'!$E$6="IPCC AR5 Report(2013)",VLOOKUP($O102,'6.GWP'!$B$1:$G$173,5,FALSE),IF('1.GHG Inventory Form'!$E$6="IPCC AR6 Report(2021)",VLOOKUP($O102,'6.GWP'!$B$2:$G$173,6,FALSE),0))))),0),0)</f>
        <v>0</v>
      </c>
      <c r="AR102" s="357">
        <f>IFERROR(IF(AC102="V",IF('1.GHG Inventory Form'!$E$6="IPCC AR2 Report(1995)",VLOOKUP($O102,'6.GWP'!$B$1:$G$173,2,FALSE),IF('1.GHG Inventory Form'!$E$6="IPCC AR3 Report(2001)",VLOOKUP($O102,'6.GWP'!$B$1:$G$173,3,FALSE),IF('1.GHG Inventory Form'!$E$6="IPCC AR4 Report(2007)",VLOOKUP($KQ2,'6.GWP'!$B$1:$G$173,4,FALSE),IF('1.GHG Inventory Form'!$E$6="IPCC AR5 Report(2013)",VLOOKUP($O102,'6.GWP'!$B$1:$G$173,5,FALSE),IF('1.GHG Inventory Form'!$E$6="IPCC AR6 Report(2021)",VLOOKUP($O102,'6.GWP'!$B$2:$G$173,6,FALSE),0))))),0),0)</f>
        <v>0</v>
      </c>
      <c r="AS102" s="357">
        <f>IF(AD102="V",IF('1.GHG Inventory Form'!$E$6="IPCC AR2 Report(1995)",'6.GWP'!$C$5,IF('1.GHG Inventory Form'!$E$6="IPCC AR3 Report(2001)",'6.GWP'!$D$5,IF('1.GHG Inventory Form'!$E$6="IPCC AR4 Report(2007)",'6.GWP'!$E$5,IF('1.GHG Inventory Form'!$E$6="IPCC AR5 Report(2013)",'6.GWP'!$F$5,IF('1.GHG Inventory Form'!$E$6="IPCC AR6 Report(2021)",'6.GWP'!$G$5,0))))),0)</f>
        <v>0</v>
      </c>
      <c r="AT102" s="385">
        <f>IF(AE102="V",IF('1.GHG Inventory Form'!$E$6="IPCC AR2 Report(1995)",'6.GWP'!$C$4,IF('1.GHG Inventory Form'!$E$6="IPCC AR3 Report(2001)",'6.GWP'!$D$4,IF('1.GHG Inventory Form'!$E$6="IPCC AR4 Report(2007)",'6.GWP'!$E$4,IF('1.GHG Inventory Form'!$E$6="IPCC AR5 Report(2013)",'6.GWP'!$F$4,IF('1.GHG Inventory Form'!$E$6="IPCC AR6 Report(2021)",'6.GWP'!$G$4,0))))),0)</f>
        <v>0</v>
      </c>
      <c r="AU102" s="474">
        <f t="shared" ref="AU102:AU131" si="77">$H102*AF102*AN102</f>
        <v>0</v>
      </c>
      <c r="AV102" s="358">
        <f t="shared" ref="AV102:AV131" si="78">$H102*AG102*AO102</f>
        <v>0</v>
      </c>
      <c r="AW102" s="358">
        <f t="shared" ref="AW102:AW131" si="79">$H102*AH102*AP102</f>
        <v>0</v>
      </c>
      <c r="AX102" s="358">
        <f t="shared" ref="AX102:AX131" si="80">$H102*AI102*AQ102</f>
        <v>0</v>
      </c>
      <c r="AY102" s="358">
        <f t="shared" ref="AY102:AY131" si="81">$H102*AJ102*AR102</f>
        <v>0</v>
      </c>
      <c r="AZ102" s="358">
        <f t="shared" ref="AZ102:AZ131" si="82">$H102*AK102*AS102</f>
        <v>0</v>
      </c>
      <c r="BA102" s="475">
        <f t="shared" ref="BA102:BA131" si="83">$H102*AL102*AT102</f>
        <v>0</v>
      </c>
      <c r="BB102" s="386">
        <f t="shared" ref="BB102:BB133" si="84">ROUND(SUM(AU102:BA102),4)</f>
        <v>0</v>
      </c>
      <c r="BC102" s="358"/>
      <c r="BD102" s="360">
        <f t="shared" ref="BD102:BD133" si="85">BB102/$BB$169</f>
        <v>0</v>
      </c>
      <c r="BI102" s="86" t="str">
        <f t="shared" ref="BI102:BI133" si="86">IF(F102="Y",G102,"")</f>
        <v/>
      </c>
      <c r="BJ102" s="86" t="str">
        <f t="shared" ref="BJ102:BJ133" si="87">IF(IF(F102="Y",J102,"")=0,"",(IF(F102="Y",J102,"")))</f>
        <v/>
      </c>
      <c r="BK102" s="86" t="str">
        <f t="shared" ref="BK102:BK133" si="88">IF(IF(AND(F102="Y",K102="預設值Default"),N102,IF(AND(F102="Y",K102="自訂值Custom Value"),Q102,""))=0,"",IF(AND(F102="Y",K102="預設值Default"),N102,IF(AND(F102="Y",K102="自訂值Custom Value"),Q102,"")))</f>
        <v/>
      </c>
    </row>
    <row r="103" spans="1:66">
      <c r="B103" s="634"/>
      <c r="C103" s="636"/>
      <c r="D103" s="663"/>
      <c r="E103" s="663"/>
      <c r="F103" s="477"/>
      <c r="G103" s="43" t="s">
        <v>411</v>
      </c>
      <c r="H103" s="110"/>
      <c r="I103" s="175"/>
      <c r="J103" s="85"/>
      <c r="K103" s="477"/>
      <c r="L103" s="201"/>
      <c r="M103" s="201"/>
      <c r="N103" s="202"/>
      <c r="O103" s="32"/>
      <c r="P103" s="32"/>
      <c r="Q103" s="28"/>
      <c r="R103" s="421"/>
      <c r="S103" s="421"/>
      <c r="T103" s="421"/>
      <c r="U103" s="421"/>
      <c r="V103" s="421"/>
      <c r="W103" s="421"/>
      <c r="X103" s="421"/>
      <c r="Y103" s="389" t="str">
        <f t="shared" si="67"/>
        <v/>
      </c>
      <c r="Z103" s="364" t="str">
        <f t="shared" si="68"/>
        <v/>
      </c>
      <c r="AA103" s="364" t="str">
        <f t="shared" si="69"/>
        <v/>
      </c>
      <c r="AB103" s="364" t="str">
        <f t="shared" si="70"/>
        <v/>
      </c>
      <c r="AC103" s="364" t="str">
        <f t="shared" si="71"/>
        <v/>
      </c>
      <c r="AD103" s="364" t="str">
        <f t="shared" si="72"/>
        <v/>
      </c>
      <c r="AE103" s="390" t="str">
        <f t="shared" si="73"/>
        <v/>
      </c>
      <c r="AF103" s="473">
        <f t="shared" si="74"/>
        <v>0</v>
      </c>
      <c r="AG103" s="364">
        <f>IFERROR(VLOOKUP($O103,#REF!,4,FALSE),0)</f>
        <v>0</v>
      </c>
      <c r="AH103" s="364">
        <f>IFERROR(VLOOKUP($O103,#REF!,6,FALSE),0)</f>
        <v>0</v>
      </c>
      <c r="AI103" s="364">
        <f>IFERROR(VLOOKUP($O103,#REF!,8,FALSE),0)</f>
        <v>0</v>
      </c>
      <c r="AJ103" s="364">
        <f>IFERROR(VLOOKUP($O103,#REF!,10,FALSE),0)</f>
        <v>0</v>
      </c>
      <c r="AK103" s="364">
        <f>IFERROR(VLOOKUP($O103,#REF!,12,FALSE),0)</f>
        <v>0</v>
      </c>
      <c r="AL103" s="364">
        <f>IFERROR(VLOOKUP($O103,#REF!,14,FALSE),0)</f>
        <v>0</v>
      </c>
      <c r="AM103" s="390">
        <f t="shared" si="75"/>
        <v>0</v>
      </c>
      <c r="AN103" s="391">
        <f t="shared" si="76"/>
        <v>0</v>
      </c>
      <c r="AO103" s="366">
        <f>IF(Z103="V",IF('1.GHG Inventory Form'!$E$6="IPCC AR2 Report(1995)",'6.GWP'!$C$2,IF('1.GHG Inventory Form'!$E$6="IPCC AR3 Report(2001)",'6.GWP'!$D$2,IF('1.GHG Inventory Form'!$E$6="IPCC AR4 Report(2007)",'6.GWP'!$E$2,IF('1.GHG Inventory Form'!$E$6="IPCC AR5 Report(2013)",'6.GWP'!$F$2,IF('1.GHG Inventory Form'!$E$6="IPCC AR6 Report(2021)",'6.GWP'!$G$2,0))))),0)</f>
        <v>0</v>
      </c>
      <c r="AP103" s="366">
        <f>IF(AA103="V",IF('1.GHG Inventory Form'!$E$6="IPCC AR2 Report(1995)",'6.GWP'!$C$3,IF('1.GHG Inventory Form'!$E$6="IPCC AR3 Report(2001)",'6.GWP'!$D$3,IF('1.GHG Inventory Form'!$E$6="IPCC AR4 Report(2007)",'6.GWP'!$E$3,IF('1.GHG Inventory Form'!$E$6="IPCC AR5 Report(2013)",'6.GWP'!$F$3,IF('1.GHG Inventory Form'!$E$6="IPCC AR6 Report(2021)",'6.GWP'!$G$3,0))))),0)</f>
        <v>0</v>
      </c>
      <c r="AQ103" s="366">
        <f>IFERROR(IF(AB103="V",IF('1.GHG Inventory Form'!$E$6="IPCC AR2 Report(1995)",VLOOKUP($O103,'6.GWP'!$B$1:$G$173,2,FALSE),IF('1.GHG Inventory Form'!$E$6="IPCC AR3 Report(2001)",VLOOKUP($O103,'6.GWP'!$B$1:$G$173,3,FALSE),IF('1.GHG Inventory Form'!$E$6="IPCC AR4 Report(2007)",VLOOKUP($KQ5,'6.GWP'!$B$1:$G$173,4,FALSE),IF('1.GHG Inventory Form'!$E$6="IPCC AR5 Report(2013)",VLOOKUP($O103,'6.GWP'!$B$1:$G$173,5,FALSE),IF('1.GHG Inventory Form'!$E$6="IPCC AR6 Report(2021)",VLOOKUP($O103,'6.GWP'!$B$2:$G$173,6,FALSE),0))))),0),0)</f>
        <v>0</v>
      </c>
      <c r="AR103" s="366">
        <f>IFERROR(IF(AC103="V",IF('1.GHG Inventory Form'!$E$6="IPCC AR2 Report(1995)",VLOOKUP($O103,'6.GWP'!$B$1:$G$173,2,FALSE),IF('1.GHG Inventory Form'!$E$6="IPCC AR3 Report(2001)",VLOOKUP($O103,'6.GWP'!$B$1:$G$173,3,FALSE),IF('1.GHG Inventory Form'!$E$6="IPCC AR4 Report(2007)",VLOOKUP($KQ5,'6.GWP'!$B$1:$G$173,4,FALSE),IF('1.GHG Inventory Form'!$E$6="IPCC AR5 Report(2013)",VLOOKUP($O103,'6.GWP'!$B$1:$G$173,5,FALSE),IF('1.GHG Inventory Form'!$E$6="IPCC AR6 Report(2021)",VLOOKUP($O103,'6.GWP'!$B$2:$G$173,6,FALSE),0))))),0),0)</f>
        <v>0</v>
      </c>
      <c r="AS103" s="366">
        <f>IF(AD103="V",IF('1.GHG Inventory Form'!$E$6="IPCC AR2 Report(1995)",'6.GWP'!$C$5,IF('1.GHG Inventory Form'!$E$6="IPCC AR3 Report(2001)",'6.GWP'!$D$5,IF('1.GHG Inventory Form'!$E$6="IPCC AR4 Report(2007)",'6.GWP'!$E$5,IF('1.GHG Inventory Form'!$E$6="IPCC AR5 Report(2013)",'6.GWP'!$F$5,IF('1.GHG Inventory Form'!$E$6="IPCC AR6 Report(2021)",'6.GWP'!$G$5,0))))),0)</f>
        <v>0</v>
      </c>
      <c r="AT103" s="392">
        <f>IF(AE103="V",IF('1.GHG Inventory Form'!$E$6="IPCC AR2 Report(1995)",'6.GWP'!$C$4,IF('1.GHG Inventory Form'!$E$6="IPCC AR3 Report(2001)",'6.GWP'!$D$4,IF('1.GHG Inventory Form'!$E$6="IPCC AR4 Report(2007)",'6.GWP'!$E$4,IF('1.GHG Inventory Form'!$E$6="IPCC AR5 Report(2013)",'6.GWP'!$F$4,IF('1.GHG Inventory Form'!$E$6="IPCC AR6 Report(2021)",'6.GWP'!$G$4,0))))),0)</f>
        <v>0</v>
      </c>
      <c r="AU103" s="478">
        <f t="shared" si="77"/>
        <v>0</v>
      </c>
      <c r="AV103" s="367">
        <f t="shared" si="78"/>
        <v>0</v>
      </c>
      <c r="AW103" s="367">
        <f t="shared" si="79"/>
        <v>0</v>
      </c>
      <c r="AX103" s="367">
        <f t="shared" si="80"/>
        <v>0</v>
      </c>
      <c r="AY103" s="367">
        <f t="shared" si="81"/>
        <v>0</v>
      </c>
      <c r="AZ103" s="367">
        <f t="shared" si="82"/>
        <v>0</v>
      </c>
      <c r="BA103" s="479">
        <f t="shared" si="83"/>
        <v>0</v>
      </c>
      <c r="BB103" s="393">
        <f t="shared" si="84"/>
        <v>0</v>
      </c>
      <c r="BC103" s="367"/>
      <c r="BD103" s="369">
        <f t="shared" si="85"/>
        <v>0</v>
      </c>
      <c r="BI103" s="86" t="str">
        <f t="shared" si="86"/>
        <v/>
      </c>
      <c r="BJ103" s="86" t="str">
        <f t="shared" si="87"/>
        <v/>
      </c>
      <c r="BK103" s="86" t="str">
        <f t="shared" si="88"/>
        <v/>
      </c>
    </row>
    <row r="104" spans="1:66">
      <c r="B104" s="634"/>
      <c r="C104" s="636"/>
      <c r="D104" s="663"/>
      <c r="E104" s="663"/>
      <c r="F104" s="477"/>
      <c r="G104" s="43" t="s">
        <v>412</v>
      </c>
      <c r="H104" s="110"/>
      <c r="I104" s="175"/>
      <c r="J104" s="85"/>
      <c r="K104" s="477"/>
      <c r="L104" s="201"/>
      <c r="M104" s="201"/>
      <c r="N104" s="202"/>
      <c r="O104" s="32"/>
      <c r="P104" s="32"/>
      <c r="Q104" s="28"/>
      <c r="R104" s="421"/>
      <c r="S104" s="421"/>
      <c r="T104" s="421"/>
      <c r="U104" s="421"/>
      <c r="V104" s="421"/>
      <c r="W104" s="421"/>
      <c r="X104" s="421"/>
      <c r="Y104" s="389" t="str">
        <f t="shared" si="67"/>
        <v/>
      </c>
      <c r="Z104" s="364" t="str">
        <f t="shared" si="68"/>
        <v/>
      </c>
      <c r="AA104" s="364" t="str">
        <f t="shared" si="69"/>
        <v/>
      </c>
      <c r="AB104" s="364" t="str">
        <f t="shared" si="70"/>
        <v/>
      </c>
      <c r="AC104" s="364" t="str">
        <f t="shared" si="71"/>
        <v/>
      </c>
      <c r="AD104" s="364" t="str">
        <f t="shared" si="72"/>
        <v/>
      </c>
      <c r="AE104" s="390" t="str">
        <f t="shared" si="73"/>
        <v/>
      </c>
      <c r="AF104" s="473">
        <f t="shared" si="74"/>
        <v>0</v>
      </c>
      <c r="AG104" s="364">
        <f>IFERROR(VLOOKUP($O104,#REF!,4,FALSE),0)</f>
        <v>0</v>
      </c>
      <c r="AH104" s="364">
        <f>IFERROR(VLOOKUP($O104,#REF!,6,FALSE),0)</f>
        <v>0</v>
      </c>
      <c r="AI104" s="364">
        <f>IFERROR(VLOOKUP($O104,#REF!,8,FALSE),0)</f>
        <v>0</v>
      </c>
      <c r="AJ104" s="364">
        <f>IFERROR(VLOOKUP($O104,#REF!,10,FALSE),0)</f>
        <v>0</v>
      </c>
      <c r="AK104" s="364">
        <f>IFERROR(VLOOKUP($O104,#REF!,12,FALSE),0)</f>
        <v>0</v>
      </c>
      <c r="AL104" s="364">
        <f>IFERROR(VLOOKUP($O104,#REF!,14,FALSE),0)</f>
        <v>0</v>
      </c>
      <c r="AM104" s="390">
        <f t="shared" si="75"/>
        <v>0</v>
      </c>
      <c r="AN104" s="391">
        <f t="shared" si="76"/>
        <v>0</v>
      </c>
      <c r="AO104" s="366">
        <f>IF(Z104="V",IF('1.GHG Inventory Form'!$E$6="IPCC AR2 Report(1995)",'6.GWP'!$C$2,IF('1.GHG Inventory Form'!$E$6="IPCC AR3 Report(2001)",'6.GWP'!$D$2,IF('1.GHG Inventory Form'!$E$6="IPCC AR4 Report(2007)",'6.GWP'!$E$2,IF('1.GHG Inventory Form'!$E$6="IPCC AR5 Report(2013)",'6.GWP'!$F$2,IF('1.GHG Inventory Form'!$E$6="IPCC AR6 Report(2021)",'6.GWP'!$G$2,0))))),0)</f>
        <v>0</v>
      </c>
      <c r="AP104" s="366">
        <f>IF(AA104="V",IF('1.GHG Inventory Form'!$E$6="IPCC AR2 Report(1995)",'6.GWP'!$C$3,IF('1.GHG Inventory Form'!$E$6="IPCC AR3 Report(2001)",'6.GWP'!$D$3,IF('1.GHG Inventory Form'!$E$6="IPCC AR4 Report(2007)",'6.GWP'!$E$3,IF('1.GHG Inventory Form'!$E$6="IPCC AR5 Report(2013)",'6.GWP'!$F$3,IF('1.GHG Inventory Form'!$E$6="IPCC AR6 Report(2021)",'6.GWP'!$G$3,0))))),0)</f>
        <v>0</v>
      </c>
      <c r="AQ104" s="366">
        <f>IFERROR(IF(AB104="V",IF('1.GHG Inventory Form'!$E$6="IPCC AR2 Report(1995)",VLOOKUP($O104,'6.GWP'!$B$1:$G$173,2,FALSE),IF('1.GHG Inventory Form'!$E$6="IPCC AR3 Report(2001)",VLOOKUP($O104,'6.GWP'!$B$1:$G$173,3,FALSE),IF('1.GHG Inventory Form'!$E$6="IPCC AR4 Report(2007)",VLOOKUP($KQ6,'6.GWP'!$B$1:$G$173,4,FALSE),IF('1.GHG Inventory Form'!$E$6="IPCC AR5 Report(2013)",VLOOKUP($O104,'6.GWP'!$B$1:$G$173,5,FALSE),IF('1.GHG Inventory Form'!$E$6="IPCC AR6 Report(2021)",VLOOKUP($O104,'6.GWP'!$B$2:$G$173,6,FALSE),0))))),0),0)</f>
        <v>0</v>
      </c>
      <c r="AR104" s="366">
        <f>IFERROR(IF(AC104="V",IF('1.GHG Inventory Form'!$E$6="IPCC AR2 Report(1995)",VLOOKUP($O104,'6.GWP'!$B$1:$G$173,2,FALSE),IF('1.GHG Inventory Form'!$E$6="IPCC AR3 Report(2001)",VLOOKUP($O104,'6.GWP'!$B$1:$G$173,3,FALSE),IF('1.GHG Inventory Form'!$E$6="IPCC AR4 Report(2007)",VLOOKUP($KQ6,'6.GWP'!$B$1:$G$173,4,FALSE),IF('1.GHG Inventory Form'!$E$6="IPCC AR5 Report(2013)",VLOOKUP($O104,'6.GWP'!$B$1:$G$173,5,FALSE),IF('1.GHG Inventory Form'!$E$6="IPCC AR6 Report(2021)",VLOOKUP($O104,'6.GWP'!$B$2:$G$173,6,FALSE),0))))),0),0)</f>
        <v>0</v>
      </c>
      <c r="AS104" s="366">
        <f>IF(AD104="V",IF('1.GHG Inventory Form'!$E$6="IPCC AR2 Report(1995)",'6.GWP'!$C$5,IF('1.GHG Inventory Form'!$E$6="IPCC AR3 Report(2001)",'6.GWP'!$D$5,IF('1.GHG Inventory Form'!$E$6="IPCC AR4 Report(2007)",'6.GWP'!$E$5,IF('1.GHG Inventory Form'!$E$6="IPCC AR5 Report(2013)",'6.GWP'!$F$5,IF('1.GHG Inventory Form'!$E$6="IPCC AR6 Report(2021)",'6.GWP'!$G$5,0))))),0)</f>
        <v>0</v>
      </c>
      <c r="AT104" s="392">
        <f>IF(AE104="V",IF('1.GHG Inventory Form'!$E$6="IPCC AR2 Report(1995)",'6.GWP'!$C$4,IF('1.GHG Inventory Form'!$E$6="IPCC AR3 Report(2001)",'6.GWP'!$D$4,IF('1.GHG Inventory Form'!$E$6="IPCC AR4 Report(2007)",'6.GWP'!$E$4,IF('1.GHG Inventory Form'!$E$6="IPCC AR5 Report(2013)",'6.GWP'!$F$4,IF('1.GHG Inventory Form'!$E$6="IPCC AR6 Report(2021)",'6.GWP'!$G$4,0))))),0)</f>
        <v>0</v>
      </c>
      <c r="AU104" s="478">
        <f t="shared" si="77"/>
        <v>0</v>
      </c>
      <c r="AV104" s="367">
        <f t="shared" si="78"/>
        <v>0</v>
      </c>
      <c r="AW104" s="367">
        <f t="shared" si="79"/>
        <v>0</v>
      </c>
      <c r="AX104" s="367">
        <f t="shared" si="80"/>
        <v>0</v>
      </c>
      <c r="AY104" s="367">
        <f t="shared" si="81"/>
        <v>0</v>
      </c>
      <c r="AZ104" s="367">
        <f t="shared" si="82"/>
        <v>0</v>
      </c>
      <c r="BA104" s="479">
        <f t="shared" si="83"/>
        <v>0</v>
      </c>
      <c r="BB104" s="393">
        <f t="shared" si="84"/>
        <v>0</v>
      </c>
      <c r="BC104" s="367"/>
      <c r="BD104" s="369">
        <f t="shared" si="85"/>
        <v>0</v>
      </c>
      <c r="BI104" s="86" t="str">
        <f t="shared" si="86"/>
        <v/>
      </c>
      <c r="BJ104" s="86" t="str">
        <f t="shared" si="87"/>
        <v/>
      </c>
      <c r="BK104" s="86" t="str">
        <f t="shared" si="88"/>
        <v/>
      </c>
    </row>
    <row r="105" spans="1:66" customFormat="1" ht="16" customHeight="1" thickBot="1">
      <c r="B105" s="634"/>
      <c r="C105" s="637"/>
      <c r="D105" s="663"/>
      <c r="E105" s="663"/>
      <c r="F105" s="481"/>
      <c r="G105" s="29" t="s">
        <v>413</v>
      </c>
      <c r="H105" s="111"/>
      <c r="I105" s="176"/>
      <c r="J105" s="112"/>
      <c r="K105" s="481"/>
      <c r="L105" s="203"/>
      <c r="M105" s="203"/>
      <c r="N105" s="204"/>
      <c r="O105" s="60"/>
      <c r="P105" s="60"/>
      <c r="Q105" s="61"/>
      <c r="R105" s="421"/>
      <c r="S105" s="421"/>
      <c r="T105" s="421"/>
      <c r="U105" s="421"/>
      <c r="V105" s="421"/>
      <c r="W105" s="421"/>
      <c r="X105" s="421"/>
      <c r="Y105" s="389" t="str">
        <f t="shared" si="67"/>
        <v/>
      </c>
      <c r="Z105" s="364" t="str">
        <f t="shared" si="68"/>
        <v/>
      </c>
      <c r="AA105" s="364" t="str">
        <f t="shared" si="69"/>
        <v/>
      </c>
      <c r="AB105" s="364" t="str">
        <f t="shared" si="70"/>
        <v/>
      </c>
      <c r="AC105" s="364" t="str">
        <f t="shared" si="71"/>
        <v/>
      </c>
      <c r="AD105" s="364" t="str">
        <f t="shared" si="72"/>
        <v/>
      </c>
      <c r="AE105" s="390" t="str">
        <f t="shared" si="73"/>
        <v/>
      </c>
      <c r="AF105" s="473">
        <f t="shared" si="74"/>
        <v>0</v>
      </c>
      <c r="AG105" s="364">
        <f>IFERROR(VLOOKUP($O105,#REF!,4,FALSE),0)</f>
        <v>0</v>
      </c>
      <c r="AH105" s="364">
        <f>IFERROR(VLOOKUP($O105,#REF!,6,FALSE),0)</f>
        <v>0</v>
      </c>
      <c r="AI105" s="364">
        <f>IFERROR(VLOOKUP($O105,#REF!,8,FALSE),0)</f>
        <v>0</v>
      </c>
      <c r="AJ105" s="364">
        <f>IFERROR(VLOOKUP($O105,#REF!,10,FALSE),0)</f>
        <v>0</v>
      </c>
      <c r="AK105" s="364">
        <f>IFERROR(VLOOKUP($O105,#REF!,12,FALSE),0)</f>
        <v>0</v>
      </c>
      <c r="AL105" s="364">
        <f>IFERROR(VLOOKUP($O105,#REF!,14,FALSE),0)</f>
        <v>0</v>
      </c>
      <c r="AM105" s="390">
        <f t="shared" si="75"/>
        <v>0</v>
      </c>
      <c r="AN105" s="405">
        <f t="shared" si="76"/>
        <v>0</v>
      </c>
      <c r="AO105" s="406">
        <f>IF(Z105="V",IF('1.GHG Inventory Form'!$E$6="IPCC AR2 Report(1995)",'6.GWP'!$C$2,IF('1.GHG Inventory Form'!$E$6="IPCC AR3 Report(2001)",'6.GWP'!$D$2,IF('1.GHG Inventory Form'!$E$6="IPCC AR4 Report(2007)",'6.GWP'!$E$2,IF('1.GHG Inventory Form'!$E$6="IPCC AR5 Report(2013)",'6.GWP'!$F$2,IF('1.GHG Inventory Form'!$E$6="IPCC AR6 Report(2021)",'6.GWP'!$G$2,0))))),0)</f>
        <v>0</v>
      </c>
      <c r="AP105" s="406">
        <f>IF(AA105="V",IF('1.GHG Inventory Form'!$E$6="IPCC AR2 Report(1995)",'6.GWP'!$C$3,IF('1.GHG Inventory Form'!$E$6="IPCC AR3 Report(2001)",'6.GWP'!$D$3,IF('1.GHG Inventory Form'!$E$6="IPCC AR4 Report(2007)",'6.GWP'!$E$3,IF('1.GHG Inventory Form'!$E$6="IPCC AR5 Report(2013)",'6.GWP'!$F$3,IF('1.GHG Inventory Form'!$E$6="IPCC AR6 Report(2021)",'6.GWP'!$G$3,0))))),0)</f>
        <v>0</v>
      </c>
      <c r="AQ105" s="406">
        <f>IFERROR(IF(AB105="V",IF('1.GHG Inventory Form'!$E$6="IPCC AR2 Report(1995)",VLOOKUP($O105,'6.GWP'!$B$1:$G$173,2,FALSE),IF('1.GHG Inventory Form'!$E$6="IPCC AR3 Report(2001)",VLOOKUP($O105,'6.GWP'!$B$1:$G$173,3,FALSE),IF('1.GHG Inventory Form'!$E$6="IPCC AR4 Report(2007)",VLOOKUP($KQ7,'6.GWP'!$B$1:$G$173,4,FALSE),IF('1.GHG Inventory Form'!$E$6="IPCC AR5 Report(2013)",VLOOKUP($O105,'6.GWP'!$B$1:$G$173,5,FALSE),IF('1.GHG Inventory Form'!$E$6="IPCC AR6 Report(2021)",VLOOKUP($O105,'6.GWP'!$B$2:$G$173,6,FALSE),0))))),0),0)</f>
        <v>0</v>
      </c>
      <c r="AR105" s="406">
        <f>IFERROR(IF(AC105="V",IF('1.GHG Inventory Form'!$E$6="IPCC AR2 Report(1995)",VLOOKUP($O105,'6.GWP'!$B$1:$G$173,2,FALSE),IF('1.GHG Inventory Form'!$E$6="IPCC AR3 Report(2001)",VLOOKUP($O105,'6.GWP'!$B$1:$G$173,3,FALSE),IF('1.GHG Inventory Form'!$E$6="IPCC AR4 Report(2007)",VLOOKUP($KQ7,'6.GWP'!$B$1:$G$173,4,FALSE),IF('1.GHG Inventory Form'!$E$6="IPCC AR5 Report(2013)",VLOOKUP($O105,'6.GWP'!$B$1:$G$173,5,FALSE),IF('1.GHG Inventory Form'!$E$6="IPCC AR6 Report(2021)",VLOOKUP($O105,'6.GWP'!$B$2:$G$173,6,FALSE),0))))),0),0)</f>
        <v>0</v>
      </c>
      <c r="AS105" s="406">
        <f>IF(AD105="V",IF('1.GHG Inventory Form'!$E$6="IPCC AR2 Report(1995)",'6.GWP'!$C$5,IF('1.GHG Inventory Form'!$E$6="IPCC AR3 Report(2001)",'6.GWP'!$D$5,IF('1.GHG Inventory Form'!$E$6="IPCC AR4 Report(2007)",'6.GWP'!$E$5,IF('1.GHG Inventory Form'!$E$6="IPCC AR5 Report(2013)",'6.GWP'!$F$5,IF('1.GHG Inventory Form'!$E$6="IPCC AR6 Report(2021)",'6.GWP'!$G$5,0))))),0)</f>
        <v>0</v>
      </c>
      <c r="AT105" s="407">
        <f>IF(AE105="V",IF('1.GHG Inventory Form'!$E$6="IPCC AR2 Report(1995)",'6.GWP'!$C$4,IF('1.GHG Inventory Form'!$E$6="IPCC AR3 Report(2001)",'6.GWP'!$D$4,IF('1.GHG Inventory Form'!$E$6="IPCC AR4 Report(2007)",'6.GWP'!$E$4,IF('1.GHG Inventory Form'!$E$6="IPCC AR5 Report(2013)",'6.GWP'!$F$4,IF('1.GHG Inventory Form'!$E$6="IPCC AR6 Report(2021)",'6.GWP'!$G$4,0))))),0)</f>
        <v>0</v>
      </c>
      <c r="AU105" s="482">
        <f t="shared" si="77"/>
        <v>0</v>
      </c>
      <c r="AV105" s="419">
        <f t="shared" si="78"/>
        <v>0</v>
      </c>
      <c r="AW105" s="419">
        <f t="shared" si="79"/>
        <v>0</v>
      </c>
      <c r="AX105" s="419">
        <f t="shared" si="80"/>
        <v>0</v>
      </c>
      <c r="AY105" s="419">
        <f t="shared" si="81"/>
        <v>0</v>
      </c>
      <c r="AZ105" s="419">
        <f t="shared" si="82"/>
        <v>0</v>
      </c>
      <c r="BA105" s="483">
        <f t="shared" si="83"/>
        <v>0</v>
      </c>
      <c r="BB105" s="409">
        <f t="shared" si="84"/>
        <v>0</v>
      </c>
      <c r="BC105" s="419"/>
      <c r="BD105" s="411">
        <f t="shared" si="85"/>
        <v>0</v>
      </c>
      <c r="BI105" s="86" t="str">
        <f t="shared" si="86"/>
        <v/>
      </c>
      <c r="BJ105" s="86" t="str">
        <f t="shared" si="87"/>
        <v/>
      </c>
      <c r="BK105" s="86" t="str">
        <f t="shared" si="88"/>
        <v/>
      </c>
    </row>
    <row r="106" spans="1:66" customFormat="1" ht="78" customHeight="1" thickBot="1">
      <c r="B106" s="634"/>
      <c r="C106" s="484">
        <v>3.2</v>
      </c>
      <c r="D106" s="632" t="s">
        <v>414</v>
      </c>
      <c r="E106" s="633"/>
      <c r="F106" s="485"/>
      <c r="G106" s="49" t="s">
        <v>415</v>
      </c>
      <c r="H106" s="113"/>
      <c r="I106" s="177"/>
      <c r="J106" s="115"/>
      <c r="K106" s="485"/>
      <c r="L106" s="205"/>
      <c r="M106" s="205"/>
      <c r="N106" s="206"/>
      <c r="O106" s="50"/>
      <c r="P106" s="50"/>
      <c r="Q106" s="52"/>
      <c r="R106" s="421"/>
      <c r="S106" s="421"/>
      <c r="T106" s="421"/>
      <c r="U106" s="421"/>
      <c r="V106" s="421"/>
      <c r="W106" s="421"/>
      <c r="X106" s="421"/>
      <c r="Y106" s="389" t="str">
        <f t="shared" si="67"/>
        <v/>
      </c>
      <c r="Z106" s="364" t="str">
        <f t="shared" si="68"/>
        <v/>
      </c>
      <c r="AA106" s="364" t="str">
        <f t="shared" si="69"/>
        <v/>
      </c>
      <c r="AB106" s="364" t="str">
        <f t="shared" si="70"/>
        <v/>
      </c>
      <c r="AC106" s="364" t="str">
        <f t="shared" si="71"/>
        <v/>
      </c>
      <c r="AD106" s="364" t="str">
        <f t="shared" si="72"/>
        <v/>
      </c>
      <c r="AE106" s="390" t="str">
        <f t="shared" si="73"/>
        <v/>
      </c>
      <c r="AF106" s="473">
        <f t="shared" si="74"/>
        <v>0</v>
      </c>
      <c r="AG106" s="364">
        <f>IFERROR(VLOOKUP($O106,#REF!,4,FALSE),0)</f>
        <v>0</v>
      </c>
      <c r="AH106" s="364">
        <f>IFERROR(VLOOKUP($O106,#REF!,6,FALSE),0)</f>
        <v>0</v>
      </c>
      <c r="AI106" s="364">
        <f>IFERROR(VLOOKUP($O106,#REF!,8,FALSE),0)</f>
        <v>0</v>
      </c>
      <c r="AJ106" s="364">
        <f>IFERROR(VLOOKUP($O106,#REF!,10,FALSE),0)</f>
        <v>0</v>
      </c>
      <c r="AK106" s="364">
        <f>IFERROR(VLOOKUP($O106,#REF!,12,FALSE),0)</f>
        <v>0</v>
      </c>
      <c r="AL106" s="364">
        <f>IFERROR(VLOOKUP($O106,#REF!,14,FALSE),0)</f>
        <v>0</v>
      </c>
      <c r="AM106" s="390">
        <f t="shared" si="75"/>
        <v>0</v>
      </c>
      <c r="AN106" s="346">
        <f t="shared" si="76"/>
        <v>0</v>
      </c>
      <c r="AO106" s="347">
        <f>IF(Z106="V",IF('1.GHG Inventory Form'!$E$6="IPCC AR2 Report(1995)",'6.GWP'!$C$2,IF('1.GHG Inventory Form'!$E$6="IPCC AR3 Report(2001)",'6.GWP'!$D$2,IF('1.GHG Inventory Form'!$E$6="IPCC AR4 Report(2007)",'6.GWP'!$E$2,IF('1.GHG Inventory Form'!$E$6="IPCC AR5 Report(2013)",'6.GWP'!$F$2,IF('1.GHG Inventory Form'!$E$6="IPCC AR6 Report(2021)",'6.GWP'!$G$2,0))))),0)</f>
        <v>0</v>
      </c>
      <c r="AP106" s="347">
        <f>IF(AA106="V",IF('1.GHG Inventory Form'!$E$6="IPCC AR2 Report(1995)",'6.GWP'!$C$3,IF('1.GHG Inventory Form'!$E$6="IPCC AR3 Report(2001)",'6.GWP'!$D$3,IF('1.GHG Inventory Form'!$E$6="IPCC AR4 Report(2007)",'6.GWP'!$E$3,IF('1.GHG Inventory Form'!$E$6="IPCC AR5 Report(2013)",'6.GWP'!$F$3,IF('1.GHG Inventory Form'!$E$6="IPCC AR6 Report(2021)",'6.GWP'!$G$3,0))))),0)</f>
        <v>0</v>
      </c>
      <c r="AQ106" s="347">
        <f>IFERROR(IF(AB106="V",IF('1.GHG Inventory Form'!$E$6="IPCC AR2 Report(1995)",VLOOKUP($O106,'6.GWP'!$B$1:$G$173,2,FALSE),IF('1.GHG Inventory Form'!$E$6="IPCC AR3 Report(2001)",VLOOKUP($O106,'6.GWP'!$B$1:$G$173,3,FALSE),IF('1.GHG Inventory Form'!$E$6="IPCC AR4 Report(2007)",VLOOKUP($KQ8,'6.GWP'!$B$1:$G$173,4,FALSE),IF('1.GHG Inventory Form'!$E$6="IPCC AR5 Report(2013)",VLOOKUP($O106,'6.GWP'!$B$1:$G$173,5,FALSE),IF('1.GHG Inventory Form'!$E$6="IPCC AR6 Report(2021)",VLOOKUP($O106,'6.GWP'!$B$2:$G$173,6,FALSE),0))))),0),0)</f>
        <v>0</v>
      </c>
      <c r="AR106" s="347">
        <f>IFERROR(IF(AC106="V",IF('1.GHG Inventory Form'!$E$6="IPCC AR2 Report(1995)",VLOOKUP($O106,'6.GWP'!$B$1:$G$173,2,FALSE),IF('1.GHG Inventory Form'!$E$6="IPCC AR3 Report(2001)",VLOOKUP($O106,'6.GWP'!$B$1:$G$173,3,FALSE),IF('1.GHG Inventory Form'!$E$6="IPCC AR4 Report(2007)",VLOOKUP($KQ8,'6.GWP'!$B$1:$G$173,4,FALSE),IF('1.GHG Inventory Form'!$E$6="IPCC AR5 Report(2013)",VLOOKUP($O106,'6.GWP'!$B$1:$G$173,5,FALSE),IF('1.GHG Inventory Form'!$E$6="IPCC AR6 Report(2021)",VLOOKUP($O106,'6.GWP'!$B$2:$G$173,6,FALSE),0))))),0),0)</f>
        <v>0</v>
      </c>
      <c r="AS106" s="347">
        <f>IF(AD106="V",IF('1.GHG Inventory Form'!$E$6="IPCC AR2 Report(1995)",'6.GWP'!$C$5,IF('1.GHG Inventory Form'!$E$6="IPCC AR3 Report(2001)",'6.GWP'!$D$5,IF('1.GHG Inventory Form'!$E$6="IPCC AR4 Report(2007)",'6.GWP'!$E$5,IF('1.GHG Inventory Form'!$E$6="IPCC AR5 Report(2013)",'6.GWP'!$F$5,IF('1.GHG Inventory Form'!$E$6="IPCC AR6 Report(2021)",'6.GWP'!$G$5,0))))),0)</f>
        <v>0</v>
      </c>
      <c r="AT106" s="348">
        <f>IF(AE106="V",IF('1.GHG Inventory Form'!$E$6="IPCC AR2 Report(1995)",'6.GWP'!$C$4,IF('1.GHG Inventory Form'!$E$6="IPCC AR3 Report(2001)",'6.GWP'!$D$4,IF('1.GHG Inventory Form'!$E$6="IPCC AR4 Report(2007)",'6.GWP'!$E$4,IF('1.GHG Inventory Form'!$E$6="IPCC AR5 Report(2013)",'6.GWP'!$F$4,IF('1.GHG Inventory Form'!$E$6="IPCC AR6 Report(2021)",'6.GWP'!$G$4,0))))),0)</f>
        <v>0</v>
      </c>
      <c r="AU106" s="486">
        <f t="shared" si="77"/>
        <v>0</v>
      </c>
      <c r="AV106" s="487">
        <f t="shared" si="78"/>
        <v>0</v>
      </c>
      <c r="AW106" s="487">
        <f t="shared" si="79"/>
        <v>0</v>
      </c>
      <c r="AX106" s="487">
        <f t="shared" si="80"/>
        <v>0</v>
      </c>
      <c r="AY106" s="487">
        <f t="shared" si="81"/>
        <v>0</v>
      </c>
      <c r="AZ106" s="487">
        <f t="shared" si="82"/>
        <v>0</v>
      </c>
      <c r="BA106" s="488">
        <f t="shared" si="83"/>
        <v>0</v>
      </c>
      <c r="BB106" s="349">
        <f t="shared" si="84"/>
        <v>0</v>
      </c>
      <c r="BC106" s="487"/>
      <c r="BD106" s="351">
        <f t="shared" si="85"/>
        <v>0</v>
      </c>
      <c r="BI106" s="86" t="str">
        <f t="shared" si="86"/>
        <v/>
      </c>
      <c r="BJ106" s="86" t="str">
        <f t="shared" si="87"/>
        <v/>
      </c>
      <c r="BK106" s="86" t="str">
        <f t="shared" si="88"/>
        <v/>
      </c>
    </row>
    <row r="107" spans="1:66" customFormat="1" ht="16" customHeight="1" thickBot="1">
      <c r="B107" s="634"/>
      <c r="C107" s="635">
        <v>3.3</v>
      </c>
      <c r="D107" s="638" t="s">
        <v>416</v>
      </c>
      <c r="E107" s="638"/>
      <c r="F107" s="472"/>
      <c r="G107" s="70" t="s">
        <v>417</v>
      </c>
      <c r="H107" s="108"/>
      <c r="I107" s="174"/>
      <c r="J107" s="116"/>
      <c r="K107" s="472"/>
      <c r="L107" s="199"/>
      <c r="M107" s="199"/>
      <c r="N107" s="200"/>
      <c r="O107" s="31"/>
      <c r="P107" s="31"/>
      <c r="Q107" s="27"/>
      <c r="R107" s="421"/>
      <c r="S107" s="421"/>
      <c r="T107" s="421"/>
      <c r="U107" s="421"/>
      <c r="V107" s="421"/>
      <c r="W107" s="421"/>
      <c r="X107" s="421"/>
      <c r="Y107" s="389" t="str">
        <f t="shared" si="67"/>
        <v/>
      </c>
      <c r="Z107" s="364" t="str">
        <f t="shared" si="68"/>
        <v/>
      </c>
      <c r="AA107" s="364" t="str">
        <f t="shared" si="69"/>
        <v/>
      </c>
      <c r="AB107" s="364" t="str">
        <f t="shared" si="70"/>
        <v/>
      </c>
      <c r="AC107" s="364" t="str">
        <f t="shared" si="71"/>
        <v/>
      </c>
      <c r="AD107" s="364" t="str">
        <f t="shared" si="72"/>
        <v/>
      </c>
      <c r="AE107" s="390" t="str">
        <f t="shared" si="73"/>
        <v/>
      </c>
      <c r="AF107" s="473">
        <f t="shared" si="74"/>
        <v>0</v>
      </c>
      <c r="AG107" s="364">
        <f>IFERROR(VLOOKUP($O107,#REF!,4,FALSE),0)</f>
        <v>0</v>
      </c>
      <c r="AH107" s="364">
        <f>IFERROR(VLOOKUP($O107,#REF!,6,FALSE),0)</f>
        <v>0</v>
      </c>
      <c r="AI107" s="364">
        <f>IFERROR(VLOOKUP($O107,#REF!,8,FALSE),0)</f>
        <v>0</v>
      </c>
      <c r="AJ107" s="364">
        <f>IFERROR(VLOOKUP($O107,#REF!,10,FALSE),0)</f>
        <v>0</v>
      </c>
      <c r="AK107" s="364">
        <f>IFERROR(VLOOKUP($O107,#REF!,12,FALSE),0)</f>
        <v>0</v>
      </c>
      <c r="AL107" s="364">
        <f>IFERROR(VLOOKUP($O107,#REF!,14,FALSE),0)</f>
        <v>0</v>
      </c>
      <c r="AM107" s="390">
        <f t="shared" si="75"/>
        <v>0</v>
      </c>
      <c r="AN107" s="384">
        <f t="shared" si="76"/>
        <v>0</v>
      </c>
      <c r="AO107" s="357">
        <f>IF(Z107="V",IF('1.GHG Inventory Form'!$E$6="IPCC AR2 Report(1995)",'6.GWP'!$C$2,IF('1.GHG Inventory Form'!$E$6="IPCC AR3 Report(2001)",'6.GWP'!$D$2,IF('1.GHG Inventory Form'!$E$6="IPCC AR4 Report(2007)",'6.GWP'!$E$2,IF('1.GHG Inventory Form'!$E$6="IPCC AR5 Report(2013)",'6.GWP'!$F$2,IF('1.GHG Inventory Form'!$E$6="IPCC AR6 Report(2021)",'6.GWP'!$G$2,0))))),0)</f>
        <v>0</v>
      </c>
      <c r="AP107" s="357">
        <f>IF(AA107="V",IF('1.GHG Inventory Form'!$E$6="IPCC AR2 Report(1995)",'6.GWP'!$C$3,IF('1.GHG Inventory Form'!$E$6="IPCC AR3 Report(2001)",'6.GWP'!$D$3,IF('1.GHG Inventory Form'!$E$6="IPCC AR4 Report(2007)",'6.GWP'!$E$3,IF('1.GHG Inventory Form'!$E$6="IPCC AR5 Report(2013)",'6.GWP'!$F$3,IF('1.GHG Inventory Form'!$E$6="IPCC AR6 Report(2021)",'6.GWP'!$G$3,0))))),0)</f>
        <v>0</v>
      </c>
      <c r="AQ107" s="357">
        <f>IFERROR(IF(AB107="V",IF('1.GHG Inventory Form'!$E$6="IPCC AR2 Report(1995)",VLOOKUP($O107,'6.GWP'!$B$1:$G$173,2,FALSE),IF('1.GHG Inventory Form'!$E$6="IPCC AR3 Report(2001)",VLOOKUP($O107,'6.GWP'!$B$1:$G$173,3,FALSE),IF('1.GHG Inventory Form'!$E$6="IPCC AR4 Report(2007)",VLOOKUP($KQ10,'6.GWP'!$B$1:$G$173,4,FALSE),IF('1.GHG Inventory Form'!$E$6="IPCC AR5 Report(2013)",VLOOKUP($O107,'6.GWP'!$B$1:$G$173,5,FALSE),IF('1.GHG Inventory Form'!$E$6="IPCC AR6 Report(2021)",VLOOKUP($O107,'6.GWP'!$B$2:$G$173,6,FALSE),0))))),0),0)</f>
        <v>0</v>
      </c>
      <c r="AR107" s="357">
        <f>IFERROR(IF(AC107="V",IF('1.GHG Inventory Form'!$E$6="IPCC AR2 Report(1995)",VLOOKUP($O107,'6.GWP'!$B$1:$G$173,2,FALSE),IF('1.GHG Inventory Form'!$E$6="IPCC AR3 Report(2001)",VLOOKUP($O107,'6.GWP'!$B$1:$G$173,3,FALSE),IF('1.GHG Inventory Form'!$E$6="IPCC AR4 Report(2007)",VLOOKUP($KQ10,'6.GWP'!$B$1:$G$173,4,FALSE),IF('1.GHG Inventory Form'!$E$6="IPCC AR5 Report(2013)",VLOOKUP($O107,'6.GWP'!$B$1:$G$173,5,FALSE),IF('1.GHG Inventory Form'!$E$6="IPCC AR6 Report(2021)",VLOOKUP($O107,'6.GWP'!$B$2:$G$173,6,FALSE),0))))),0),0)</f>
        <v>0</v>
      </c>
      <c r="AS107" s="357">
        <f>IF(AD107="V",IF('1.GHG Inventory Form'!$E$6="IPCC AR2 Report(1995)",'6.GWP'!$C$5,IF('1.GHG Inventory Form'!$E$6="IPCC AR3 Report(2001)",'6.GWP'!$D$5,IF('1.GHG Inventory Form'!$E$6="IPCC AR4 Report(2007)",'6.GWP'!$E$5,IF('1.GHG Inventory Form'!$E$6="IPCC AR5 Report(2013)",'6.GWP'!$F$5,IF('1.GHG Inventory Form'!$E$6="IPCC AR6 Report(2021)",'6.GWP'!$G$5,0))))),0)</f>
        <v>0</v>
      </c>
      <c r="AT107" s="385">
        <f>IF(AE107="V",IF('1.GHG Inventory Form'!$E$6="IPCC AR2 Report(1995)",'6.GWP'!$C$4,IF('1.GHG Inventory Form'!$E$6="IPCC AR3 Report(2001)",'6.GWP'!$D$4,IF('1.GHG Inventory Form'!$E$6="IPCC AR4 Report(2007)",'6.GWP'!$E$4,IF('1.GHG Inventory Form'!$E$6="IPCC AR5 Report(2013)",'6.GWP'!$F$4,IF('1.GHG Inventory Form'!$E$6="IPCC AR6 Report(2021)",'6.GWP'!$G$4,0))))),0)</f>
        <v>0</v>
      </c>
      <c r="AU107" s="474">
        <f t="shared" si="77"/>
        <v>0</v>
      </c>
      <c r="AV107" s="358">
        <f t="shared" si="78"/>
        <v>0</v>
      </c>
      <c r="AW107" s="358">
        <f t="shared" si="79"/>
        <v>0</v>
      </c>
      <c r="AX107" s="358">
        <f t="shared" si="80"/>
        <v>0</v>
      </c>
      <c r="AY107" s="358">
        <f t="shared" si="81"/>
        <v>0</v>
      </c>
      <c r="AZ107" s="358">
        <f t="shared" si="82"/>
        <v>0</v>
      </c>
      <c r="BA107" s="475">
        <f t="shared" si="83"/>
        <v>0</v>
      </c>
      <c r="BB107" s="386">
        <f t="shared" si="84"/>
        <v>0</v>
      </c>
      <c r="BC107" s="358"/>
      <c r="BD107" s="360">
        <f t="shared" si="85"/>
        <v>0</v>
      </c>
      <c r="BI107" s="86" t="str">
        <f t="shared" si="86"/>
        <v/>
      </c>
      <c r="BJ107" s="86" t="str">
        <f t="shared" si="87"/>
        <v/>
      </c>
      <c r="BK107" s="86" t="str">
        <f t="shared" si="88"/>
        <v/>
      </c>
    </row>
    <row r="108" spans="1:66" customFormat="1" ht="16" customHeight="1" thickBot="1">
      <c r="B108" s="634"/>
      <c r="C108" s="636"/>
      <c r="D108" s="638"/>
      <c r="E108" s="638"/>
      <c r="F108" s="477"/>
      <c r="G108" s="43" t="s">
        <v>418</v>
      </c>
      <c r="H108" s="110"/>
      <c r="I108" s="175"/>
      <c r="J108" s="85"/>
      <c r="K108" s="477"/>
      <c r="L108" s="201"/>
      <c r="M108" s="201"/>
      <c r="N108" s="202"/>
      <c r="O108" s="32"/>
      <c r="P108" s="32"/>
      <c r="Q108" s="28"/>
      <c r="R108" s="421"/>
      <c r="S108" s="421"/>
      <c r="T108" s="421"/>
      <c r="U108" s="421"/>
      <c r="V108" s="421"/>
      <c r="W108" s="421"/>
      <c r="X108" s="421"/>
      <c r="Y108" s="389" t="str">
        <f t="shared" si="67"/>
        <v/>
      </c>
      <c r="Z108" s="364" t="str">
        <f t="shared" si="68"/>
        <v/>
      </c>
      <c r="AA108" s="364" t="str">
        <f t="shared" si="69"/>
        <v/>
      </c>
      <c r="AB108" s="364" t="str">
        <f t="shared" si="70"/>
        <v/>
      </c>
      <c r="AC108" s="364" t="str">
        <f t="shared" si="71"/>
        <v/>
      </c>
      <c r="AD108" s="364" t="str">
        <f t="shared" si="72"/>
        <v/>
      </c>
      <c r="AE108" s="390" t="str">
        <f t="shared" si="73"/>
        <v/>
      </c>
      <c r="AF108" s="473">
        <f t="shared" si="74"/>
        <v>0</v>
      </c>
      <c r="AG108" s="364">
        <f>IFERROR(VLOOKUP($O108,#REF!,4,FALSE),0)</f>
        <v>0</v>
      </c>
      <c r="AH108" s="364">
        <f>IFERROR(VLOOKUP($O108,#REF!,6,FALSE),0)</f>
        <v>0</v>
      </c>
      <c r="AI108" s="364">
        <f>IFERROR(VLOOKUP($O108,#REF!,8,FALSE),0)</f>
        <v>0</v>
      </c>
      <c r="AJ108" s="364">
        <f>IFERROR(VLOOKUP($O108,#REF!,10,FALSE),0)</f>
        <v>0</v>
      </c>
      <c r="AK108" s="364">
        <f>IFERROR(VLOOKUP($O108,#REF!,12,FALSE),0)</f>
        <v>0</v>
      </c>
      <c r="AL108" s="364">
        <f>IFERROR(VLOOKUP($O108,#REF!,14,FALSE),0)</f>
        <v>0</v>
      </c>
      <c r="AM108" s="390">
        <f t="shared" si="75"/>
        <v>0</v>
      </c>
      <c r="AN108" s="391">
        <f t="shared" si="76"/>
        <v>0</v>
      </c>
      <c r="AO108" s="366">
        <f>IF(Z108="V",IF('1.GHG Inventory Form'!$E$6="IPCC AR2 Report(1995)",'6.GWP'!$C$2,IF('1.GHG Inventory Form'!$E$6="IPCC AR3 Report(2001)",'6.GWP'!$D$2,IF('1.GHG Inventory Form'!$E$6="IPCC AR4 Report(2007)",'6.GWP'!$E$2,IF('1.GHG Inventory Form'!$E$6="IPCC AR5 Report(2013)",'6.GWP'!$F$2,IF('1.GHG Inventory Form'!$E$6="IPCC AR6 Report(2021)",'6.GWP'!$G$2,0))))),0)</f>
        <v>0</v>
      </c>
      <c r="AP108" s="366">
        <f>IF(AA108="V",IF('1.GHG Inventory Form'!$E$6="IPCC AR2 Report(1995)",'6.GWP'!$C$3,IF('1.GHG Inventory Form'!$E$6="IPCC AR3 Report(2001)",'6.GWP'!$D$3,IF('1.GHG Inventory Form'!$E$6="IPCC AR4 Report(2007)",'6.GWP'!$E$3,IF('1.GHG Inventory Form'!$E$6="IPCC AR5 Report(2013)",'6.GWP'!$F$3,IF('1.GHG Inventory Form'!$E$6="IPCC AR6 Report(2021)",'6.GWP'!$G$3,0))))),0)</f>
        <v>0</v>
      </c>
      <c r="AQ108" s="366">
        <f>IFERROR(IF(AB108="V",IF('1.GHG Inventory Form'!$E$6="IPCC AR2 Report(1995)",VLOOKUP($O108,'6.GWP'!$B$1:$G$173,2,FALSE),IF('1.GHG Inventory Form'!$E$6="IPCC AR3 Report(2001)",VLOOKUP($O108,'6.GWP'!$B$1:$G$173,3,FALSE),IF('1.GHG Inventory Form'!$E$6="IPCC AR4 Report(2007)",VLOOKUP($KQ12,'6.GWP'!$B$1:$G$173,4,FALSE),IF('1.GHG Inventory Form'!$E$6="IPCC AR5 Report(2013)",VLOOKUP($O108,'6.GWP'!$B$1:$G$173,5,FALSE),IF('1.GHG Inventory Form'!$E$6="IPCC AR6 Report(2021)",VLOOKUP($O108,'6.GWP'!$B$2:$G$173,6,FALSE),0))))),0),0)</f>
        <v>0</v>
      </c>
      <c r="AR108" s="366">
        <f>IFERROR(IF(AC108="V",IF('1.GHG Inventory Form'!$E$6="IPCC AR2 Report(1995)",VLOOKUP($O108,'6.GWP'!$B$1:$G$173,2,FALSE),IF('1.GHG Inventory Form'!$E$6="IPCC AR3 Report(2001)",VLOOKUP($O108,'6.GWP'!$B$1:$G$173,3,FALSE),IF('1.GHG Inventory Form'!$E$6="IPCC AR4 Report(2007)",VLOOKUP($KQ12,'6.GWP'!$B$1:$G$173,4,FALSE),IF('1.GHG Inventory Form'!$E$6="IPCC AR5 Report(2013)",VLOOKUP($O108,'6.GWP'!$B$1:$G$173,5,FALSE),IF('1.GHG Inventory Form'!$E$6="IPCC AR6 Report(2021)",VLOOKUP($O108,'6.GWP'!$B$2:$G$173,6,FALSE),0))))),0),0)</f>
        <v>0</v>
      </c>
      <c r="AS108" s="366">
        <f>IF(AD108="V",IF('1.GHG Inventory Form'!$E$6="IPCC AR2 Report(1995)",'6.GWP'!$C$5,IF('1.GHG Inventory Form'!$E$6="IPCC AR3 Report(2001)",'6.GWP'!$D$5,IF('1.GHG Inventory Form'!$E$6="IPCC AR4 Report(2007)",'6.GWP'!$E$5,IF('1.GHG Inventory Form'!$E$6="IPCC AR5 Report(2013)",'6.GWP'!$F$5,IF('1.GHG Inventory Form'!$E$6="IPCC AR6 Report(2021)",'6.GWP'!$G$5,0))))),0)</f>
        <v>0</v>
      </c>
      <c r="AT108" s="392">
        <f>IF(AE108="V",IF('1.GHG Inventory Form'!$E$6="IPCC AR2 Report(1995)",'6.GWP'!$C$4,IF('1.GHG Inventory Form'!$E$6="IPCC AR3 Report(2001)",'6.GWP'!$D$4,IF('1.GHG Inventory Form'!$E$6="IPCC AR4 Report(2007)",'6.GWP'!$E$4,IF('1.GHG Inventory Form'!$E$6="IPCC AR5 Report(2013)",'6.GWP'!$F$4,IF('1.GHG Inventory Form'!$E$6="IPCC AR6 Report(2021)",'6.GWP'!$G$4,0))))),0)</f>
        <v>0</v>
      </c>
      <c r="AU108" s="478">
        <f t="shared" si="77"/>
        <v>0</v>
      </c>
      <c r="AV108" s="367">
        <f t="shared" si="78"/>
        <v>0</v>
      </c>
      <c r="AW108" s="367">
        <f t="shared" si="79"/>
        <v>0</v>
      </c>
      <c r="AX108" s="367">
        <f t="shared" si="80"/>
        <v>0</v>
      </c>
      <c r="AY108" s="367">
        <f t="shared" si="81"/>
        <v>0</v>
      </c>
      <c r="AZ108" s="367">
        <f t="shared" si="82"/>
        <v>0</v>
      </c>
      <c r="BA108" s="479">
        <f t="shared" si="83"/>
        <v>0</v>
      </c>
      <c r="BB108" s="393">
        <f t="shared" si="84"/>
        <v>0</v>
      </c>
      <c r="BC108" s="367"/>
      <c r="BD108" s="369">
        <f t="shared" si="85"/>
        <v>0</v>
      </c>
      <c r="BI108" s="86" t="str">
        <f t="shared" si="86"/>
        <v/>
      </c>
      <c r="BJ108" s="86" t="str">
        <f t="shared" si="87"/>
        <v/>
      </c>
      <c r="BK108" s="86" t="str">
        <f t="shared" si="88"/>
        <v/>
      </c>
    </row>
    <row r="109" spans="1:66" customFormat="1" ht="16" customHeight="1" thickBot="1">
      <c r="B109" s="634"/>
      <c r="C109" s="636"/>
      <c r="D109" s="638"/>
      <c r="E109" s="638"/>
      <c r="F109" s="477"/>
      <c r="G109" s="43" t="s">
        <v>419</v>
      </c>
      <c r="H109" s="110"/>
      <c r="I109" s="175"/>
      <c r="J109" s="85"/>
      <c r="K109" s="477"/>
      <c r="L109" s="201"/>
      <c r="M109" s="201"/>
      <c r="N109" s="202"/>
      <c r="O109" s="32"/>
      <c r="P109" s="32"/>
      <c r="Q109" s="28"/>
      <c r="R109" s="421"/>
      <c r="S109" s="421"/>
      <c r="T109" s="421"/>
      <c r="U109" s="421"/>
      <c r="V109" s="421"/>
      <c r="W109" s="421"/>
      <c r="X109" s="421"/>
      <c r="Y109" s="389" t="str">
        <f t="shared" si="67"/>
        <v/>
      </c>
      <c r="Z109" s="364" t="str">
        <f t="shared" si="68"/>
        <v/>
      </c>
      <c r="AA109" s="364" t="str">
        <f t="shared" si="69"/>
        <v/>
      </c>
      <c r="AB109" s="364" t="str">
        <f t="shared" si="70"/>
        <v/>
      </c>
      <c r="AC109" s="364" t="str">
        <f t="shared" si="71"/>
        <v/>
      </c>
      <c r="AD109" s="364" t="str">
        <f t="shared" si="72"/>
        <v/>
      </c>
      <c r="AE109" s="390" t="str">
        <f t="shared" si="73"/>
        <v/>
      </c>
      <c r="AF109" s="473">
        <f t="shared" si="74"/>
        <v>0</v>
      </c>
      <c r="AG109" s="364">
        <f>IFERROR(VLOOKUP($O109,#REF!,4,FALSE),0)</f>
        <v>0</v>
      </c>
      <c r="AH109" s="364">
        <f>IFERROR(VLOOKUP($O109,#REF!,6,FALSE),0)</f>
        <v>0</v>
      </c>
      <c r="AI109" s="364">
        <f>IFERROR(VLOOKUP($O109,#REF!,8,FALSE),0)</f>
        <v>0</v>
      </c>
      <c r="AJ109" s="364">
        <f>IFERROR(VLOOKUP($O109,#REF!,10,FALSE),0)</f>
        <v>0</v>
      </c>
      <c r="AK109" s="364">
        <f>IFERROR(VLOOKUP($O109,#REF!,12,FALSE),0)</f>
        <v>0</v>
      </c>
      <c r="AL109" s="364">
        <f>IFERROR(VLOOKUP($O109,#REF!,14,FALSE),0)</f>
        <v>0</v>
      </c>
      <c r="AM109" s="390">
        <f t="shared" si="75"/>
        <v>0</v>
      </c>
      <c r="AN109" s="391">
        <f t="shared" si="76"/>
        <v>0</v>
      </c>
      <c r="AO109" s="366">
        <f>IF(Z109="V",IF('1.GHG Inventory Form'!$E$6="IPCC AR2 Report(1995)",'6.GWP'!$C$2,IF('1.GHG Inventory Form'!$E$6="IPCC AR3 Report(2001)",'6.GWP'!$D$2,IF('1.GHG Inventory Form'!$E$6="IPCC AR4 Report(2007)",'6.GWP'!$E$2,IF('1.GHG Inventory Form'!$E$6="IPCC AR5 Report(2013)",'6.GWP'!$F$2,IF('1.GHG Inventory Form'!$E$6="IPCC AR6 Report(2021)",'6.GWP'!$G$2,0))))),0)</f>
        <v>0</v>
      </c>
      <c r="AP109" s="366">
        <f>IF(AA109="V",IF('1.GHG Inventory Form'!$E$6="IPCC AR2 Report(1995)",'6.GWP'!$C$3,IF('1.GHG Inventory Form'!$E$6="IPCC AR3 Report(2001)",'6.GWP'!$D$3,IF('1.GHG Inventory Form'!$E$6="IPCC AR4 Report(2007)",'6.GWP'!$E$3,IF('1.GHG Inventory Form'!$E$6="IPCC AR5 Report(2013)",'6.GWP'!$F$3,IF('1.GHG Inventory Form'!$E$6="IPCC AR6 Report(2021)",'6.GWP'!$G$3,0))))),0)</f>
        <v>0</v>
      </c>
      <c r="AQ109" s="366">
        <f>IFERROR(IF(AB109="V",IF('1.GHG Inventory Form'!$E$6="IPCC AR2 Report(1995)",VLOOKUP($O109,'6.GWP'!$B$1:$G$173,2,FALSE),IF('1.GHG Inventory Form'!$E$6="IPCC AR3 Report(2001)",VLOOKUP($O109,'6.GWP'!$B$1:$G$173,3,FALSE),IF('1.GHG Inventory Form'!$E$6="IPCC AR4 Report(2007)",VLOOKUP(#REF!,'6.GWP'!$B$1:$G$173,4,FALSE),IF('1.GHG Inventory Form'!$E$6="IPCC AR5 Report(2013)",VLOOKUP($O109,'6.GWP'!$B$1:$G$173,5,FALSE),IF('1.GHG Inventory Form'!$E$6="IPCC AR6 Report(2021)",VLOOKUP($O109,'6.GWP'!$B$2:$G$173,6,FALSE),0))))),0),0)</f>
        <v>0</v>
      </c>
      <c r="AR109" s="366">
        <f>IFERROR(IF(AC109="V",IF('1.GHG Inventory Form'!$E$6="IPCC AR2 Report(1995)",VLOOKUP($O109,'6.GWP'!$B$1:$G$173,2,FALSE),IF('1.GHG Inventory Form'!$E$6="IPCC AR3 Report(2001)",VLOOKUP($O109,'6.GWP'!$B$1:$G$173,3,FALSE),IF('1.GHG Inventory Form'!$E$6="IPCC AR4 Report(2007)",VLOOKUP(#REF!,'6.GWP'!$B$1:$G$173,4,FALSE),IF('1.GHG Inventory Form'!$E$6="IPCC AR5 Report(2013)",VLOOKUP($O109,'6.GWP'!$B$1:$G$173,5,FALSE),IF('1.GHG Inventory Form'!$E$6="IPCC AR6 Report(2021)",VLOOKUP($O109,'6.GWP'!$B$2:$G$173,6,FALSE),0))))),0),0)</f>
        <v>0</v>
      </c>
      <c r="AS109" s="366">
        <f>IF(AD109="V",IF('1.GHG Inventory Form'!$E$6="IPCC AR2 Report(1995)",'6.GWP'!$C$5,IF('1.GHG Inventory Form'!$E$6="IPCC AR3 Report(2001)",'6.GWP'!$D$5,IF('1.GHG Inventory Form'!$E$6="IPCC AR4 Report(2007)",'6.GWP'!$E$5,IF('1.GHG Inventory Form'!$E$6="IPCC AR5 Report(2013)",'6.GWP'!$F$5,IF('1.GHG Inventory Form'!$E$6="IPCC AR6 Report(2021)",'6.GWP'!$G$5,0))))),0)</f>
        <v>0</v>
      </c>
      <c r="AT109" s="392">
        <f>IF(AE109="V",IF('1.GHG Inventory Form'!$E$6="IPCC AR2 Report(1995)",'6.GWP'!$C$4,IF('1.GHG Inventory Form'!$E$6="IPCC AR3 Report(2001)",'6.GWP'!$D$4,IF('1.GHG Inventory Form'!$E$6="IPCC AR4 Report(2007)",'6.GWP'!$E$4,IF('1.GHG Inventory Form'!$E$6="IPCC AR5 Report(2013)",'6.GWP'!$F$4,IF('1.GHG Inventory Form'!$E$6="IPCC AR6 Report(2021)",'6.GWP'!$G$4,0))))),0)</f>
        <v>0</v>
      </c>
      <c r="AU109" s="478">
        <f t="shared" si="77"/>
        <v>0</v>
      </c>
      <c r="AV109" s="367">
        <f t="shared" si="78"/>
        <v>0</v>
      </c>
      <c r="AW109" s="367">
        <f t="shared" si="79"/>
        <v>0</v>
      </c>
      <c r="AX109" s="367">
        <f t="shared" si="80"/>
        <v>0</v>
      </c>
      <c r="AY109" s="367">
        <f t="shared" si="81"/>
        <v>0</v>
      </c>
      <c r="AZ109" s="367">
        <f t="shared" si="82"/>
        <v>0</v>
      </c>
      <c r="BA109" s="479">
        <f t="shared" si="83"/>
        <v>0</v>
      </c>
      <c r="BB109" s="393">
        <f t="shared" si="84"/>
        <v>0</v>
      </c>
      <c r="BC109" s="367"/>
      <c r="BD109" s="369">
        <f t="shared" si="85"/>
        <v>0</v>
      </c>
      <c r="BI109" s="86" t="str">
        <f t="shared" si="86"/>
        <v/>
      </c>
      <c r="BJ109" s="86" t="str">
        <f t="shared" si="87"/>
        <v/>
      </c>
      <c r="BK109" s="86" t="str">
        <f t="shared" si="88"/>
        <v/>
      </c>
    </row>
    <row r="110" spans="1:66" customFormat="1" ht="16" customHeight="1" thickBot="1">
      <c r="B110" s="634"/>
      <c r="C110" s="636"/>
      <c r="D110" s="638"/>
      <c r="E110" s="638"/>
      <c r="F110" s="477"/>
      <c r="G110" s="43" t="s">
        <v>420</v>
      </c>
      <c r="H110" s="110"/>
      <c r="I110" s="175"/>
      <c r="J110" s="85"/>
      <c r="K110" s="477"/>
      <c r="L110" s="201"/>
      <c r="M110" s="201"/>
      <c r="N110" s="202"/>
      <c r="O110" s="32"/>
      <c r="P110" s="32"/>
      <c r="Q110" s="28"/>
      <c r="R110" s="421"/>
      <c r="S110" s="421"/>
      <c r="T110" s="421"/>
      <c r="U110" s="421"/>
      <c r="V110" s="421"/>
      <c r="W110" s="421"/>
      <c r="X110" s="421"/>
      <c r="Y110" s="389" t="str">
        <f t="shared" si="67"/>
        <v/>
      </c>
      <c r="Z110" s="364" t="str">
        <f t="shared" si="68"/>
        <v/>
      </c>
      <c r="AA110" s="364" t="str">
        <f t="shared" si="69"/>
        <v/>
      </c>
      <c r="AB110" s="364" t="str">
        <f t="shared" si="70"/>
        <v/>
      </c>
      <c r="AC110" s="364" t="str">
        <f t="shared" si="71"/>
        <v/>
      </c>
      <c r="AD110" s="364" t="str">
        <f t="shared" si="72"/>
        <v/>
      </c>
      <c r="AE110" s="390" t="str">
        <f t="shared" si="73"/>
        <v/>
      </c>
      <c r="AF110" s="473">
        <f t="shared" si="74"/>
        <v>0</v>
      </c>
      <c r="AG110" s="364">
        <f>IFERROR(VLOOKUP($O110,#REF!,4,FALSE),0)</f>
        <v>0</v>
      </c>
      <c r="AH110" s="364">
        <f>IFERROR(VLOOKUP($O110,#REF!,6,FALSE),0)</f>
        <v>0</v>
      </c>
      <c r="AI110" s="364">
        <f>IFERROR(VLOOKUP($O110,#REF!,8,FALSE),0)</f>
        <v>0</v>
      </c>
      <c r="AJ110" s="364">
        <f>IFERROR(VLOOKUP($O110,#REF!,10,FALSE),0)</f>
        <v>0</v>
      </c>
      <c r="AK110" s="364">
        <f>IFERROR(VLOOKUP($O110,#REF!,12,FALSE),0)</f>
        <v>0</v>
      </c>
      <c r="AL110" s="364">
        <f>IFERROR(VLOOKUP($O110,#REF!,14,FALSE),0)</f>
        <v>0</v>
      </c>
      <c r="AM110" s="390">
        <f t="shared" si="75"/>
        <v>0</v>
      </c>
      <c r="AN110" s="391">
        <f t="shared" si="76"/>
        <v>0</v>
      </c>
      <c r="AO110" s="366">
        <f>IF(Z110="V",IF('1.GHG Inventory Form'!$E$6="IPCC AR2 Report(1995)",'6.GWP'!$C$2,IF('1.GHG Inventory Form'!$E$6="IPCC AR3 Report(2001)",'6.GWP'!$D$2,IF('1.GHG Inventory Form'!$E$6="IPCC AR4 Report(2007)",'6.GWP'!$E$2,IF('1.GHG Inventory Form'!$E$6="IPCC AR5 Report(2013)",'6.GWP'!$F$2,IF('1.GHG Inventory Form'!$E$6="IPCC AR6 Report(2021)",'6.GWP'!$G$2,0))))),0)</f>
        <v>0</v>
      </c>
      <c r="AP110" s="366">
        <f>IF(AA110="V",IF('1.GHG Inventory Form'!$E$6="IPCC AR2 Report(1995)",'6.GWP'!$C$3,IF('1.GHG Inventory Form'!$E$6="IPCC AR3 Report(2001)",'6.GWP'!$D$3,IF('1.GHG Inventory Form'!$E$6="IPCC AR4 Report(2007)",'6.GWP'!$E$3,IF('1.GHG Inventory Form'!$E$6="IPCC AR5 Report(2013)",'6.GWP'!$F$3,IF('1.GHG Inventory Form'!$E$6="IPCC AR6 Report(2021)",'6.GWP'!$G$3,0))))),0)</f>
        <v>0</v>
      </c>
      <c r="AQ110" s="366">
        <f>IFERROR(IF(AB110="V",IF('1.GHG Inventory Form'!$E$6="IPCC AR2 Report(1995)",VLOOKUP($O110,'6.GWP'!$B$1:$G$173,2,FALSE),IF('1.GHG Inventory Form'!$E$6="IPCC AR3 Report(2001)",VLOOKUP($O110,'6.GWP'!$B$1:$G$173,3,FALSE),IF('1.GHG Inventory Form'!$E$6="IPCC AR4 Report(2007)",VLOOKUP(#REF!,'6.GWP'!$B$1:$G$173,4,FALSE),IF('1.GHG Inventory Form'!$E$6="IPCC AR5 Report(2013)",VLOOKUP($O110,'6.GWP'!$B$1:$G$173,5,FALSE),IF('1.GHG Inventory Form'!$E$6="IPCC AR6 Report(2021)",VLOOKUP($O110,'6.GWP'!$B$2:$G$173,6,FALSE),0))))),0),0)</f>
        <v>0</v>
      </c>
      <c r="AR110" s="366">
        <f>IFERROR(IF(AC110="V",IF('1.GHG Inventory Form'!$E$6="IPCC AR2 Report(1995)",VLOOKUP($O110,'6.GWP'!$B$1:$G$173,2,FALSE),IF('1.GHG Inventory Form'!$E$6="IPCC AR3 Report(2001)",VLOOKUP($O110,'6.GWP'!$B$1:$G$173,3,FALSE),IF('1.GHG Inventory Form'!$E$6="IPCC AR4 Report(2007)",VLOOKUP(#REF!,'6.GWP'!$B$1:$G$173,4,FALSE),IF('1.GHG Inventory Form'!$E$6="IPCC AR5 Report(2013)",VLOOKUP($O110,'6.GWP'!$B$1:$G$173,5,FALSE),IF('1.GHG Inventory Form'!$E$6="IPCC AR6 Report(2021)",VLOOKUP($O110,'6.GWP'!$B$2:$G$173,6,FALSE),0))))),0),0)</f>
        <v>0</v>
      </c>
      <c r="AS110" s="366">
        <f>IF(AD110="V",IF('1.GHG Inventory Form'!$E$6="IPCC AR2 Report(1995)",'6.GWP'!$C$5,IF('1.GHG Inventory Form'!$E$6="IPCC AR3 Report(2001)",'6.GWP'!$D$5,IF('1.GHG Inventory Form'!$E$6="IPCC AR4 Report(2007)",'6.GWP'!$E$5,IF('1.GHG Inventory Form'!$E$6="IPCC AR5 Report(2013)",'6.GWP'!$F$5,IF('1.GHG Inventory Form'!$E$6="IPCC AR6 Report(2021)",'6.GWP'!$G$5,0))))),0)</f>
        <v>0</v>
      </c>
      <c r="AT110" s="392">
        <f>IF(AE110="V",IF('1.GHG Inventory Form'!$E$6="IPCC AR2 Report(1995)",'6.GWP'!$C$4,IF('1.GHG Inventory Form'!$E$6="IPCC AR3 Report(2001)",'6.GWP'!$D$4,IF('1.GHG Inventory Form'!$E$6="IPCC AR4 Report(2007)",'6.GWP'!$E$4,IF('1.GHG Inventory Form'!$E$6="IPCC AR5 Report(2013)",'6.GWP'!$F$4,IF('1.GHG Inventory Form'!$E$6="IPCC AR6 Report(2021)",'6.GWP'!$G$4,0))))),0)</f>
        <v>0</v>
      </c>
      <c r="AU110" s="478">
        <f t="shared" si="77"/>
        <v>0</v>
      </c>
      <c r="AV110" s="367">
        <f t="shared" si="78"/>
        <v>0</v>
      </c>
      <c r="AW110" s="367">
        <f t="shared" si="79"/>
        <v>0</v>
      </c>
      <c r="AX110" s="367">
        <f t="shared" si="80"/>
        <v>0</v>
      </c>
      <c r="AY110" s="367">
        <f t="shared" si="81"/>
        <v>0</v>
      </c>
      <c r="AZ110" s="367">
        <f t="shared" si="82"/>
        <v>0</v>
      </c>
      <c r="BA110" s="479">
        <f t="shared" si="83"/>
        <v>0</v>
      </c>
      <c r="BB110" s="393">
        <f t="shared" si="84"/>
        <v>0</v>
      </c>
      <c r="BC110" s="367"/>
      <c r="BD110" s="369">
        <f t="shared" si="85"/>
        <v>0</v>
      </c>
      <c r="BI110" s="86" t="str">
        <f t="shared" si="86"/>
        <v/>
      </c>
      <c r="BJ110" s="86" t="str">
        <f t="shared" si="87"/>
        <v/>
      </c>
      <c r="BK110" s="86" t="str">
        <f t="shared" si="88"/>
        <v/>
      </c>
    </row>
    <row r="111" spans="1:66" customFormat="1" ht="16" customHeight="1" thickBot="1">
      <c r="B111" s="634"/>
      <c r="C111" s="636"/>
      <c r="D111" s="638"/>
      <c r="E111" s="638"/>
      <c r="F111" s="477"/>
      <c r="G111" s="43" t="s">
        <v>421</v>
      </c>
      <c r="H111" s="110"/>
      <c r="I111" s="175"/>
      <c r="J111" s="85"/>
      <c r="K111" s="477"/>
      <c r="L111" s="201"/>
      <c r="M111" s="201"/>
      <c r="N111" s="202"/>
      <c r="O111" s="32"/>
      <c r="P111" s="32"/>
      <c r="Q111" s="28"/>
      <c r="R111" s="421"/>
      <c r="S111" s="421"/>
      <c r="T111" s="421"/>
      <c r="U111" s="421"/>
      <c r="V111" s="421"/>
      <c r="W111" s="421"/>
      <c r="X111" s="421"/>
      <c r="Y111" s="389" t="str">
        <f t="shared" si="67"/>
        <v/>
      </c>
      <c r="Z111" s="364" t="str">
        <f t="shared" si="68"/>
        <v/>
      </c>
      <c r="AA111" s="364" t="str">
        <f t="shared" si="69"/>
        <v/>
      </c>
      <c r="AB111" s="364" t="str">
        <f t="shared" si="70"/>
        <v/>
      </c>
      <c r="AC111" s="364" t="str">
        <f t="shared" si="71"/>
        <v/>
      </c>
      <c r="AD111" s="364" t="str">
        <f t="shared" si="72"/>
        <v/>
      </c>
      <c r="AE111" s="390" t="str">
        <f t="shared" si="73"/>
        <v/>
      </c>
      <c r="AF111" s="473">
        <f t="shared" si="74"/>
        <v>0</v>
      </c>
      <c r="AG111" s="364">
        <f>IFERROR(VLOOKUP($O111,#REF!,4,FALSE),0)</f>
        <v>0</v>
      </c>
      <c r="AH111" s="364">
        <f>IFERROR(VLOOKUP($O111,#REF!,6,FALSE),0)</f>
        <v>0</v>
      </c>
      <c r="AI111" s="364">
        <f>IFERROR(VLOOKUP($O111,#REF!,8,FALSE),0)</f>
        <v>0</v>
      </c>
      <c r="AJ111" s="364">
        <f>IFERROR(VLOOKUP($O111,#REF!,10,FALSE),0)</f>
        <v>0</v>
      </c>
      <c r="AK111" s="364">
        <f>IFERROR(VLOOKUP($O111,#REF!,12,FALSE),0)</f>
        <v>0</v>
      </c>
      <c r="AL111" s="364">
        <f>IFERROR(VLOOKUP($O111,#REF!,14,FALSE),0)</f>
        <v>0</v>
      </c>
      <c r="AM111" s="390">
        <f t="shared" si="75"/>
        <v>0</v>
      </c>
      <c r="AN111" s="391">
        <f t="shared" si="76"/>
        <v>0</v>
      </c>
      <c r="AO111" s="366">
        <f>IF(Z111="V",IF('1.GHG Inventory Form'!$E$6="IPCC AR2 Report(1995)",'6.GWP'!$C$2,IF('1.GHG Inventory Form'!$E$6="IPCC AR3 Report(2001)",'6.GWP'!$D$2,IF('1.GHG Inventory Form'!$E$6="IPCC AR4 Report(2007)",'6.GWP'!$E$2,IF('1.GHG Inventory Form'!$E$6="IPCC AR5 Report(2013)",'6.GWP'!$F$2,IF('1.GHG Inventory Form'!$E$6="IPCC AR6 Report(2021)",'6.GWP'!$G$2,0))))),0)</f>
        <v>0</v>
      </c>
      <c r="AP111" s="366">
        <f>IF(AA111="V",IF('1.GHG Inventory Form'!$E$6="IPCC AR2 Report(1995)",'6.GWP'!$C$3,IF('1.GHG Inventory Form'!$E$6="IPCC AR3 Report(2001)",'6.GWP'!$D$3,IF('1.GHG Inventory Form'!$E$6="IPCC AR4 Report(2007)",'6.GWP'!$E$3,IF('1.GHG Inventory Form'!$E$6="IPCC AR5 Report(2013)",'6.GWP'!$F$3,IF('1.GHG Inventory Form'!$E$6="IPCC AR6 Report(2021)",'6.GWP'!$G$3,0))))),0)</f>
        <v>0</v>
      </c>
      <c r="AQ111" s="366">
        <f>IFERROR(IF(AB111="V",IF('1.GHG Inventory Form'!$E$6="IPCC AR2 Report(1995)",VLOOKUP($O111,'6.GWP'!$B$1:$G$173,2,FALSE),IF('1.GHG Inventory Form'!$E$6="IPCC AR3 Report(2001)",VLOOKUP($O111,'6.GWP'!$B$1:$G$173,3,FALSE),IF('1.GHG Inventory Form'!$E$6="IPCC AR4 Report(2007)",VLOOKUP($KQ15,'6.GWP'!$B$1:$G$173,4,FALSE),IF('1.GHG Inventory Form'!$E$6="IPCC AR5 Report(2013)",VLOOKUP($O111,'6.GWP'!$B$1:$G$173,5,FALSE),IF('1.GHG Inventory Form'!$E$6="IPCC AR6 Report(2021)",VLOOKUP($O111,'6.GWP'!$B$2:$G$173,6,FALSE),0))))),0),0)</f>
        <v>0</v>
      </c>
      <c r="AR111" s="366">
        <f>IFERROR(IF(AC111="V",IF('1.GHG Inventory Form'!$E$6="IPCC AR2 Report(1995)",VLOOKUP($O111,'6.GWP'!$B$1:$G$173,2,FALSE),IF('1.GHG Inventory Form'!$E$6="IPCC AR3 Report(2001)",VLOOKUP($O111,'6.GWP'!$B$1:$G$173,3,FALSE),IF('1.GHG Inventory Form'!$E$6="IPCC AR4 Report(2007)",VLOOKUP($KQ15,'6.GWP'!$B$1:$G$173,4,FALSE),IF('1.GHG Inventory Form'!$E$6="IPCC AR5 Report(2013)",VLOOKUP($O111,'6.GWP'!$B$1:$G$173,5,FALSE),IF('1.GHG Inventory Form'!$E$6="IPCC AR6 Report(2021)",VLOOKUP($O111,'6.GWP'!$B$2:$G$173,6,FALSE),0))))),0),0)</f>
        <v>0</v>
      </c>
      <c r="AS111" s="366">
        <f>IF(AD111="V",IF('1.GHG Inventory Form'!$E$6="IPCC AR2 Report(1995)",'6.GWP'!$C$5,IF('1.GHG Inventory Form'!$E$6="IPCC AR3 Report(2001)",'6.GWP'!$D$5,IF('1.GHG Inventory Form'!$E$6="IPCC AR4 Report(2007)",'6.GWP'!$E$5,IF('1.GHG Inventory Form'!$E$6="IPCC AR5 Report(2013)",'6.GWP'!$F$5,IF('1.GHG Inventory Form'!$E$6="IPCC AR6 Report(2021)",'6.GWP'!$G$5,0))))),0)</f>
        <v>0</v>
      </c>
      <c r="AT111" s="392">
        <f>IF(AE111="V",IF('1.GHG Inventory Form'!$E$6="IPCC AR2 Report(1995)",'6.GWP'!$C$4,IF('1.GHG Inventory Form'!$E$6="IPCC AR3 Report(2001)",'6.GWP'!$D$4,IF('1.GHG Inventory Form'!$E$6="IPCC AR4 Report(2007)",'6.GWP'!$E$4,IF('1.GHG Inventory Form'!$E$6="IPCC AR5 Report(2013)",'6.GWP'!$F$4,IF('1.GHG Inventory Form'!$E$6="IPCC AR6 Report(2021)",'6.GWP'!$G$4,0))))),0)</f>
        <v>0</v>
      </c>
      <c r="AU111" s="478">
        <f t="shared" si="77"/>
        <v>0</v>
      </c>
      <c r="AV111" s="367">
        <f t="shared" si="78"/>
        <v>0</v>
      </c>
      <c r="AW111" s="367">
        <f t="shared" si="79"/>
        <v>0</v>
      </c>
      <c r="AX111" s="367">
        <f t="shared" si="80"/>
        <v>0</v>
      </c>
      <c r="AY111" s="367">
        <f t="shared" si="81"/>
        <v>0</v>
      </c>
      <c r="AZ111" s="367">
        <f t="shared" si="82"/>
        <v>0</v>
      </c>
      <c r="BA111" s="479">
        <f t="shared" si="83"/>
        <v>0</v>
      </c>
      <c r="BB111" s="393">
        <f t="shared" si="84"/>
        <v>0</v>
      </c>
      <c r="BC111" s="367"/>
      <c r="BD111" s="369">
        <f t="shared" si="85"/>
        <v>0</v>
      </c>
      <c r="BI111" s="86" t="str">
        <f t="shared" si="86"/>
        <v/>
      </c>
      <c r="BJ111" s="86" t="str">
        <f t="shared" si="87"/>
        <v/>
      </c>
      <c r="BK111" s="86" t="str">
        <f t="shared" si="88"/>
        <v/>
      </c>
    </row>
    <row r="112" spans="1:66" customFormat="1" ht="16" customHeight="1" thickBot="1">
      <c r="B112" s="634"/>
      <c r="C112" s="636"/>
      <c r="D112" s="638"/>
      <c r="E112" s="638"/>
      <c r="F112" s="477"/>
      <c r="G112" s="43" t="s">
        <v>422</v>
      </c>
      <c r="H112" s="110"/>
      <c r="I112" s="175"/>
      <c r="J112" s="85"/>
      <c r="K112" s="477"/>
      <c r="L112" s="201"/>
      <c r="M112" s="201"/>
      <c r="N112" s="202"/>
      <c r="O112" s="32"/>
      <c r="P112" s="32"/>
      <c r="Q112" s="28"/>
      <c r="R112" s="421"/>
      <c r="S112" s="421"/>
      <c r="T112" s="421"/>
      <c r="U112" s="421"/>
      <c r="V112" s="421"/>
      <c r="W112" s="421"/>
      <c r="X112" s="421"/>
      <c r="Y112" s="389" t="str">
        <f t="shared" si="67"/>
        <v/>
      </c>
      <c r="Z112" s="364" t="str">
        <f t="shared" si="68"/>
        <v/>
      </c>
      <c r="AA112" s="364" t="str">
        <f t="shared" si="69"/>
        <v/>
      </c>
      <c r="AB112" s="364" t="str">
        <f t="shared" si="70"/>
        <v/>
      </c>
      <c r="AC112" s="364" t="str">
        <f t="shared" si="71"/>
        <v/>
      </c>
      <c r="AD112" s="364" t="str">
        <f t="shared" si="72"/>
        <v/>
      </c>
      <c r="AE112" s="390" t="str">
        <f t="shared" si="73"/>
        <v/>
      </c>
      <c r="AF112" s="473">
        <f t="shared" si="74"/>
        <v>0</v>
      </c>
      <c r="AG112" s="364">
        <f>IFERROR(VLOOKUP($O112,#REF!,4,FALSE),0)</f>
        <v>0</v>
      </c>
      <c r="AH112" s="364">
        <f>IFERROR(VLOOKUP($O112,#REF!,6,FALSE),0)</f>
        <v>0</v>
      </c>
      <c r="AI112" s="364">
        <f>IFERROR(VLOOKUP($O112,#REF!,8,FALSE),0)</f>
        <v>0</v>
      </c>
      <c r="AJ112" s="364">
        <f>IFERROR(VLOOKUP($O112,#REF!,10,FALSE),0)</f>
        <v>0</v>
      </c>
      <c r="AK112" s="364">
        <f>IFERROR(VLOOKUP($O112,#REF!,12,FALSE),0)</f>
        <v>0</v>
      </c>
      <c r="AL112" s="364">
        <f>IFERROR(VLOOKUP($O112,#REF!,14,FALSE),0)</f>
        <v>0</v>
      </c>
      <c r="AM112" s="390">
        <f t="shared" si="75"/>
        <v>0</v>
      </c>
      <c r="AN112" s="391">
        <f t="shared" si="76"/>
        <v>0</v>
      </c>
      <c r="AO112" s="366">
        <f>IF(Z112="V",IF('1.GHG Inventory Form'!$E$6="IPCC AR2 Report(1995)",'6.GWP'!$C$2,IF('1.GHG Inventory Form'!$E$6="IPCC AR3 Report(2001)",'6.GWP'!$D$2,IF('1.GHG Inventory Form'!$E$6="IPCC AR4 Report(2007)",'6.GWP'!$E$2,IF('1.GHG Inventory Form'!$E$6="IPCC AR5 Report(2013)",'6.GWP'!$F$2,IF('1.GHG Inventory Form'!$E$6="IPCC AR6 Report(2021)",'6.GWP'!$G$2,0))))),0)</f>
        <v>0</v>
      </c>
      <c r="AP112" s="366">
        <f>IF(AA112="V",IF('1.GHG Inventory Form'!$E$6="IPCC AR2 Report(1995)",'6.GWP'!$C$3,IF('1.GHG Inventory Form'!$E$6="IPCC AR3 Report(2001)",'6.GWP'!$D$3,IF('1.GHG Inventory Form'!$E$6="IPCC AR4 Report(2007)",'6.GWP'!$E$3,IF('1.GHG Inventory Form'!$E$6="IPCC AR5 Report(2013)",'6.GWP'!$F$3,IF('1.GHG Inventory Form'!$E$6="IPCC AR6 Report(2021)",'6.GWP'!$G$3,0))))),0)</f>
        <v>0</v>
      </c>
      <c r="AQ112" s="366">
        <f>IFERROR(IF(AB112="V",IF('1.GHG Inventory Form'!$E$6="IPCC AR2 Report(1995)",VLOOKUP($O112,'6.GWP'!$B$1:$G$173,2,FALSE),IF('1.GHG Inventory Form'!$E$6="IPCC AR3 Report(2001)",VLOOKUP($O112,'6.GWP'!$B$1:$G$173,3,FALSE),IF('1.GHG Inventory Form'!$E$6="IPCC AR4 Report(2007)",VLOOKUP($KQ16,'6.GWP'!$B$1:$G$173,4,FALSE),IF('1.GHG Inventory Form'!$E$6="IPCC AR5 Report(2013)",VLOOKUP($O112,'6.GWP'!$B$1:$G$173,5,FALSE),IF('1.GHG Inventory Form'!$E$6="IPCC AR6 Report(2021)",VLOOKUP($O112,'6.GWP'!$B$2:$G$173,6,FALSE),0))))),0),0)</f>
        <v>0</v>
      </c>
      <c r="AR112" s="366">
        <f>IFERROR(IF(AC112="V",IF('1.GHG Inventory Form'!$E$6="IPCC AR2 Report(1995)",VLOOKUP($O112,'6.GWP'!$B$1:$G$173,2,FALSE),IF('1.GHG Inventory Form'!$E$6="IPCC AR3 Report(2001)",VLOOKUP($O112,'6.GWP'!$B$1:$G$173,3,FALSE),IF('1.GHG Inventory Form'!$E$6="IPCC AR4 Report(2007)",VLOOKUP($KQ16,'6.GWP'!$B$1:$G$173,4,FALSE),IF('1.GHG Inventory Form'!$E$6="IPCC AR5 Report(2013)",VLOOKUP($O112,'6.GWP'!$B$1:$G$173,5,FALSE),IF('1.GHG Inventory Form'!$E$6="IPCC AR6 Report(2021)",VLOOKUP($O112,'6.GWP'!$B$2:$G$173,6,FALSE),0))))),0),0)</f>
        <v>0</v>
      </c>
      <c r="AS112" s="366">
        <f>IF(AD112="V",IF('1.GHG Inventory Form'!$E$6="IPCC AR2 Report(1995)",'6.GWP'!$C$5,IF('1.GHG Inventory Form'!$E$6="IPCC AR3 Report(2001)",'6.GWP'!$D$5,IF('1.GHG Inventory Form'!$E$6="IPCC AR4 Report(2007)",'6.GWP'!$E$5,IF('1.GHG Inventory Form'!$E$6="IPCC AR5 Report(2013)",'6.GWP'!$F$5,IF('1.GHG Inventory Form'!$E$6="IPCC AR6 Report(2021)",'6.GWP'!$G$5,0))))),0)</f>
        <v>0</v>
      </c>
      <c r="AT112" s="392">
        <f>IF(AE112="V",IF('1.GHG Inventory Form'!$E$6="IPCC AR2 Report(1995)",'6.GWP'!$C$4,IF('1.GHG Inventory Form'!$E$6="IPCC AR3 Report(2001)",'6.GWP'!$D$4,IF('1.GHG Inventory Form'!$E$6="IPCC AR4 Report(2007)",'6.GWP'!$E$4,IF('1.GHG Inventory Form'!$E$6="IPCC AR5 Report(2013)",'6.GWP'!$F$4,IF('1.GHG Inventory Form'!$E$6="IPCC AR6 Report(2021)",'6.GWP'!$G$4,0))))),0)</f>
        <v>0</v>
      </c>
      <c r="AU112" s="478">
        <f t="shared" si="77"/>
        <v>0</v>
      </c>
      <c r="AV112" s="367">
        <f t="shared" si="78"/>
        <v>0</v>
      </c>
      <c r="AW112" s="367">
        <f t="shared" si="79"/>
        <v>0</v>
      </c>
      <c r="AX112" s="367">
        <f t="shared" si="80"/>
        <v>0</v>
      </c>
      <c r="AY112" s="367">
        <f t="shared" si="81"/>
        <v>0</v>
      </c>
      <c r="AZ112" s="367">
        <f t="shared" si="82"/>
        <v>0</v>
      </c>
      <c r="BA112" s="479">
        <f t="shared" si="83"/>
        <v>0</v>
      </c>
      <c r="BB112" s="393">
        <f t="shared" si="84"/>
        <v>0</v>
      </c>
      <c r="BC112" s="367"/>
      <c r="BD112" s="369">
        <f t="shared" si="85"/>
        <v>0</v>
      </c>
      <c r="BI112" s="86" t="str">
        <f t="shared" si="86"/>
        <v/>
      </c>
      <c r="BJ112" s="86" t="str">
        <f t="shared" si="87"/>
        <v/>
      </c>
      <c r="BK112" s="86" t="str">
        <f t="shared" si="88"/>
        <v/>
      </c>
    </row>
    <row r="113" spans="2:63" customFormat="1" ht="16" customHeight="1" thickBot="1">
      <c r="B113" s="634"/>
      <c r="C113" s="637"/>
      <c r="D113" s="638"/>
      <c r="E113" s="638"/>
      <c r="F113" s="481"/>
      <c r="G113" s="29" t="s">
        <v>423</v>
      </c>
      <c r="H113" s="111"/>
      <c r="I113" s="176"/>
      <c r="J113" s="112"/>
      <c r="K113" s="481"/>
      <c r="L113" s="203"/>
      <c r="M113" s="203"/>
      <c r="N113" s="204"/>
      <c r="O113" s="60"/>
      <c r="P113" s="60"/>
      <c r="Q113" s="61"/>
      <c r="R113" s="421"/>
      <c r="S113" s="421"/>
      <c r="T113" s="421"/>
      <c r="U113" s="421"/>
      <c r="V113" s="421"/>
      <c r="W113" s="421"/>
      <c r="X113" s="421"/>
      <c r="Y113" s="389" t="str">
        <f t="shared" si="67"/>
        <v/>
      </c>
      <c r="Z113" s="364" t="str">
        <f t="shared" si="68"/>
        <v/>
      </c>
      <c r="AA113" s="364" t="str">
        <f t="shared" si="69"/>
        <v/>
      </c>
      <c r="AB113" s="364" t="str">
        <f t="shared" si="70"/>
        <v/>
      </c>
      <c r="AC113" s="364" t="str">
        <f t="shared" si="71"/>
        <v/>
      </c>
      <c r="AD113" s="364" t="str">
        <f t="shared" si="72"/>
        <v/>
      </c>
      <c r="AE113" s="390" t="str">
        <f t="shared" si="73"/>
        <v/>
      </c>
      <c r="AF113" s="473">
        <f t="shared" si="74"/>
        <v>0</v>
      </c>
      <c r="AG113" s="364">
        <f>IFERROR(VLOOKUP($O113,#REF!,4,FALSE),0)</f>
        <v>0</v>
      </c>
      <c r="AH113" s="364">
        <f>IFERROR(VLOOKUP($O113,#REF!,6,FALSE),0)</f>
        <v>0</v>
      </c>
      <c r="AI113" s="364">
        <f>IFERROR(VLOOKUP($O113,#REF!,8,FALSE),0)</f>
        <v>0</v>
      </c>
      <c r="AJ113" s="364">
        <f>IFERROR(VLOOKUP($O113,#REF!,10,FALSE),0)</f>
        <v>0</v>
      </c>
      <c r="AK113" s="364">
        <f>IFERROR(VLOOKUP($O113,#REF!,12,FALSE),0)</f>
        <v>0</v>
      </c>
      <c r="AL113" s="364">
        <f>IFERROR(VLOOKUP($O113,#REF!,14,FALSE),0)</f>
        <v>0</v>
      </c>
      <c r="AM113" s="390">
        <f t="shared" si="75"/>
        <v>0</v>
      </c>
      <c r="AN113" s="405">
        <f t="shared" si="76"/>
        <v>0</v>
      </c>
      <c r="AO113" s="406">
        <f>IF(Z113="V",IF('1.GHG Inventory Form'!$E$6="IPCC AR2 Report(1995)",'6.GWP'!$C$2,IF('1.GHG Inventory Form'!$E$6="IPCC AR3 Report(2001)",'6.GWP'!$D$2,IF('1.GHG Inventory Form'!$E$6="IPCC AR4 Report(2007)",'6.GWP'!$E$2,IF('1.GHG Inventory Form'!$E$6="IPCC AR5 Report(2013)",'6.GWP'!$F$2,IF('1.GHG Inventory Form'!$E$6="IPCC AR6 Report(2021)",'6.GWP'!$G$2,0))))),0)</f>
        <v>0</v>
      </c>
      <c r="AP113" s="406">
        <f>IF(AA113="V",IF('1.GHG Inventory Form'!$E$6="IPCC AR2 Report(1995)",'6.GWP'!$C$3,IF('1.GHG Inventory Form'!$E$6="IPCC AR3 Report(2001)",'6.GWP'!$D$3,IF('1.GHG Inventory Form'!$E$6="IPCC AR4 Report(2007)",'6.GWP'!$E$3,IF('1.GHG Inventory Form'!$E$6="IPCC AR5 Report(2013)",'6.GWP'!$F$3,IF('1.GHG Inventory Form'!$E$6="IPCC AR6 Report(2021)",'6.GWP'!$G$3,0))))),0)</f>
        <v>0</v>
      </c>
      <c r="AQ113" s="406">
        <f>IFERROR(IF(AB113="V",IF('1.GHG Inventory Form'!$E$6="IPCC AR2 Report(1995)",VLOOKUP($O113,'6.GWP'!$B$1:$G$173,2,FALSE),IF('1.GHG Inventory Form'!$E$6="IPCC AR3 Report(2001)",VLOOKUP($O113,'6.GWP'!$B$1:$G$173,3,FALSE),IF('1.GHG Inventory Form'!$E$6="IPCC AR4 Report(2007)",VLOOKUP($KQ17,'6.GWP'!$B$1:$G$173,4,FALSE),IF('1.GHG Inventory Form'!$E$6="IPCC AR5 Report(2013)",VLOOKUP($O113,'6.GWP'!$B$1:$G$173,5,FALSE),IF('1.GHG Inventory Form'!$E$6="IPCC AR6 Report(2021)",VLOOKUP($O113,'6.GWP'!$B$2:$G$173,6,FALSE),0))))),0),0)</f>
        <v>0</v>
      </c>
      <c r="AR113" s="406">
        <f>IFERROR(IF(AC113="V",IF('1.GHG Inventory Form'!$E$6="IPCC AR2 Report(1995)",VLOOKUP($O113,'6.GWP'!$B$1:$G$173,2,FALSE),IF('1.GHG Inventory Form'!$E$6="IPCC AR3 Report(2001)",VLOOKUP($O113,'6.GWP'!$B$1:$G$173,3,FALSE),IF('1.GHG Inventory Form'!$E$6="IPCC AR4 Report(2007)",VLOOKUP($KQ17,'6.GWP'!$B$1:$G$173,4,FALSE),IF('1.GHG Inventory Form'!$E$6="IPCC AR5 Report(2013)",VLOOKUP($O113,'6.GWP'!$B$1:$G$173,5,FALSE),IF('1.GHG Inventory Form'!$E$6="IPCC AR6 Report(2021)",VLOOKUP($O113,'6.GWP'!$B$2:$G$173,6,FALSE),0))))),0),0)</f>
        <v>0</v>
      </c>
      <c r="AS113" s="406">
        <f>IF(AD113="V",IF('1.GHG Inventory Form'!$E$6="IPCC AR2 Report(1995)",'6.GWP'!$C$5,IF('1.GHG Inventory Form'!$E$6="IPCC AR3 Report(2001)",'6.GWP'!$D$5,IF('1.GHG Inventory Form'!$E$6="IPCC AR4 Report(2007)",'6.GWP'!$E$5,IF('1.GHG Inventory Form'!$E$6="IPCC AR5 Report(2013)",'6.GWP'!$F$5,IF('1.GHG Inventory Form'!$E$6="IPCC AR6 Report(2021)",'6.GWP'!$G$5,0))))),0)</f>
        <v>0</v>
      </c>
      <c r="AT113" s="407">
        <f>IF(AE113="V",IF('1.GHG Inventory Form'!$E$6="IPCC AR2 Report(1995)",'6.GWP'!$C$4,IF('1.GHG Inventory Form'!$E$6="IPCC AR3 Report(2001)",'6.GWP'!$D$4,IF('1.GHG Inventory Form'!$E$6="IPCC AR4 Report(2007)",'6.GWP'!$E$4,IF('1.GHG Inventory Form'!$E$6="IPCC AR5 Report(2013)",'6.GWP'!$F$4,IF('1.GHG Inventory Form'!$E$6="IPCC AR6 Report(2021)",'6.GWP'!$G$4,0))))),0)</f>
        <v>0</v>
      </c>
      <c r="AU113" s="482">
        <f t="shared" si="77"/>
        <v>0</v>
      </c>
      <c r="AV113" s="419">
        <f t="shared" si="78"/>
        <v>0</v>
      </c>
      <c r="AW113" s="419">
        <f t="shared" si="79"/>
        <v>0</v>
      </c>
      <c r="AX113" s="419">
        <f t="shared" si="80"/>
        <v>0</v>
      </c>
      <c r="AY113" s="419">
        <f t="shared" si="81"/>
        <v>0</v>
      </c>
      <c r="AZ113" s="419">
        <f t="shared" si="82"/>
        <v>0</v>
      </c>
      <c r="BA113" s="483">
        <f t="shared" si="83"/>
        <v>0</v>
      </c>
      <c r="BB113" s="409">
        <f t="shared" si="84"/>
        <v>0</v>
      </c>
      <c r="BC113" s="419"/>
      <c r="BD113" s="411">
        <f t="shared" si="85"/>
        <v>0</v>
      </c>
      <c r="BI113" s="86" t="str">
        <f t="shared" si="86"/>
        <v/>
      </c>
      <c r="BJ113" s="86" t="str">
        <f t="shared" si="87"/>
        <v/>
      </c>
      <c r="BK113" s="86" t="str">
        <f t="shared" si="88"/>
        <v/>
      </c>
    </row>
    <row r="114" spans="2:63" customFormat="1" ht="39" customHeight="1" thickBot="1">
      <c r="B114" s="634"/>
      <c r="C114" s="484">
        <v>3.4</v>
      </c>
      <c r="D114" s="632" t="s">
        <v>424</v>
      </c>
      <c r="E114" s="633"/>
      <c r="F114" s="485"/>
      <c r="G114" s="49" t="s">
        <v>425</v>
      </c>
      <c r="H114" s="113"/>
      <c r="I114" s="177"/>
      <c r="J114" s="115"/>
      <c r="K114" s="485"/>
      <c r="L114" s="205"/>
      <c r="M114" s="205"/>
      <c r="N114" s="206"/>
      <c r="O114" s="50"/>
      <c r="P114" s="50"/>
      <c r="Q114" s="52"/>
      <c r="R114" s="421"/>
      <c r="S114" s="421"/>
      <c r="T114" s="421"/>
      <c r="U114" s="421"/>
      <c r="V114" s="421"/>
      <c r="W114" s="421"/>
      <c r="X114" s="421"/>
      <c r="Y114" s="389" t="str">
        <f t="shared" si="67"/>
        <v/>
      </c>
      <c r="Z114" s="364" t="str">
        <f t="shared" si="68"/>
        <v/>
      </c>
      <c r="AA114" s="364" t="str">
        <f t="shared" si="69"/>
        <v/>
      </c>
      <c r="AB114" s="364" t="str">
        <f t="shared" si="70"/>
        <v/>
      </c>
      <c r="AC114" s="364" t="str">
        <f t="shared" si="71"/>
        <v/>
      </c>
      <c r="AD114" s="364" t="str">
        <f t="shared" si="72"/>
        <v/>
      </c>
      <c r="AE114" s="390" t="str">
        <f t="shared" si="73"/>
        <v/>
      </c>
      <c r="AF114" s="473">
        <f t="shared" si="74"/>
        <v>0</v>
      </c>
      <c r="AG114" s="364">
        <f>IFERROR(VLOOKUP($O114,#REF!,4,FALSE),0)</f>
        <v>0</v>
      </c>
      <c r="AH114" s="364">
        <f>IFERROR(VLOOKUP($O114,#REF!,6,FALSE),0)</f>
        <v>0</v>
      </c>
      <c r="AI114" s="364">
        <f>IFERROR(VLOOKUP($O114,#REF!,8,FALSE),0)</f>
        <v>0</v>
      </c>
      <c r="AJ114" s="364">
        <f>IFERROR(VLOOKUP($O114,#REF!,10,FALSE),0)</f>
        <v>0</v>
      </c>
      <c r="AK114" s="364">
        <f>IFERROR(VLOOKUP($O114,#REF!,12,FALSE),0)</f>
        <v>0</v>
      </c>
      <c r="AL114" s="364">
        <f>IFERROR(VLOOKUP($O114,#REF!,14,FALSE),0)</f>
        <v>0</v>
      </c>
      <c r="AM114" s="390">
        <f t="shared" si="75"/>
        <v>0</v>
      </c>
      <c r="AN114" s="346">
        <f t="shared" si="76"/>
        <v>0</v>
      </c>
      <c r="AO114" s="347">
        <f>IF(Z114="V",IF('1.GHG Inventory Form'!$E$6="IPCC AR2 Report(1995)",'6.GWP'!$C$2,IF('1.GHG Inventory Form'!$E$6="IPCC AR3 Report(2001)",'6.GWP'!$D$2,IF('1.GHG Inventory Form'!$E$6="IPCC AR4 Report(2007)",'6.GWP'!$E$2,IF('1.GHG Inventory Form'!$E$6="IPCC AR5 Report(2013)",'6.GWP'!$F$2,IF('1.GHG Inventory Form'!$E$6="IPCC AR6 Report(2021)",'6.GWP'!$G$2,0))))),0)</f>
        <v>0</v>
      </c>
      <c r="AP114" s="347">
        <f>IF(AA114="V",IF('1.GHG Inventory Form'!$E$6="IPCC AR2 Report(1995)",'6.GWP'!$C$3,IF('1.GHG Inventory Form'!$E$6="IPCC AR3 Report(2001)",'6.GWP'!$D$3,IF('1.GHG Inventory Form'!$E$6="IPCC AR4 Report(2007)",'6.GWP'!$E$3,IF('1.GHG Inventory Form'!$E$6="IPCC AR5 Report(2013)",'6.GWP'!$F$3,IF('1.GHG Inventory Form'!$E$6="IPCC AR6 Report(2021)",'6.GWP'!$G$3,0))))),0)</f>
        <v>0</v>
      </c>
      <c r="AQ114" s="347">
        <f>IFERROR(IF(AB114="V",IF('1.GHG Inventory Form'!$E$6="IPCC AR2 Report(1995)",VLOOKUP($O114,'6.GWP'!$B$1:$G$173,2,FALSE),IF('1.GHG Inventory Form'!$E$6="IPCC AR3 Report(2001)",VLOOKUP($O114,'6.GWP'!$B$1:$G$173,3,FALSE),IF('1.GHG Inventory Form'!$E$6="IPCC AR4 Report(2007)",VLOOKUP($KQ18,'6.GWP'!$B$1:$G$173,4,FALSE),IF('1.GHG Inventory Form'!$E$6="IPCC AR5 Report(2013)",VLOOKUP($O114,'6.GWP'!$B$1:$G$173,5,FALSE),IF('1.GHG Inventory Form'!$E$6="IPCC AR6 Report(2021)",VLOOKUP($O114,'6.GWP'!$B$2:$G$173,6,FALSE),0))))),0),0)</f>
        <v>0</v>
      </c>
      <c r="AR114" s="347">
        <f>IFERROR(IF(AC114="V",IF('1.GHG Inventory Form'!$E$6="IPCC AR2 Report(1995)",VLOOKUP($O114,'6.GWP'!$B$1:$G$173,2,FALSE),IF('1.GHG Inventory Form'!$E$6="IPCC AR3 Report(2001)",VLOOKUP($O114,'6.GWP'!$B$1:$G$173,3,FALSE),IF('1.GHG Inventory Form'!$E$6="IPCC AR4 Report(2007)",VLOOKUP($KQ18,'6.GWP'!$B$1:$G$173,4,FALSE),IF('1.GHG Inventory Form'!$E$6="IPCC AR5 Report(2013)",VLOOKUP($O114,'6.GWP'!$B$1:$G$173,5,FALSE),IF('1.GHG Inventory Form'!$E$6="IPCC AR6 Report(2021)",VLOOKUP($O114,'6.GWP'!$B$2:$G$173,6,FALSE),0))))),0),0)</f>
        <v>0</v>
      </c>
      <c r="AS114" s="347">
        <f>IF(AD114="V",IF('1.GHG Inventory Form'!$E$6="IPCC AR2 Report(1995)",'6.GWP'!$C$5,IF('1.GHG Inventory Form'!$E$6="IPCC AR3 Report(2001)",'6.GWP'!$D$5,IF('1.GHG Inventory Form'!$E$6="IPCC AR4 Report(2007)",'6.GWP'!$E$5,IF('1.GHG Inventory Form'!$E$6="IPCC AR5 Report(2013)",'6.GWP'!$F$5,IF('1.GHG Inventory Form'!$E$6="IPCC AR6 Report(2021)",'6.GWP'!$G$5,0))))),0)</f>
        <v>0</v>
      </c>
      <c r="AT114" s="348">
        <f>IF(AE114="V",IF('1.GHG Inventory Form'!$E$6="IPCC AR2 Report(1995)",'6.GWP'!$C$4,IF('1.GHG Inventory Form'!$E$6="IPCC AR3 Report(2001)",'6.GWP'!$D$4,IF('1.GHG Inventory Form'!$E$6="IPCC AR4 Report(2007)",'6.GWP'!$E$4,IF('1.GHG Inventory Form'!$E$6="IPCC AR5 Report(2013)",'6.GWP'!$F$4,IF('1.GHG Inventory Form'!$E$6="IPCC AR6 Report(2021)",'6.GWP'!$G$4,0))))),0)</f>
        <v>0</v>
      </c>
      <c r="AU114" s="486">
        <f t="shared" si="77"/>
        <v>0</v>
      </c>
      <c r="AV114" s="487">
        <f t="shared" si="78"/>
        <v>0</v>
      </c>
      <c r="AW114" s="487">
        <f t="shared" si="79"/>
        <v>0</v>
      </c>
      <c r="AX114" s="487">
        <f t="shared" si="80"/>
        <v>0</v>
      </c>
      <c r="AY114" s="487">
        <f t="shared" si="81"/>
        <v>0</v>
      </c>
      <c r="AZ114" s="487">
        <f t="shared" si="82"/>
        <v>0</v>
      </c>
      <c r="BA114" s="488">
        <f t="shared" si="83"/>
        <v>0</v>
      </c>
      <c r="BB114" s="349">
        <f t="shared" si="84"/>
        <v>0</v>
      </c>
      <c r="BC114" s="487"/>
      <c r="BD114" s="351">
        <f t="shared" si="85"/>
        <v>0</v>
      </c>
      <c r="BI114" s="86" t="str">
        <f t="shared" si="86"/>
        <v/>
      </c>
      <c r="BJ114" s="86" t="str">
        <f t="shared" si="87"/>
        <v/>
      </c>
      <c r="BK114" s="86" t="str">
        <f t="shared" si="88"/>
        <v/>
      </c>
    </row>
    <row r="115" spans="2:63">
      <c r="B115" s="634"/>
      <c r="C115" s="635">
        <v>3.5</v>
      </c>
      <c r="D115" s="638" t="s">
        <v>426</v>
      </c>
      <c r="E115" s="639"/>
      <c r="F115" s="472"/>
      <c r="G115" s="70" t="s">
        <v>427</v>
      </c>
      <c r="H115" s="108"/>
      <c r="I115" s="174"/>
      <c r="J115" s="116"/>
      <c r="K115" s="472"/>
      <c r="L115" s="199"/>
      <c r="M115" s="199"/>
      <c r="N115" s="200"/>
      <c r="O115" s="31"/>
      <c r="P115" s="31"/>
      <c r="Q115" s="27"/>
      <c r="R115" s="421"/>
      <c r="S115" s="421"/>
      <c r="T115" s="421"/>
      <c r="U115" s="421"/>
      <c r="V115" s="421"/>
      <c r="W115" s="421"/>
      <c r="X115" s="421"/>
      <c r="Y115" s="389" t="str">
        <f t="shared" si="67"/>
        <v/>
      </c>
      <c r="Z115" s="364" t="str">
        <f t="shared" si="68"/>
        <v/>
      </c>
      <c r="AA115" s="364" t="str">
        <f t="shared" si="69"/>
        <v/>
      </c>
      <c r="AB115" s="364" t="str">
        <f t="shared" si="70"/>
        <v/>
      </c>
      <c r="AC115" s="364" t="str">
        <f t="shared" si="71"/>
        <v/>
      </c>
      <c r="AD115" s="364" t="str">
        <f t="shared" si="72"/>
        <v/>
      </c>
      <c r="AE115" s="390" t="str">
        <f t="shared" si="73"/>
        <v/>
      </c>
      <c r="AF115" s="473">
        <f t="shared" si="74"/>
        <v>0</v>
      </c>
      <c r="AG115" s="364">
        <f>IFERROR(VLOOKUP($O115,#REF!,4,FALSE),0)</f>
        <v>0</v>
      </c>
      <c r="AH115" s="364">
        <f>IFERROR(VLOOKUP($O115,#REF!,6,FALSE),0)</f>
        <v>0</v>
      </c>
      <c r="AI115" s="364">
        <f>IFERROR(VLOOKUP($O115,#REF!,8,FALSE),0)</f>
        <v>0</v>
      </c>
      <c r="AJ115" s="364">
        <f>IFERROR(VLOOKUP($O115,#REF!,10,FALSE),0)</f>
        <v>0</v>
      </c>
      <c r="AK115" s="364">
        <f>IFERROR(VLOOKUP($O115,#REF!,12,FALSE),0)</f>
        <v>0</v>
      </c>
      <c r="AL115" s="364">
        <f>IFERROR(VLOOKUP($O115,#REF!,14,FALSE),0)</f>
        <v>0</v>
      </c>
      <c r="AM115" s="390">
        <f t="shared" si="75"/>
        <v>0</v>
      </c>
      <c r="AN115" s="384">
        <f t="shared" si="76"/>
        <v>0</v>
      </c>
      <c r="AO115" s="357">
        <f>IF(Z115="V",IF('1.GHG Inventory Form'!$E$6="IPCC AR2 Report(1995)",'6.GWP'!$C$2,IF('1.GHG Inventory Form'!$E$6="IPCC AR3 Report(2001)",'6.GWP'!$D$2,IF('1.GHG Inventory Form'!$E$6="IPCC AR4 Report(2007)",'6.GWP'!$E$2,IF('1.GHG Inventory Form'!$E$6="IPCC AR5 Report(2013)",'6.GWP'!$F$2,IF('1.GHG Inventory Form'!$E$6="IPCC AR6 Report(2021)",'6.GWP'!$G$2,0))))),0)</f>
        <v>0</v>
      </c>
      <c r="AP115" s="357">
        <f>IF(AA115="V",IF('1.GHG Inventory Form'!$E$6="IPCC AR2 Report(1995)",'6.GWP'!$C$3,IF('1.GHG Inventory Form'!$E$6="IPCC AR3 Report(2001)",'6.GWP'!$D$3,IF('1.GHG Inventory Form'!$E$6="IPCC AR4 Report(2007)",'6.GWP'!$E$3,IF('1.GHG Inventory Form'!$E$6="IPCC AR5 Report(2013)",'6.GWP'!$F$3,IF('1.GHG Inventory Form'!$E$6="IPCC AR6 Report(2021)",'6.GWP'!$G$3,0))))),0)</f>
        <v>0</v>
      </c>
      <c r="AQ115" s="357">
        <f>IFERROR(IF(AB115="V",IF('1.GHG Inventory Form'!$E$6="IPCC AR2 Report(1995)",VLOOKUP($O115,'6.GWP'!$B$1:$G$173,2,FALSE),IF('1.GHG Inventory Form'!$E$6="IPCC AR3 Report(2001)",VLOOKUP($O115,'6.GWP'!$B$1:$G$173,3,FALSE),IF('1.GHG Inventory Form'!$E$6="IPCC AR4 Report(2007)",VLOOKUP(#REF!,'6.GWP'!$B$1:$G$173,4,FALSE),IF('1.GHG Inventory Form'!$E$6="IPCC AR5 Report(2013)",VLOOKUP($O115,'6.GWP'!$B$1:$G$173,5,FALSE),IF('1.GHG Inventory Form'!$E$6="IPCC AR6 Report(2021)",VLOOKUP($O115,'6.GWP'!$B$2:$G$173,6,FALSE),0))))),0),0)</f>
        <v>0</v>
      </c>
      <c r="AR115" s="357">
        <f>IFERROR(IF(AC115="V",IF('1.GHG Inventory Form'!$E$6="IPCC AR2 Report(1995)",VLOOKUP($O115,'6.GWP'!$B$1:$G$173,2,FALSE),IF('1.GHG Inventory Form'!$E$6="IPCC AR3 Report(2001)",VLOOKUP($O115,'6.GWP'!$B$1:$G$173,3,FALSE),IF('1.GHG Inventory Form'!$E$6="IPCC AR4 Report(2007)",VLOOKUP(#REF!,'6.GWP'!$B$1:$G$173,4,FALSE),IF('1.GHG Inventory Form'!$E$6="IPCC AR5 Report(2013)",VLOOKUP($O115,'6.GWP'!$B$1:$G$173,5,FALSE),IF('1.GHG Inventory Form'!$E$6="IPCC AR6 Report(2021)",VLOOKUP($O115,'6.GWP'!$B$2:$G$173,6,FALSE),0))))),0),0)</f>
        <v>0</v>
      </c>
      <c r="AS115" s="357">
        <f>IF(AD115="V",IF('1.GHG Inventory Form'!$E$6="IPCC AR2 Report(1995)",'6.GWP'!$C$5,IF('1.GHG Inventory Form'!$E$6="IPCC AR3 Report(2001)",'6.GWP'!$D$5,IF('1.GHG Inventory Form'!$E$6="IPCC AR4 Report(2007)",'6.GWP'!$E$5,IF('1.GHG Inventory Form'!$E$6="IPCC AR5 Report(2013)",'6.GWP'!$F$5,IF('1.GHG Inventory Form'!$E$6="IPCC AR6 Report(2021)",'6.GWP'!$G$5,0))))),0)</f>
        <v>0</v>
      </c>
      <c r="AT115" s="385">
        <f>IF(AE115="V",IF('1.GHG Inventory Form'!$E$6="IPCC AR2 Report(1995)",'6.GWP'!$C$4,IF('1.GHG Inventory Form'!$E$6="IPCC AR3 Report(2001)",'6.GWP'!$D$4,IF('1.GHG Inventory Form'!$E$6="IPCC AR4 Report(2007)",'6.GWP'!$E$4,IF('1.GHG Inventory Form'!$E$6="IPCC AR5 Report(2013)",'6.GWP'!$F$4,IF('1.GHG Inventory Form'!$E$6="IPCC AR6 Report(2021)",'6.GWP'!$G$4,0))))),0)</f>
        <v>0</v>
      </c>
      <c r="AU115" s="474">
        <f t="shared" si="77"/>
        <v>0</v>
      </c>
      <c r="AV115" s="358">
        <f t="shared" si="78"/>
        <v>0</v>
      </c>
      <c r="AW115" s="358">
        <f t="shared" si="79"/>
        <v>0</v>
      </c>
      <c r="AX115" s="358">
        <f t="shared" si="80"/>
        <v>0</v>
      </c>
      <c r="AY115" s="358">
        <f t="shared" si="81"/>
        <v>0</v>
      </c>
      <c r="AZ115" s="358">
        <f t="shared" si="82"/>
        <v>0</v>
      </c>
      <c r="BA115" s="475">
        <f t="shared" si="83"/>
        <v>0</v>
      </c>
      <c r="BB115" s="386">
        <f t="shared" si="84"/>
        <v>0</v>
      </c>
      <c r="BC115" s="358"/>
      <c r="BD115" s="360">
        <f t="shared" si="85"/>
        <v>0</v>
      </c>
      <c r="BI115" s="86" t="str">
        <f t="shared" si="86"/>
        <v/>
      </c>
      <c r="BJ115" s="86" t="str">
        <f t="shared" si="87"/>
        <v/>
      </c>
      <c r="BK115" s="86" t="str">
        <f t="shared" si="88"/>
        <v/>
      </c>
    </row>
    <row r="116" spans="2:63">
      <c r="B116" s="634"/>
      <c r="C116" s="636"/>
      <c r="D116" s="640"/>
      <c r="E116" s="641"/>
      <c r="F116" s="477"/>
      <c r="G116" s="43" t="s">
        <v>428</v>
      </c>
      <c r="H116" s="110"/>
      <c r="I116" s="175"/>
      <c r="J116" s="85"/>
      <c r="K116" s="477"/>
      <c r="L116" s="201"/>
      <c r="M116" s="201"/>
      <c r="N116" s="202"/>
      <c r="O116" s="32"/>
      <c r="P116" s="32"/>
      <c r="Q116" s="28"/>
      <c r="R116" s="421"/>
      <c r="S116" s="421"/>
      <c r="T116" s="421"/>
      <c r="U116" s="421"/>
      <c r="V116" s="421"/>
      <c r="W116" s="421"/>
      <c r="X116" s="421"/>
      <c r="Y116" s="389" t="str">
        <f t="shared" si="67"/>
        <v/>
      </c>
      <c r="Z116" s="364" t="str">
        <f t="shared" si="68"/>
        <v/>
      </c>
      <c r="AA116" s="364" t="str">
        <f t="shared" si="69"/>
        <v/>
      </c>
      <c r="AB116" s="364" t="str">
        <f t="shared" si="70"/>
        <v/>
      </c>
      <c r="AC116" s="364" t="str">
        <f t="shared" si="71"/>
        <v/>
      </c>
      <c r="AD116" s="364" t="str">
        <f t="shared" si="72"/>
        <v/>
      </c>
      <c r="AE116" s="390" t="str">
        <f t="shared" si="73"/>
        <v/>
      </c>
      <c r="AF116" s="473">
        <f t="shared" si="74"/>
        <v>0</v>
      </c>
      <c r="AG116" s="364">
        <f>IFERROR(VLOOKUP($O116,#REF!,4,FALSE),0)</f>
        <v>0</v>
      </c>
      <c r="AH116" s="364">
        <f>IFERROR(VLOOKUP($O116,#REF!,6,FALSE),0)</f>
        <v>0</v>
      </c>
      <c r="AI116" s="364">
        <f>IFERROR(VLOOKUP($O116,#REF!,8,FALSE),0)</f>
        <v>0</v>
      </c>
      <c r="AJ116" s="364">
        <f>IFERROR(VLOOKUP($O116,#REF!,10,FALSE),0)</f>
        <v>0</v>
      </c>
      <c r="AK116" s="364">
        <f>IFERROR(VLOOKUP($O116,#REF!,12,FALSE),0)</f>
        <v>0</v>
      </c>
      <c r="AL116" s="364">
        <f>IFERROR(VLOOKUP($O116,#REF!,14,FALSE),0)</f>
        <v>0</v>
      </c>
      <c r="AM116" s="390">
        <f t="shared" si="75"/>
        <v>0</v>
      </c>
      <c r="AN116" s="391">
        <f t="shared" si="76"/>
        <v>0</v>
      </c>
      <c r="AO116" s="366">
        <f>IF(Z116="V",IF('1.GHG Inventory Form'!$E$6="IPCC AR2 Report(1995)",'6.GWP'!$C$2,IF('1.GHG Inventory Form'!$E$6="IPCC AR3 Report(2001)",'6.GWP'!$D$2,IF('1.GHG Inventory Form'!$E$6="IPCC AR4 Report(2007)",'6.GWP'!$E$2,IF('1.GHG Inventory Form'!$E$6="IPCC AR5 Report(2013)",'6.GWP'!$F$2,IF('1.GHG Inventory Form'!$E$6="IPCC AR6 Report(2021)",'6.GWP'!$G$2,0))))),0)</f>
        <v>0</v>
      </c>
      <c r="AP116" s="366">
        <f>IF(AA116="V",IF('1.GHG Inventory Form'!$E$6="IPCC AR2 Report(1995)",'6.GWP'!$C$3,IF('1.GHG Inventory Form'!$E$6="IPCC AR3 Report(2001)",'6.GWP'!$D$3,IF('1.GHG Inventory Form'!$E$6="IPCC AR4 Report(2007)",'6.GWP'!$E$3,IF('1.GHG Inventory Form'!$E$6="IPCC AR5 Report(2013)",'6.GWP'!$F$3,IF('1.GHG Inventory Form'!$E$6="IPCC AR6 Report(2021)",'6.GWP'!$G$3,0))))),0)</f>
        <v>0</v>
      </c>
      <c r="AQ116" s="366">
        <f>IFERROR(IF(AB116="V",IF('1.GHG Inventory Form'!$E$6="IPCC AR2 Report(1995)",VLOOKUP($O116,'6.GWP'!$B$1:$G$173,2,FALSE),IF('1.GHG Inventory Form'!$E$6="IPCC AR3 Report(2001)",VLOOKUP($O116,'6.GWP'!$B$1:$G$173,3,FALSE),IF('1.GHG Inventory Form'!$E$6="IPCC AR4 Report(2007)",VLOOKUP(#REF!,'6.GWP'!$B$1:$G$173,4,FALSE),IF('1.GHG Inventory Form'!$E$6="IPCC AR5 Report(2013)",VLOOKUP($O116,'6.GWP'!$B$1:$G$173,5,FALSE),IF('1.GHG Inventory Form'!$E$6="IPCC AR6 Report(2021)",VLOOKUP($O116,'6.GWP'!$B$2:$G$173,6,FALSE),0))))),0),0)</f>
        <v>0</v>
      </c>
      <c r="AR116" s="366">
        <f>IFERROR(IF(AC116="V",IF('1.GHG Inventory Form'!$E$6="IPCC AR2 Report(1995)",VLOOKUP($O116,'6.GWP'!$B$1:$G$173,2,FALSE),IF('1.GHG Inventory Form'!$E$6="IPCC AR3 Report(2001)",VLOOKUP($O116,'6.GWP'!$B$1:$G$173,3,FALSE),IF('1.GHG Inventory Form'!$E$6="IPCC AR4 Report(2007)",VLOOKUP(#REF!,'6.GWP'!$B$1:$G$173,4,FALSE),IF('1.GHG Inventory Form'!$E$6="IPCC AR5 Report(2013)",VLOOKUP($O116,'6.GWP'!$B$1:$G$173,5,FALSE),IF('1.GHG Inventory Form'!$E$6="IPCC AR6 Report(2021)",VLOOKUP($O116,'6.GWP'!$B$2:$G$173,6,FALSE),0))))),0),0)</f>
        <v>0</v>
      </c>
      <c r="AS116" s="366">
        <f>IF(AD116="V",IF('1.GHG Inventory Form'!$E$6="IPCC AR2 Report(1995)",'6.GWP'!$C$5,IF('1.GHG Inventory Form'!$E$6="IPCC AR3 Report(2001)",'6.GWP'!$D$5,IF('1.GHG Inventory Form'!$E$6="IPCC AR4 Report(2007)",'6.GWP'!$E$5,IF('1.GHG Inventory Form'!$E$6="IPCC AR5 Report(2013)",'6.GWP'!$F$5,IF('1.GHG Inventory Form'!$E$6="IPCC AR6 Report(2021)",'6.GWP'!$G$5,0))))),0)</f>
        <v>0</v>
      </c>
      <c r="AT116" s="392">
        <f>IF(AE116="V",IF('1.GHG Inventory Form'!$E$6="IPCC AR2 Report(1995)",'6.GWP'!$C$4,IF('1.GHG Inventory Form'!$E$6="IPCC AR3 Report(2001)",'6.GWP'!$D$4,IF('1.GHG Inventory Form'!$E$6="IPCC AR4 Report(2007)",'6.GWP'!$E$4,IF('1.GHG Inventory Form'!$E$6="IPCC AR5 Report(2013)",'6.GWP'!$F$4,IF('1.GHG Inventory Form'!$E$6="IPCC AR6 Report(2021)",'6.GWP'!$G$4,0))))),0)</f>
        <v>0</v>
      </c>
      <c r="AU116" s="478">
        <f t="shared" si="77"/>
        <v>0</v>
      </c>
      <c r="AV116" s="367">
        <f t="shared" si="78"/>
        <v>0</v>
      </c>
      <c r="AW116" s="367">
        <f t="shared" si="79"/>
        <v>0</v>
      </c>
      <c r="AX116" s="367">
        <f t="shared" si="80"/>
        <v>0</v>
      </c>
      <c r="AY116" s="367">
        <f t="shared" si="81"/>
        <v>0</v>
      </c>
      <c r="AZ116" s="367">
        <f t="shared" si="82"/>
        <v>0</v>
      </c>
      <c r="BA116" s="479">
        <f t="shared" si="83"/>
        <v>0</v>
      </c>
      <c r="BB116" s="393">
        <f t="shared" si="84"/>
        <v>0</v>
      </c>
      <c r="BC116" s="367"/>
      <c r="BD116" s="369">
        <f t="shared" si="85"/>
        <v>0</v>
      </c>
      <c r="BI116" s="86" t="str">
        <f t="shared" si="86"/>
        <v/>
      </c>
      <c r="BJ116" s="86" t="str">
        <f t="shared" si="87"/>
        <v/>
      </c>
      <c r="BK116" s="86" t="str">
        <f t="shared" si="88"/>
        <v/>
      </c>
    </row>
    <row r="117" spans="2:63">
      <c r="B117" s="634"/>
      <c r="C117" s="636"/>
      <c r="D117" s="640"/>
      <c r="E117" s="641"/>
      <c r="F117" s="477"/>
      <c r="G117" s="43" t="s">
        <v>429</v>
      </c>
      <c r="H117" s="110"/>
      <c r="I117" s="175"/>
      <c r="J117" s="85"/>
      <c r="K117" s="477"/>
      <c r="L117" s="201"/>
      <c r="M117" s="201"/>
      <c r="N117" s="202"/>
      <c r="O117" s="32"/>
      <c r="P117" s="32"/>
      <c r="Q117" s="28"/>
      <c r="R117" s="421"/>
      <c r="S117" s="421"/>
      <c r="T117" s="421"/>
      <c r="U117" s="421"/>
      <c r="V117" s="421"/>
      <c r="W117" s="421"/>
      <c r="X117" s="421"/>
      <c r="Y117" s="389" t="str">
        <f t="shared" si="67"/>
        <v/>
      </c>
      <c r="Z117" s="364" t="str">
        <f t="shared" si="68"/>
        <v/>
      </c>
      <c r="AA117" s="364" t="str">
        <f t="shared" si="69"/>
        <v/>
      </c>
      <c r="AB117" s="364" t="str">
        <f t="shared" si="70"/>
        <v/>
      </c>
      <c r="AC117" s="364" t="str">
        <f t="shared" si="71"/>
        <v/>
      </c>
      <c r="AD117" s="364" t="str">
        <f t="shared" si="72"/>
        <v/>
      </c>
      <c r="AE117" s="390" t="str">
        <f t="shared" si="73"/>
        <v/>
      </c>
      <c r="AF117" s="473">
        <f t="shared" si="74"/>
        <v>0</v>
      </c>
      <c r="AG117" s="364">
        <f>IFERROR(VLOOKUP($O117,#REF!,4,FALSE),0)</f>
        <v>0</v>
      </c>
      <c r="AH117" s="364">
        <f>IFERROR(VLOOKUP($O117,#REF!,6,FALSE),0)</f>
        <v>0</v>
      </c>
      <c r="AI117" s="364">
        <f>IFERROR(VLOOKUP($O117,#REF!,8,FALSE),0)</f>
        <v>0</v>
      </c>
      <c r="AJ117" s="364">
        <f>IFERROR(VLOOKUP($O117,#REF!,10,FALSE),0)</f>
        <v>0</v>
      </c>
      <c r="AK117" s="364">
        <f>IFERROR(VLOOKUP($O117,#REF!,12,FALSE),0)</f>
        <v>0</v>
      </c>
      <c r="AL117" s="364">
        <f>IFERROR(VLOOKUP($O117,#REF!,14,FALSE),0)</f>
        <v>0</v>
      </c>
      <c r="AM117" s="390">
        <f t="shared" si="75"/>
        <v>0</v>
      </c>
      <c r="AN117" s="391">
        <f t="shared" si="76"/>
        <v>0</v>
      </c>
      <c r="AO117" s="366">
        <f>IF(Z117="V",IF('1.GHG Inventory Form'!$E$6="IPCC AR2 Report(1995)",'6.GWP'!$C$2,IF('1.GHG Inventory Form'!$E$6="IPCC AR3 Report(2001)",'6.GWP'!$D$2,IF('1.GHG Inventory Form'!$E$6="IPCC AR4 Report(2007)",'6.GWP'!$E$2,IF('1.GHG Inventory Form'!$E$6="IPCC AR5 Report(2013)",'6.GWP'!$F$2,IF('1.GHG Inventory Form'!$E$6="IPCC AR6 Report(2021)",'6.GWP'!$G$2,0))))),0)</f>
        <v>0</v>
      </c>
      <c r="AP117" s="366">
        <f>IF(AA117="V",IF('1.GHG Inventory Form'!$E$6="IPCC AR2 Report(1995)",'6.GWP'!$C$3,IF('1.GHG Inventory Form'!$E$6="IPCC AR3 Report(2001)",'6.GWP'!$D$3,IF('1.GHG Inventory Form'!$E$6="IPCC AR4 Report(2007)",'6.GWP'!$E$3,IF('1.GHG Inventory Form'!$E$6="IPCC AR5 Report(2013)",'6.GWP'!$F$3,IF('1.GHG Inventory Form'!$E$6="IPCC AR6 Report(2021)",'6.GWP'!$G$3,0))))),0)</f>
        <v>0</v>
      </c>
      <c r="AQ117" s="366">
        <f>IFERROR(IF(AB117="V",IF('1.GHG Inventory Form'!$E$6="IPCC AR2 Report(1995)",VLOOKUP($O117,'6.GWP'!$B$1:$G$173,2,FALSE),IF('1.GHG Inventory Form'!$E$6="IPCC AR3 Report(2001)",VLOOKUP($O117,'6.GWP'!$B$1:$G$173,3,FALSE),IF('1.GHG Inventory Form'!$E$6="IPCC AR4 Report(2007)",VLOOKUP(#REF!,'6.GWP'!$B$1:$G$173,4,FALSE),IF('1.GHG Inventory Form'!$E$6="IPCC AR5 Report(2013)",VLOOKUP($O117,'6.GWP'!$B$1:$G$173,5,FALSE),IF('1.GHG Inventory Form'!$E$6="IPCC AR6 Report(2021)",VLOOKUP($O117,'6.GWP'!$B$2:$G$173,6,FALSE),0))))),0),0)</f>
        <v>0</v>
      </c>
      <c r="AR117" s="366">
        <f>IFERROR(IF(AC117="V",IF('1.GHG Inventory Form'!$E$6="IPCC AR2 Report(1995)",VLOOKUP($O117,'6.GWP'!$B$1:$G$173,2,FALSE),IF('1.GHG Inventory Form'!$E$6="IPCC AR3 Report(2001)",VLOOKUP($O117,'6.GWP'!$B$1:$G$173,3,FALSE),IF('1.GHG Inventory Form'!$E$6="IPCC AR4 Report(2007)",VLOOKUP(#REF!,'6.GWP'!$B$1:$G$173,4,FALSE),IF('1.GHG Inventory Form'!$E$6="IPCC AR5 Report(2013)",VLOOKUP($O117,'6.GWP'!$B$1:$G$173,5,FALSE),IF('1.GHG Inventory Form'!$E$6="IPCC AR6 Report(2021)",VLOOKUP($O117,'6.GWP'!$B$2:$G$173,6,FALSE),0))))),0),0)</f>
        <v>0</v>
      </c>
      <c r="AS117" s="366">
        <f>IF(AD117="V",IF('1.GHG Inventory Form'!$E$6="IPCC AR2 Report(1995)",'6.GWP'!$C$5,IF('1.GHG Inventory Form'!$E$6="IPCC AR3 Report(2001)",'6.GWP'!$D$5,IF('1.GHG Inventory Form'!$E$6="IPCC AR4 Report(2007)",'6.GWP'!$E$5,IF('1.GHG Inventory Form'!$E$6="IPCC AR5 Report(2013)",'6.GWP'!$F$5,IF('1.GHG Inventory Form'!$E$6="IPCC AR6 Report(2021)",'6.GWP'!$G$5,0))))),0)</f>
        <v>0</v>
      </c>
      <c r="AT117" s="392">
        <f>IF(AE117="V",IF('1.GHG Inventory Form'!$E$6="IPCC AR2 Report(1995)",'6.GWP'!$C$4,IF('1.GHG Inventory Form'!$E$6="IPCC AR3 Report(2001)",'6.GWP'!$D$4,IF('1.GHG Inventory Form'!$E$6="IPCC AR4 Report(2007)",'6.GWP'!$E$4,IF('1.GHG Inventory Form'!$E$6="IPCC AR5 Report(2013)",'6.GWP'!$F$4,IF('1.GHG Inventory Form'!$E$6="IPCC AR6 Report(2021)",'6.GWP'!$G$4,0))))),0)</f>
        <v>0</v>
      </c>
      <c r="AU117" s="478">
        <f t="shared" si="77"/>
        <v>0</v>
      </c>
      <c r="AV117" s="367">
        <f t="shared" si="78"/>
        <v>0</v>
      </c>
      <c r="AW117" s="367">
        <f t="shared" si="79"/>
        <v>0</v>
      </c>
      <c r="AX117" s="367">
        <f t="shared" si="80"/>
        <v>0</v>
      </c>
      <c r="AY117" s="367">
        <f t="shared" si="81"/>
        <v>0</v>
      </c>
      <c r="AZ117" s="367">
        <f t="shared" si="82"/>
        <v>0</v>
      </c>
      <c r="BA117" s="479">
        <f t="shared" si="83"/>
        <v>0</v>
      </c>
      <c r="BB117" s="393">
        <f t="shared" si="84"/>
        <v>0</v>
      </c>
      <c r="BC117" s="367"/>
      <c r="BD117" s="369">
        <f t="shared" si="85"/>
        <v>0</v>
      </c>
      <c r="BI117" s="86" t="str">
        <f t="shared" si="86"/>
        <v/>
      </c>
      <c r="BJ117" s="86" t="str">
        <f t="shared" si="87"/>
        <v/>
      </c>
      <c r="BK117" s="86" t="str">
        <f t="shared" si="88"/>
        <v/>
      </c>
    </row>
    <row r="118" spans="2:63">
      <c r="B118" s="634"/>
      <c r="C118" s="636"/>
      <c r="D118" s="640"/>
      <c r="E118" s="641"/>
      <c r="F118" s="477"/>
      <c r="G118" s="43" t="s">
        <v>430</v>
      </c>
      <c r="H118" s="110"/>
      <c r="I118" s="175"/>
      <c r="J118" s="85"/>
      <c r="K118" s="477"/>
      <c r="L118" s="201"/>
      <c r="M118" s="201"/>
      <c r="N118" s="202"/>
      <c r="O118" s="32"/>
      <c r="P118" s="32"/>
      <c r="Q118" s="28"/>
      <c r="R118" s="421"/>
      <c r="S118" s="421"/>
      <c r="T118" s="421"/>
      <c r="U118" s="421"/>
      <c r="V118" s="421"/>
      <c r="W118" s="421"/>
      <c r="X118" s="421"/>
      <c r="Y118" s="389" t="str">
        <f t="shared" si="67"/>
        <v/>
      </c>
      <c r="Z118" s="364" t="str">
        <f t="shared" si="68"/>
        <v/>
      </c>
      <c r="AA118" s="364" t="str">
        <f t="shared" si="69"/>
        <v/>
      </c>
      <c r="AB118" s="364" t="str">
        <f t="shared" si="70"/>
        <v/>
      </c>
      <c r="AC118" s="364" t="str">
        <f t="shared" si="71"/>
        <v/>
      </c>
      <c r="AD118" s="364" t="str">
        <f t="shared" si="72"/>
        <v/>
      </c>
      <c r="AE118" s="390" t="str">
        <f t="shared" si="73"/>
        <v/>
      </c>
      <c r="AF118" s="473">
        <f t="shared" si="74"/>
        <v>0</v>
      </c>
      <c r="AG118" s="364">
        <f>IFERROR(VLOOKUP($O118,#REF!,4,FALSE),0)</f>
        <v>0</v>
      </c>
      <c r="AH118" s="364">
        <f>IFERROR(VLOOKUP($O118,#REF!,6,FALSE),0)</f>
        <v>0</v>
      </c>
      <c r="AI118" s="364">
        <f>IFERROR(VLOOKUP($O118,#REF!,8,FALSE),0)</f>
        <v>0</v>
      </c>
      <c r="AJ118" s="364">
        <f>IFERROR(VLOOKUP($O118,#REF!,10,FALSE),0)</f>
        <v>0</v>
      </c>
      <c r="AK118" s="364">
        <f>IFERROR(VLOOKUP($O118,#REF!,12,FALSE),0)</f>
        <v>0</v>
      </c>
      <c r="AL118" s="364">
        <f>IFERROR(VLOOKUP($O118,#REF!,14,FALSE),0)</f>
        <v>0</v>
      </c>
      <c r="AM118" s="390">
        <f t="shared" si="75"/>
        <v>0</v>
      </c>
      <c r="AN118" s="391">
        <f t="shared" si="76"/>
        <v>0</v>
      </c>
      <c r="AO118" s="366">
        <f>IF(Z118="V",IF('1.GHG Inventory Form'!$E$6="IPCC AR2 Report(1995)",'6.GWP'!$C$2,IF('1.GHG Inventory Form'!$E$6="IPCC AR3 Report(2001)",'6.GWP'!$D$2,IF('1.GHG Inventory Form'!$E$6="IPCC AR4 Report(2007)",'6.GWP'!$E$2,IF('1.GHG Inventory Form'!$E$6="IPCC AR5 Report(2013)",'6.GWP'!$F$2,IF('1.GHG Inventory Form'!$E$6="IPCC AR6 Report(2021)",'6.GWP'!$G$2,0))))),0)</f>
        <v>0</v>
      </c>
      <c r="AP118" s="366">
        <f>IF(AA118="V",IF('1.GHG Inventory Form'!$E$6="IPCC AR2 Report(1995)",'6.GWP'!$C$3,IF('1.GHG Inventory Form'!$E$6="IPCC AR3 Report(2001)",'6.GWP'!$D$3,IF('1.GHG Inventory Form'!$E$6="IPCC AR4 Report(2007)",'6.GWP'!$E$3,IF('1.GHG Inventory Form'!$E$6="IPCC AR5 Report(2013)",'6.GWP'!$F$3,IF('1.GHG Inventory Form'!$E$6="IPCC AR6 Report(2021)",'6.GWP'!$G$3,0))))),0)</f>
        <v>0</v>
      </c>
      <c r="AQ118" s="366">
        <f>IFERROR(IF(AB118="V",IF('1.GHG Inventory Form'!$E$6="IPCC AR2 Report(1995)",VLOOKUP($O118,'6.GWP'!$B$1:$G$173,2,FALSE),IF('1.GHG Inventory Form'!$E$6="IPCC AR3 Report(2001)",VLOOKUP($O118,'6.GWP'!$B$1:$G$173,3,FALSE),IF('1.GHG Inventory Form'!$E$6="IPCC AR4 Report(2007)",VLOOKUP($KQ23,'6.GWP'!$B$1:$G$173,4,FALSE),IF('1.GHG Inventory Form'!$E$6="IPCC AR5 Report(2013)",VLOOKUP($O118,'6.GWP'!$B$1:$G$173,5,FALSE),IF('1.GHG Inventory Form'!$E$6="IPCC AR6 Report(2021)",VLOOKUP($O118,'6.GWP'!$B$2:$G$173,6,FALSE),0))))),0),0)</f>
        <v>0</v>
      </c>
      <c r="AR118" s="366">
        <f>IFERROR(IF(AC118="V",IF('1.GHG Inventory Form'!$E$6="IPCC AR2 Report(1995)",VLOOKUP($O118,'6.GWP'!$B$1:$G$173,2,FALSE),IF('1.GHG Inventory Form'!$E$6="IPCC AR3 Report(2001)",VLOOKUP($O118,'6.GWP'!$B$1:$G$173,3,FALSE),IF('1.GHG Inventory Form'!$E$6="IPCC AR4 Report(2007)",VLOOKUP($KQ23,'6.GWP'!$B$1:$G$173,4,FALSE),IF('1.GHG Inventory Form'!$E$6="IPCC AR5 Report(2013)",VLOOKUP($O118,'6.GWP'!$B$1:$G$173,5,FALSE),IF('1.GHG Inventory Form'!$E$6="IPCC AR6 Report(2021)",VLOOKUP($O118,'6.GWP'!$B$2:$G$173,6,FALSE),0))))),0),0)</f>
        <v>0</v>
      </c>
      <c r="AS118" s="366">
        <f>IF(AD118="V",IF('1.GHG Inventory Form'!$E$6="IPCC AR2 Report(1995)",'6.GWP'!$C$5,IF('1.GHG Inventory Form'!$E$6="IPCC AR3 Report(2001)",'6.GWP'!$D$5,IF('1.GHG Inventory Form'!$E$6="IPCC AR4 Report(2007)",'6.GWP'!$E$5,IF('1.GHG Inventory Form'!$E$6="IPCC AR5 Report(2013)",'6.GWP'!$F$5,IF('1.GHG Inventory Form'!$E$6="IPCC AR6 Report(2021)",'6.GWP'!$G$5,0))))),0)</f>
        <v>0</v>
      </c>
      <c r="AT118" s="392">
        <f>IF(AE118="V",IF('1.GHG Inventory Form'!$E$6="IPCC AR2 Report(1995)",'6.GWP'!$C$4,IF('1.GHG Inventory Form'!$E$6="IPCC AR3 Report(2001)",'6.GWP'!$D$4,IF('1.GHG Inventory Form'!$E$6="IPCC AR4 Report(2007)",'6.GWP'!$E$4,IF('1.GHG Inventory Form'!$E$6="IPCC AR5 Report(2013)",'6.GWP'!$F$4,IF('1.GHG Inventory Form'!$E$6="IPCC AR6 Report(2021)",'6.GWP'!$G$4,0))))),0)</f>
        <v>0</v>
      </c>
      <c r="AU118" s="478">
        <f t="shared" si="77"/>
        <v>0</v>
      </c>
      <c r="AV118" s="367">
        <f t="shared" si="78"/>
        <v>0</v>
      </c>
      <c r="AW118" s="367">
        <f t="shared" si="79"/>
        <v>0</v>
      </c>
      <c r="AX118" s="367">
        <f t="shared" si="80"/>
        <v>0</v>
      </c>
      <c r="AY118" s="367">
        <f t="shared" si="81"/>
        <v>0</v>
      </c>
      <c r="AZ118" s="367">
        <f t="shared" si="82"/>
        <v>0</v>
      </c>
      <c r="BA118" s="479">
        <f t="shared" si="83"/>
        <v>0</v>
      </c>
      <c r="BB118" s="393">
        <f t="shared" si="84"/>
        <v>0</v>
      </c>
      <c r="BC118" s="367"/>
      <c r="BD118" s="369">
        <f t="shared" si="85"/>
        <v>0</v>
      </c>
      <c r="BI118" s="86" t="str">
        <f t="shared" si="86"/>
        <v/>
      </c>
      <c r="BJ118" s="86" t="str">
        <f t="shared" si="87"/>
        <v/>
      </c>
      <c r="BK118" s="86" t="str">
        <f t="shared" si="88"/>
        <v/>
      </c>
    </row>
    <row r="119" spans="2:63">
      <c r="B119" s="634"/>
      <c r="C119" s="636"/>
      <c r="D119" s="640"/>
      <c r="E119" s="641"/>
      <c r="F119" s="477"/>
      <c r="G119" s="43" t="s">
        <v>431</v>
      </c>
      <c r="H119" s="110"/>
      <c r="I119" s="175"/>
      <c r="J119" s="85"/>
      <c r="K119" s="477"/>
      <c r="L119" s="201"/>
      <c r="M119" s="201"/>
      <c r="N119" s="202"/>
      <c r="O119" s="32"/>
      <c r="P119" s="32"/>
      <c r="Q119" s="28"/>
      <c r="R119" s="421"/>
      <c r="S119" s="421"/>
      <c r="T119" s="421"/>
      <c r="U119" s="421"/>
      <c r="V119" s="421"/>
      <c r="W119" s="421"/>
      <c r="X119" s="421"/>
      <c r="Y119" s="389" t="str">
        <f t="shared" si="67"/>
        <v/>
      </c>
      <c r="Z119" s="364" t="str">
        <f t="shared" si="68"/>
        <v/>
      </c>
      <c r="AA119" s="364" t="str">
        <f t="shared" si="69"/>
        <v/>
      </c>
      <c r="AB119" s="364" t="str">
        <f t="shared" si="70"/>
        <v/>
      </c>
      <c r="AC119" s="364" t="str">
        <f t="shared" si="71"/>
        <v/>
      </c>
      <c r="AD119" s="364" t="str">
        <f t="shared" si="72"/>
        <v/>
      </c>
      <c r="AE119" s="390" t="str">
        <f t="shared" si="73"/>
        <v/>
      </c>
      <c r="AF119" s="473">
        <f t="shared" si="74"/>
        <v>0</v>
      </c>
      <c r="AG119" s="364">
        <f>IFERROR(VLOOKUP($O119,#REF!,4,FALSE),0)</f>
        <v>0</v>
      </c>
      <c r="AH119" s="364">
        <f>IFERROR(VLOOKUP($O119,#REF!,6,FALSE),0)</f>
        <v>0</v>
      </c>
      <c r="AI119" s="364">
        <f>IFERROR(VLOOKUP($O119,#REF!,8,FALSE),0)</f>
        <v>0</v>
      </c>
      <c r="AJ119" s="364">
        <f>IFERROR(VLOOKUP($O119,#REF!,10,FALSE),0)</f>
        <v>0</v>
      </c>
      <c r="AK119" s="364">
        <f>IFERROR(VLOOKUP($O119,#REF!,12,FALSE),0)</f>
        <v>0</v>
      </c>
      <c r="AL119" s="364">
        <f>IFERROR(VLOOKUP($O119,#REF!,14,FALSE),0)</f>
        <v>0</v>
      </c>
      <c r="AM119" s="390">
        <f t="shared" si="75"/>
        <v>0</v>
      </c>
      <c r="AN119" s="391">
        <f t="shared" si="76"/>
        <v>0</v>
      </c>
      <c r="AO119" s="366">
        <f>IF(Z119="V",IF('1.GHG Inventory Form'!$E$6="IPCC AR2 Report(1995)",'6.GWP'!$C$2,IF('1.GHG Inventory Form'!$E$6="IPCC AR3 Report(2001)",'6.GWP'!$D$2,IF('1.GHG Inventory Form'!$E$6="IPCC AR4 Report(2007)",'6.GWP'!$E$2,IF('1.GHG Inventory Form'!$E$6="IPCC AR5 Report(2013)",'6.GWP'!$F$2,IF('1.GHG Inventory Form'!$E$6="IPCC AR6 Report(2021)",'6.GWP'!$G$2,0))))),0)</f>
        <v>0</v>
      </c>
      <c r="AP119" s="366">
        <f>IF(AA119="V",IF('1.GHG Inventory Form'!$E$6="IPCC AR2 Report(1995)",'6.GWP'!$C$3,IF('1.GHG Inventory Form'!$E$6="IPCC AR3 Report(2001)",'6.GWP'!$D$3,IF('1.GHG Inventory Form'!$E$6="IPCC AR4 Report(2007)",'6.GWP'!$E$3,IF('1.GHG Inventory Form'!$E$6="IPCC AR5 Report(2013)",'6.GWP'!$F$3,IF('1.GHG Inventory Form'!$E$6="IPCC AR6 Report(2021)",'6.GWP'!$G$3,0))))),0)</f>
        <v>0</v>
      </c>
      <c r="AQ119" s="366">
        <f>IFERROR(IF(AB119="V",IF('1.GHG Inventory Form'!$E$6="IPCC AR2 Report(1995)",VLOOKUP($O119,'6.GWP'!$B$1:$G$173,2,FALSE),IF('1.GHG Inventory Form'!$E$6="IPCC AR3 Report(2001)",VLOOKUP($O119,'6.GWP'!$B$1:$G$173,3,FALSE),IF('1.GHG Inventory Form'!$E$6="IPCC AR4 Report(2007)",VLOOKUP($KQ24,'6.GWP'!$B$1:$G$173,4,FALSE),IF('1.GHG Inventory Form'!$E$6="IPCC AR5 Report(2013)",VLOOKUP($O119,'6.GWP'!$B$1:$G$173,5,FALSE),IF('1.GHG Inventory Form'!$E$6="IPCC AR6 Report(2021)",VLOOKUP($O119,'6.GWP'!$B$2:$G$173,6,FALSE),0))))),0),0)</f>
        <v>0</v>
      </c>
      <c r="AR119" s="366">
        <f>IFERROR(IF(AC119="V",IF('1.GHG Inventory Form'!$E$6="IPCC AR2 Report(1995)",VLOOKUP($O119,'6.GWP'!$B$1:$G$173,2,FALSE),IF('1.GHG Inventory Form'!$E$6="IPCC AR3 Report(2001)",VLOOKUP($O119,'6.GWP'!$B$1:$G$173,3,FALSE),IF('1.GHG Inventory Form'!$E$6="IPCC AR4 Report(2007)",VLOOKUP($KQ24,'6.GWP'!$B$1:$G$173,4,FALSE),IF('1.GHG Inventory Form'!$E$6="IPCC AR5 Report(2013)",VLOOKUP($O119,'6.GWP'!$B$1:$G$173,5,FALSE),IF('1.GHG Inventory Form'!$E$6="IPCC AR6 Report(2021)",VLOOKUP($O119,'6.GWP'!$B$2:$G$173,6,FALSE),0))))),0),0)</f>
        <v>0</v>
      </c>
      <c r="AS119" s="366">
        <f>IF(AD119="V",IF('1.GHG Inventory Form'!$E$6="IPCC AR2 Report(1995)",'6.GWP'!$C$5,IF('1.GHG Inventory Form'!$E$6="IPCC AR3 Report(2001)",'6.GWP'!$D$5,IF('1.GHG Inventory Form'!$E$6="IPCC AR4 Report(2007)",'6.GWP'!$E$5,IF('1.GHG Inventory Form'!$E$6="IPCC AR5 Report(2013)",'6.GWP'!$F$5,IF('1.GHG Inventory Form'!$E$6="IPCC AR6 Report(2021)",'6.GWP'!$G$5,0))))),0)</f>
        <v>0</v>
      </c>
      <c r="AT119" s="392">
        <f>IF(AE119="V",IF('1.GHG Inventory Form'!$E$6="IPCC AR2 Report(1995)",'6.GWP'!$C$4,IF('1.GHG Inventory Form'!$E$6="IPCC AR3 Report(2001)",'6.GWP'!$D$4,IF('1.GHG Inventory Form'!$E$6="IPCC AR4 Report(2007)",'6.GWP'!$E$4,IF('1.GHG Inventory Form'!$E$6="IPCC AR5 Report(2013)",'6.GWP'!$F$4,IF('1.GHG Inventory Form'!$E$6="IPCC AR6 Report(2021)",'6.GWP'!$G$4,0))))),0)</f>
        <v>0</v>
      </c>
      <c r="AU119" s="478">
        <f t="shared" si="77"/>
        <v>0</v>
      </c>
      <c r="AV119" s="367">
        <f t="shared" si="78"/>
        <v>0</v>
      </c>
      <c r="AW119" s="367">
        <f t="shared" si="79"/>
        <v>0</v>
      </c>
      <c r="AX119" s="367">
        <f t="shared" si="80"/>
        <v>0</v>
      </c>
      <c r="AY119" s="367">
        <f t="shared" si="81"/>
        <v>0</v>
      </c>
      <c r="AZ119" s="367">
        <f t="shared" si="82"/>
        <v>0</v>
      </c>
      <c r="BA119" s="479">
        <f t="shared" si="83"/>
        <v>0</v>
      </c>
      <c r="BB119" s="393">
        <f t="shared" si="84"/>
        <v>0</v>
      </c>
      <c r="BC119" s="367"/>
      <c r="BD119" s="369">
        <f t="shared" si="85"/>
        <v>0</v>
      </c>
      <c r="BI119" s="86" t="str">
        <f t="shared" si="86"/>
        <v/>
      </c>
      <c r="BJ119" s="86" t="str">
        <f t="shared" si="87"/>
        <v/>
      </c>
      <c r="BK119" s="86" t="str">
        <f t="shared" si="88"/>
        <v/>
      </c>
    </row>
    <row r="120" spans="2:63" customFormat="1" ht="16" customHeight="1" thickBot="1">
      <c r="B120" s="631"/>
      <c r="C120" s="637"/>
      <c r="D120" s="642"/>
      <c r="E120" s="643"/>
      <c r="F120" s="481"/>
      <c r="G120" s="29" t="s">
        <v>432</v>
      </c>
      <c r="H120" s="111"/>
      <c r="I120" s="176"/>
      <c r="J120" s="112"/>
      <c r="K120" s="481"/>
      <c r="L120" s="203"/>
      <c r="M120" s="203"/>
      <c r="N120" s="204"/>
      <c r="O120" s="60"/>
      <c r="P120" s="60"/>
      <c r="Q120" s="61"/>
      <c r="R120" s="421"/>
      <c r="S120" s="421"/>
      <c r="T120" s="421"/>
      <c r="U120" s="421"/>
      <c r="V120" s="421"/>
      <c r="W120" s="421"/>
      <c r="X120" s="421"/>
      <c r="Y120" s="389" t="str">
        <f t="shared" si="67"/>
        <v/>
      </c>
      <c r="Z120" s="364" t="str">
        <f t="shared" si="68"/>
        <v/>
      </c>
      <c r="AA120" s="364" t="str">
        <f t="shared" si="69"/>
        <v/>
      </c>
      <c r="AB120" s="364" t="str">
        <f t="shared" si="70"/>
        <v/>
      </c>
      <c r="AC120" s="364" t="str">
        <f t="shared" si="71"/>
        <v/>
      </c>
      <c r="AD120" s="364" t="str">
        <f t="shared" si="72"/>
        <v/>
      </c>
      <c r="AE120" s="390" t="str">
        <f t="shared" si="73"/>
        <v/>
      </c>
      <c r="AF120" s="473">
        <f t="shared" si="74"/>
        <v>0</v>
      </c>
      <c r="AG120" s="364">
        <f>IFERROR(VLOOKUP($O120,#REF!,4,FALSE),0)</f>
        <v>0</v>
      </c>
      <c r="AH120" s="364">
        <f>IFERROR(VLOOKUP($O120,#REF!,6,FALSE),0)</f>
        <v>0</v>
      </c>
      <c r="AI120" s="364">
        <f>IFERROR(VLOOKUP($O120,#REF!,8,FALSE),0)</f>
        <v>0</v>
      </c>
      <c r="AJ120" s="364">
        <f>IFERROR(VLOOKUP($O120,#REF!,10,FALSE),0)</f>
        <v>0</v>
      </c>
      <c r="AK120" s="364">
        <f>IFERROR(VLOOKUP($O120,#REF!,12,FALSE),0)</f>
        <v>0</v>
      </c>
      <c r="AL120" s="364">
        <f>IFERROR(VLOOKUP($O120,#REF!,14,FALSE),0)</f>
        <v>0</v>
      </c>
      <c r="AM120" s="390">
        <f t="shared" si="75"/>
        <v>0</v>
      </c>
      <c r="AN120" s="405">
        <f t="shared" si="76"/>
        <v>0</v>
      </c>
      <c r="AO120" s="406">
        <f>IF(Z120="V",IF('1.GHG Inventory Form'!$E$6="IPCC AR2 Report(1995)",'6.GWP'!$C$2,IF('1.GHG Inventory Form'!$E$6="IPCC AR3 Report(2001)",'6.GWP'!$D$2,IF('1.GHG Inventory Form'!$E$6="IPCC AR4 Report(2007)",'6.GWP'!$E$2,IF('1.GHG Inventory Form'!$E$6="IPCC AR5 Report(2013)",'6.GWP'!$F$2,IF('1.GHG Inventory Form'!$E$6="IPCC AR6 Report(2021)",'6.GWP'!$G$2,0))))),0)</f>
        <v>0</v>
      </c>
      <c r="AP120" s="406">
        <f>IF(AA120="V",IF('1.GHG Inventory Form'!$E$6="IPCC AR2 Report(1995)",'6.GWP'!$C$3,IF('1.GHG Inventory Form'!$E$6="IPCC AR3 Report(2001)",'6.GWP'!$D$3,IF('1.GHG Inventory Form'!$E$6="IPCC AR4 Report(2007)",'6.GWP'!$E$3,IF('1.GHG Inventory Form'!$E$6="IPCC AR5 Report(2013)",'6.GWP'!$F$3,IF('1.GHG Inventory Form'!$E$6="IPCC AR6 Report(2021)",'6.GWP'!$G$3,0))))),0)</f>
        <v>0</v>
      </c>
      <c r="AQ120" s="406">
        <f>IFERROR(IF(AB120="V",IF('1.GHG Inventory Form'!$E$6="IPCC AR2 Report(1995)",VLOOKUP($O120,'6.GWP'!$B$1:$G$173,2,FALSE),IF('1.GHG Inventory Form'!$E$6="IPCC AR3 Report(2001)",VLOOKUP($O120,'6.GWP'!$B$1:$G$173,3,FALSE),IF('1.GHG Inventory Form'!$E$6="IPCC AR4 Report(2007)",VLOOKUP($KQ25,'6.GWP'!$B$1:$G$173,4,FALSE),IF('1.GHG Inventory Form'!$E$6="IPCC AR5 Report(2013)",VLOOKUP($O120,'6.GWP'!$B$1:$G$173,5,FALSE),IF('1.GHG Inventory Form'!$E$6="IPCC AR6 Report(2021)",VLOOKUP($O120,'6.GWP'!$B$2:$G$173,6,FALSE),0))))),0),0)</f>
        <v>0</v>
      </c>
      <c r="AR120" s="406">
        <f>IFERROR(IF(AC120="V",IF('1.GHG Inventory Form'!$E$6="IPCC AR2 Report(1995)",VLOOKUP($O120,'6.GWP'!$B$1:$G$173,2,FALSE),IF('1.GHG Inventory Form'!$E$6="IPCC AR3 Report(2001)",VLOOKUP($O120,'6.GWP'!$B$1:$G$173,3,FALSE),IF('1.GHG Inventory Form'!$E$6="IPCC AR4 Report(2007)",VLOOKUP($KQ25,'6.GWP'!$B$1:$G$173,4,FALSE),IF('1.GHG Inventory Form'!$E$6="IPCC AR5 Report(2013)",VLOOKUP($O120,'6.GWP'!$B$1:$G$173,5,FALSE),IF('1.GHG Inventory Form'!$E$6="IPCC AR6 Report(2021)",VLOOKUP($O120,'6.GWP'!$B$2:$G$173,6,FALSE),0))))),0),0)</f>
        <v>0</v>
      </c>
      <c r="AS120" s="406">
        <f>IF(AD120="V",IF('1.GHG Inventory Form'!$E$6="IPCC AR2 Report(1995)",'6.GWP'!$C$5,IF('1.GHG Inventory Form'!$E$6="IPCC AR3 Report(2001)",'6.GWP'!$D$5,IF('1.GHG Inventory Form'!$E$6="IPCC AR4 Report(2007)",'6.GWP'!$E$5,IF('1.GHG Inventory Form'!$E$6="IPCC AR5 Report(2013)",'6.GWP'!$F$5,IF('1.GHG Inventory Form'!$E$6="IPCC AR6 Report(2021)",'6.GWP'!$G$5,0))))),0)</f>
        <v>0</v>
      </c>
      <c r="AT120" s="407">
        <f>IF(AE120="V",IF('1.GHG Inventory Form'!$E$6="IPCC AR2 Report(1995)",'6.GWP'!$C$4,IF('1.GHG Inventory Form'!$E$6="IPCC AR3 Report(2001)",'6.GWP'!$D$4,IF('1.GHG Inventory Form'!$E$6="IPCC AR4 Report(2007)",'6.GWP'!$E$4,IF('1.GHG Inventory Form'!$E$6="IPCC AR5 Report(2013)",'6.GWP'!$F$4,IF('1.GHG Inventory Form'!$E$6="IPCC AR6 Report(2021)",'6.GWP'!$G$4,0))))),0)</f>
        <v>0</v>
      </c>
      <c r="AU120" s="482">
        <f t="shared" si="77"/>
        <v>0</v>
      </c>
      <c r="AV120" s="419">
        <f t="shared" si="78"/>
        <v>0</v>
      </c>
      <c r="AW120" s="419">
        <f t="shared" si="79"/>
        <v>0</v>
      </c>
      <c r="AX120" s="419">
        <f t="shared" si="80"/>
        <v>0</v>
      </c>
      <c r="AY120" s="419">
        <f t="shared" si="81"/>
        <v>0</v>
      </c>
      <c r="AZ120" s="419">
        <f t="shared" si="82"/>
        <v>0</v>
      </c>
      <c r="BA120" s="483">
        <f t="shared" si="83"/>
        <v>0</v>
      </c>
      <c r="BB120" s="409">
        <f t="shared" si="84"/>
        <v>0</v>
      </c>
      <c r="BC120" s="419"/>
      <c r="BD120" s="411">
        <f t="shared" si="85"/>
        <v>0</v>
      </c>
      <c r="BI120" s="86" t="str">
        <f t="shared" si="86"/>
        <v/>
      </c>
      <c r="BJ120" s="86" t="str">
        <f t="shared" si="87"/>
        <v/>
      </c>
      <c r="BK120" s="86" t="str">
        <f t="shared" si="88"/>
        <v/>
      </c>
    </row>
    <row r="121" spans="2:63">
      <c r="B121" s="630" t="s">
        <v>433</v>
      </c>
      <c r="C121" s="635">
        <v>4.0999999999999996</v>
      </c>
      <c r="D121" s="646" t="s">
        <v>434</v>
      </c>
      <c r="E121" s="647"/>
      <c r="F121" s="489"/>
      <c r="G121" s="42" t="s">
        <v>435</v>
      </c>
      <c r="H121" s="117"/>
      <c r="I121" s="178"/>
      <c r="J121" s="119"/>
      <c r="K121" s="490"/>
      <c r="L121" s="207"/>
      <c r="M121" s="207"/>
      <c r="N121" s="208"/>
      <c r="O121" s="39"/>
      <c r="P121" s="39"/>
      <c r="Q121" s="41"/>
      <c r="R121" s="421"/>
      <c r="S121" s="421"/>
      <c r="T121" s="421"/>
      <c r="U121" s="421"/>
      <c r="V121" s="421"/>
      <c r="W121" s="421"/>
      <c r="X121" s="421"/>
      <c r="Y121" s="389" t="str">
        <f t="shared" si="67"/>
        <v/>
      </c>
      <c r="Z121" s="364" t="str">
        <f t="shared" si="68"/>
        <v/>
      </c>
      <c r="AA121" s="364" t="str">
        <f t="shared" si="69"/>
        <v/>
      </c>
      <c r="AB121" s="364" t="str">
        <f t="shared" si="70"/>
        <v/>
      </c>
      <c r="AC121" s="364" t="str">
        <f t="shared" si="71"/>
        <v/>
      </c>
      <c r="AD121" s="364" t="str">
        <f t="shared" si="72"/>
        <v/>
      </c>
      <c r="AE121" s="390" t="str">
        <f t="shared" si="73"/>
        <v/>
      </c>
      <c r="AF121" s="473">
        <f t="shared" si="74"/>
        <v>0</v>
      </c>
      <c r="AG121" s="364">
        <f>IFERROR(VLOOKUP($O121,#REF!,4,FALSE),0)</f>
        <v>0</v>
      </c>
      <c r="AH121" s="364">
        <f>IFERROR(VLOOKUP($O121,#REF!,6,FALSE),0)</f>
        <v>0</v>
      </c>
      <c r="AI121" s="364">
        <f>IFERROR(VLOOKUP($O121,#REF!,8,FALSE),0)</f>
        <v>0</v>
      </c>
      <c r="AJ121" s="364">
        <f>IFERROR(VLOOKUP($O121,#REF!,10,FALSE),0)</f>
        <v>0</v>
      </c>
      <c r="AK121" s="364">
        <f>IFERROR(VLOOKUP($O121,#REF!,12,FALSE),0)</f>
        <v>0</v>
      </c>
      <c r="AL121" s="364">
        <f>IFERROR(VLOOKUP($O121,#REF!,14,FALSE),0)</f>
        <v>0</v>
      </c>
      <c r="AM121" s="390">
        <f t="shared" si="75"/>
        <v>0</v>
      </c>
      <c r="AN121" s="384">
        <f t="shared" si="76"/>
        <v>0</v>
      </c>
      <c r="AO121" s="357">
        <f>IF(Z121="V",IF('1.GHG Inventory Form'!$E$6="IPCC AR2 Report(1995)",'6.GWP'!$C$2,IF('1.GHG Inventory Form'!$E$6="IPCC AR3 Report(2001)",'6.GWP'!$D$2,IF('1.GHG Inventory Form'!$E$6="IPCC AR4 Report(2007)",'6.GWP'!$E$2,IF('1.GHG Inventory Form'!$E$6="IPCC AR5 Report(2013)",'6.GWP'!$F$2,IF('1.GHG Inventory Form'!$E$6="IPCC AR6 Report(2021)",'6.GWP'!$G$2,0))))),0)</f>
        <v>0</v>
      </c>
      <c r="AP121" s="357">
        <f>IF(AA121="V",IF('1.GHG Inventory Form'!$E$6="IPCC AR2 Report(1995)",'6.GWP'!$C$3,IF('1.GHG Inventory Form'!$E$6="IPCC AR3 Report(2001)",'6.GWP'!$D$3,IF('1.GHG Inventory Form'!$E$6="IPCC AR4 Report(2007)",'6.GWP'!$E$3,IF('1.GHG Inventory Form'!$E$6="IPCC AR5 Report(2013)",'6.GWP'!$F$3,IF('1.GHG Inventory Form'!$E$6="IPCC AR6 Report(2021)",'6.GWP'!$G$3,0))))),0)</f>
        <v>0</v>
      </c>
      <c r="AQ121" s="357">
        <f>IFERROR(IF(AB121="V",IF('1.GHG Inventory Form'!$E$6="IPCC AR2 Report(1995)",VLOOKUP($O121,'6.GWP'!$B$1:$G$173,2,FALSE),IF('1.GHG Inventory Form'!$E$6="IPCC AR3 Report(2001)",VLOOKUP($O121,'6.GWP'!$B$1:$G$173,3,FALSE),IF('1.GHG Inventory Form'!$E$6="IPCC AR4 Report(2007)",VLOOKUP($KQ27,'6.GWP'!$B$1:$G$173,4,FALSE),IF('1.GHG Inventory Form'!$E$6="IPCC AR5 Report(2013)",VLOOKUP($O121,'6.GWP'!$B$1:$G$173,5,FALSE),IF('1.GHG Inventory Form'!$E$6="IPCC AR6 Report(2021)",VLOOKUP($O121,'6.GWP'!$B$2:$G$173,6,FALSE),0))))),0),0)</f>
        <v>0</v>
      </c>
      <c r="AR121" s="357">
        <f>IFERROR(IF(AC121="V",IF('1.GHG Inventory Form'!$E$6="IPCC AR2 Report(1995)",VLOOKUP($O121,'6.GWP'!$B$1:$G$173,2,FALSE),IF('1.GHG Inventory Form'!$E$6="IPCC AR3 Report(2001)",VLOOKUP($O121,'6.GWP'!$B$1:$G$173,3,FALSE),IF('1.GHG Inventory Form'!$E$6="IPCC AR4 Report(2007)",VLOOKUP($KQ27,'6.GWP'!$B$1:$G$173,4,FALSE),IF('1.GHG Inventory Form'!$E$6="IPCC AR5 Report(2013)",VLOOKUP($O121,'6.GWP'!$B$1:$G$173,5,FALSE),IF('1.GHG Inventory Form'!$E$6="IPCC AR6 Report(2021)",VLOOKUP($O121,'6.GWP'!$B$2:$G$173,6,FALSE),0))))),0),0)</f>
        <v>0</v>
      </c>
      <c r="AS121" s="357">
        <f>IF(AD121="V",IF('1.GHG Inventory Form'!$E$6="IPCC AR2 Report(1995)",'6.GWP'!$C$5,IF('1.GHG Inventory Form'!$E$6="IPCC AR3 Report(2001)",'6.GWP'!$D$5,IF('1.GHG Inventory Form'!$E$6="IPCC AR4 Report(2007)",'6.GWP'!$E$5,IF('1.GHG Inventory Form'!$E$6="IPCC AR5 Report(2013)",'6.GWP'!$F$5,IF('1.GHG Inventory Form'!$E$6="IPCC AR6 Report(2021)",'6.GWP'!$G$5,0))))),0)</f>
        <v>0</v>
      </c>
      <c r="AT121" s="385">
        <f>IF(AE121="V",IF('1.GHG Inventory Form'!$E$6="IPCC AR2 Report(1995)",'6.GWP'!$C$4,IF('1.GHG Inventory Form'!$E$6="IPCC AR3 Report(2001)",'6.GWP'!$D$4,IF('1.GHG Inventory Form'!$E$6="IPCC AR4 Report(2007)",'6.GWP'!$E$4,IF('1.GHG Inventory Form'!$E$6="IPCC AR5 Report(2013)",'6.GWP'!$F$4,IF('1.GHG Inventory Form'!$E$6="IPCC AR6 Report(2021)",'6.GWP'!$G$4,0))))),0)</f>
        <v>0</v>
      </c>
      <c r="AU121" s="474">
        <f t="shared" si="77"/>
        <v>0</v>
      </c>
      <c r="AV121" s="358">
        <f t="shared" si="78"/>
        <v>0</v>
      </c>
      <c r="AW121" s="358">
        <f t="shared" si="79"/>
        <v>0</v>
      </c>
      <c r="AX121" s="358">
        <f t="shared" si="80"/>
        <v>0</v>
      </c>
      <c r="AY121" s="358">
        <f t="shared" si="81"/>
        <v>0</v>
      </c>
      <c r="AZ121" s="358">
        <f t="shared" si="82"/>
        <v>0</v>
      </c>
      <c r="BA121" s="475">
        <f t="shared" si="83"/>
        <v>0</v>
      </c>
      <c r="BB121" s="386">
        <f t="shared" si="84"/>
        <v>0</v>
      </c>
      <c r="BC121" s="358"/>
      <c r="BD121" s="360">
        <f t="shared" si="85"/>
        <v>0</v>
      </c>
      <c r="BI121" s="86" t="str">
        <f t="shared" si="86"/>
        <v/>
      </c>
      <c r="BJ121" s="86" t="str">
        <f t="shared" si="87"/>
        <v/>
      </c>
      <c r="BK121" s="86" t="str">
        <f t="shared" si="88"/>
        <v/>
      </c>
    </row>
    <row r="122" spans="2:63">
      <c r="B122" s="644"/>
      <c r="C122" s="636"/>
      <c r="D122" s="648"/>
      <c r="E122" s="649"/>
      <c r="F122" s="453"/>
      <c r="G122" s="43" t="s">
        <v>436</v>
      </c>
      <c r="H122" s="83"/>
      <c r="I122" s="175"/>
      <c r="J122" s="85"/>
      <c r="K122" s="477"/>
      <c r="L122" s="201"/>
      <c r="M122" s="201"/>
      <c r="N122" s="202"/>
      <c r="O122" s="32"/>
      <c r="P122" s="32"/>
      <c r="Q122" s="28"/>
      <c r="R122" s="421"/>
      <c r="S122" s="421"/>
      <c r="T122" s="421"/>
      <c r="U122" s="421"/>
      <c r="V122" s="421"/>
      <c r="W122" s="421"/>
      <c r="X122" s="421"/>
      <c r="Y122" s="389" t="str">
        <f t="shared" si="67"/>
        <v/>
      </c>
      <c r="Z122" s="364" t="str">
        <f t="shared" si="68"/>
        <v/>
      </c>
      <c r="AA122" s="364" t="str">
        <f t="shared" si="69"/>
        <v/>
      </c>
      <c r="AB122" s="364" t="str">
        <f t="shared" si="70"/>
        <v/>
      </c>
      <c r="AC122" s="364" t="str">
        <f t="shared" si="71"/>
        <v/>
      </c>
      <c r="AD122" s="364" t="str">
        <f t="shared" si="72"/>
        <v/>
      </c>
      <c r="AE122" s="390" t="str">
        <f t="shared" si="73"/>
        <v/>
      </c>
      <c r="AF122" s="473">
        <f t="shared" si="74"/>
        <v>0</v>
      </c>
      <c r="AG122" s="364">
        <f>IFERROR(VLOOKUP($O122,#REF!,4,FALSE),0)</f>
        <v>0</v>
      </c>
      <c r="AH122" s="364">
        <f>IFERROR(VLOOKUP($O122,#REF!,6,FALSE),0)</f>
        <v>0</v>
      </c>
      <c r="AI122" s="364">
        <f>IFERROR(VLOOKUP($O122,#REF!,8,FALSE),0)</f>
        <v>0</v>
      </c>
      <c r="AJ122" s="364">
        <f>IFERROR(VLOOKUP($O122,#REF!,10,FALSE),0)</f>
        <v>0</v>
      </c>
      <c r="AK122" s="364">
        <f>IFERROR(VLOOKUP($O122,#REF!,12,FALSE),0)</f>
        <v>0</v>
      </c>
      <c r="AL122" s="364">
        <f>IFERROR(VLOOKUP($O122,#REF!,14,FALSE),0)</f>
        <v>0</v>
      </c>
      <c r="AM122" s="390">
        <f t="shared" si="75"/>
        <v>0</v>
      </c>
      <c r="AN122" s="391">
        <f t="shared" si="76"/>
        <v>0</v>
      </c>
      <c r="AO122" s="366">
        <f>IF(Z122="V",IF('1.GHG Inventory Form'!$E$6="IPCC AR2 Report(1995)",'6.GWP'!$C$2,IF('1.GHG Inventory Form'!$E$6="IPCC AR3 Report(2001)",'6.GWP'!$D$2,IF('1.GHG Inventory Form'!$E$6="IPCC AR4 Report(2007)",'6.GWP'!$E$2,IF('1.GHG Inventory Form'!$E$6="IPCC AR5 Report(2013)",'6.GWP'!$F$2,IF('1.GHG Inventory Form'!$E$6="IPCC AR6 Report(2021)",'6.GWP'!$G$2,0))))),0)</f>
        <v>0</v>
      </c>
      <c r="AP122" s="366">
        <f>IF(AA122="V",IF('1.GHG Inventory Form'!$E$6="IPCC AR2 Report(1995)",'6.GWP'!$C$3,IF('1.GHG Inventory Form'!$E$6="IPCC AR3 Report(2001)",'6.GWP'!$D$3,IF('1.GHG Inventory Form'!$E$6="IPCC AR4 Report(2007)",'6.GWP'!$E$3,IF('1.GHG Inventory Form'!$E$6="IPCC AR5 Report(2013)",'6.GWP'!$F$3,IF('1.GHG Inventory Form'!$E$6="IPCC AR6 Report(2021)",'6.GWP'!$G$3,0))))),0)</f>
        <v>0</v>
      </c>
      <c r="AQ122" s="366">
        <f>IFERROR(IF(AB122="V",IF('1.GHG Inventory Form'!$E$6="IPCC AR2 Report(1995)",VLOOKUP($O122,'6.GWP'!$B$1:$G$173,2,FALSE),IF('1.GHG Inventory Form'!$E$6="IPCC AR3 Report(2001)",VLOOKUP($O122,'6.GWP'!$B$1:$G$173,3,FALSE),IF('1.GHG Inventory Form'!$E$6="IPCC AR4 Report(2007)",VLOOKUP($KQ28,'6.GWP'!$B$1:$G$173,4,FALSE),IF('1.GHG Inventory Form'!$E$6="IPCC AR5 Report(2013)",VLOOKUP($O122,'6.GWP'!$B$1:$G$173,5,FALSE),IF('1.GHG Inventory Form'!$E$6="IPCC AR6 Report(2021)",VLOOKUP($O122,'6.GWP'!$B$2:$G$173,6,FALSE),0))))),0),0)</f>
        <v>0</v>
      </c>
      <c r="AR122" s="366">
        <f>IFERROR(IF(AC122="V",IF('1.GHG Inventory Form'!$E$6="IPCC AR2 Report(1995)",VLOOKUP($O122,'6.GWP'!$B$1:$G$173,2,FALSE),IF('1.GHG Inventory Form'!$E$6="IPCC AR3 Report(2001)",VLOOKUP($O122,'6.GWP'!$B$1:$G$173,3,FALSE),IF('1.GHG Inventory Form'!$E$6="IPCC AR4 Report(2007)",VLOOKUP($KQ28,'6.GWP'!$B$1:$G$173,4,FALSE),IF('1.GHG Inventory Form'!$E$6="IPCC AR5 Report(2013)",VLOOKUP($O122,'6.GWP'!$B$1:$G$173,5,FALSE),IF('1.GHG Inventory Form'!$E$6="IPCC AR6 Report(2021)",VLOOKUP($O122,'6.GWP'!$B$2:$G$173,6,FALSE),0))))),0),0)</f>
        <v>0</v>
      </c>
      <c r="AS122" s="366">
        <f>IF(AD122="V",IF('1.GHG Inventory Form'!$E$6="IPCC AR2 Report(1995)",'6.GWP'!$C$5,IF('1.GHG Inventory Form'!$E$6="IPCC AR3 Report(2001)",'6.GWP'!$D$5,IF('1.GHG Inventory Form'!$E$6="IPCC AR4 Report(2007)",'6.GWP'!$E$5,IF('1.GHG Inventory Form'!$E$6="IPCC AR5 Report(2013)",'6.GWP'!$F$5,IF('1.GHG Inventory Form'!$E$6="IPCC AR6 Report(2021)",'6.GWP'!$G$5,0))))),0)</f>
        <v>0</v>
      </c>
      <c r="AT122" s="392">
        <f>IF(AE122="V",IF('1.GHG Inventory Form'!$E$6="IPCC AR2 Report(1995)",'6.GWP'!$C$4,IF('1.GHG Inventory Form'!$E$6="IPCC AR3 Report(2001)",'6.GWP'!$D$4,IF('1.GHG Inventory Form'!$E$6="IPCC AR4 Report(2007)",'6.GWP'!$E$4,IF('1.GHG Inventory Form'!$E$6="IPCC AR5 Report(2013)",'6.GWP'!$F$4,IF('1.GHG Inventory Form'!$E$6="IPCC AR6 Report(2021)",'6.GWP'!$G$4,0))))),0)</f>
        <v>0</v>
      </c>
      <c r="AU122" s="478">
        <f t="shared" si="77"/>
        <v>0</v>
      </c>
      <c r="AV122" s="367">
        <f t="shared" si="78"/>
        <v>0</v>
      </c>
      <c r="AW122" s="367">
        <f t="shared" si="79"/>
        <v>0</v>
      </c>
      <c r="AX122" s="367">
        <f t="shared" si="80"/>
        <v>0</v>
      </c>
      <c r="AY122" s="367">
        <f t="shared" si="81"/>
        <v>0</v>
      </c>
      <c r="AZ122" s="367">
        <f t="shared" si="82"/>
        <v>0</v>
      </c>
      <c r="BA122" s="479">
        <f t="shared" si="83"/>
        <v>0</v>
      </c>
      <c r="BB122" s="393">
        <f t="shared" si="84"/>
        <v>0</v>
      </c>
      <c r="BC122" s="367"/>
      <c r="BD122" s="369">
        <f t="shared" si="85"/>
        <v>0</v>
      </c>
      <c r="BI122" s="86" t="str">
        <f t="shared" si="86"/>
        <v/>
      </c>
      <c r="BJ122" s="86" t="str">
        <f t="shared" si="87"/>
        <v/>
      </c>
      <c r="BK122" s="86" t="str">
        <f t="shared" si="88"/>
        <v/>
      </c>
    </row>
    <row r="123" spans="2:63" customFormat="1" ht="22" customHeight="1">
      <c r="B123" s="644"/>
      <c r="C123" s="636"/>
      <c r="D123" s="648"/>
      <c r="E123" s="649"/>
      <c r="F123" s="453"/>
      <c r="G123" s="43" t="s">
        <v>437</v>
      </c>
      <c r="H123" s="83"/>
      <c r="I123" s="175"/>
      <c r="J123" s="85"/>
      <c r="K123" s="477"/>
      <c r="L123" s="201"/>
      <c r="M123" s="201"/>
      <c r="N123" s="202"/>
      <c r="O123" s="32"/>
      <c r="P123" s="32"/>
      <c r="Q123" s="28"/>
      <c r="R123" s="421"/>
      <c r="S123" s="421"/>
      <c r="T123" s="421"/>
      <c r="U123" s="421"/>
      <c r="V123" s="421"/>
      <c r="W123" s="421"/>
      <c r="X123" s="421"/>
      <c r="Y123" s="389" t="str">
        <f t="shared" si="67"/>
        <v/>
      </c>
      <c r="Z123" s="364" t="str">
        <f t="shared" si="68"/>
        <v/>
      </c>
      <c r="AA123" s="364" t="str">
        <f t="shared" si="69"/>
        <v/>
      </c>
      <c r="AB123" s="364" t="str">
        <f t="shared" si="70"/>
        <v/>
      </c>
      <c r="AC123" s="364" t="str">
        <f t="shared" si="71"/>
        <v/>
      </c>
      <c r="AD123" s="364" t="str">
        <f t="shared" si="72"/>
        <v/>
      </c>
      <c r="AE123" s="390" t="str">
        <f t="shared" si="73"/>
        <v/>
      </c>
      <c r="AF123" s="473">
        <f t="shared" si="74"/>
        <v>0</v>
      </c>
      <c r="AG123" s="364">
        <f>IFERROR(VLOOKUP($O123,#REF!,4,FALSE),0)</f>
        <v>0</v>
      </c>
      <c r="AH123" s="364">
        <f>IFERROR(VLOOKUP($O123,#REF!,6,FALSE),0)</f>
        <v>0</v>
      </c>
      <c r="AI123" s="364">
        <f>IFERROR(VLOOKUP($O123,#REF!,8,FALSE),0)</f>
        <v>0</v>
      </c>
      <c r="AJ123" s="364">
        <f>IFERROR(VLOOKUP($O123,#REF!,10,FALSE),0)</f>
        <v>0</v>
      </c>
      <c r="AK123" s="364">
        <f>IFERROR(VLOOKUP($O123,#REF!,12,FALSE),0)</f>
        <v>0</v>
      </c>
      <c r="AL123" s="364">
        <f>IFERROR(VLOOKUP($O123,#REF!,14,FALSE),0)</f>
        <v>0</v>
      </c>
      <c r="AM123" s="390">
        <f t="shared" si="75"/>
        <v>0</v>
      </c>
      <c r="AN123" s="391">
        <f t="shared" si="76"/>
        <v>0</v>
      </c>
      <c r="AO123" s="366">
        <f>IF(Z123="V",IF('1.GHG Inventory Form'!$E$6="IPCC AR2 Report(1995)",'6.GWP'!$C$2,IF('1.GHG Inventory Form'!$E$6="IPCC AR3 Report(2001)",'6.GWP'!$D$2,IF('1.GHG Inventory Form'!$E$6="IPCC AR4 Report(2007)",'6.GWP'!$E$2,IF('1.GHG Inventory Form'!$E$6="IPCC AR5 Report(2013)",'6.GWP'!$F$2,IF('1.GHG Inventory Form'!$E$6="IPCC AR6 Report(2021)",'6.GWP'!$G$2,0))))),0)</f>
        <v>0</v>
      </c>
      <c r="AP123" s="366">
        <f>IF(AA123="V",IF('1.GHG Inventory Form'!$E$6="IPCC AR2 Report(1995)",'6.GWP'!$C$3,IF('1.GHG Inventory Form'!$E$6="IPCC AR3 Report(2001)",'6.GWP'!$D$3,IF('1.GHG Inventory Form'!$E$6="IPCC AR4 Report(2007)",'6.GWP'!$E$3,IF('1.GHG Inventory Form'!$E$6="IPCC AR5 Report(2013)",'6.GWP'!$F$3,IF('1.GHG Inventory Form'!$E$6="IPCC AR6 Report(2021)",'6.GWP'!$G$3,0))))),0)</f>
        <v>0</v>
      </c>
      <c r="AQ123" s="366">
        <f>IFERROR(IF(AB123="V",IF('1.GHG Inventory Form'!$E$6="IPCC AR2 Report(1995)",VLOOKUP($O123,'6.GWP'!$B$1:$G$173,2,FALSE),IF('1.GHG Inventory Form'!$E$6="IPCC AR3 Report(2001)",VLOOKUP($O123,'6.GWP'!$B$1:$G$173,3,FALSE),IF('1.GHG Inventory Form'!$E$6="IPCC AR4 Report(2007)",VLOOKUP($KQ29,'6.GWP'!$B$1:$G$173,4,FALSE),IF('1.GHG Inventory Form'!$E$6="IPCC AR5 Report(2013)",VLOOKUP($O123,'6.GWP'!$B$1:$G$173,5,FALSE),IF('1.GHG Inventory Form'!$E$6="IPCC AR6 Report(2021)",VLOOKUP($O123,'6.GWP'!$B$2:$G$173,6,FALSE),0))))),0),0)</f>
        <v>0</v>
      </c>
      <c r="AR123" s="366">
        <f>IFERROR(IF(AC123="V",IF('1.GHG Inventory Form'!$E$6="IPCC AR2 Report(1995)",VLOOKUP($O123,'6.GWP'!$B$1:$G$173,2,FALSE),IF('1.GHG Inventory Form'!$E$6="IPCC AR3 Report(2001)",VLOOKUP($O123,'6.GWP'!$B$1:$G$173,3,FALSE),IF('1.GHG Inventory Form'!$E$6="IPCC AR4 Report(2007)",VLOOKUP($KQ29,'6.GWP'!$B$1:$G$173,4,FALSE),IF('1.GHG Inventory Form'!$E$6="IPCC AR5 Report(2013)",VLOOKUP($O123,'6.GWP'!$B$1:$G$173,5,FALSE),IF('1.GHG Inventory Form'!$E$6="IPCC AR6 Report(2021)",VLOOKUP($O123,'6.GWP'!$B$2:$G$173,6,FALSE),0))))),0),0)</f>
        <v>0</v>
      </c>
      <c r="AS123" s="366">
        <f>IF(AD123="V",IF('1.GHG Inventory Form'!$E$6="IPCC AR2 Report(1995)",'6.GWP'!$C$5,IF('1.GHG Inventory Form'!$E$6="IPCC AR3 Report(2001)",'6.GWP'!$D$5,IF('1.GHG Inventory Form'!$E$6="IPCC AR4 Report(2007)",'6.GWP'!$E$5,IF('1.GHG Inventory Form'!$E$6="IPCC AR5 Report(2013)",'6.GWP'!$F$5,IF('1.GHG Inventory Form'!$E$6="IPCC AR6 Report(2021)",'6.GWP'!$G$5,0))))),0)</f>
        <v>0</v>
      </c>
      <c r="AT123" s="392">
        <f>IF(AE123="V",IF('1.GHG Inventory Form'!$E$6="IPCC AR2 Report(1995)",'6.GWP'!$C$4,IF('1.GHG Inventory Form'!$E$6="IPCC AR3 Report(2001)",'6.GWP'!$D$4,IF('1.GHG Inventory Form'!$E$6="IPCC AR4 Report(2007)",'6.GWP'!$E$4,IF('1.GHG Inventory Form'!$E$6="IPCC AR5 Report(2013)",'6.GWP'!$F$4,IF('1.GHG Inventory Form'!$E$6="IPCC AR6 Report(2021)",'6.GWP'!$G$4,0))))),0)</f>
        <v>0</v>
      </c>
      <c r="AU123" s="478">
        <f t="shared" si="77"/>
        <v>0</v>
      </c>
      <c r="AV123" s="367">
        <f t="shared" si="78"/>
        <v>0</v>
      </c>
      <c r="AW123" s="367">
        <f t="shared" si="79"/>
        <v>0</v>
      </c>
      <c r="AX123" s="367">
        <f t="shared" si="80"/>
        <v>0</v>
      </c>
      <c r="AY123" s="367">
        <f t="shared" si="81"/>
        <v>0</v>
      </c>
      <c r="AZ123" s="367">
        <f t="shared" si="82"/>
        <v>0</v>
      </c>
      <c r="BA123" s="479">
        <f t="shared" si="83"/>
        <v>0</v>
      </c>
      <c r="BB123" s="393">
        <f t="shared" si="84"/>
        <v>0</v>
      </c>
      <c r="BC123" s="367"/>
      <c r="BD123" s="369">
        <f t="shared" si="85"/>
        <v>0</v>
      </c>
      <c r="BI123" s="86" t="str">
        <f t="shared" si="86"/>
        <v/>
      </c>
      <c r="BJ123" s="86" t="str">
        <f t="shared" si="87"/>
        <v/>
      </c>
      <c r="BK123" s="86" t="str">
        <f t="shared" si="88"/>
        <v/>
      </c>
    </row>
    <row r="124" spans="2:63" customFormat="1" ht="59.5" customHeight="1">
      <c r="B124" s="644"/>
      <c r="C124" s="636"/>
      <c r="D124" s="648"/>
      <c r="E124" s="649"/>
      <c r="F124" s="453" t="s">
        <v>240</v>
      </c>
      <c r="G124" s="194" t="s">
        <v>438</v>
      </c>
      <c r="H124" s="83">
        <v>0</v>
      </c>
      <c r="I124" s="175" t="s">
        <v>439</v>
      </c>
      <c r="J124" s="85"/>
      <c r="K124" s="477" t="s">
        <v>325</v>
      </c>
      <c r="L124" s="491">
        <f>IFERROR(VLOOKUP(N124,表格13[[國家&amp;電網]:[電力係數2]],2,FALSE),0)</f>
        <v>6.7799999999999999E-2</v>
      </c>
      <c r="M124" s="365" t="s">
        <v>440</v>
      </c>
      <c r="N124" s="492" t="s">
        <v>1100</v>
      </c>
      <c r="O124" s="32"/>
      <c r="P124" s="32"/>
      <c r="Q124" s="28"/>
      <c r="R124" s="421"/>
      <c r="S124" s="421"/>
      <c r="T124" s="421"/>
      <c r="U124" s="421"/>
      <c r="V124" s="421"/>
      <c r="W124" s="421"/>
      <c r="X124" s="421"/>
      <c r="Y124" s="389" t="str">
        <f t="shared" si="67"/>
        <v>V</v>
      </c>
      <c r="Z124" s="364" t="str">
        <f t="shared" si="68"/>
        <v/>
      </c>
      <c r="AA124" s="364" t="str">
        <f t="shared" si="69"/>
        <v/>
      </c>
      <c r="AB124" s="364" t="str">
        <f t="shared" si="70"/>
        <v/>
      </c>
      <c r="AC124" s="364" t="str">
        <f t="shared" si="71"/>
        <v/>
      </c>
      <c r="AD124" s="364" t="str">
        <f t="shared" si="72"/>
        <v/>
      </c>
      <c r="AE124" s="390" t="str">
        <f t="shared" si="73"/>
        <v/>
      </c>
      <c r="AF124" s="473">
        <f t="shared" si="74"/>
        <v>6.7799999999999999E-2</v>
      </c>
      <c r="AG124" s="364">
        <f>IFERROR(VLOOKUP($O124,#REF!,4,FALSE),0)</f>
        <v>0</v>
      </c>
      <c r="AH124" s="364">
        <f>IFERROR(VLOOKUP($O124,#REF!,6,FALSE),0)</f>
        <v>0</v>
      </c>
      <c r="AI124" s="364">
        <f>IFERROR(VLOOKUP($O124,#REF!,8,FALSE),0)</f>
        <v>0</v>
      </c>
      <c r="AJ124" s="364">
        <f>IFERROR(VLOOKUP($O124,#REF!,10,FALSE),0)</f>
        <v>0</v>
      </c>
      <c r="AK124" s="364">
        <f>IFERROR(VLOOKUP($O124,#REF!,12,FALSE),0)</f>
        <v>0</v>
      </c>
      <c r="AL124" s="364">
        <f>IFERROR(VLOOKUP($O124,#REF!,14,FALSE),0)</f>
        <v>0</v>
      </c>
      <c r="AM124" s="390" t="str">
        <f t="shared" si="75"/>
        <v>GermanyUpstream2022</v>
      </c>
      <c r="AN124" s="391">
        <f t="shared" si="76"/>
        <v>1</v>
      </c>
      <c r="AO124" s="366">
        <f>IF(Z124="V",IF('1.GHG Inventory Form'!$E$6="IPCC AR2 Report(1995)",'6.GWP'!$C$2,IF('1.GHG Inventory Form'!$E$6="IPCC AR3 Report(2001)",'6.GWP'!$D$2,IF('1.GHG Inventory Form'!$E$6="IPCC AR4 Report(2007)",'6.GWP'!$E$2,IF('1.GHG Inventory Form'!$E$6="IPCC AR5 Report(2013)",'6.GWP'!$F$2,IF('1.GHG Inventory Form'!$E$6="IPCC AR6 Report(2021)",'6.GWP'!$G$2,0))))),0)</f>
        <v>0</v>
      </c>
      <c r="AP124" s="366">
        <f>IF(AA124="V",IF('1.GHG Inventory Form'!$E$6="IPCC AR2 Report(1995)",'6.GWP'!$C$3,IF('1.GHG Inventory Form'!$E$6="IPCC AR3 Report(2001)",'6.GWP'!$D$3,IF('1.GHG Inventory Form'!$E$6="IPCC AR4 Report(2007)",'6.GWP'!$E$3,IF('1.GHG Inventory Form'!$E$6="IPCC AR5 Report(2013)",'6.GWP'!$F$3,IF('1.GHG Inventory Form'!$E$6="IPCC AR6 Report(2021)",'6.GWP'!$G$3,0))))),0)</f>
        <v>0</v>
      </c>
      <c r="AQ124" s="366">
        <f>IFERROR(IF(AB124="V",IF('1.GHG Inventory Form'!$E$6="IPCC AR2 Report(1995)",VLOOKUP($O124,'6.GWP'!$B$1:$G$173,2,FALSE),IF('1.GHG Inventory Form'!$E$6="IPCC AR3 Report(2001)",VLOOKUP($O124,'6.GWP'!$B$1:$G$173,3,FALSE),IF('1.GHG Inventory Form'!$E$6="IPCC AR4 Report(2007)",VLOOKUP($KQ30,'6.GWP'!$B$1:$G$173,4,FALSE),IF('1.GHG Inventory Form'!$E$6="IPCC AR5 Report(2013)",VLOOKUP($O124,'6.GWP'!$B$1:$G$173,5,FALSE),IF('1.GHG Inventory Form'!$E$6="IPCC AR6 Report(2021)",VLOOKUP($O124,'6.GWP'!$B$2:$G$173,6,FALSE),0))))),0),0)</f>
        <v>0</v>
      </c>
      <c r="AR124" s="366">
        <f>IFERROR(IF(AC124="V",IF('1.GHG Inventory Form'!$E$6="IPCC AR2 Report(1995)",VLOOKUP($O124,'6.GWP'!$B$1:$G$173,2,FALSE),IF('1.GHG Inventory Form'!$E$6="IPCC AR3 Report(2001)",VLOOKUP($O124,'6.GWP'!$B$1:$G$173,3,FALSE),IF('1.GHG Inventory Form'!$E$6="IPCC AR4 Report(2007)",VLOOKUP($KQ30,'6.GWP'!$B$1:$G$173,4,FALSE),IF('1.GHG Inventory Form'!$E$6="IPCC AR5 Report(2013)",VLOOKUP($O124,'6.GWP'!$B$1:$G$173,5,FALSE),IF('1.GHG Inventory Form'!$E$6="IPCC AR6 Report(2021)",VLOOKUP($O124,'6.GWP'!$B$2:$G$173,6,FALSE),0))))),0),0)</f>
        <v>0</v>
      </c>
      <c r="AS124" s="366">
        <f>IF(AD124="V",IF('1.GHG Inventory Form'!$E$6="IPCC AR2 Report(1995)",'6.GWP'!$C$5,IF('1.GHG Inventory Form'!$E$6="IPCC AR3 Report(2001)",'6.GWP'!$D$5,IF('1.GHG Inventory Form'!$E$6="IPCC AR4 Report(2007)",'6.GWP'!$E$5,IF('1.GHG Inventory Form'!$E$6="IPCC AR5 Report(2013)",'6.GWP'!$F$5,IF('1.GHG Inventory Form'!$E$6="IPCC AR6 Report(2021)",'6.GWP'!$G$5,0))))),0)</f>
        <v>0</v>
      </c>
      <c r="AT124" s="392">
        <f>IF(AE124="V",IF('1.GHG Inventory Form'!$E$6="IPCC AR2 Report(1995)",'6.GWP'!$C$4,IF('1.GHG Inventory Form'!$E$6="IPCC AR3 Report(2001)",'6.GWP'!$D$4,IF('1.GHG Inventory Form'!$E$6="IPCC AR4 Report(2007)",'6.GWP'!$E$4,IF('1.GHG Inventory Form'!$E$6="IPCC AR5 Report(2013)",'6.GWP'!$F$4,IF('1.GHG Inventory Form'!$E$6="IPCC AR6 Report(2021)",'6.GWP'!$G$4,0))))),0)</f>
        <v>0</v>
      </c>
      <c r="AU124" s="478">
        <f t="shared" si="77"/>
        <v>0</v>
      </c>
      <c r="AV124" s="367">
        <f t="shared" si="78"/>
        <v>0</v>
      </c>
      <c r="AW124" s="367">
        <f t="shared" si="79"/>
        <v>0</v>
      </c>
      <c r="AX124" s="367">
        <f t="shared" si="80"/>
        <v>0</v>
      </c>
      <c r="AY124" s="367">
        <f t="shared" si="81"/>
        <v>0</v>
      </c>
      <c r="AZ124" s="367">
        <f t="shared" si="82"/>
        <v>0</v>
      </c>
      <c r="BA124" s="479">
        <f t="shared" si="83"/>
        <v>0</v>
      </c>
      <c r="BB124" s="393">
        <f t="shared" si="84"/>
        <v>0</v>
      </c>
      <c r="BC124" s="367"/>
      <c r="BD124" s="369">
        <f t="shared" si="85"/>
        <v>0</v>
      </c>
      <c r="BI124" s="86" t="str">
        <f t="shared" si="86"/>
        <v/>
      </c>
      <c r="BJ124" s="86" t="str">
        <f t="shared" si="87"/>
        <v/>
      </c>
      <c r="BK124" s="86" t="str">
        <f t="shared" si="88"/>
        <v/>
      </c>
    </row>
    <row r="125" spans="2:63" customFormat="1" ht="62" customHeight="1">
      <c r="B125" s="644"/>
      <c r="C125" s="636"/>
      <c r="D125" s="648"/>
      <c r="E125" s="649"/>
      <c r="F125" s="453" t="s">
        <v>386</v>
      </c>
      <c r="G125" s="194" t="s">
        <v>441</v>
      </c>
      <c r="H125" s="83">
        <v>2297.741</v>
      </c>
      <c r="I125" s="175" t="s">
        <v>442</v>
      </c>
      <c r="J125" s="85"/>
      <c r="K125" s="477" t="s">
        <v>325</v>
      </c>
      <c r="L125" s="491">
        <f>IFERROR(VLOOKUP(N125,表格13[[國家&amp;電網]:[電力係數2]],2,FALSE),0)</f>
        <v>1.83E-2</v>
      </c>
      <c r="M125" s="365" t="s">
        <v>443</v>
      </c>
      <c r="N125" s="492" t="s">
        <v>1101</v>
      </c>
      <c r="O125" s="32"/>
      <c r="P125" s="32"/>
      <c r="Q125" s="28"/>
      <c r="R125" s="421"/>
      <c r="S125" s="421"/>
      <c r="T125" s="421"/>
      <c r="U125" s="421"/>
      <c r="V125" s="421"/>
      <c r="W125" s="421"/>
      <c r="X125" s="421"/>
      <c r="Y125" s="389" t="str">
        <f t="shared" si="67"/>
        <v>V</v>
      </c>
      <c r="Z125" s="364" t="str">
        <f t="shared" si="68"/>
        <v/>
      </c>
      <c r="AA125" s="364" t="str">
        <f t="shared" si="69"/>
        <v/>
      </c>
      <c r="AB125" s="364" t="str">
        <f t="shared" si="70"/>
        <v/>
      </c>
      <c r="AC125" s="364" t="str">
        <f t="shared" si="71"/>
        <v/>
      </c>
      <c r="AD125" s="364" t="str">
        <f t="shared" si="72"/>
        <v/>
      </c>
      <c r="AE125" s="390" t="str">
        <f t="shared" si="73"/>
        <v/>
      </c>
      <c r="AF125" s="473">
        <f t="shared" si="74"/>
        <v>1.83E-2</v>
      </c>
      <c r="AG125" s="364">
        <f>IFERROR(VLOOKUP($O125,#REF!,4,FALSE),0)</f>
        <v>0</v>
      </c>
      <c r="AH125" s="364">
        <f>IFERROR(VLOOKUP($O125,#REF!,6,FALSE),0)</f>
        <v>0</v>
      </c>
      <c r="AI125" s="364">
        <f>IFERROR(VLOOKUP($O125,#REF!,8,FALSE),0)</f>
        <v>0</v>
      </c>
      <c r="AJ125" s="364">
        <f>IFERROR(VLOOKUP($O125,#REF!,10,FALSE),0)</f>
        <v>0</v>
      </c>
      <c r="AK125" s="364">
        <f>IFERROR(VLOOKUP($O125,#REF!,12,FALSE),0)</f>
        <v>0</v>
      </c>
      <c r="AL125" s="364">
        <f>IFERROR(VLOOKUP($O125,#REF!,14,FALSE),0)</f>
        <v>0</v>
      </c>
      <c r="AM125" s="390" t="str">
        <f t="shared" si="75"/>
        <v>GermanyT&amp;D2022</v>
      </c>
      <c r="AN125" s="391">
        <f t="shared" si="76"/>
        <v>1</v>
      </c>
      <c r="AO125" s="366">
        <f>IF(Z125="V",IF('1.GHG Inventory Form'!$E$6="IPCC AR2 Report(1995)",'6.GWP'!$C$2,IF('1.GHG Inventory Form'!$E$6="IPCC AR3 Report(2001)",'6.GWP'!$D$2,IF('1.GHG Inventory Form'!$E$6="IPCC AR4 Report(2007)",'6.GWP'!$E$2,IF('1.GHG Inventory Form'!$E$6="IPCC AR5 Report(2013)",'6.GWP'!$F$2,IF('1.GHG Inventory Form'!$E$6="IPCC AR6 Report(2021)",'6.GWP'!$G$2,0))))),0)</f>
        <v>0</v>
      </c>
      <c r="AP125" s="366">
        <f>IF(AA125="V",IF('1.GHG Inventory Form'!$E$6="IPCC AR2 Report(1995)",'6.GWP'!$C$3,IF('1.GHG Inventory Form'!$E$6="IPCC AR3 Report(2001)",'6.GWP'!$D$3,IF('1.GHG Inventory Form'!$E$6="IPCC AR4 Report(2007)",'6.GWP'!$E$3,IF('1.GHG Inventory Form'!$E$6="IPCC AR5 Report(2013)",'6.GWP'!$F$3,IF('1.GHG Inventory Form'!$E$6="IPCC AR6 Report(2021)",'6.GWP'!$G$3,0))))),0)</f>
        <v>0</v>
      </c>
      <c r="AQ125" s="366">
        <f>IFERROR(IF(AB125="V",IF('1.GHG Inventory Form'!$E$6="IPCC AR2 Report(1995)",VLOOKUP($O125,'6.GWP'!$B$1:$G$173,2,FALSE),IF('1.GHG Inventory Form'!$E$6="IPCC AR3 Report(2001)",VLOOKUP($O125,'6.GWP'!$B$1:$G$173,3,FALSE),IF('1.GHG Inventory Form'!$E$6="IPCC AR4 Report(2007)",VLOOKUP($KQ31,'6.GWP'!$B$1:$G$173,4,FALSE),IF('1.GHG Inventory Form'!$E$6="IPCC AR5 Report(2013)",VLOOKUP($O125,'6.GWP'!$B$1:$G$173,5,FALSE),IF('1.GHG Inventory Form'!$E$6="IPCC AR6 Report(2021)",VLOOKUP($O125,'6.GWP'!$B$2:$G$173,6,FALSE),0))))),0),0)</f>
        <v>0</v>
      </c>
      <c r="AR125" s="366">
        <f>IFERROR(IF(AC125="V",IF('1.GHG Inventory Form'!$E$6="IPCC AR2 Report(1995)",VLOOKUP($O125,'6.GWP'!$B$1:$G$173,2,FALSE),IF('1.GHG Inventory Form'!$E$6="IPCC AR3 Report(2001)",VLOOKUP($O125,'6.GWP'!$B$1:$G$173,3,FALSE),IF('1.GHG Inventory Form'!$E$6="IPCC AR4 Report(2007)",VLOOKUP($KQ31,'6.GWP'!$B$1:$G$173,4,FALSE),IF('1.GHG Inventory Form'!$E$6="IPCC AR5 Report(2013)",VLOOKUP($O125,'6.GWP'!$B$1:$G$173,5,FALSE),IF('1.GHG Inventory Form'!$E$6="IPCC AR6 Report(2021)",VLOOKUP($O125,'6.GWP'!$B$2:$G$173,6,FALSE),0))))),0),0)</f>
        <v>0</v>
      </c>
      <c r="AS125" s="366">
        <f>IF(AD125="V",IF('1.GHG Inventory Form'!$E$6="IPCC AR2 Report(1995)",'6.GWP'!$C$5,IF('1.GHG Inventory Form'!$E$6="IPCC AR3 Report(2001)",'6.GWP'!$D$5,IF('1.GHG Inventory Form'!$E$6="IPCC AR4 Report(2007)",'6.GWP'!$E$5,IF('1.GHG Inventory Form'!$E$6="IPCC AR5 Report(2013)",'6.GWP'!$F$5,IF('1.GHG Inventory Form'!$E$6="IPCC AR6 Report(2021)",'6.GWP'!$G$5,0))))),0)</f>
        <v>0</v>
      </c>
      <c r="AT125" s="392">
        <f>IF(AE125="V",IF('1.GHG Inventory Form'!$E$6="IPCC AR2 Report(1995)",'6.GWP'!$C$4,IF('1.GHG Inventory Form'!$E$6="IPCC AR3 Report(2001)",'6.GWP'!$D$4,IF('1.GHG Inventory Form'!$E$6="IPCC AR4 Report(2007)",'6.GWP'!$E$4,IF('1.GHG Inventory Form'!$E$6="IPCC AR5 Report(2013)",'6.GWP'!$F$4,IF('1.GHG Inventory Form'!$E$6="IPCC AR6 Report(2021)",'6.GWP'!$G$4,0))))),0)</f>
        <v>0</v>
      </c>
      <c r="AU125" s="478">
        <f t="shared" si="77"/>
        <v>42.048660300000002</v>
      </c>
      <c r="AV125" s="367">
        <f t="shared" si="78"/>
        <v>0</v>
      </c>
      <c r="AW125" s="367">
        <f t="shared" si="79"/>
        <v>0</v>
      </c>
      <c r="AX125" s="367">
        <f t="shared" si="80"/>
        <v>0</v>
      </c>
      <c r="AY125" s="367">
        <f t="shared" si="81"/>
        <v>0</v>
      </c>
      <c r="AZ125" s="367">
        <f t="shared" si="82"/>
        <v>0</v>
      </c>
      <c r="BA125" s="479">
        <f t="shared" si="83"/>
        <v>0</v>
      </c>
      <c r="BB125" s="393">
        <f t="shared" si="84"/>
        <v>42.048699999999997</v>
      </c>
      <c r="BC125" s="367"/>
      <c r="BD125" s="369">
        <f t="shared" si="85"/>
        <v>2.6513922415027032E-2</v>
      </c>
      <c r="BI125" s="86" t="str">
        <f t="shared" si="86"/>
        <v>綠電電力上游排放(含運輸)
Upstream emissions of purchased renewable electricity (including transportation)</v>
      </c>
      <c r="BJ125" s="86" t="str">
        <f t="shared" si="87"/>
        <v/>
      </c>
      <c r="BK125" s="86" t="str">
        <f t="shared" si="88"/>
        <v>GermanyT&amp;D2022</v>
      </c>
    </row>
    <row r="126" spans="2:63" customFormat="1" ht="93" customHeight="1">
      <c r="B126" s="644"/>
      <c r="C126" s="636"/>
      <c r="D126" s="648"/>
      <c r="E126" s="649"/>
      <c r="F126" s="453" t="s">
        <v>386</v>
      </c>
      <c r="G126" s="194" t="s">
        <v>444</v>
      </c>
      <c r="H126" s="83">
        <v>265.97721640960884</v>
      </c>
      <c r="I126" s="175" t="s">
        <v>445</v>
      </c>
      <c r="J126" s="85"/>
      <c r="K126" s="477" t="s">
        <v>325</v>
      </c>
      <c r="L126" s="491">
        <v>0.38300000000000001</v>
      </c>
      <c r="M126" s="365" t="s">
        <v>446</v>
      </c>
      <c r="N126" s="295" t="s">
        <v>447</v>
      </c>
      <c r="O126" s="32"/>
      <c r="P126" s="32"/>
      <c r="Q126" s="28"/>
      <c r="R126" s="421"/>
      <c r="S126" s="421"/>
      <c r="T126" s="421"/>
      <c r="U126" s="421"/>
      <c r="V126" s="421"/>
      <c r="W126" s="421"/>
      <c r="X126" s="421"/>
      <c r="Y126" s="389" t="str">
        <f t="shared" si="67"/>
        <v>V</v>
      </c>
      <c r="Z126" s="364" t="str">
        <f t="shared" si="68"/>
        <v/>
      </c>
      <c r="AA126" s="364" t="str">
        <f t="shared" si="69"/>
        <v/>
      </c>
      <c r="AB126" s="364" t="str">
        <f t="shared" si="70"/>
        <v/>
      </c>
      <c r="AC126" s="364" t="str">
        <f t="shared" si="71"/>
        <v/>
      </c>
      <c r="AD126" s="364" t="str">
        <f t="shared" si="72"/>
        <v/>
      </c>
      <c r="AE126" s="390" t="str">
        <f t="shared" si="73"/>
        <v/>
      </c>
      <c r="AF126" s="473">
        <f t="shared" si="74"/>
        <v>0.38300000000000001</v>
      </c>
      <c r="AG126" s="364">
        <f>IFERROR(VLOOKUP($O126,#REF!,4,FALSE),0)</f>
        <v>0</v>
      </c>
      <c r="AH126" s="364">
        <f>IFERROR(VLOOKUP($O126,#REF!,6,FALSE),0)</f>
        <v>0</v>
      </c>
      <c r="AI126" s="364">
        <f>IFERROR(VLOOKUP($O126,#REF!,8,FALSE),0)</f>
        <v>0</v>
      </c>
      <c r="AJ126" s="364">
        <f>IFERROR(VLOOKUP($O126,#REF!,10,FALSE),0)</f>
        <v>0</v>
      </c>
      <c r="AK126" s="364">
        <f>IFERROR(VLOOKUP($O126,#REF!,12,FALSE),0)</f>
        <v>0</v>
      </c>
      <c r="AL126" s="364">
        <f>IFERROR(VLOOKUP($O126,#REF!,14,FALSE),0)</f>
        <v>0</v>
      </c>
      <c r="AM126" s="390" t="str">
        <f t="shared" si="75"/>
        <v>Natural gas, high pressure {GLO}| market group for | APOS, U</v>
      </c>
      <c r="AN126" s="391">
        <f t="shared" si="76"/>
        <v>1</v>
      </c>
      <c r="AO126" s="366">
        <f>IF(Z126="V",IF('1.GHG Inventory Form'!$E$6="IPCC AR2 Report(1995)",'6.GWP'!$C$2,IF('1.GHG Inventory Form'!$E$6="IPCC AR3 Report(2001)",'6.GWP'!$D$2,IF('1.GHG Inventory Form'!$E$6="IPCC AR4 Report(2007)",'6.GWP'!$E$2,IF('1.GHG Inventory Form'!$E$6="IPCC AR5 Report(2013)",'6.GWP'!$F$2,IF('1.GHG Inventory Form'!$E$6="IPCC AR6 Report(2021)",'6.GWP'!$G$2,0))))),0)</f>
        <v>0</v>
      </c>
      <c r="AP126" s="366">
        <f>IF(AA126="V",IF('1.GHG Inventory Form'!$E$6="IPCC AR2 Report(1995)",'6.GWP'!$C$3,IF('1.GHG Inventory Form'!$E$6="IPCC AR3 Report(2001)",'6.GWP'!$D$3,IF('1.GHG Inventory Form'!$E$6="IPCC AR4 Report(2007)",'6.GWP'!$E$3,IF('1.GHG Inventory Form'!$E$6="IPCC AR5 Report(2013)",'6.GWP'!$F$3,IF('1.GHG Inventory Form'!$E$6="IPCC AR6 Report(2021)",'6.GWP'!$G$3,0))))),0)</f>
        <v>0</v>
      </c>
      <c r="AQ126" s="366">
        <f>IFERROR(IF(AB126="V",IF('1.GHG Inventory Form'!$E$6="IPCC AR2 Report(1995)",VLOOKUP($O126,'6.GWP'!$B$1:$G$173,2,FALSE),IF('1.GHG Inventory Form'!$E$6="IPCC AR3 Report(2001)",VLOOKUP($O126,'6.GWP'!$B$1:$G$173,3,FALSE),IF('1.GHG Inventory Form'!$E$6="IPCC AR4 Report(2007)",VLOOKUP($KQ31,'6.GWP'!$B$1:$G$173,4,FALSE),IF('1.GHG Inventory Form'!$E$6="IPCC AR5 Report(2013)",VLOOKUP($O126,'6.GWP'!$B$1:$G$173,5,FALSE),IF('1.GHG Inventory Form'!$E$6="IPCC AR6 Report(2021)",VLOOKUP($O126,'6.GWP'!$B$2:$G$173,6,FALSE),0))))),0),0)</f>
        <v>0</v>
      </c>
      <c r="AR126" s="366">
        <f>IFERROR(IF(AC126="V",IF('1.GHG Inventory Form'!$E$6="IPCC AR2 Report(1995)",VLOOKUP($O126,'6.GWP'!$B$1:$G$173,2,FALSE),IF('1.GHG Inventory Form'!$E$6="IPCC AR3 Report(2001)",VLOOKUP($O126,'6.GWP'!$B$1:$G$173,3,FALSE),IF('1.GHG Inventory Form'!$E$6="IPCC AR4 Report(2007)",VLOOKUP($KQ31,'6.GWP'!$B$1:$G$173,4,FALSE),IF('1.GHG Inventory Form'!$E$6="IPCC AR5 Report(2013)",VLOOKUP($O126,'6.GWP'!$B$1:$G$173,5,FALSE),IF('1.GHG Inventory Form'!$E$6="IPCC AR6 Report(2021)",VLOOKUP($O126,'6.GWP'!$B$2:$G$173,6,FALSE),0))))),0),0)</f>
        <v>0</v>
      </c>
      <c r="AS126" s="366">
        <f>IF(AD126="V",IF('1.GHG Inventory Form'!$E$6="IPCC AR2 Report(1995)",'6.GWP'!$C$5,IF('1.GHG Inventory Form'!$E$6="IPCC AR3 Report(2001)",'6.GWP'!$D$5,IF('1.GHG Inventory Form'!$E$6="IPCC AR4 Report(2007)",'6.GWP'!$E$5,IF('1.GHG Inventory Form'!$E$6="IPCC AR5 Report(2013)",'6.GWP'!$F$5,IF('1.GHG Inventory Form'!$E$6="IPCC AR6 Report(2021)",'6.GWP'!$G$5,0))))),0)</f>
        <v>0</v>
      </c>
      <c r="AT126" s="392">
        <f>IF(AE126="V",IF('1.GHG Inventory Form'!$E$6="IPCC AR2 Report(1995)",'6.GWP'!$C$4,IF('1.GHG Inventory Form'!$E$6="IPCC AR3 Report(2001)",'6.GWP'!$D$4,IF('1.GHG Inventory Form'!$E$6="IPCC AR4 Report(2007)",'6.GWP'!$E$4,IF('1.GHG Inventory Form'!$E$6="IPCC AR5 Report(2013)",'6.GWP'!$F$4,IF('1.GHG Inventory Form'!$E$6="IPCC AR6 Report(2021)",'6.GWP'!$G$4,0))))),0)</f>
        <v>0</v>
      </c>
      <c r="AU126" s="478">
        <f t="shared" si="77"/>
        <v>101.86927388488019</v>
      </c>
      <c r="AV126" s="367">
        <f t="shared" si="78"/>
        <v>0</v>
      </c>
      <c r="AW126" s="367">
        <f t="shared" si="79"/>
        <v>0</v>
      </c>
      <c r="AX126" s="367">
        <f t="shared" si="80"/>
        <v>0</v>
      </c>
      <c r="AY126" s="367">
        <f t="shared" si="81"/>
        <v>0</v>
      </c>
      <c r="AZ126" s="367">
        <f t="shared" si="82"/>
        <v>0</v>
      </c>
      <c r="BA126" s="479">
        <f t="shared" si="83"/>
        <v>0</v>
      </c>
      <c r="BB126" s="393">
        <f t="shared" si="84"/>
        <v>101.8693</v>
      </c>
      <c r="BC126" s="367"/>
      <c r="BD126" s="369">
        <f t="shared" si="85"/>
        <v>6.4233964823481177E-2</v>
      </c>
      <c r="BI126" s="86" t="str">
        <f t="shared" si="86"/>
        <v>固定源天然氣上游排放(包含運輸)
Stationary natural gas upstream emissions (including transportation)</v>
      </c>
      <c r="BJ126" s="86" t="str">
        <f t="shared" si="87"/>
        <v/>
      </c>
      <c r="BK126" s="86" t="str">
        <f t="shared" si="88"/>
        <v>Natural gas, high pressure {GLO}| market group for | APOS, U</v>
      </c>
    </row>
    <row r="127" spans="2:63" customFormat="1" ht="62" customHeight="1">
      <c r="B127" s="644"/>
      <c r="C127" s="636"/>
      <c r="D127" s="648"/>
      <c r="E127" s="649"/>
      <c r="F127" s="453" t="s">
        <v>240</v>
      </c>
      <c r="G127" s="194" t="s">
        <v>448</v>
      </c>
      <c r="H127" s="83">
        <v>0</v>
      </c>
      <c r="I127" s="175" t="s">
        <v>449</v>
      </c>
      <c r="J127" s="85"/>
      <c r="K127" s="477" t="s">
        <v>325</v>
      </c>
      <c r="L127" s="491">
        <v>0.63400000000000001</v>
      </c>
      <c r="M127" s="365" t="s">
        <v>450</v>
      </c>
      <c r="N127" s="493" t="s">
        <v>451</v>
      </c>
      <c r="O127" s="32"/>
      <c r="P127" s="32"/>
      <c r="Q127" s="28"/>
      <c r="R127" s="421"/>
      <c r="S127" s="421"/>
      <c r="T127" s="421"/>
      <c r="U127" s="421"/>
      <c r="V127" s="421"/>
      <c r="W127" s="421"/>
      <c r="X127" s="421"/>
      <c r="Y127" s="389" t="str">
        <f t="shared" si="67"/>
        <v>V</v>
      </c>
      <c r="Z127" s="364" t="str">
        <f t="shared" si="68"/>
        <v/>
      </c>
      <c r="AA127" s="364" t="str">
        <f t="shared" si="69"/>
        <v/>
      </c>
      <c r="AB127" s="364" t="str">
        <f t="shared" si="70"/>
        <v/>
      </c>
      <c r="AC127" s="364" t="str">
        <f t="shared" si="71"/>
        <v/>
      </c>
      <c r="AD127" s="364" t="str">
        <f t="shared" si="72"/>
        <v/>
      </c>
      <c r="AE127" s="390" t="str">
        <f t="shared" si="73"/>
        <v/>
      </c>
      <c r="AF127" s="473">
        <f t="shared" si="74"/>
        <v>0.63400000000000001</v>
      </c>
      <c r="AG127" s="364">
        <f>IFERROR(VLOOKUP($O127,#REF!,4,FALSE),0)</f>
        <v>0</v>
      </c>
      <c r="AH127" s="364">
        <f>IFERROR(VLOOKUP($O127,#REF!,6,FALSE),0)</f>
        <v>0</v>
      </c>
      <c r="AI127" s="364">
        <f>IFERROR(VLOOKUP($O127,#REF!,8,FALSE),0)</f>
        <v>0</v>
      </c>
      <c r="AJ127" s="364">
        <f>IFERROR(VLOOKUP($O127,#REF!,10,FALSE),0)</f>
        <v>0</v>
      </c>
      <c r="AK127" s="364">
        <f>IFERROR(VLOOKUP($O127,#REF!,12,FALSE),0)</f>
        <v>0</v>
      </c>
      <c r="AL127" s="364">
        <f>IFERROR(VLOOKUP($O127,#REF!,14,FALSE),0)</f>
        <v>0</v>
      </c>
      <c r="AM127" s="390" t="str">
        <f t="shared" si="75"/>
        <v>Simapro9.4.0.2-Liquefied petroleum gas {GLO}| market group for liquefied petroleum gas | Cut-off, U</v>
      </c>
      <c r="AN127" s="391">
        <f t="shared" si="76"/>
        <v>1</v>
      </c>
      <c r="AO127" s="366">
        <f>IF(Z127="V",IF('1.GHG Inventory Form'!$E$6="IPCC AR2 Report(1995)",'6.GWP'!$C$2,IF('1.GHG Inventory Form'!$E$6="IPCC AR3 Report(2001)",'6.GWP'!$D$2,IF('1.GHG Inventory Form'!$E$6="IPCC AR4 Report(2007)",'6.GWP'!$E$2,IF('1.GHG Inventory Form'!$E$6="IPCC AR5 Report(2013)",'6.GWP'!$F$2,IF('1.GHG Inventory Form'!$E$6="IPCC AR6 Report(2021)",'6.GWP'!$G$2,0))))),0)</f>
        <v>0</v>
      </c>
      <c r="AP127" s="366">
        <f>IF(AA127="V",IF('1.GHG Inventory Form'!$E$6="IPCC AR2 Report(1995)",'6.GWP'!$C$3,IF('1.GHG Inventory Form'!$E$6="IPCC AR3 Report(2001)",'6.GWP'!$D$3,IF('1.GHG Inventory Form'!$E$6="IPCC AR4 Report(2007)",'6.GWP'!$E$3,IF('1.GHG Inventory Form'!$E$6="IPCC AR5 Report(2013)",'6.GWP'!$F$3,IF('1.GHG Inventory Form'!$E$6="IPCC AR6 Report(2021)",'6.GWP'!$G$3,0))))),0)</f>
        <v>0</v>
      </c>
      <c r="AQ127" s="366">
        <f>IFERROR(IF(AB127="V",IF('1.GHG Inventory Form'!$E$6="IPCC AR2 Report(1995)",VLOOKUP($O127,'6.GWP'!$B$1:$G$173,2,FALSE),IF('1.GHG Inventory Form'!$E$6="IPCC AR3 Report(2001)",VLOOKUP($O127,'6.GWP'!$B$1:$G$173,3,FALSE),IF('1.GHG Inventory Form'!$E$6="IPCC AR4 Report(2007)",VLOOKUP($KQ32,'6.GWP'!$B$1:$G$173,4,FALSE),IF('1.GHG Inventory Form'!$E$6="IPCC AR5 Report(2013)",VLOOKUP($O127,'6.GWP'!$B$1:$G$173,5,FALSE),IF('1.GHG Inventory Form'!$E$6="IPCC AR6 Report(2021)",VLOOKUP($O127,'6.GWP'!$B$2:$G$173,6,FALSE),0))))),0),0)</f>
        <v>0</v>
      </c>
      <c r="AR127" s="366">
        <f>IFERROR(IF(AC127="V",IF('1.GHG Inventory Form'!$E$6="IPCC AR2 Report(1995)",VLOOKUP($O127,'6.GWP'!$B$1:$G$173,2,FALSE),IF('1.GHG Inventory Form'!$E$6="IPCC AR3 Report(2001)",VLOOKUP($O127,'6.GWP'!$B$1:$G$173,3,FALSE),IF('1.GHG Inventory Form'!$E$6="IPCC AR4 Report(2007)",VLOOKUP($KQ32,'6.GWP'!$B$1:$G$173,4,FALSE),IF('1.GHG Inventory Form'!$E$6="IPCC AR5 Report(2013)",VLOOKUP($O127,'6.GWP'!$B$1:$G$173,5,FALSE),IF('1.GHG Inventory Form'!$E$6="IPCC AR6 Report(2021)",VLOOKUP($O127,'6.GWP'!$B$2:$G$173,6,FALSE),0))))),0),0)</f>
        <v>0</v>
      </c>
      <c r="AS127" s="366">
        <f>IF(AD127="V",IF('1.GHG Inventory Form'!$E$6="IPCC AR2 Report(1995)",'6.GWP'!$C$5,IF('1.GHG Inventory Form'!$E$6="IPCC AR3 Report(2001)",'6.GWP'!$D$5,IF('1.GHG Inventory Form'!$E$6="IPCC AR4 Report(2007)",'6.GWP'!$E$5,IF('1.GHG Inventory Form'!$E$6="IPCC AR5 Report(2013)",'6.GWP'!$F$5,IF('1.GHG Inventory Form'!$E$6="IPCC AR6 Report(2021)",'6.GWP'!$G$5,0))))),0)</f>
        <v>0</v>
      </c>
      <c r="AT127" s="392">
        <f>IF(AE127="V",IF('1.GHG Inventory Form'!$E$6="IPCC AR2 Report(1995)",'6.GWP'!$C$4,IF('1.GHG Inventory Form'!$E$6="IPCC AR3 Report(2001)",'6.GWP'!$D$4,IF('1.GHG Inventory Form'!$E$6="IPCC AR4 Report(2007)",'6.GWP'!$E$4,IF('1.GHG Inventory Form'!$E$6="IPCC AR5 Report(2013)",'6.GWP'!$F$4,IF('1.GHG Inventory Form'!$E$6="IPCC AR6 Report(2021)",'6.GWP'!$G$4,0))))),0)</f>
        <v>0</v>
      </c>
      <c r="AU127" s="478">
        <f t="shared" si="77"/>
        <v>0</v>
      </c>
      <c r="AV127" s="367">
        <f t="shared" si="78"/>
        <v>0</v>
      </c>
      <c r="AW127" s="367">
        <f t="shared" si="79"/>
        <v>0</v>
      </c>
      <c r="AX127" s="367">
        <f t="shared" si="80"/>
        <v>0</v>
      </c>
      <c r="AY127" s="367">
        <f t="shared" si="81"/>
        <v>0</v>
      </c>
      <c r="AZ127" s="367">
        <f t="shared" si="82"/>
        <v>0</v>
      </c>
      <c r="BA127" s="479">
        <f t="shared" si="83"/>
        <v>0</v>
      </c>
      <c r="BB127" s="393">
        <f t="shared" si="84"/>
        <v>0</v>
      </c>
      <c r="BC127" s="367"/>
      <c r="BD127" s="369">
        <f t="shared" si="85"/>
        <v>0</v>
      </c>
      <c r="BI127" s="86" t="str">
        <f t="shared" si="86"/>
        <v/>
      </c>
      <c r="BJ127" s="86" t="str">
        <f t="shared" si="87"/>
        <v/>
      </c>
      <c r="BK127" s="86" t="str">
        <f t="shared" si="88"/>
        <v/>
      </c>
    </row>
    <row r="128" spans="2:63" customFormat="1" ht="77.5" customHeight="1">
      <c r="B128" s="644"/>
      <c r="C128" s="636"/>
      <c r="D128" s="648"/>
      <c r="E128" s="649"/>
      <c r="F128" s="453" t="s">
        <v>240</v>
      </c>
      <c r="G128" s="194" t="s">
        <v>452</v>
      </c>
      <c r="H128" s="83">
        <v>0</v>
      </c>
      <c r="I128" s="175" t="s">
        <v>453</v>
      </c>
      <c r="J128" s="300" t="s">
        <v>454</v>
      </c>
      <c r="K128" s="477" t="s">
        <v>325</v>
      </c>
      <c r="L128" s="491">
        <v>0.48799999999999999</v>
      </c>
      <c r="M128" s="365" t="s">
        <v>455</v>
      </c>
      <c r="N128" s="493" t="s">
        <v>456</v>
      </c>
      <c r="O128" s="32"/>
      <c r="P128" s="32"/>
      <c r="Q128" s="28"/>
      <c r="R128" s="421"/>
      <c r="S128" s="421"/>
      <c r="T128" s="421"/>
      <c r="U128" s="421"/>
      <c r="V128" s="421"/>
      <c r="W128" s="421"/>
      <c r="X128" s="421"/>
      <c r="Y128" s="389" t="str">
        <f t="shared" si="67"/>
        <v>V</v>
      </c>
      <c r="Z128" s="364" t="str">
        <f t="shared" si="68"/>
        <v/>
      </c>
      <c r="AA128" s="364" t="str">
        <f t="shared" si="69"/>
        <v/>
      </c>
      <c r="AB128" s="364" t="str">
        <f t="shared" si="70"/>
        <v/>
      </c>
      <c r="AC128" s="364" t="str">
        <f t="shared" si="71"/>
        <v/>
      </c>
      <c r="AD128" s="364" t="str">
        <f t="shared" si="72"/>
        <v/>
      </c>
      <c r="AE128" s="390" t="str">
        <f t="shared" si="73"/>
        <v/>
      </c>
      <c r="AF128" s="473">
        <f t="shared" si="74"/>
        <v>0.48799999999999999</v>
      </c>
      <c r="AG128" s="364">
        <f>IFERROR(VLOOKUP($O128,#REF!,4,FALSE),0)</f>
        <v>0</v>
      </c>
      <c r="AH128" s="364">
        <f>IFERROR(VLOOKUP($O128,#REF!,6,FALSE),0)</f>
        <v>0</v>
      </c>
      <c r="AI128" s="364">
        <f>IFERROR(VLOOKUP($O128,#REF!,8,FALSE),0)</f>
        <v>0</v>
      </c>
      <c r="AJ128" s="364">
        <f>IFERROR(VLOOKUP($O128,#REF!,10,FALSE),0)</f>
        <v>0</v>
      </c>
      <c r="AK128" s="364">
        <f>IFERROR(VLOOKUP($O128,#REF!,12,FALSE),0)</f>
        <v>0</v>
      </c>
      <c r="AL128" s="364">
        <f>IFERROR(VLOOKUP($O128,#REF!,14,FALSE),0)</f>
        <v>0</v>
      </c>
      <c r="AM128" s="390" t="str">
        <f t="shared" si="75"/>
        <v>Diesel  {GLO}| market group for | APOS, U</v>
      </c>
      <c r="AN128" s="391">
        <f t="shared" si="76"/>
        <v>1</v>
      </c>
      <c r="AO128" s="366">
        <f>IF(Z128="V",IF('1.GHG Inventory Form'!$E$6="IPCC AR2 Report(1995)",'6.GWP'!$C$2,IF('1.GHG Inventory Form'!$E$6="IPCC AR3 Report(2001)",'6.GWP'!$D$2,IF('1.GHG Inventory Form'!$E$6="IPCC AR4 Report(2007)",'6.GWP'!$E$2,IF('1.GHG Inventory Form'!$E$6="IPCC AR5 Report(2013)",'6.GWP'!$F$2,IF('1.GHG Inventory Form'!$E$6="IPCC AR6 Report(2021)",'6.GWP'!$G$2,0))))),0)</f>
        <v>0</v>
      </c>
      <c r="AP128" s="366">
        <f>IF(AA128="V",IF('1.GHG Inventory Form'!$E$6="IPCC AR2 Report(1995)",'6.GWP'!$C$3,IF('1.GHG Inventory Form'!$E$6="IPCC AR3 Report(2001)",'6.GWP'!$D$3,IF('1.GHG Inventory Form'!$E$6="IPCC AR4 Report(2007)",'6.GWP'!$E$3,IF('1.GHG Inventory Form'!$E$6="IPCC AR5 Report(2013)",'6.GWP'!$F$3,IF('1.GHG Inventory Form'!$E$6="IPCC AR6 Report(2021)",'6.GWP'!$G$3,0))))),0)</f>
        <v>0</v>
      </c>
      <c r="AQ128" s="366">
        <f>IFERROR(IF(AB128="V",IF('1.GHG Inventory Form'!$E$6="IPCC AR2 Report(1995)",VLOOKUP($O128,'6.GWP'!$B$1:$G$173,2,FALSE),IF('1.GHG Inventory Form'!$E$6="IPCC AR3 Report(2001)",VLOOKUP($O128,'6.GWP'!$B$1:$G$173,3,FALSE),IF('1.GHG Inventory Form'!$E$6="IPCC AR4 Report(2007)",VLOOKUP($KQ33,'6.GWP'!$B$1:$G$173,4,FALSE),IF('1.GHG Inventory Form'!$E$6="IPCC AR5 Report(2013)",VLOOKUP($O128,'6.GWP'!$B$1:$G$173,5,FALSE),IF('1.GHG Inventory Form'!$E$6="IPCC AR6 Report(2021)",VLOOKUP($O128,'6.GWP'!$B$2:$G$173,6,FALSE),0))))),0),0)</f>
        <v>0</v>
      </c>
      <c r="AR128" s="366">
        <f>IFERROR(IF(AC128="V",IF('1.GHG Inventory Form'!$E$6="IPCC AR2 Report(1995)",VLOOKUP($O128,'6.GWP'!$B$1:$G$173,2,FALSE),IF('1.GHG Inventory Form'!$E$6="IPCC AR3 Report(2001)",VLOOKUP($O128,'6.GWP'!$B$1:$G$173,3,FALSE),IF('1.GHG Inventory Form'!$E$6="IPCC AR4 Report(2007)",VLOOKUP($KQ33,'6.GWP'!$B$1:$G$173,4,FALSE),IF('1.GHG Inventory Form'!$E$6="IPCC AR5 Report(2013)",VLOOKUP($O128,'6.GWP'!$B$1:$G$173,5,FALSE),IF('1.GHG Inventory Form'!$E$6="IPCC AR6 Report(2021)",VLOOKUP($O128,'6.GWP'!$B$2:$G$173,6,FALSE),0))))),0),0)</f>
        <v>0</v>
      </c>
      <c r="AS128" s="366">
        <f>IF(AD128="V",IF('1.GHG Inventory Form'!$E$6="IPCC AR2 Report(1995)",'6.GWP'!$C$5,IF('1.GHG Inventory Form'!$E$6="IPCC AR3 Report(2001)",'6.GWP'!$D$5,IF('1.GHG Inventory Form'!$E$6="IPCC AR4 Report(2007)",'6.GWP'!$E$5,IF('1.GHG Inventory Form'!$E$6="IPCC AR5 Report(2013)",'6.GWP'!$F$5,IF('1.GHG Inventory Form'!$E$6="IPCC AR6 Report(2021)",'6.GWP'!$G$5,0))))),0)</f>
        <v>0</v>
      </c>
      <c r="AT128" s="392">
        <f>IF(AE128="V",IF('1.GHG Inventory Form'!$E$6="IPCC AR2 Report(1995)",'6.GWP'!$C$4,IF('1.GHG Inventory Form'!$E$6="IPCC AR3 Report(2001)",'6.GWP'!$D$4,IF('1.GHG Inventory Form'!$E$6="IPCC AR4 Report(2007)",'6.GWP'!$E$4,IF('1.GHG Inventory Form'!$E$6="IPCC AR5 Report(2013)",'6.GWP'!$F$4,IF('1.GHG Inventory Form'!$E$6="IPCC AR6 Report(2021)",'6.GWP'!$G$4,0))))),0)</f>
        <v>0</v>
      </c>
      <c r="AU128" s="478">
        <f t="shared" si="77"/>
        <v>0</v>
      </c>
      <c r="AV128" s="367">
        <f t="shared" si="78"/>
        <v>0</v>
      </c>
      <c r="AW128" s="367">
        <f t="shared" si="79"/>
        <v>0</v>
      </c>
      <c r="AX128" s="367">
        <f t="shared" si="80"/>
        <v>0</v>
      </c>
      <c r="AY128" s="367">
        <f t="shared" si="81"/>
        <v>0</v>
      </c>
      <c r="AZ128" s="367">
        <f t="shared" si="82"/>
        <v>0</v>
      </c>
      <c r="BA128" s="479">
        <f t="shared" si="83"/>
        <v>0</v>
      </c>
      <c r="BB128" s="393">
        <f t="shared" si="84"/>
        <v>0</v>
      </c>
      <c r="BC128" s="367"/>
      <c r="BD128" s="369">
        <f t="shared" si="85"/>
        <v>0</v>
      </c>
      <c r="BI128" s="86" t="str">
        <f t="shared" si="86"/>
        <v/>
      </c>
      <c r="BJ128" s="86" t="str">
        <f t="shared" si="87"/>
        <v/>
      </c>
      <c r="BK128" s="86" t="str">
        <f t="shared" si="88"/>
        <v/>
      </c>
    </row>
    <row r="129" spans="2:63" customFormat="1" ht="93" customHeight="1">
      <c r="B129" s="644"/>
      <c r="C129" s="636"/>
      <c r="D129" s="648"/>
      <c r="E129" s="649"/>
      <c r="F129" s="453" t="s">
        <v>240</v>
      </c>
      <c r="G129" s="194" t="s">
        <v>457</v>
      </c>
      <c r="H129" s="83">
        <v>0</v>
      </c>
      <c r="I129" s="175" t="s">
        <v>458</v>
      </c>
      <c r="J129" s="300" t="s">
        <v>459</v>
      </c>
      <c r="K129" s="477" t="s">
        <v>325</v>
      </c>
      <c r="L129" s="491">
        <v>0.62</v>
      </c>
      <c r="M129" s="365" t="s">
        <v>460</v>
      </c>
      <c r="N129" s="493" t="s">
        <v>461</v>
      </c>
      <c r="O129" s="32"/>
      <c r="P129" s="32"/>
      <c r="Q129" s="28"/>
      <c r="R129" s="421"/>
      <c r="S129" s="421"/>
      <c r="T129" s="421"/>
      <c r="U129" s="421"/>
      <c r="V129" s="421"/>
      <c r="W129" s="421"/>
      <c r="X129" s="421"/>
      <c r="Y129" s="389" t="str">
        <f t="shared" si="67"/>
        <v>V</v>
      </c>
      <c r="Z129" s="364" t="str">
        <f t="shared" si="68"/>
        <v/>
      </c>
      <c r="AA129" s="364" t="str">
        <f t="shared" si="69"/>
        <v/>
      </c>
      <c r="AB129" s="364" t="str">
        <f t="shared" si="70"/>
        <v/>
      </c>
      <c r="AC129" s="364" t="str">
        <f t="shared" si="71"/>
        <v/>
      </c>
      <c r="AD129" s="364" t="str">
        <f t="shared" si="72"/>
        <v/>
      </c>
      <c r="AE129" s="390" t="str">
        <f t="shared" si="73"/>
        <v/>
      </c>
      <c r="AF129" s="473">
        <f t="shared" si="74"/>
        <v>0.62</v>
      </c>
      <c r="AG129" s="364">
        <f>IFERROR(VLOOKUP($O129,#REF!,4,FALSE),0)</f>
        <v>0</v>
      </c>
      <c r="AH129" s="364">
        <f>IFERROR(VLOOKUP($O129,#REF!,6,FALSE),0)</f>
        <v>0</v>
      </c>
      <c r="AI129" s="364">
        <f>IFERROR(VLOOKUP($O129,#REF!,8,FALSE),0)</f>
        <v>0</v>
      </c>
      <c r="AJ129" s="364">
        <f>IFERROR(VLOOKUP($O129,#REF!,10,FALSE),0)</f>
        <v>0</v>
      </c>
      <c r="AK129" s="364">
        <f>IFERROR(VLOOKUP($O129,#REF!,12,FALSE),0)</f>
        <v>0</v>
      </c>
      <c r="AL129" s="364">
        <f>IFERROR(VLOOKUP($O129,#REF!,14,FALSE),0)</f>
        <v>0</v>
      </c>
      <c r="AM129" s="390" t="str">
        <f t="shared" si="75"/>
        <v>Petrol, unleaded {RoW}| market for | APOS, U</v>
      </c>
      <c r="AN129" s="391">
        <f t="shared" si="76"/>
        <v>1</v>
      </c>
      <c r="AO129" s="366">
        <f>IF(Z129="V",IF('1.GHG Inventory Form'!$E$6="IPCC AR2 Report(1995)",'6.GWP'!$C$2,IF('1.GHG Inventory Form'!$E$6="IPCC AR3 Report(2001)",'6.GWP'!$D$2,IF('1.GHG Inventory Form'!$E$6="IPCC AR4 Report(2007)",'6.GWP'!$E$2,IF('1.GHG Inventory Form'!$E$6="IPCC AR5 Report(2013)",'6.GWP'!$F$2,IF('1.GHG Inventory Form'!$E$6="IPCC AR6 Report(2021)",'6.GWP'!$G$2,0))))),0)</f>
        <v>0</v>
      </c>
      <c r="AP129" s="366">
        <f>IF(AA129="V",IF('1.GHG Inventory Form'!$E$6="IPCC AR2 Report(1995)",'6.GWP'!$C$3,IF('1.GHG Inventory Form'!$E$6="IPCC AR3 Report(2001)",'6.GWP'!$D$3,IF('1.GHG Inventory Form'!$E$6="IPCC AR4 Report(2007)",'6.GWP'!$E$3,IF('1.GHG Inventory Form'!$E$6="IPCC AR5 Report(2013)",'6.GWP'!$F$3,IF('1.GHG Inventory Form'!$E$6="IPCC AR6 Report(2021)",'6.GWP'!$G$3,0))))),0)</f>
        <v>0</v>
      </c>
      <c r="AQ129" s="366">
        <f>IFERROR(IF(AB129="V",IF('1.GHG Inventory Form'!$E$6="IPCC AR2 Report(1995)",VLOOKUP($O129,'6.GWP'!$B$1:$G$173,2,FALSE),IF('1.GHG Inventory Form'!$E$6="IPCC AR3 Report(2001)",VLOOKUP($O129,'6.GWP'!$B$1:$G$173,3,FALSE),IF('1.GHG Inventory Form'!$E$6="IPCC AR4 Report(2007)",VLOOKUP($KQ34,'6.GWP'!$B$1:$G$173,4,FALSE),IF('1.GHG Inventory Form'!$E$6="IPCC AR5 Report(2013)",VLOOKUP($O129,'6.GWP'!$B$1:$G$173,5,FALSE),IF('1.GHG Inventory Form'!$E$6="IPCC AR6 Report(2021)",VLOOKUP($O129,'6.GWP'!$B$2:$G$173,6,FALSE),0))))),0),0)</f>
        <v>0</v>
      </c>
      <c r="AR129" s="366">
        <f>IFERROR(IF(AC129="V",IF('1.GHG Inventory Form'!$E$6="IPCC AR2 Report(1995)",VLOOKUP($O129,'6.GWP'!$B$1:$G$173,2,FALSE),IF('1.GHG Inventory Form'!$E$6="IPCC AR3 Report(2001)",VLOOKUP($O129,'6.GWP'!$B$1:$G$173,3,FALSE),IF('1.GHG Inventory Form'!$E$6="IPCC AR4 Report(2007)",VLOOKUP($KQ34,'6.GWP'!$B$1:$G$173,4,FALSE),IF('1.GHG Inventory Form'!$E$6="IPCC AR5 Report(2013)",VLOOKUP($O129,'6.GWP'!$B$1:$G$173,5,FALSE),IF('1.GHG Inventory Form'!$E$6="IPCC AR6 Report(2021)",VLOOKUP($O129,'6.GWP'!$B$2:$G$173,6,FALSE),0))))),0),0)</f>
        <v>0</v>
      </c>
      <c r="AS129" s="366">
        <f>IF(AD129="V",IF('1.GHG Inventory Form'!$E$6="IPCC AR2 Report(1995)",'6.GWP'!$C$5,IF('1.GHG Inventory Form'!$E$6="IPCC AR3 Report(2001)",'6.GWP'!$D$5,IF('1.GHG Inventory Form'!$E$6="IPCC AR4 Report(2007)",'6.GWP'!$E$5,IF('1.GHG Inventory Form'!$E$6="IPCC AR5 Report(2013)",'6.GWP'!$F$5,IF('1.GHG Inventory Form'!$E$6="IPCC AR6 Report(2021)",'6.GWP'!$G$5,0))))),0)</f>
        <v>0</v>
      </c>
      <c r="AT129" s="392">
        <f>IF(AE129="V",IF('1.GHG Inventory Form'!$E$6="IPCC AR2 Report(1995)",'6.GWP'!$C$4,IF('1.GHG Inventory Form'!$E$6="IPCC AR3 Report(2001)",'6.GWP'!$D$4,IF('1.GHG Inventory Form'!$E$6="IPCC AR4 Report(2007)",'6.GWP'!$E$4,IF('1.GHG Inventory Form'!$E$6="IPCC AR5 Report(2013)",'6.GWP'!$F$4,IF('1.GHG Inventory Form'!$E$6="IPCC AR6 Report(2021)",'6.GWP'!$G$4,0))))),0)</f>
        <v>0</v>
      </c>
      <c r="AU129" s="478">
        <f t="shared" si="77"/>
        <v>0</v>
      </c>
      <c r="AV129" s="367">
        <f t="shared" si="78"/>
        <v>0</v>
      </c>
      <c r="AW129" s="367">
        <f t="shared" si="79"/>
        <v>0</v>
      </c>
      <c r="AX129" s="367">
        <f t="shared" si="80"/>
        <v>0</v>
      </c>
      <c r="AY129" s="367">
        <f t="shared" si="81"/>
        <v>0</v>
      </c>
      <c r="AZ129" s="367">
        <f t="shared" si="82"/>
        <v>0</v>
      </c>
      <c r="BA129" s="479">
        <f t="shared" si="83"/>
        <v>0</v>
      </c>
      <c r="BB129" s="393">
        <f t="shared" si="84"/>
        <v>0</v>
      </c>
      <c r="BC129" s="367"/>
      <c r="BD129" s="369">
        <f t="shared" si="85"/>
        <v>0</v>
      </c>
      <c r="BI129" s="86" t="str">
        <f t="shared" si="86"/>
        <v/>
      </c>
      <c r="BJ129" s="86" t="str">
        <f t="shared" si="87"/>
        <v/>
      </c>
      <c r="BK129" s="86" t="str">
        <f t="shared" si="88"/>
        <v/>
      </c>
    </row>
    <row r="130" spans="2:63" customFormat="1" ht="77.5" customHeight="1">
      <c r="B130" s="644"/>
      <c r="C130" s="636"/>
      <c r="D130" s="648"/>
      <c r="E130" s="649"/>
      <c r="F130" s="453" t="s">
        <v>386</v>
      </c>
      <c r="G130" s="194" t="s">
        <v>462</v>
      </c>
      <c r="H130" s="83">
        <v>0.26258715000000005</v>
      </c>
      <c r="I130" s="175" t="s">
        <v>463</v>
      </c>
      <c r="J130" s="300" t="s">
        <v>464</v>
      </c>
      <c r="K130" s="477" t="s">
        <v>325</v>
      </c>
      <c r="L130" s="491">
        <v>0.48799999999999999</v>
      </c>
      <c r="M130" s="365" t="s">
        <v>465</v>
      </c>
      <c r="N130" s="493" t="s">
        <v>456</v>
      </c>
      <c r="O130" s="32"/>
      <c r="P130" s="32"/>
      <c r="Q130" s="28"/>
      <c r="R130" s="421"/>
      <c r="S130" s="421"/>
      <c r="T130" s="421"/>
      <c r="U130" s="421"/>
      <c r="V130" s="421"/>
      <c r="W130" s="421"/>
      <c r="X130" s="421"/>
      <c r="Y130" s="389" t="str">
        <f t="shared" si="67"/>
        <v>V</v>
      </c>
      <c r="Z130" s="364" t="str">
        <f t="shared" si="68"/>
        <v/>
      </c>
      <c r="AA130" s="364" t="str">
        <f t="shared" si="69"/>
        <v/>
      </c>
      <c r="AB130" s="364" t="str">
        <f t="shared" si="70"/>
        <v/>
      </c>
      <c r="AC130" s="364" t="str">
        <f t="shared" si="71"/>
        <v/>
      </c>
      <c r="AD130" s="364" t="str">
        <f t="shared" si="72"/>
        <v/>
      </c>
      <c r="AE130" s="390" t="str">
        <f t="shared" si="73"/>
        <v/>
      </c>
      <c r="AF130" s="473">
        <f t="shared" si="74"/>
        <v>0.48799999999999999</v>
      </c>
      <c r="AG130" s="364">
        <f>IFERROR(VLOOKUP($O130,#REF!,4,FALSE),0)</f>
        <v>0</v>
      </c>
      <c r="AH130" s="364">
        <f>IFERROR(VLOOKUP($O130,#REF!,6,FALSE),0)</f>
        <v>0</v>
      </c>
      <c r="AI130" s="364">
        <f>IFERROR(VLOOKUP($O130,#REF!,8,FALSE),0)</f>
        <v>0</v>
      </c>
      <c r="AJ130" s="364">
        <f>IFERROR(VLOOKUP($O130,#REF!,10,FALSE),0)</f>
        <v>0</v>
      </c>
      <c r="AK130" s="364">
        <f>IFERROR(VLOOKUP($O130,#REF!,12,FALSE),0)</f>
        <v>0</v>
      </c>
      <c r="AL130" s="364">
        <f>IFERROR(VLOOKUP($O130,#REF!,14,FALSE),0)</f>
        <v>0</v>
      </c>
      <c r="AM130" s="390" t="str">
        <f t="shared" si="75"/>
        <v>Diesel  {GLO}| market group for | APOS, U</v>
      </c>
      <c r="AN130" s="391">
        <f t="shared" si="76"/>
        <v>1</v>
      </c>
      <c r="AO130" s="366">
        <f>IF(Z130="V",IF('1.GHG Inventory Form'!$E$6="IPCC AR2 Report(1995)",'6.GWP'!$C$2,IF('1.GHG Inventory Form'!$E$6="IPCC AR3 Report(2001)",'6.GWP'!$D$2,IF('1.GHG Inventory Form'!$E$6="IPCC AR4 Report(2007)",'6.GWP'!$E$2,IF('1.GHG Inventory Form'!$E$6="IPCC AR5 Report(2013)",'6.GWP'!$F$2,IF('1.GHG Inventory Form'!$E$6="IPCC AR6 Report(2021)",'6.GWP'!$G$2,0))))),0)</f>
        <v>0</v>
      </c>
      <c r="AP130" s="366">
        <f>IF(AA130="V",IF('1.GHG Inventory Form'!$E$6="IPCC AR2 Report(1995)",'6.GWP'!$C$3,IF('1.GHG Inventory Form'!$E$6="IPCC AR3 Report(2001)",'6.GWP'!$D$3,IF('1.GHG Inventory Form'!$E$6="IPCC AR4 Report(2007)",'6.GWP'!$E$3,IF('1.GHG Inventory Form'!$E$6="IPCC AR5 Report(2013)",'6.GWP'!$F$3,IF('1.GHG Inventory Form'!$E$6="IPCC AR6 Report(2021)",'6.GWP'!$G$3,0))))),0)</f>
        <v>0</v>
      </c>
      <c r="AQ130" s="366">
        <f>IFERROR(IF(AB130="V",IF('1.GHG Inventory Form'!$E$6="IPCC AR2 Report(1995)",VLOOKUP($O130,'6.GWP'!$B$1:$G$173,2,FALSE),IF('1.GHG Inventory Form'!$E$6="IPCC AR3 Report(2001)",VLOOKUP($O130,'6.GWP'!$B$1:$G$173,3,FALSE),IF('1.GHG Inventory Form'!$E$6="IPCC AR4 Report(2007)",VLOOKUP($KQ35,'6.GWP'!$B$1:$G$173,4,FALSE),IF('1.GHG Inventory Form'!$E$6="IPCC AR5 Report(2013)",VLOOKUP($O130,'6.GWP'!$B$1:$G$173,5,FALSE),IF('1.GHG Inventory Form'!$E$6="IPCC AR6 Report(2021)",VLOOKUP($O130,'6.GWP'!$B$2:$G$173,6,FALSE),0))))),0),0)</f>
        <v>0</v>
      </c>
      <c r="AR130" s="366">
        <f>IFERROR(IF(AC130="V",IF('1.GHG Inventory Form'!$E$6="IPCC AR2 Report(1995)",VLOOKUP($O130,'6.GWP'!$B$1:$G$173,2,FALSE),IF('1.GHG Inventory Form'!$E$6="IPCC AR3 Report(2001)",VLOOKUP($O130,'6.GWP'!$B$1:$G$173,3,FALSE),IF('1.GHG Inventory Form'!$E$6="IPCC AR4 Report(2007)",VLOOKUP($KQ35,'6.GWP'!$B$1:$G$173,4,FALSE),IF('1.GHG Inventory Form'!$E$6="IPCC AR5 Report(2013)",VLOOKUP($O130,'6.GWP'!$B$1:$G$173,5,FALSE),IF('1.GHG Inventory Form'!$E$6="IPCC AR6 Report(2021)",VLOOKUP($O130,'6.GWP'!$B$2:$G$173,6,FALSE),0))))),0),0)</f>
        <v>0</v>
      </c>
      <c r="AS130" s="366">
        <f>IF(AD130="V",IF('1.GHG Inventory Form'!$E$6="IPCC AR2 Report(1995)",'6.GWP'!$C$5,IF('1.GHG Inventory Form'!$E$6="IPCC AR3 Report(2001)",'6.GWP'!$D$5,IF('1.GHG Inventory Form'!$E$6="IPCC AR4 Report(2007)",'6.GWP'!$E$5,IF('1.GHG Inventory Form'!$E$6="IPCC AR5 Report(2013)",'6.GWP'!$F$5,IF('1.GHG Inventory Form'!$E$6="IPCC AR6 Report(2021)",'6.GWP'!$G$5,0))))),0)</f>
        <v>0</v>
      </c>
      <c r="AT130" s="392">
        <f>IF(AE130="V",IF('1.GHG Inventory Form'!$E$6="IPCC AR2 Report(1995)",'6.GWP'!$C$4,IF('1.GHG Inventory Form'!$E$6="IPCC AR3 Report(2001)",'6.GWP'!$D$4,IF('1.GHG Inventory Form'!$E$6="IPCC AR4 Report(2007)",'6.GWP'!$E$4,IF('1.GHG Inventory Form'!$E$6="IPCC AR5 Report(2013)",'6.GWP'!$F$4,IF('1.GHG Inventory Form'!$E$6="IPCC AR6 Report(2021)",'6.GWP'!$G$4,0))))),0)</f>
        <v>0</v>
      </c>
      <c r="AU130" s="478">
        <f t="shared" si="77"/>
        <v>0.12814252920000002</v>
      </c>
      <c r="AV130" s="367">
        <f t="shared" si="78"/>
        <v>0</v>
      </c>
      <c r="AW130" s="367">
        <f t="shared" si="79"/>
        <v>0</v>
      </c>
      <c r="AX130" s="367">
        <f t="shared" si="80"/>
        <v>0</v>
      </c>
      <c r="AY130" s="367">
        <f t="shared" si="81"/>
        <v>0</v>
      </c>
      <c r="AZ130" s="367">
        <f t="shared" si="82"/>
        <v>0</v>
      </c>
      <c r="BA130" s="479">
        <f t="shared" si="83"/>
        <v>0</v>
      </c>
      <c r="BB130" s="393">
        <f t="shared" si="84"/>
        <v>0.12809999999999999</v>
      </c>
      <c r="BC130" s="367"/>
      <c r="BD130" s="369">
        <f t="shared" si="85"/>
        <v>8.0773804216657414E-5</v>
      </c>
      <c r="BI130" s="86" t="str">
        <f t="shared" si="86"/>
        <v>移動源柴油上游排放(包含運輸)
Mobile diesel upstream emissions (including transport)</v>
      </c>
      <c r="BJ130" s="86" t="str">
        <f t="shared" si="87"/>
        <v>密度density</v>
      </c>
      <c r="BK130" s="86" t="str">
        <f t="shared" si="88"/>
        <v>Diesel  {GLO}| market group for | APOS, U</v>
      </c>
    </row>
    <row r="131" spans="2:63" customFormat="1" ht="93" customHeight="1">
      <c r="B131" s="644"/>
      <c r="C131" s="636"/>
      <c r="D131" s="648"/>
      <c r="E131" s="649"/>
      <c r="F131" s="453" t="s">
        <v>386</v>
      </c>
      <c r="G131" s="194" t="s">
        <v>466</v>
      </c>
      <c r="H131" s="83">
        <v>16.553339999999999</v>
      </c>
      <c r="I131" s="175" t="s">
        <v>467</v>
      </c>
      <c r="J131" s="300" t="s">
        <v>468</v>
      </c>
      <c r="K131" s="477" t="s">
        <v>325</v>
      </c>
      <c r="L131" s="491">
        <v>0.62</v>
      </c>
      <c r="M131" s="365" t="s">
        <v>469</v>
      </c>
      <c r="N131" s="493" t="s">
        <v>461</v>
      </c>
      <c r="O131" s="32"/>
      <c r="P131" s="32"/>
      <c r="Q131" s="28"/>
      <c r="R131" s="421"/>
      <c r="S131" s="421"/>
      <c r="T131" s="421"/>
      <c r="U131" s="421"/>
      <c r="V131" s="421"/>
      <c r="W131" s="421"/>
      <c r="X131" s="421"/>
      <c r="Y131" s="389" t="str">
        <f t="shared" si="67"/>
        <v>V</v>
      </c>
      <c r="Z131" s="364" t="str">
        <f t="shared" si="68"/>
        <v/>
      </c>
      <c r="AA131" s="364" t="str">
        <f t="shared" si="69"/>
        <v/>
      </c>
      <c r="AB131" s="364" t="str">
        <f t="shared" si="70"/>
        <v/>
      </c>
      <c r="AC131" s="364" t="str">
        <f t="shared" si="71"/>
        <v/>
      </c>
      <c r="AD131" s="364" t="str">
        <f t="shared" si="72"/>
        <v/>
      </c>
      <c r="AE131" s="390" t="str">
        <f t="shared" si="73"/>
        <v/>
      </c>
      <c r="AF131" s="473">
        <f t="shared" si="74"/>
        <v>0.62</v>
      </c>
      <c r="AG131" s="364">
        <f>IFERROR(VLOOKUP($O131,#REF!,4,FALSE),0)</f>
        <v>0</v>
      </c>
      <c r="AH131" s="364">
        <f>IFERROR(VLOOKUP($O131,#REF!,6,FALSE),0)</f>
        <v>0</v>
      </c>
      <c r="AI131" s="364">
        <f>IFERROR(VLOOKUP($O131,#REF!,8,FALSE),0)</f>
        <v>0</v>
      </c>
      <c r="AJ131" s="364">
        <f>IFERROR(VLOOKUP($O131,#REF!,10,FALSE),0)</f>
        <v>0</v>
      </c>
      <c r="AK131" s="364">
        <f>IFERROR(VLOOKUP($O131,#REF!,12,FALSE),0)</f>
        <v>0</v>
      </c>
      <c r="AL131" s="364">
        <f>IFERROR(VLOOKUP($O131,#REF!,14,FALSE),0)</f>
        <v>0</v>
      </c>
      <c r="AM131" s="390" t="str">
        <f t="shared" si="75"/>
        <v>Petrol, unleaded {RoW}| market for | APOS, U</v>
      </c>
      <c r="AN131" s="391">
        <f t="shared" si="76"/>
        <v>1</v>
      </c>
      <c r="AO131" s="366">
        <f>IF(Z131="V",IF('1.GHG Inventory Form'!$E$6="IPCC AR2 Report(1995)",'6.GWP'!$C$2,IF('1.GHG Inventory Form'!$E$6="IPCC AR3 Report(2001)",'6.GWP'!$D$2,IF('1.GHG Inventory Form'!$E$6="IPCC AR4 Report(2007)",'6.GWP'!$E$2,IF('1.GHG Inventory Form'!$E$6="IPCC AR5 Report(2013)",'6.GWP'!$F$2,IF('1.GHG Inventory Form'!$E$6="IPCC AR6 Report(2021)",'6.GWP'!$G$2,0))))),0)</f>
        <v>0</v>
      </c>
      <c r="AP131" s="366">
        <f>IF(AA131="V",IF('1.GHG Inventory Form'!$E$6="IPCC AR2 Report(1995)",'6.GWP'!$C$3,IF('1.GHG Inventory Form'!$E$6="IPCC AR3 Report(2001)",'6.GWP'!$D$3,IF('1.GHG Inventory Form'!$E$6="IPCC AR4 Report(2007)",'6.GWP'!$E$3,IF('1.GHG Inventory Form'!$E$6="IPCC AR5 Report(2013)",'6.GWP'!$F$3,IF('1.GHG Inventory Form'!$E$6="IPCC AR6 Report(2021)",'6.GWP'!$G$3,0))))),0)</f>
        <v>0</v>
      </c>
      <c r="AQ131" s="366">
        <f>IFERROR(IF(AB131="V",IF('1.GHG Inventory Form'!$E$6="IPCC AR2 Report(1995)",VLOOKUP($O131,'6.GWP'!$B$1:$G$173,2,FALSE),IF('1.GHG Inventory Form'!$E$6="IPCC AR3 Report(2001)",VLOOKUP($O131,'6.GWP'!$B$1:$G$173,3,FALSE),IF('1.GHG Inventory Form'!$E$6="IPCC AR4 Report(2007)",VLOOKUP($KQ39,'6.GWP'!$B$1:$G$173,4,FALSE),IF('1.GHG Inventory Form'!$E$6="IPCC AR5 Report(2013)",VLOOKUP($O131,'6.GWP'!$B$1:$G$173,5,FALSE),IF('1.GHG Inventory Form'!$E$6="IPCC AR6 Report(2021)",VLOOKUP($O131,'6.GWP'!$B$2:$G$173,6,FALSE),0))))),0),0)</f>
        <v>0</v>
      </c>
      <c r="AR131" s="366">
        <f>IFERROR(IF(AC131="V",IF('1.GHG Inventory Form'!$E$6="IPCC AR2 Report(1995)",VLOOKUP($O131,'6.GWP'!$B$1:$G$173,2,FALSE),IF('1.GHG Inventory Form'!$E$6="IPCC AR3 Report(2001)",VLOOKUP($O131,'6.GWP'!$B$1:$G$173,3,FALSE),IF('1.GHG Inventory Form'!$E$6="IPCC AR4 Report(2007)",VLOOKUP($KQ39,'6.GWP'!$B$1:$G$173,4,FALSE),IF('1.GHG Inventory Form'!$E$6="IPCC AR5 Report(2013)",VLOOKUP($O131,'6.GWP'!$B$1:$G$173,5,FALSE),IF('1.GHG Inventory Form'!$E$6="IPCC AR6 Report(2021)",VLOOKUP($O131,'6.GWP'!$B$2:$G$173,6,FALSE),0))))),0),0)</f>
        <v>0</v>
      </c>
      <c r="AS131" s="366">
        <f>IF(AD131="V",IF('1.GHG Inventory Form'!$E$6="IPCC AR2 Report(1995)",'6.GWP'!$C$5,IF('1.GHG Inventory Form'!$E$6="IPCC AR3 Report(2001)",'6.GWP'!$D$5,IF('1.GHG Inventory Form'!$E$6="IPCC AR4 Report(2007)",'6.GWP'!$E$5,IF('1.GHG Inventory Form'!$E$6="IPCC AR5 Report(2013)",'6.GWP'!$F$5,IF('1.GHG Inventory Form'!$E$6="IPCC AR6 Report(2021)",'6.GWP'!$G$5,0))))),0)</f>
        <v>0</v>
      </c>
      <c r="AT131" s="392">
        <f>IF(AE131="V",IF('1.GHG Inventory Form'!$E$6="IPCC AR2 Report(1995)",'6.GWP'!$C$4,IF('1.GHG Inventory Form'!$E$6="IPCC AR3 Report(2001)",'6.GWP'!$D$4,IF('1.GHG Inventory Form'!$E$6="IPCC AR4 Report(2007)",'6.GWP'!$E$4,IF('1.GHG Inventory Form'!$E$6="IPCC AR5 Report(2013)",'6.GWP'!$F$4,IF('1.GHG Inventory Form'!$E$6="IPCC AR6 Report(2021)",'6.GWP'!$G$4,0))))),0)</f>
        <v>0</v>
      </c>
      <c r="AU131" s="478">
        <f t="shared" si="77"/>
        <v>10.263070799999999</v>
      </c>
      <c r="AV131" s="367">
        <f t="shared" si="78"/>
        <v>0</v>
      </c>
      <c r="AW131" s="367">
        <f t="shared" si="79"/>
        <v>0</v>
      </c>
      <c r="AX131" s="367">
        <f t="shared" si="80"/>
        <v>0</v>
      </c>
      <c r="AY131" s="367">
        <f t="shared" si="81"/>
        <v>0</v>
      </c>
      <c r="AZ131" s="367">
        <f t="shared" si="82"/>
        <v>0</v>
      </c>
      <c r="BA131" s="479">
        <f t="shared" si="83"/>
        <v>0</v>
      </c>
      <c r="BB131" s="393">
        <f t="shared" si="84"/>
        <v>10.2631</v>
      </c>
      <c r="BC131" s="367"/>
      <c r="BD131" s="369">
        <f t="shared" si="85"/>
        <v>6.4714256834970865E-3</v>
      </c>
      <c r="BI131" s="86" t="str">
        <f t="shared" si="86"/>
        <v>移動源汽油上游排放(包含運輸)
Gasoline upstream emissions from mobile equipment (including transport)</v>
      </c>
      <c r="BJ131" s="86" t="str">
        <f t="shared" si="87"/>
        <v>密度density</v>
      </c>
      <c r="BK131" s="86" t="str">
        <f t="shared" si="88"/>
        <v>Petrol, unleaded {RoW}| market for | APOS, U</v>
      </c>
    </row>
    <row r="132" spans="2:63" customFormat="1" ht="50" customHeight="1" thickBot="1">
      <c r="B132" s="644"/>
      <c r="C132" s="637"/>
      <c r="D132" s="650"/>
      <c r="E132" s="651"/>
      <c r="F132" s="494" t="s">
        <v>386</v>
      </c>
      <c r="G132" s="495" t="s">
        <v>470</v>
      </c>
      <c r="H132" s="252">
        <v>2923</v>
      </c>
      <c r="I132" s="496" t="s">
        <v>80</v>
      </c>
      <c r="J132" s="257"/>
      <c r="K132" s="497" t="s">
        <v>325</v>
      </c>
      <c r="L132" s="498">
        <v>7.8799999999999996E-4</v>
      </c>
      <c r="M132" s="418" t="s">
        <v>471</v>
      </c>
      <c r="N132" s="499" t="s">
        <v>472</v>
      </c>
      <c r="O132" s="102"/>
      <c r="P132" s="102"/>
      <c r="Q132" s="179"/>
      <c r="R132" s="421"/>
      <c r="S132" s="421"/>
      <c r="T132" s="421"/>
      <c r="U132" s="421"/>
      <c r="V132" s="421"/>
      <c r="W132" s="421"/>
      <c r="X132" s="421"/>
      <c r="Y132" s="389" t="str">
        <f t="shared" si="67"/>
        <v>V</v>
      </c>
      <c r="Z132" s="364" t="str">
        <f t="shared" si="68"/>
        <v/>
      </c>
      <c r="AA132" s="364" t="str">
        <f t="shared" si="69"/>
        <v/>
      </c>
      <c r="AB132" s="364" t="str">
        <f t="shared" si="70"/>
        <v/>
      </c>
      <c r="AC132" s="364" t="str">
        <f t="shared" si="71"/>
        <v/>
      </c>
      <c r="AD132" s="364" t="str">
        <f t="shared" si="72"/>
        <v/>
      </c>
      <c r="AE132" s="390" t="str">
        <f t="shared" si="73"/>
        <v/>
      </c>
      <c r="AF132" s="473">
        <f t="shared" si="74"/>
        <v>7.8799999999999996E-4</v>
      </c>
      <c r="AG132" s="364">
        <f>IFERROR(VLOOKUP($O132,#REF!,4,FALSE),0)</f>
        <v>0</v>
      </c>
      <c r="AH132" s="364">
        <f>IFERROR(VLOOKUP($O132,#REF!,6,FALSE),0)</f>
        <v>0</v>
      </c>
      <c r="AI132" s="364">
        <f>IFERROR(VLOOKUP($O132,#REF!,8,FALSE),0)</f>
        <v>0</v>
      </c>
      <c r="AJ132" s="364">
        <f>IFERROR(VLOOKUP($O132,#REF!,10,FALSE),0)</f>
        <v>0</v>
      </c>
      <c r="AK132" s="364">
        <f>IFERROR(VLOOKUP($O132,#REF!,12,FALSE),0)</f>
        <v>0</v>
      </c>
      <c r="AL132" s="364">
        <f>IFERROR(VLOOKUP($O132,#REF!,14,FALSE),0)</f>
        <v>0</v>
      </c>
      <c r="AM132" s="390" t="str">
        <f t="shared" si="75"/>
        <v>Simapro9.4.0.2-Tap water {GLO}| market group for | Cut-off, U</v>
      </c>
      <c r="AN132" s="405">
        <f t="shared" si="76"/>
        <v>1</v>
      </c>
      <c r="AO132" s="406">
        <f>IF(Z132="V",IF('1.GHG Inventory Form'!$E$6="IPCC AR2 Report(1995)",'6.GWP'!$C$2,IF('1.GHG Inventory Form'!$E$6="IPCC AR3 Report(2001)",'6.GWP'!$D$2,IF('1.GHG Inventory Form'!$E$6="IPCC AR4 Report(2007)",'6.GWP'!$E$2,IF('1.GHG Inventory Form'!$E$6="IPCC AR5 Report(2013)",'6.GWP'!$F$2,IF('1.GHG Inventory Form'!$E$6="IPCC AR6 Report(2021)",'6.GWP'!$G$2,0))))),0)</f>
        <v>0</v>
      </c>
      <c r="AP132" s="406">
        <f>IF(AA132="V",IF('1.GHG Inventory Form'!$E$6="IPCC AR2 Report(1995)",'6.GWP'!$C$3,IF('1.GHG Inventory Form'!$E$6="IPCC AR3 Report(2001)",'6.GWP'!$D$3,IF('1.GHG Inventory Form'!$E$6="IPCC AR4 Report(2007)",'6.GWP'!$E$3,IF('1.GHG Inventory Form'!$E$6="IPCC AR5 Report(2013)",'6.GWP'!$F$3,IF('1.GHG Inventory Form'!$E$6="IPCC AR6 Report(2021)",'6.GWP'!$G$3,0))))),0)</f>
        <v>0</v>
      </c>
      <c r="AQ132" s="406">
        <f>IFERROR(IF(AB132="V",IF('1.GHG Inventory Form'!$E$6="IPCC AR2 Report(1995)",VLOOKUP($O132,'6.GWP'!$B$1:$G$173,2,FALSE),IF('1.GHG Inventory Form'!$E$6="IPCC AR3 Report(2001)",VLOOKUP($O132,'6.GWP'!$B$1:$G$173,3,FALSE),IF('1.GHG Inventory Form'!$E$6="IPCC AR4 Report(2007)",VLOOKUP($KQ40,'6.GWP'!$B$1:$G$173,4,FALSE),IF('1.GHG Inventory Form'!$E$6="IPCC AR5 Report(2013)",VLOOKUP($O132,'6.GWP'!$B$1:$G$173,5,FALSE),IF('1.GHG Inventory Form'!$E$6="IPCC AR6 Report(2021)",VLOOKUP($O132,'6.GWP'!$B$2:$G$173,6,FALSE),0))))),0),0)</f>
        <v>0</v>
      </c>
      <c r="AR132" s="406">
        <f>IFERROR(IF(AC132="V",IF('1.GHG Inventory Form'!$E$6="IPCC AR2 Report(1995)",VLOOKUP($O132,'6.GWP'!$B$1:$G$173,2,FALSE),IF('1.GHG Inventory Form'!$E$6="IPCC AR3 Report(2001)",VLOOKUP($O132,'6.GWP'!$B$1:$G$173,3,FALSE),IF('1.GHG Inventory Form'!$E$6="IPCC AR4 Report(2007)",VLOOKUP($KQ40,'6.GWP'!$B$1:$G$173,4,FALSE),IF('1.GHG Inventory Form'!$E$6="IPCC AR5 Report(2013)",VLOOKUP($O132,'6.GWP'!$B$1:$G$173,5,FALSE),IF('1.GHG Inventory Form'!$E$6="IPCC AR6 Report(2021)",VLOOKUP($O132,'6.GWP'!$B$2:$G$173,6,FALSE),0))))),0),0)</f>
        <v>0</v>
      </c>
      <c r="AS132" s="406">
        <f>IF(AD132="V",IF('1.GHG Inventory Form'!$E$6="IPCC AR2 Report(1995)",'6.GWP'!$C$5,IF('1.GHG Inventory Form'!$E$6="IPCC AR3 Report(2001)",'6.GWP'!$D$5,IF('1.GHG Inventory Form'!$E$6="IPCC AR4 Report(2007)",'6.GWP'!$E$5,IF('1.GHG Inventory Form'!$E$6="IPCC AR5 Report(2013)",'6.GWP'!$F$5,IF('1.GHG Inventory Form'!$E$6="IPCC AR6 Report(2021)",'6.GWP'!$G$5,0))))),0)</f>
        <v>0</v>
      </c>
      <c r="AT132" s="407">
        <f>IF(AE132="V",IF('1.GHG Inventory Form'!$E$6="IPCC AR2 Report(1995)",'6.GWP'!$C$4,IF('1.GHG Inventory Form'!$E$6="IPCC AR3 Report(2001)",'6.GWP'!$D$4,IF('1.GHG Inventory Form'!$E$6="IPCC AR4 Report(2007)",'6.GWP'!$E$4,IF('1.GHG Inventory Form'!$E$6="IPCC AR5 Report(2013)",'6.GWP'!$F$4,IF('1.GHG Inventory Form'!$E$6="IPCC AR6 Report(2021)",'6.GWP'!$G$4,0))))),0)</f>
        <v>0</v>
      </c>
      <c r="AU132" s="457">
        <f t="shared" ref="AU132:BA132" si="89">IFERROR($H132*AF132*AN132,"")</f>
        <v>2.3033239999999999</v>
      </c>
      <c r="AV132" s="457">
        <f t="shared" si="89"/>
        <v>0</v>
      </c>
      <c r="AW132" s="457">
        <f t="shared" si="89"/>
        <v>0</v>
      </c>
      <c r="AX132" s="457">
        <f t="shared" si="89"/>
        <v>0</v>
      </c>
      <c r="AY132" s="457">
        <f t="shared" si="89"/>
        <v>0</v>
      </c>
      <c r="AZ132" s="457">
        <f t="shared" si="89"/>
        <v>0</v>
      </c>
      <c r="BA132" s="457">
        <f t="shared" si="89"/>
        <v>0</v>
      </c>
      <c r="BB132" s="409">
        <f t="shared" si="84"/>
        <v>2.3033000000000001</v>
      </c>
      <c r="BC132" s="419"/>
      <c r="BD132" s="411">
        <f t="shared" si="85"/>
        <v>1.4523520940845204E-3</v>
      </c>
      <c r="BI132" s="86" t="str">
        <f t="shared" si="86"/>
        <v>自來水
tap water</v>
      </c>
      <c r="BJ132" s="86" t="str">
        <f t="shared" si="87"/>
        <v/>
      </c>
      <c r="BK132" s="86" t="str">
        <f t="shared" si="88"/>
        <v>Simapro9.4.0.2-Tap water {GLO}| market group for | Cut-off, U</v>
      </c>
    </row>
    <row r="133" spans="2:63" customFormat="1" ht="16" customHeight="1">
      <c r="B133" s="644"/>
      <c r="C133" s="636">
        <v>4.2</v>
      </c>
      <c r="D133" s="640" t="s">
        <v>473</v>
      </c>
      <c r="E133" s="641"/>
      <c r="F133" s="472"/>
      <c r="G133" s="500" t="s">
        <v>474</v>
      </c>
      <c r="H133" s="253"/>
      <c r="I133" s="501"/>
      <c r="J133" s="258"/>
      <c r="K133" s="502"/>
      <c r="L133" s="209"/>
      <c r="M133" s="209"/>
      <c r="N133" s="200"/>
      <c r="O133" s="180"/>
      <c r="P133" s="180"/>
      <c r="Q133" s="181"/>
      <c r="R133" s="421"/>
      <c r="S133" s="421"/>
      <c r="T133" s="421"/>
      <c r="U133" s="421"/>
      <c r="V133" s="421"/>
      <c r="W133" s="421"/>
      <c r="X133" s="421"/>
      <c r="Y133" s="389" t="str">
        <f t="shared" si="67"/>
        <v/>
      </c>
      <c r="Z133" s="364" t="str">
        <f t="shared" si="68"/>
        <v/>
      </c>
      <c r="AA133" s="364" t="str">
        <f t="shared" si="69"/>
        <v/>
      </c>
      <c r="AB133" s="364" t="str">
        <f t="shared" si="70"/>
        <v/>
      </c>
      <c r="AC133" s="364" t="str">
        <f t="shared" si="71"/>
        <v/>
      </c>
      <c r="AD133" s="364" t="str">
        <f t="shared" si="72"/>
        <v/>
      </c>
      <c r="AE133" s="390" t="str">
        <f t="shared" si="73"/>
        <v/>
      </c>
      <c r="AF133" s="473">
        <f t="shared" si="74"/>
        <v>0</v>
      </c>
      <c r="AG133" s="364">
        <f>IFERROR(VLOOKUP($O133,#REF!,4,FALSE),0)</f>
        <v>0</v>
      </c>
      <c r="AH133" s="364">
        <f>IFERROR(VLOOKUP($O133,#REF!,6,FALSE),0)</f>
        <v>0</v>
      </c>
      <c r="AI133" s="364">
        <f>IFERROR(VLOOKUP($O133,#REF!,8,FALSE),0)</f>
        <v>0</v>
      </c>
      <c r="AJ133" s="364">
        <f>IFERROR(VLOOKUP($O133,#REF!,10,FALSE),0)</f>
        <v>0</v>
      </c>
      <c r="AK133" s="364">
        <f>IFERROR(VLOOKUP($O133,#REF!,12,FALSE),0)</f>
        <v>0</v>
      </c>
      <c r="AL133" s="364">
        <f>IFERROR(VLOOKUP($O133,#REF!,14,FALSE),0)</f>
        <v>0</v>
      </c>
      <c r="AM133" s="390">
        <f t="shared" si="75"/>
        <v>0</v>
      </c>
      <c r="AN133" s="384">
        <f t="shared" si="76"/>
        <v>0</v>
      </c>
      <c r="AO133" s="357">
        <f>IF(Z133="V",IF('1.GHG Inventory Form'!$E$6="IPCC AR2 Report(1995)",'6.GWP'!$C$2,IF('1.GHG Inventory Form'!$E$6="IPCC AR3 Report(2001)",'6.GWP'!$D$2,IF('1.GHG Inventory Form'!$E$6="IPCC AR4 Report(2007)",'6.GWP'!$E$2,IF('1.GHG Inventory Form'!$E$6="IPCC AR5 Report(2013)",'6.GWP'!$F$2,IF('1.GHG Inventory Form'!$E$6="IPCC AR6 Report(2021)",'6.GWP'!$G$2,0))))),0)</f>
        <v>0</v>
      </c>
      <c r="AP133" s="357">
        <f>IF(AA133="V",IF('1.GHG Inventory Form'!$E$6="IPCC AR2 Report(1995)",'6.GWP'!$C$3,IF('1.GHG Inventory Form'!$E$6="IPCC AR3 Report(2001)",'6.GWP'!$D$3,IF('1.GHG Inventory Form'!$E$6="IPCC AR4 Report(2007)",'6.GWP'!$E$3,IF('1.GHG Inventory Form'!$E$6="IPCC AR5 Report(2013)",'6.GWP'!$F$3,IF('1.GHG Inventory Form'!$E$6="IPCC AR6 Report(2021)",'6.GWP'!$G$3,0))))),0)</f>
        <v>0</v>
      </c>
      <c r="AQ133" s="357">
        <f>IFERROR(IF(AB133="V",IF('1.GHG Inventory Form'!$E$6="IPCC AR2 Report(1995)",VLOOKUP($O133,'6.GWP'!$B$1:$G$173,2,FALSE),IF('1.GHG Inventory Form'!$E$6="IPCC AR3 Report(2001)",VLOOKUP($O133,'6.GWP'!$B$1:$G$173,3,FALSE),IF('1.GHG Inventory Form'!$E$6="IPCC AR4 Report(2007)",VLOOKUP($KQ46,'6.GWP'!$B$1:$G$173,4,FALSE),IF('1.GHG Inventory Form'!$E$6="IPCC AR5 Report(2013)",VLOOKUP($O133,'6.GWP'!$B$1:$G$173,5,FALSE),IF('1.GHG Inventory Form'!$E$6="IPCC AR6 Report(2021)",VLOOKUP($O133,'6.GWP'!$B$2:$G$173,6,FALSE),0))))),0),0)</f>
        <v>0</v>
      </c>
      <c r="AR133" s="357">
        <f>IFERROR(IF(AC133="V",IF('1.GHG Inventory Form'!$E$6="IPCC AR2 Report(1995)",VLOOKUP($O133,'6.GWP'!$B$1:$G$173,2,FALSE),IF('1.GHG Inventory Form'!$E$6="IPCC AR3 Report(2001)",VLOOKUP($O133,'6.GWP'!$B$1:$G$173,3,FALSE),IF('1.GHG Inventory Form'!$E$6="IPCC AR4 Report(2007)",VLOOKUP($KQ46,'6.GWP'!$B$1:$G$173,4,FALSE),IF('1.GHG Inventory Form'!$E$6="IPCC AR5 Report(2013)",VLOOKUP($O133,'6.GWP'!$B$1:$G$173,5,FALSE),IF('1.GHG Inventory Form'!$E$6="IPCC AR6 Report(2021)",VLOOKUP($O133,'6.GWP'!$B$2:$G$173,6,FALSE),0))))),0),0)</f>
        <v>0</v>
      </c>
      <c r="AS133" s="357">
        <f>IF(AD133="V",IF('1.GHG Inventory Form'!$E$6="IPCC AR2 Report(1995)",'6.GWP'!$C$5,IF('1.GHG Inventory Form'!$E$6="IPCC AR3 Report(2001)",'6.GWP'!$D$5,IF('1.GHG Inventory Form'!$E$6="IPCC AR4 Report(2007)",'6.GWP'!$E$5,IF('1.GHG Inventory Form'!$E$6="IPCC AR5 Report(2013)",'6.GWP'!$F$5,IF('1.GHG Inventory Form'!$E$6="IPCC AR6 Report(2021)",'6.GWP'!$G$5,0))))),0)</f>
        <v>0</v>
      </c>
      <c r="AT133" s="385">
        <f>IF(AE133="V",IF('1.GHG Inventory Form'!$E$6="IPCC AR2 Report(1995)",'6.GWP'!$C$4,IF('1.GHG Inventory Form'!$E$6="IPCC AR3 Report(2001)",'6.GWP'!$D$4,IF('1.GHG Inventory Form'!$E$6="IPCC AR4 Report(2007)",'6.GWP'!$E$4,IF('1.GHG Inventory Form'!$E$6="IPCC AR5 Report(2013)",'6.GWP'!$F$4,IF('1.GHG Inventory Form'!$E$6="IPCC AR6 Report(2021)",'6.GWP'!$G$4,0))))),0)</f>
        <v>0</v>
      </c>
      <c r="AU133" s="334">
        <f t="shared" ref="AU133:BA140" si="90">IFERROR($L133*AF133*AN133,"")</f>
        <v>0</v>
      </c>
      <c r="AV133" s="334">
        <f t="shared" si="90"/>
        <v>0</v>
      </c>
      <c r="AW133" s="334">
        <f t="shared" si="90"/>
        <v>0</v>
      </c>
      <c r="AX133" s="334">
        <f t="shared" si="90"/>
        <v>0</v>
      </c>
      <c r="AY133" s="334">
        <f t="shared" si="90"/>
        <v>0</v>
      </c>
      <c r="AZ133" s="334">
        <f t="shared" si="90"/>
        <v>0</v>
      </c>
      <c r="BA133" s="334">
        <f t="shared" si="90"/>
        <v>0</v>
      </c>
      <c r="BB133" s="386">
        <f t="shared" si="84"/>
        <v>0</v>
      </c>
      <c r="BC133" s="358"/>
      <c r="BD133" s="360">
        <f t="shared" si="85"/>
        <v>0</v>
      </c>
      <c r="BI133" s="86" t="str">
        <f t="shared" si="86"/>
        <v/>
      </c>
      <c r="BJ133" s="86" t="str">
        <f t="shared" si="87"/>
        <v/>
      </c>
      <c r="BK133" s="86" t="str">
        <f t="shared" si="88"/>
        <v/>
      </c>
    </row>
    <row r="134" spans="2:63" customFormat="1" ht="16" customHeight="1">
      <c r="B134" s="644"/>
      <c r="C134" s="636"/>
      <c r="D134" s="640"/>
      <c r="E134" s="641"/>
      <c r="F134" s="477"/>
      <c r="G134" s="491" t="s">
        <v>475</v>
      </c>
      <c r="H134" s="254"/>
      <c r="I134" s="455"/>
      <c r="J134" s="259"/>
      <c r="K134" s="361"/>
      <c r="L134" s="210"/>
      <c r="M134" s="210"/>
      <c r="N134" s="202"/>
      <c r="O134" s="101"/>
      <c r="P134" s="101"/>
      <c r="Q134" s="182"/>
      <c r="R134" s="421"/>
      <c r="S134" s="421"/>
      <c r="T134" s="421"/>
      <c r="U134" s="421"/>
      <c r="V134" s="421"/>
      <c r="W134" s="421"/>
      <c r="X134" s="421"/>
      <c r="Y134" s="389" t="str">
        <f t="shared" ref="Y134:Y167" si="91">IF(AF134&gt;0.0000000001,"V","")</f>
        <v/>
      </c>
      <c r="Z134" s="364" t="str">
        <f t="shared" ref="Z134:Z167" si="92">IF(AG134&gt;0.0000000001,"V","")</f>
        <v/>
      </c>
      <c r="AA134" s="364" t="str">
        <f t="shared" ref="AA134:AA167" si="93">IF(AH134&gt;0.0000000001,"V","")</f>
        <v/>
      </c>
      <c r="AB134" s="364" t="str">
        <f t="shared" ref="AB134:AB167" si="94">IF(AI134&gt;0.0000000001,"V","")</f>
        <v/>
      </c>
      <c r="AC134" s="364" t="str">
        <f t="shared" ref="AC134:AC167" si="95">IF(AJ134&gt;0.0000000001,"V","")</f>
        <v/>
      </c>
      <c r="AD134" s="364" t="str">
        <f t="shared" ref="AD134:AD167" si="96">IF(AK134&gt;0.0000000001,"V","")</f>
        <v/>
      </c>
      <c r="AE134" s="390" t="str">
        <f t="shared" ref="AE134:AE167" si="97">IF(AL134&gt;0.0000000001,"V","")</f>
        <v/>
      </c>
      <c r="AF134" s="473">
        <f t="shared" ref="AF134:AF167" si="98">IFERROR(IF(K134="預設值Default",L134,IF(K134="自訂值Custom Value",O134,0)),0)</f>
        <v>0</v>
      </c>
      <c r="AG134" s="364">
        <f>IFERROR(VLOOKUP($O134,#REF!,4,FALSE),0)</f>
        <v>0</v>
      </c>
      <c r="AH134" s="364">
        <f>IFERROR(VLOOKUP($O134,#REF!,6,FALSE),0)</f>
        <v>0</v>
      </c>
      <c r="AI134" s="364">
        <f>IFERROR(VLOOKUP($O134,#REF!,8,FALSE),0)</f>
        <v>0</v>
      </c>
      <c r="AJ134" s="364">
        <f>IFERROR(VLOOKUP($O134,#REF!,10,FALSE),0)</f>
        <v>0</v>
      </c>
      <c r="AK134" s="364">
        <f>IFERROR(VLOOKUP($O134,#REF!,12,FALSE),0)</f>
        <v>0</v>
      </c>
      <c r="AL134" s="364">
        <f>IFERROR(VLOOKUP($O134,#REF!,14,FALSE),0)</f>
        <v>0</v>
      </c>
      <c r="AM134" s="390">
        <f t="shared" ref="AM134:AM167" si="99">IFERROR(IF(K134="預設值Default",N134,IF(K134="自訂值Custom Value",Q134,0)),0)</f>
        <v>0</v>
      </c>
      <c r="AN134" s="391">
        <f t="shared" ref="AN134:AN167" si="100">IF(Y134="V",1,0)</f>
        <v>0</v>
      </c>
      <c r="AO134" s="366">
        <f>IF(Z134="V",IF('1.GHG Inventory Form'!$E$6="IPCC AR2 Report(1995)",'6.GWP'!$C$2,IF('1.GHG Inventory Form'!$E$6="IPCC AR3 Report(2001)",'6.GWP'!$D$2,IF('1.GHG Inventory Form'!$E$6="IPCC AR4 Report(2007)",'6.GWP'!$E$2,IF('1.GHG Inventory Form'!$E$6="IPCC AR5 Report(2013)",'6.GWP'!$F$2,IF('1.GHG Inventory Form'!$E$6="IPCC AR6 Report(2021)",'6.GWP'!$G$2,0))))),0)</f>
        <v>0</v>
      </c>
      <c r="AP134" s="366">
        <f>IF(AA134="V",IF('1.GHG Inventory Form'!$E$6="IPCC AR2 Report(1995)",'6.GWP'!$C$3,IF('1.GHG Inventory Form'!$E$6="IPCC AR3 Report(2001)",'6.GWP'!$D$3,IF('1.GHG Inventory Form'!$E$6="IPCC AR4 Report(2007)",'6.GWP'!$E$3,IF('1.GHG Inventory Form'!$E$6="IPCC AR5 Report(2013)",'6.GWP'!$F$3,IF('1.GHG Inventory Form'!$E$6="IPCC AR6 Report(2021)",'6.GWP'!$G$3,0))))),0)</f>
        <v>0</v>
      </c>
      <c r="AQ134" s="366">
        <f>IFERROR(IF(AB134="V",IF('1.GHG Inventory Form'!$E$6="IPCC AR2 Report(1995)",VLOOKUP($O134,'6.GWP'!$B$1:$G$173,2,FALSE),IF('1.GHG Inventory Form'!$E$6="IPCC AR3 Report(2001)",VLOOKUP($O134,'6.GWP'!$B$1:$G$173,3,FALSE),IF('1.GHG Inventory Form'!$E$6="IPCC AR4 Report(2007)",VLOOKUP($KQ47,'6.GWP'!$B$1:$G$173,4,FALSE),IF('1.GHG Inventory Form'!$E$6="IPCC AR5 Report(2013)",VLOOKUP($O134,'6.GWP'!$B$1:$G$173,5,FALSE),IF('1.GHG Inventory Form'!$E$6="IPCC AR6 Report(2021)",VLOOKUP($O134,'6.GWP'!$B$2:$G$173,6,FALSE),0))))),0),0)</f>
        <v>0</v>
      </c>
      <c r="AR134" s="366">
        <f>IFERROR(IF(AC134="V",IF('1.GHG Inventory Form'!$E$6="IPCC AR2 Report(1995)",VLOOKUP($O134,'6.GWP'!$B$1:$G$173,2,FALSE),IF('1.GHG Inventory Form'!$E$6="IPCC AR3 Report(2001)",VLOOKUP($O134,'6.GWP'!$B$1:$G$173,3,FALSE),IF('1.GHG Inventory Form'!$E$6="IPCC AR4 Report(2007)",VLOOKUP($KQ47,'6.GWP'!$B$1:$G$173,4,FALSE),IF('1.GHG Inventory Form'!$E$6="IPCC AR5 Report(2013)",VLOOKUP($O134,'6.GWP'!$B$1:$G$173,5,FALSE),IF('1.GHG Inventory Form'!$E$6="IPCC AR6 Report(2021)",VLOOKUP($O134,'6.GWP'!$B$2:$G$173,6,FALSE),0))))),0),0)</f>
        <v>0</v>
      </c>
      <c r="AS134" s="366">
        <f>IF(AD134="V",IF('1.GHG Inventory Form'!$E$6="IPCC AR2 Report(1995)",'6.GWP'!$C$5,IF('1.GHG Inventory Form'!$E$6="IPCC AR3 Report(2001)",'6.GWP'!$D$5,IF('1.GHG Inventory Form'!$E$6="IPCC AR4 Report(2007)",'6.GWP'!$E$5,IF('1.GHG Inventory Form'!$E$6="IPCC AR5 Report(2013)",'6.GWP'!$F$5,IF('1.GHG Inventory Form'!$E$6="IPCC AR6 Report(2021)",'6.GWP'!$G$5,0))))),0)</f>
        <v>0</v>
      </c>
      <c r="AT134" s="392">
        <f>IF(AE134="V",IF('1.GHG Inventory Form'!$E$6="IPCC AR2 Report(1995)",'6.GWP'!$C$4,IF('1.GHG Inventory Form'!$E$6="IPCC AR3 Report(2001)",'6.GWP'!$D$4,IF('1.GHG Inventory Form'!$E$6="IPCC AR4 Report(2007)",'6.GWP'!$E$4,IF('1.GHG Inventory Form'!$E$6="IPCC AR5 Report(2013)",'6.GWP'!$F$4,IF('1.GHG Inventory Form'!$E$6="IPCC AR6 Report(2021)",'6.GWP'!$G$4,0))))),0)</f>
        <v>0</v>
      </c>
      <c r="AU134" s="334">
        <f t="shared" si="90"/>
        <v>0</v>
      </c>
      <c r="AV134" s="334">
        <f t="shared" si="90"/>
        <v>0</v>
      </c>
      <c r="AW134" s="334">
        <f t="shared" si="90"/>
        <v>0</v>
      </c>
      <c r="AX134" s="334">
        <f t="shared" si="90"/>
        <v>0</v>
      </c>
      <c r="AY134" s="334">
        <f t="shared" si="90"/>
        <v>0</v>
      </c>
      <c r="AZ134" s="334">
        <f t="shared" si="90"/>
        <v>0</v>
      </c>
      <c r="BA134" s="334">
        <f t="shared" si="90"/>
        <v>0</v>
      </c>
      <c r="BB134" s="393">
        <f t="shared" ref="BB134:BB165" si="101">ROUND(SUM(AU134:BA134),4)</f>
        <v>0</v>
      </c>
      <c r="BC134" s="367"/>
      <c r="BD134" s="369">
        <f t="shared" ref="BD134:BD167" si="102">BB134/$BB$169</f>
        <v>0</v>
      </c>
      <c r="BI134" s="86" t="str">
        <f t="shared" ref="BI134:BI167" si="103">IF(F134="Y",G134,"")</f>
        <v/>
      </c>
      <c r="BJ134" s="86" t="str">
        <f t="shared" ref="BJ134:BJ167" si="104">IF(IF(F134="Y",J134,"")=0,"",(IF(F134="Y",J134,"")))</f>
        <v/>
      </c>
      <c r="BK134" s="86" t="str">
        <f t="shared" ref="BK134:BK167" si="105">IF(IF(AND(F134="Y",K134="預設值Default"),N134,IF(AND(F134="Y",K134="自訂值Custom Value"),Q134,""))=0,"",IF(AND(F134="Y",K134="預設值Default"),N134,IF(AND(F134="Y",K134="自訂值Custom Value"),Q134,"")))</f>
        <v/>
      </c>
    </row>
    <row r="135" spans="2:63" customFormat="1" ht="16" customHeight="1">
      <c r="B135" s="644"/>
      <c r="C135" s="636"/>
      <c r="D135" s="640"/>
      <c r="E135" s="641"/>
      <c r="F135" s="477"/>
      <c r="G135" s="491" t="s">
        <v>476</v>
      </c>
      <c r="H135" s="254"/>
      <c r="I135" s="455"/>
      <c r="J135" s="259"/>
      <c r="K135" s="361"/>
      <c r="L135" s="210"/>
      <c r="M135" s="210"/>
      <c r="N135" s="202"/>
      <c r="O135" s="101"/>
      <c r="P135" s="101"/>
      <c r="Q135" s="182"/>
      <c r="R135" s="421"/>
      <c r="S135" s="421"/>
      <c r="T135" s="421"/>
      <c r="U135" s="421"/>
      <c r="V135" s="421"/>
      <c r="W135" s="421"/>
      <c r="X135" s="421"/>
      <c r="Y135" s="389" t="str">
        <f t="shared" si="91"/>
        <v/>
      </c>
      <c r="Z135" s="364" t="str">
        <f t="shared" si="92"/>
        <v/>
      </c>
      <c r="AA135" s="364" t="str">
        <f t="shared" si="93"/>
        <v/>
      </c>
      <c r="AB135" s="364" t="str">
        <f t="shared" si="94"/>
        <v/>
      </c>
      <c r="AC135" s="364" t="str">
        <f t="shared" si="95"/>
        <v/>
      </c>
      <c r="AD135" s="364" t="str">
        <f t="shared" si="96"/>
        <v/>
      </c>
      <c r="AE135" s="390" t="str">
        <f t="shared" si="97"/>
        <v/>
      </c>
      <c r="AF135" s="473">
        <f t="shared" si="98"/>
        <v>0</v>
      </c>
      <c r="AG135" s="364">
        <f>IFERROR(VLOOKUP($O135,#REF!,4,FALSE),0)</f>
        <v>0</v>
      </c>
      <c r="AH135" s="364">
        <f>IFERROR(VLOOKUP($O135,#REF!,6,FALSE),0)</f>
        <v>0</v>
      </c>
      <c r="AI135" s="364">
        <f>IFERROR(VLOOKUP($O135,#REF!,8,FALSE),0)</f>
        <v>0</v>
      </c>
      <c r="AJ135" s="364">
        <f>IFERROR(VLOOKUP($O135,#REF!,10,FALSE),0)</f>
        <v>0</v>
      </c>
      <c r="AK135" s="364">
        <f>IFERROR(VLOOKUP($O135,#REF!,12,FALSE),0)</f>
        <v>0</v>
      </c>
      <c r="AL135" s="364">
        <f>IFERROR(VLOOKUP($O135,#REF!,14,FALSE),0)</f>
        <v>0</v>
      </c>
      <c r="AM135" s="390">
        <f t="shared" si="99"/>
        <v>0</v>
      </c>
      <c r="AN135" s="391">
        <f t="shared" si="100"/>
        <v>0</v>
      </c>
      <c r="AO135" s="366">
        <f>IF(Z135="V",IF('1.GHG Inventory Form'!$E$6="IPCC AR2 Report(1995)",'6.GWP'!$C$2,IF('1.GHG Inventory Form'!$E$6="IPCC AR3 Report(2001)",'6.GWP'!$D$2,IF('1.GHG Inventory Form'!$E$6="IPCC AR4 Report(2007)",'6.GWP'!$E$2,IF('1.GHG Inventory Form'!$E$6="IPCC AR5 Report(2013)",'6.GWP'!$F$2,IF('1.GHG Inventory Form'!$E$6="IPCC AR6 Report(2021)",'6.GWP'!$G$2,0))))),0)</f>
        <v>0</v>
      </c>
      <c r="AP135" s="366">
        <f>IF(AA135="V",IF('1.GHG Inventory Form'!$E$6="IPCC AR2 Report(1995)",'6.GWP'!$C$3,IF('1.GHG Inventory Form'!$E$6="IPCC AR3 Report(2001)",'6.GWP'!$D$3,IF('1.GHG Inventory Form'!$E$6="IPCC AR4 Report(2007)",'6.GWP'!$E$3,IF('1.GHG Inventory Form'!$E$6="IPCC AR5 Report(2013)",'6.GWP'!$F$3,IF('1.GHG Inventory Form'!$E$6="IPCC AR6 Report(2021)",'6.GWP'!$G$3,0))))),0)</f>
        <v>0</v>
      </c>
      <c r="AQ135" s="366">
        <f>IFERROR(IF(AB135="V",IF('1.GHG Inventory Form'!$E$6="IPCC AR2 Report(1995)",VLOOKUP($O135,'6.GWP'!$B$1:$G$173,2,FALSE),IF('1.GHG Inventory Form'!$E$6="IPCC AR3 Report(2001)",VLOOKUP($O135,'6.GWP'!$B$1:$G$173,3,FALSE),IF('1.GHG Inventory Form'!$E$6="IPCC AR4 Report(2007)",VLOOKUP($KQ48,'6.GWP'!$B$1:$G$173,4,FALSE),IF('1.GHG Inventory Form'!$E$6="IPCC AR5 Report(2013)",VLOOKUP($O135,'6.GWP'!$B$1:$G$173,5,FALSE),IF('1.GHG Inventory Form'!$E$6="IPCC AR6 Report(2021)",VLOOKUP($O135,'6.GWP'!$B$2:$G$173,6,FALSE),0))))),0),0)</f>
        <v>0</v>
      </c>
      <c r="AR135" s="366">
        <f>IFERROR(IF(AC135="V",IF('1.GHG Inventory Form'!$E$6="IPCC AR2 Report(1995)",VLOOKUP($O135,'6.GWP'!$B$1:$G$173,2,FALSE),IF('1.GHG Inventory Form'!$E$6="IPCC AR3 Report(2001)",VLOOKUP($O135,'6.GWP'!$B$1:$G$173,3,FALSE),IF('1.GHG Inventory Form'!$E$6="IPCC AR4 Report(2007)",VLOOKUP($KQ48,'6.GWP'!$B$1:$G$173,4,FALSE),IF('1.GHG Inventory Form'!$E$6="IPCC AR5 Report(2013)",VLOOKUP($O135,'6.GWP'!$B$1:$G$173,5,FALSE),IF('1.GHG Inventory Form'!$E$6="IPCC AR6 Report(2021)",VLOOKUP($O135,'6.GWP'!$B$2:$G$173,6,FALSE),0))))),0),0)</f>
        <v>0</v>
      </c>
      <c r="AS135" s="366">
        <f>IF(AD135="V",IF('1.GHG Inventory Form'!$E$6="IPCC AR2 Report(1995)",'6.GWP'!$C$5,IF('1.GHG Inventory Form'!$E$6="IPCC AR3 Report(2001)",'6.GWP'!$D$5,IF('1.GHG Inventory Form'!$E$6="IPCC AR4 Report(2007)",'6.GWP'!$E$5,IF('1.GHG Inventory Form'!$E$6="IPCC AR5 Report(2013)",'6.GWP'!$F$5,IF('1.GHG Inventory Form'!$E$6="IPCC AR6 Report(2021)",'6.GWP'!$G$5,0))))),0)</f>
        <v>0</v>
      </c>
      <c r="AT135" s="392">
        <f>IF(AE135="V",IF('1.GHG Inventory Form'!$E$6="IPCC AR2 Report(1995)",'6.GWP'!$C$4,IF('1.GHG Inventory Form'!$E$6="IPCC AR3 Report(2001)",'6.GWP'!$D$4,IF('1.GHG Inventory Form'!$E$6="IPCC AR4 Report(2007)",'6.GWP'!$E$4,IF('1.GHG Inventory Form'!$E$6="IPCC AR5 Report(2013)",'6.GWP'!$F$4,IF('1.GHG Inventory Form'!$E$6="IPCC AR6 Report(2021)",'6.GWP'!$G$4,0))))),0)</f>
        <v>0</v>
      </c>
      <c r="AU135" s="334">
        <f t="shared" si="90"/>
        <v>0</v>
      </c>
      <c r="AV135" s="334">
        <f t="shared" si="90"/>
        <v>0</v>
      </c>
      <c r="AW135" s="334">
        <f t="shared" si="90"/>
        <v>0</v>
      </c>
      <c r="AX135" s="334">
        <f t="shared" si="90"/>
        <v>0</v>
      </c>
      <c r="AY135" s="334">
        <f t="shared" si="90"/>
        <v>0</v>
      </c>
      <c r="AZ135" s="334">
        <f t="shared" si="90"/>
        <v>0</v>
      </c>
      <c r="BA135" s="334">
        <f t="shared" si="90"/>
        <v>0</v>
      </c>
      <c r="BB135" s="393">
        <f t="shared" si="101"/>
        <v>0</v>
      </c>
      <c r="BC135" s="367"/>
      <c r="BD135" s="369">
        <f t="shared" si="102"/>
        <v>0</v>
      </c>
      <c r="BI135" s="86" t="str">
        <f t="shared" si="103"/>
        <v/>
      </c>
      <c r="BJ135" s="86" t="str">
        <f t="shared" si="104"/>
        <v/>
      </c>
      <c r="BK135" s="86" t="str">
        <f t="shared" si="105"/>
        <v/>
      </c>
    </row>
    <row r="136" spans="2:63" customFormat="1" ht="16" customHeight="1">
      <c r="B136" s="644"/>
      <c r="C136" s="636"/>
      <c r="D136" s="640"/>
      <c r="E136" s="641"/>
      <c r="F136" s="477"/>
      <c r="G136" s="491" t="s">
        <v>477</v>
      </c>
      <c r="H136" s="254"/>
      <c r="I136" s="455"/>
      <c r="J136" s="259"/>
      <c r="K136" s="361"/>
      <c r="L136" s="210"/>
      <c r="M136" s="210"/>
      <c r="N136" s="202"/>
      <c r="O136" s="101"/>
      <c r="P136" s="101"/>
      <c r="Q136" s="182"/>
      <c r="R136" s="421"/>
      <c r="S136" s="421"/>
      <c r="T136" s="421"/>
      <c r="U136" s="421"/>
      <c r="V136" s="421"/>
      <c r="W136" s="421"/>
      <c r="X136" s="421"/>
      <c r="Y136" s="389" t="str">
        <f t="shared" si="91"/>
        <v/>
      </c>
      <c r="Z136" s="364" t="str">
        <f t="shared" si="92"/>
        <v/>
      </c>
      <c r="AA136" s="364" t="str">
        <f t="shared" si="93"/>
        <v/>
      </c>
      <c r="AB136" s="364" t="str">
        <f t="shared" si="94"/>
        <v/>
      </c>
      <c r="AC136" s="364" t="str">
        <f t="shared" si="95"/>
        <v/>
      </c>
      <c r="AD136" s="364" t="str">
        <f t="shared" si="96"/>
        <v/>
      </c>
      <c r="AE136" s="390" t="str">
        <f t="shared" si="97"/>
        <v/>
      </c>
      <c r="AF136" s="473">
        <f t="shared" si="98"/>
        <v>0</v>
      </c>
      <c r="AG136" s="364">
        <f>IFERROR(VLOOKUP($O136,#REF!,4,FALSE),0)</f>
        <v>0</v>
      </c>
      <c r="AH136" s="364">
        <f>IFERROR(VLOOKUP($O136,#REF!,6,FALSE),0)</f>
        <v>0</v>
      </c>
      <c r="AI136" s="364">
        <f>IFERROR(VLOOKUP($O136,#REF!,8,FALSE),0)</f>
        <v>0</v>
      </c>
      <c r="AJ136" s="364">
        <f>IFERROR(VLOOKUP($O136,#REF!,10,FALSE),0)</f>
        <v>0</v>
      </c>
      <c r="AK136" s="364">
        <f>IFERROR(VLOOKUP($O136,#REF!,12,FALSE),0)</f>
        <v>0</v>
      </c>
      <c r="AL136" s="364">
        <f>IFERROR(VLOOKUP($O136,#REF!,14,FALSE),0)</f>
        <v>0</v>
      </c>
      <c r="AM136" s="390">
        <f t="shared" si="99"/>
        <v>0</v>
      </c>
      <c r="AN136" s="391">
        <f t="shared" si="100"/>
        <v>0</v>
      </c>
      <c r="AO136" s="366">
        <f>IF(Z136="V",IF('1.GHG Inventory Form'!$E$6="IPCC AR2 Report(1995)",'6.GWP'!$C$2,IF('1.GHG Inventory Form'!$E$6="IPCC AR3 Report(2001)",'6.GWP'!$D$2,IF('1.GHG Inventory Form'!$E$6="IPCC AR4 Report(2007)",'6.GWP'!$E$2,IF('1.GHG Inventory Form'!$E$6="IPCC AR5 Report(2013)",'6.GWP'!$F$2,IF('1.GHG Inventory Form'!$E$6="IPCC AR6 Report(2021)",'6.GWP'!$G$2,0))))),0)</f>
        <v>0</v>
      </c>
      <c r="AP136" s="366">
        <f>IF(AA136="V",IF('1.GHG Inventory Form'!$E$6="IPCC AR2 Report(1995)",'6.GWP'!$C$3,IF('1.GHG Inventory Form'!$E$6="IPCC AR3 Report(2001)",'6.GWP'!$D$3,IF('1.GHG Inventory Form'!$E$6="IPCC AR4 Report(2007)",'6.GWP'!$E$3,IF('1.GHG Inventory Form'!$E$6="IPCC AR5 Report(2013)",'6.GWP'!$F$3,IF('1.GHG Inventory Form'!$E$6="IPCC AR6 Report(2021)",'6.GWP'!$G$3,0))))),0)</f>
        <v>0</v>
      </c>
      <c r="AQ136" s="366">
        <f>IFERROR(IF(AB136="V",IF('1.GHG Inventory Form'!$E$6="IPCC AR2 Report(1995)",VLOOKUP($O136,'6.GWP'!$B$1:$G$173,2,FALSE),IF('1.GHG Inventory Form'!$E$6="IPCC AR3 Report(2001)",VLOOKUP($O136,'6.GWP'!$B$1:$G$173,3,FALSE),IF('1.GHG Inventory Form'!$E$6="IPCC AR4 Report(2007)",VLOOKUP($KQ50,'6.GWP'!$B$1:$G$173,4,FALSE),IF('1.GHG Inventory Form'!$E$6="IPCC AR5 Report(2013)",VLOOKUP($O136,'6.GWP'!$B$1:$G$173,5,FALSE),IF('1.GHG Inventory Form'!$E$6="IPCC AR6 Report(2021)",VLOOKUP($O136,'6.GWP'!$B$2:$G$173,6,FALSE),0))))),0),0)</f>
        <v>0</v>
      </c>
      <c r="AR136" s="366">
        <f>IFERROR(IF(AC136="V",IF('1.GHG Inventory Form'!$E$6="IPCC AR2 Report(1995)",VLOOKUP($O136,'6.GWP'!$B$1:$G$173,2,FALSE),IF('1.GHG Inventory Form'!$E$6="IPCC AR3 Report(2001)",VLOOKUP($O136,'6.GWP'!$B$1:$G$173,3,FALSE),IF('1.GHG Inventory Form'!$E$6="IPCC AR4 Report(2007)",VLOOKUP($KQ50,'6.GWP'!$B$1:$G$173,4,FALSE),IF('1.GHG Inventory Form'!$E$6="IPCC AR5 Report(2013)",VLOOKUP($O136,'6.GWP'!$B$1:$G$173,5,FALSE),IF('1.GHG Inventory Form'!$E$6="IPCC AR6 Report(2021)",VLOOKUP($O136,'6.GWP'!$B$2:$G$173,6,FALSE),0))))),0),0)</f>
        <v>0</v>
      </c>
      <c r="AS136" s="366">
        <f>IF(AD136="V",IF('1.GHG Inventory Form'!$E$6="IPCC AR2 Report(1995)",'6.GWP'!$C$5,IF('1.GHG Inventory Form'!$E$6="IPCC AR3 Report(2001)",'6.GWP'!$D$5,IF('1.GHG Inventory Form'!$E$6="IPCC AR4 Report(2007)",'6.GWP'!$E$5,IF('1.GHG Inventory Form'!$E$6="IPCC AR5 Report(2013)",'6.GWP'!$F$5,IF('1.GHG Inventory Form'!$E$6="IPCC AR6 Report(2021)",'6.GWP'!$G$5,0))))),0)</f>
        <v>0</v>
      </c>
      <c r="AT136" s="392">
        <f>IF(AE136="V",IF('1.GHG Inventory Form'!$E$6="IPCC AR2 Report(1995)",'6.GWP'!$C$4,IF('1.GHG Inventory Form'!$E$6="IPCC AR3 Report(2001)",'6.GWP'!$D$4,IF('1.GHG Inventory Form'!$E$6="IPCC AR4 Report(2007)",'6.GWP'!$E$4,IF('1.GHG Inventory Form'!$E$6="IPCC AR5 Report(2013)",'6.GWP'!$F$4,IF('1.GHG Inventory Form'!$E$6="IPCC AR6 Report(2021)",'6.GWP'!$G$4,0))))),0)</f>
        <v>0</v>
      </c>
      <c r="AU136" s="334">
        <f t="shared" si="90"/>
        <v>0</v>
      </c>
      <c r="AV136" s="334">
        <f t="shared" si="90"/>
        <v>0</v>
      </c>
      <c r="AW136" s="334">
        <f t="shared" si="90"/>
        <v>0</v>
      </c>
      <c r="AX136" s="334">
        <f t="shared" si="90"/>
        <v>0</v>
      </c>
      <c r="AY136" s="334">
        <f t="shared" si="90"/>
        <v>0</v>
      </c>
      <c r="AZ136" s="334">
        <f t="shared" si="90"/>
        <v>0</v>
      </c>
      <c r="BA136" s="334">
        <f t="shared" si="90"/>
        <v>0</v>
      </c>
      <c r="BB136" s="393">
        <f t="shared" si="101"/>
        <v>0</v>
      </c>
      <c r="BC136" s="367"/>
      <c r="BD136" s="369">
        <f t="shared" si="102"/>
        <v>0</v>
      </c>
      <c r="BI136" s="86" t="str">
        <f t="shared" si="103"/>
        <v/>
      </c>
      <c r="BJ136" s="86" t="str">
        <f t="shared" si="104"/>
        <v/>
      </c>
      <c r="BK136" s="86" t="str">
        <f t="shared" si="105"/>
        <v/>
      </c>
    </row>
    <row r="137" spans="2:63" customFormat="1" ht="16" customHeight="1">
      <c r="B137" s="644"/>
      <c r="C137" s="636"/>
      <c r="D137" s="640"/>
      <c r="E137" s="641"/>
      <c r="F137" s="477"/>
      <c r="G137" s="491" t="s">
        <v>478</v>
      </c>
      <c r="H137" s="254"/>
      <c r="I137" s="455"/>
      <c r="J137" s="259"/>
      <c r="K137" s="361"/>
      <c r="L137" s="210"/>
      <c r="M137" s="210"/>
      <c r="N137" s="202"/>
      <c r="O137" s="101"/>
      <c r="P137" s="101"/>
      <c r="Q137" s="182"/>
      <c r="R137" s="421"/>
      <c r="S137" s="421"/>
      <c r="T137" s="421"/>
      <c r="U137" s="421"/>
      <c r="V137" s="421"/>
      <c r="W137" s="421"/>
      <c r="X137" s="421"/>
      <c r="Y137" s="389" t="str">
        <f t="shared" si="91"/>
        <v/>
      </c>
      <c r="Z137" s="364" t="str">
        <f t="shared" si="92"/>
        <v/>
      </c>
      <c r="AA137" s="364" t="str">
        <f t="shared" si="93"/>
        <v/>
      </c>
      <c r="AB137" s="364" t="str">
        <f t="shared" si="94"/>
        <v/>
      </c>
      <c r="AC137" s="364" t="str">
        <f t="shared" si="95"/>
        <v/>
      </c>
      <c r="AD137" s="364" t="str">
        <f t="shared" si="96"/>
        <v/>
      </c>
      <c r="AE137" s="390" t="str">
        <f t="shared" si="97"/>
        <v/>
      </c>
      <c r="AF137" s="473">
        <f t="shared" si="98"/>
        <v>0</v>
      </c>
      <c r="AG137" s="364">
        <f>IFERROR(VLOOKUP($O137,#REF!,4,FALSE),0)</f>
        <v>0</v>
      </c>
      <c r="AH137" s="364">
        <f>IFERROR(VLOOKUP($O137,#REF!,6,FALSE),0)</f>
        <v>0</v>
      </c>
      <c r="AI137" s="364">
        <f>IFERROR(VLOOKUP($O137,#REF!,8,FALSE),0)</f>
        <v>0</v>
      </c>
      <c r="AJ137" s="364">
        <f>IFERROR(VLOOKUP($O137,#REF!,10,FALSE),0)</f>
        <v>0</v>
      </c>
      <c r="AK137" s="364">
        <f>IFERROR(VLOOKUP($O137,#REF!,12,FALSE),0)</f>
        <v>0</v>
      </c>
      <c r="AL137" s="364">
        <f>IFERROR(VLOOKUP($O137,#REF!,14,FALSE),0)</f>
        <v>0</v>
      </c>
      <c r="AM137" s="390">
        <f t="shared" si="99"/>
        <v>0</v>
      </c>
      <c r="AN137" s="391">
        <f t="shared" si="100"/>
        <v>0</v>
      </c>
      <c r="AO137" s="366">
        <f>IF(Z137="V",IF('1.GHG Inventory Form'!$E$6="IPCC AR2 Report(1995)",'6.GWP'!$C$2,IF('1.GHG Inventory Form'!$E$6="IPCC AR3 Report(2001)",'6.GWP'!$D$2,IF('1.GHG Inventory Form'!$E$6="IPCC AR4 Report(2007)",'6.GWP'!$E$2,IF('1.GHG Inventory Form'!$E$6="IPCC AR5 Report(2013)",'6.GWP'!$F$2,IF('1.GHG Inventory Form'!$E$6="IPCC AR6 Report(2021)",'6.GWP'!$G$2,0))))),0)</f>
        <v>0</v>
      </c>
      <c r="AP137" s="366">
        <f>IF(AA137="V",IF('1.GHG Inventory Form'!$E$6="IPCC AR2 Report(1995)",'6.GWP'!$C$3,IF('1.GHG Inventory Form'!$E$6="IPCC AR3 Report(2001)",'6.GWP'!$D$3,IF('1.GHG Inventory Form'!$E$6="IPCC AR4 Report(2007)",'6.GWP'!$E$3,IF('1.GHG Inventory Form'!$E$6="IPCC AR5 Report(2013)",'6.GWP'!$F$3,IF('1.GHG Inventory Form'!$E$6="IPCC AR6 Report(2021)",'6.GWP'!$G$3,0))))),0)</f>
        <v>0</v>
      </c>
      <c r="AQ137" s="366">
        <f>IFERROR(IF(AB137="V",IF('1.GHG Inventory Form'!$E$6="IPCC AR2 Report(1995)",VLOOKUP($O137,'6.GWP'!$B$1:$G$173,2,FALSE),IF('1.GHG Inventory Form'!$E$6="IPCC AR3 Report(2001)",VLOOKUP($O137,'6.GWP'!$B$1:$G$173,3,FALSE),IF('1.GHG Inventory Form'!$E$6="IPCC AR4 Report(2007)",VLOOKUP($KQ51,'6.GWP'!$B$1:$G$173,4,FALSE),IF('1.GHG Inventory Form'!$E$6="IPCC AR5 Report(2013)",VLOOKUP($O137,'6.GWP'!$B$1:$G$173,5,FALSE),IF('1.GHG Inventory Form'!$E$6="IPCC AR6 Report(2021)",VLOOKUP($O137,'6.GWP'!$B$2:$G$173,6,FALSE),0))))),0),0)</f>
        <v>0</v>
      </c>
      <c r="AR137" s="366">
        <f>IFERROR(IF(AC137="V",IF('1.GHG Inventory Form'!$E$6="IPCC AR2 Report(1995)",VLOOKUP($O137,'6.GWP'!$B$1:$G$173,2,FALSE),IF('1.GHG Inventory Form'!$E$6="IPCC AR3 Report(2001)",VLOOKUP($O137,'6.GWP'!$B$1:$G$173,3,FALSE),IF('1.GHG Inventory Form'!$E$6="IPCC AR4 Report(2007)",VLOOKUP($KQ51,'6.GWP'!$B$1:$G$173,4,FALSE),IF('1.GHG Inventory Form'!$E$6="IPCC AR5 Report(2013)",VLOOKUP($O137,'6.GWP'!$B$1:$G$173,5,FALSE),IF('1.GHG Inventory Form'!$E$6="IPCC AR6 Report(2021)",VLOOKUP($O137,'6.GWP'!$B$2:$G$173,6,FALSE),0))))),0),0)</f>
        <v>0</v>
      </c>
      <c r="AS137" s="366">
        <f>IF(AD137="V",IF('1.GHG Inventory Form'!$E$6="IPCC AR2 Report(1995)",'6.GWP'!$C$5,IF('1.GHG Inventory Form'!$E$6="IPCC AR3 Report(2001)",'6.GWP'!$D$5,IF('1.GHG Inventory Form'!$E$6="IPCC AR4 Report(2007)",'6.GWP'!$E$5,IF('1.GHG Inventory Form'!$E$6="IPCC AR5 Report(2013)",'6.GWP'!$F$5,IF('1.GHG Inventory Form'!$E$6="IPCC AR6 Report(2021)",'6.GWP'!$G$5,0))))),0)</f>
        <v>0</v>
      </c>
      <c r="AT137" s="392">
        <f>IF(AE137="V",IF('1.GHG Inventory Form'!$E$6="IPCC AR2 Report(1995)",'6.GWP'!$C$4,IF('1.GHG Inventory Form'!$E$6="IPCC AR3 Report(2001)",'6.GWP'!$D$4,IF('1.GHG Inventory Form'!$E$6="IPCC AR4 Report(2007)",'6.GWP'!$E$4,IF('1.GHG Inventory Form'!$E$6="IPCC AR5 Report(2013)",'6.GWP'!$F$4,IF('1.GHG Inventory Form'!$E$6="IPCC AR6 Report(2021)",'6.GWP'!$G$4,0))))),0)</f>
        <v>0</v>
      </c>
      <c r="AU137" s="334">
        <f t="shared" si="90"/>
        <v>0</v>
      </c>
      <c r="AV137" s="334">
        <f t="shared" si="90"/>
        <v>0</v>
      </c>
      <c r="AW137" s="334">
        <f t="shared" si="90"/>
        <v>0</v>
      </c>
      <c r="AX137" s="334">
        <f t="shared" si="90"/>
        <v>0</v>
      </c>
      <c r="AY137" s="334">
        <f t="shared" si="90"/>
        <v>0</v>
      </c>
      <c r="AZ137" s="334">
        <f t="shared" si="90"/>
        <v>0</v>
      </c>
      <c r="BA137" s="334">
        <f t="shared" si="90"/>
        <v>0</v>
      </c>
      <c r="BB137" s="393">
        <f t="shared" si="101"/>
        <v>0</v>
      </c>
      <c r="BC137" s="367"/>
      <c r="BD137" s="369">
        <f t="shared" si="102"/>
        <v>0</v>
      </c>
      <c r="BI137" s="86" t="str">
        <f t="shared" si="103"/>
        <v/>
      </c>
      <c r="BJ137" s="86" t="str">
        <f t="shared" si="104"/>
        <v/>
      </c>
      <c r="BK137" s="86" t="str">
        <f t="shared" si="105"/>
        <v/>
      </c>
    </row>
    <row r="138" spans="2:63" customFormat="1" ht="16" customHeight="1">
      <c r="B138" s="644"/>
      <c r="C138" s="636"/>
      <c r="D138" s="640"/>
      <c r="E138" s="641"/>
      <c r="F138" s="477"/>
      <c r="G138" s="491" t="s">
        <v>479</v>
      </c>
      <c r="H138" s="254"/>
      <c r="I138" s="455"/>
      <c r="J138" s="259"/>
      <c r="K138" s="361"/>
      <c r="L138" s="210"/>
      <c r="M138" s="210"/>
      <c r="N138" s="202"/>
      <c r="O138" s="101"/>
      <c r="P138" s="101"/>
      <c r="Q138" s="182"/>
      <c r="R138" s="421"/>
      <c r="S138" s="421"/>
      <c r="T138" s="421"/>
      <c r="U138" s="421"/>
      <c r="V138" s="421"/>
      <c r="W138" s="421"/>
      <c r="X138" s="421"/>
      <c r="Y138" s="389" t="str">
        <f t="shared" si="91"/>
        <v/>
      </c>
      <c r="Z138" s="364" t="str">
        <f t="shared" si="92"/>
        <v/>
      </c>
      <c r="AA138" s="364" t="str">
        <f t="shared" si="93"/>
        <v/>
      </c>
      <c r="AB138" s="364" t="str">
        <f t="shared" si="94"/>
        <v/>
      </c>
      <c r="AC138" s="364" t="str">
        <f t="shared" si="95"/>
        <v/>
      </c>
      <c r="AD138" s="364" t="str">
        <f t="shared" si="96"/>
        <v/>
      </c>
      <c r="AE138" s="390" t="str">
        <f t="shared" si="97"/>
        <v/>
      </c>
      <c r="AF138" s="473">
        <f t="shared" si="98"/>
        <v>0</v>
      </c>
      <c r="AG138" s="364">
        <f>IFERROR(VLOOKUP($O138,#REF!,4,FALSE),0)</f>
        <v>0</v>
      </c>
      <c r="AH138" s="364">
        <f>IFERROR(VLOOKUP($O138,#REF!,6,FALSE),0)</f>
        <v>0</v>
      </c>
      <c r="AI138" s="364">
        <f>IFERROR(VLOOKUP($O138,#REF!,8,FALSE),0)</f>
        <v>0</v>
      </c>
      <c r="AJ138" s="364">
        <f>IFERROR(VLOOKUP($O138,#REF!,10,FALSE),0)</f>
        <v>0</v>
      </c>
      <c r="AK138" s="364">
        <f>IFERROR(VLOOKUP($O138,#REF!,12,FALSE),0)</f>
        <v>0</v>
      </c>
      <c r="AL138" s="364">
        <f>IFERROR(VLOOKUP($O138,#REF!,14,FALSE),0)</f>
        <v>0</v>
      </c>
      <c r="AM138" s="390">
        <f t="shared" si="99"/>
        <v>0</v>
      </c>
      <c r="AN138" s="391">
        <f t="shared" si="100"/>
        <v>0</v>
      </c>
      <c r="AO138" s="366">
        <f>IF(Z138="V",IF('1.GHG Inventory Form'!$E$6="IPCC AR2 Report(1995)",'6.GWP'!$C$2,IF('1.GHG Inventory Form'!$E$6="IPCC AR3 Report(2001)",'6.GWP'!$D$2,IF('1.GHG Inventory Form'!$E$6="IPCC AR4 Report(2007)",'6.GWP'!$E$2,IF('1.GHG Inventory Form'!$E$6="IPCC AR5 Report(2013)",'6.GWP'!$F$2,IF('1.GHG Inventory Form'!$E$6="IPCC AR6 Report(2021)",'6.GWP'!$G$2,0))))),0)</f>
        <v>0</v>
      </c>
      <c r="AP138" s="366">
        <f>IF(AA138="V",IF('1.GHG Inventory Form'!$E$6="IPCC AR2 Report(1995)",'6.GWP'!$C$3,IF('1.GHG Inventory Form'!$E$6="IPCC AR3 Report(2001)",'6.GWP'!$D$3,IF('1.GHG Inventory Form'!$E$6="IPCC AR4 Report(2007)",'6.GWP'!$E$3,IF('1.GHG Inventory Form'!$E$6="IPCC AR5 Report(2013)",'6.GWP'!$F$3,IF('1.GHG Inventory Form'!$E$6="IPCC AR6 Report(2021)",'6.GWP'!$G$3,0))))),0)</f>
        <v>0</v>
      </c>
      <c r="AQ138" s="366">
        <f>IFERROR(IF(AB138="V",IF('1.GHG Inventory Form'!$E$6="IPCC AR2 Report(1995)",VLOOKUP($O138,'6.GWP'!$B$1:$G$173,2,FALSE),IF('1.GHG Inventory Form'!$E$6="IPCC AR3 Report(2001)",VLOOKUP($O138,'6.GWP'!$B$1:$G$173,3,FALSE),IF('1.GHG Inventory Form'!$E$6="IPCC AR4 Report(2007)",VLOOKUP($KQ52,'6.GWP'!$B$1:$G$173,4,FALSE),IF('1.GHG Inventory Form'!$E$6="IPCC AR5 Report(2013)",VLOOKUP($O138,'6.GWP'!$B$1:$G$173,5,FALSE),IF('1.GHG Inventory Form'!$E$6="IPCC AR6 Report(2021)",VLOOKUP($O138,'6.GWP'!$B$2:$G$173,6,FALSE),0))))),0),0)</f>
        <v>0</v>
      </c>
      <c r="AR138" s="366">
        <f>IFERROR(IF(AC138="V",IF('1.GHG Inventory Form'!$E$6="IPCC AR2 Report(1995)",VLOOKUP($O138,'6.GWP'!$B$1:$G$173,2,FALSE),IF('1.GHG Inventory Form'!$E$6="IPCC AR3 Report(2001)",VLOOKUP($O138,'6.GWP'!$B$1:$G$173,3,FALSE),IF('1.GHG Inventory Form'!$E$6="IPCC AR4 Report(2007)",VLOOKUP($KQ52,'6.GWP'!$B$1:$G$173,4,FALSE),IF('1.GHG Inventory Form'!$E$6="IPCC AR5 Report(2013)",VLOOKUP($O138,'6.GWP'!$B$1:$G$173,5,FALSE),IF('1.GHG Inventory Form'!$E$6="IPCC AR6 Report(2021)",VLOOKUP($O138,'6.GWP'!$B$2:$G$173,6,FALSE),0))))),0),0)</f>
        <v>0</v>
      </c>
      <c r="AS138" s="366">
        <f>IF(AD138="V",IF('1.GHG Inventory Form'!$E$6="IPCC AR2 Report(1995)",'6.GWP'!$C$5,IF('1.GHG Inventory Form'!$E$6="IPCC AR3 Report(2001)",'6.GWP'!$D$5,IF('1.GHG Inventory Form'!$E$6="IPCC AR4 Report(2007)",'6.GWP'!$E$5,IF('1.GHG Inventory Form'!$E$6="IPCC AR5 Report(2013)",'6.GWP'!$F$5,IF('1.GHG Inventory Form'!$E$6="IPCC AR6 Report(2021)",'6.GWP'!$G$5,0))))),0)</f>
        <v>0</v>
      </c>
      <c r="AT138" s="392">
        <f>IF(AE138="V",IF('1.GHG Inventory Form'!$E$6="IPCC AR2 Report(1995)",'6.GWP'!$C$4,IF('1.GHG Inventory Form'!$E$6="IPCC AR3 Report(2001)",'6.GWP'!$D$4,IF('1.GHG Inventory Form'!$E$6="IPCC AR4 Report(2007)",'6.GWP'!$E$4,IF('1.GHG Inventory Form'!$E$6="IPCC AR5 Report(2013)",'6.GWP'!$F$4,IF('1.GHG Inventory Form'!$E$6="IPCC AR6 Report(2021)",'6.GWP'!$G$4,0))))),0)</f>
        <v>0</v>
      </c>
      <c r="AU138" s="334">
        <f t="shared" si="90"/>
        <v>0</v>
      </c>
      <c r="AV138" s="334">
        <f t="shared" si="90"/>
        <v>0</v>
      </c>
      <c r="AW138" s="334">
        <f t="shared" si="90"/>
        <v>0</v>
      </c>
      <c r="AX138" s="334">
        <f t="shared" si="90"/>
        <v>0</v>
      </c>
      <c r="AY138" s="334">
        <f t="shared" si="90"/>
        <v>0</v>
      </c>
      <c r="AZ138" s="334">
        <f t="shared" si="90"/>
        <v>0</v>
      </c>
      <c r="BA138" s="334">
        <f t="shared" si="90"/>
        <v>0</v>
      </c>
      <c r="BB138" s="393">
        <f t="shared" si="101"/>
        <v>0</v>
      </c>
      <c r="BC138" s="367"/>
      <c r="BD138" s="369">
        <f t="shared" si="102"/>
        <v>0</v>
      </c>
      <c r="BI138" s="86" t="str">
        <f t="shared" si="103"/>
        <v/>
      </c>
      <c r="BJ138" s="86" t="str">
        <f t="shared" si="104"/>
        <v/>
      </c>
      <c r="BK138" s="86" t="str">
        <f t="shared" si="105"/>
        <v/>
      </c>
    </row>
    <row r="139" spans="2:63" customFormat="1" ht="16" customHeight="1">
      <c r="B139" s="644"/>
      <c r="C139" s="636"/>
      <c r="D139" s="640"/>
      <c r="E139" s="641"/>
      <c r="F139" s="477"/>
      <c r="G139" s="491" t="s">
        <v>480</v>
      </c>
      <c r="H139" s="254"/>
      <c r="I139" s="455"/>
      <c r="J139" s="259"/>
      <c r="K139" s="361"/>
      <c r="L139" s="210"/>
      <c r="M139" s="210"/>
      <c r="N139" s="202"/>
      <c r="O139" s="101"/>
      <c r="P139" s="101"/>
      <c r="Q139" s="182"/>
      <c r="R139" s="421"/>
      <c r="S139" s="421"/>
      <c r="T139" s="421"/>
      <c r="U139" s="421"/>
      <c r="V139" s="421"/>
      <c r="W139" s="421"/>
      <c r="X139" s="421"/>
      <c r="Y139" s="389" t="str">
        <f t="shared" si="91"/>
        <v/>
      </c>
      <c r="Z139" s="364" t="str">
        <f t="shared" si="92"/>
        <v/>
      </c>
      <c r="AA139" s="364" t="str">
        <f t="shared" si="93"/>
        <v/>
      </c>
      <c r="AB139" s="364" t="str">
        <f t="shared" si="94"/>
        <v/>
      </c>
      <c r="AC139" s="364" t="str">
        <f t="shared" si="95"/>
        <v/>
      </c>
      <c r="AD139" s="364" t="str">
        <f t="shared" si="96"/>
        <v/>
      </c>
      <c r="AE139" s="390" t="str">
        <f t="shared" si="97"/>
        <v/>
      </c>
      <c r="AF139" s="473">
        <f t="shared" si="98"/>
        <v>0</v>
      </c>
      <c r="AG139" s="364">
        <f>IFERROR(VLOOKUP($O139,#REF!,4,FALSE),0)</f>
        <v>0</v>
      </c>
      <c r="AH139" s="364">
        <f>IFERROR(VLOOKUP($O139,#REF!,6,FALSE),0)</f>
        <v>0</v>
      </c>
      <c r="AI139" s="364">
        <f>IFERROR(VLOOKUP($O139,#REF!,8,FALSE),0)</f>
        <v>0</v>
      </c>
      <c r="AJ139" s="364">
        <f>IFERROR(VLOOKUP($O139,#REF!,10,FALSE),0)</f>
        <v>0</v>
      </c>
      <c r="AK139" s="364">
        <f>IFERROR(VLOOKUP($O139,#REF!,12,FALSE),0)</f>
        <v>0</v>
      </c>
      <c r="AL139" s="364">
        <f>IFERROR(VLOOKUP($O139,#REF!,14,FALSE),0)</f>
        <v>0</v>
      </c>
      <c r="AM139" s="390">
        <f t="shared" si="99"/>
        <v>0</v>
      </c>
      <c r="AN139" s="391">
        <f t="shared" si="100"/>
        <v>0</v>
      </c>
      <c r="AO139" s="366">
        <f>IF(Z139="V",IF('1.GHG Inventory Form'!$E$6="IPCC AR2 Report(1995)",'6.GWP'!$C$2,IF('1.GHG Inventory Form'!$E$6="IPCC AR3 Report(2001)",'6.GWP'!$D$2,IF('1.GHG Inventory Form'!$E$6="IPCC AR4 Report(2007)",'6.GWP'!$E$2,IF('1.GHG Inventory Form'!$E$6="IPCC AR5 Report(2013)",'6.GWP'!$F$2,IF('1.GHG Inventory Form'!$E$6="IPCC AR6 Report(2021)",'6.GWP'!$G$2,0))))),0)</f>
        <v>0</v>
      </c>
      <c r="AP139" s="366">
        <f>IF(AA139="V",IF('1.GHG Inventory Form'!$E$6="IPCC AR2 Report(1995)",'6.GWP'!$C$3,IF('1.GHG Inventory Form'!$E$6="IPCC AR3 Report(2001)",'6.GWP'!$D$3,IF('1.GHG Inventory Form'!$E$6="IPCC AR4 Report(2007)",'6.GWP'!$E$3,IF('1.GHG Inventory Form'!$E$6="IPCC AR5 Report(2013)",'6.GWP'!$F$3,IF('1.GHG Inventory Form'!$E$6="IPCC AR6 Report(2021)",'6.GWP'!$G$3,0))))),0)</f>
        <v>0</v>
      </c>
      <c r="AQ139" s="366">
        <f>IFERROR(IF(AB139="V",IF('1.GHG Inventory Form'!$E$6="IPCC AR2 Report(1995)",VLOOKUP($O139,'6.GWP'!$B$1:$G$173,2,FALSE),IF('1.GHG Inventory Form'!$E$6="IPCC AR3 Report(2001)",VLOOKUP($O139,'6.GWP'!$B$1:$G$173,3,FALSE),IF('1.GHG Inventory Form'!$E$6="IPCC AR4 Report(2007)",VLOOKUP($KQ53,'6.GWP'!$B$1:$G$173,4,FALSE),IF('1.GHG Inventory Form'!$E$6="IPCC AR5 Report(2013)",VLOOKUP($O139,'6.GWP'!$B$1:$G$173,5,FALSE),IF('1.GHG Inventory Form'!$E$6="IPCC AR6 Report(2021)",VLOOKUP($O139,'6.GWP'!$B$2:$G$173,6,FALSE),0))))),0),0)</f>
        <v>0</v>
      </c>
      <c r="AR139" s="366">
        <f>IFERROR(IF(AC139="V",IF('1.GHG Inventory Form'!$E$6="IPCC AR2 Report(1995)",VLOOKUP($O139,'6.GWP'!$B$1:$G$173,2,FALSE),IF('1.GHG Inventory Form'!$E$6="IPCC AR3 Report(2001)",VLOOKUP($O139,'6.GWP'!$B$1:$G$173,3,FALSE),IF('1.GHG Inventory Form'!$E$6="IPCC AR4 Report(2007)",VLOOKUP($KQ53,'6.GWP'!$B$1:$G$173,4,FALSE),IF('1.GHG Inventory Form'!$E$6="IPCC AR5 Report(2013)",VLOOKUP($O139,'6.GWP'!$B$1:$G$173,5,FALSE),IF('1.GHG Inventory Form'!$E$6="IPCC AR6 Report(2021)",VLOOKUP($O139,'6.GWP'!$B$2:$G$173,6,FALSE),0))))),0),0)</f>
        <v>0</v>
      </c>
      <c r="AS139" s="366">
        <f>IF(AD139="V",IF('1.GHG Inventory Form'!$E$6="IPCC AR2 Report(1995)",'6.GWP'!$C$5,IF('1.GHG Inventory Form'!$E$6="IPCC AR3 Report(2001)",'6.GWP'!$D$5,IF('1.GHG Inventory Form'!$E$6="IPCC AR4 Report(2007)",'6.GWP'!$E$5,IF('1.GHG Inventory Form'!$E$6="IPCC AR5 Report(2013)",'6.GWP'!$F$5,IF('1.GHG Inventory Form'!$E$6="IPCC AR6 Report(2021)",'6.GWP'!$G$5,0))))),0)</f>
        <v>0</v>
      </c>
      <c r="AT139" s="392">
        <f>IF(AE139="V",IF('1.GHG Inventory Form'!$E$6="IPCC AR2 Report(1995)",'6.GWP'!$C$4,IF('1.GHG Inventory Form'!$E$6="IPCC AR3 Report(2001)",'6.GWP'!$D$4,IF('1.GHG Inventory Form'!$E$6="IPCC AR4 Report(2007)",'6.GWP'!$E$4,IF('1.GHG Inventory Form'!$E$6="IPCC AR5 Report(2013)",'6.GWP'!$F$4,IF('1.GHG Inventory Form'!$E$6="IPCC AR6 Report(2021)",'6.GWP'!$G$4,0))))),0)</f>
        <v>0</v>
      </c>
      <c r="AU139" s="334">
        <f t="shared" si="90"/>
        <v>0</v>
      </c>
      <c r="AV139" s="334">
        <f t="shared" si="90"/>
        <v>0</v>
      </c>
      <c r="AW139" s="334">
        <f t="shared" si="90"/>
        <v>0</v>
      </c>
      <c r="AX139" s="334">
        <f t="shared" si="90"/>
        <v>0</v>
      </c>
      <c r="AY139" s="334">
        <f t="shared" si="90"/>
        <v>0</v>
      </c>
      <c r="AZ139" s="334">
        <f t="shared" si="90"/>
        <v>0</v>
      </c>
      <c r="BA139" s="334">
        <f t="shared" si="90"/>
        <v>0</v>
      </c>
      <c r="BB139" s="393">
        <f t="shared" si="101"/>
        <v>0</v>
      </c>
      <c r="BC139" s="367"/>
      <c r="BD139" s="369">
        <f t="shared" si="102"/>
        <v>0</v>
      </c>
      <c r="BI139" s="86" t="str">
        <f t="shared" si="103"/>
        <v/>
      </c>
      <c r="BJ139" s="86" t="str">
        <f t="shared" si="104"/>
        <v/>
      </c>
      <c r="BK139" s="86" t="str">
        <f t="shared" si="105"/>
        <v/>
      </c>
    </row>
    <row r="140" spans="2:63" customFormat="1" ht="16" customHeight="1" thickBot="1">
      <c r="B140" s="644"/>
      <c r="C140" s="637"/>
      <c r="D140" s="642"/>
      <c r="E140" s="643"/>
      <c r="F140" s="481"/>
      <c r="G140" s="503" t="s">
        <v>481</v>
      </c>
      <c r="H140" s="255"/>
      <c r="I140" s="455"/>
      <c r="J140" s="260"/>
      <c r="K140" s="370"/>
      <c r="L140" s="211"/>
      <c r="M140" s="211"/>
      <c r="N140" s="204"/>
      <c r="O140" s="183"/>
      <c r="P140" s="183"/>
      <c r="Q140" s="184"/>
      <c r="R140" s="421"/>
      <c r="S140" s="421"/>
      <c r="T140" s="421"/>
      <c r="U140" s="421"/>
      <c r="V140" s="421"/>
      <c r="W140" s="421"/>
      <c r="X140" s="421"/>
      <c r="Y140" s="389" t="str">
        <f t="shared" si="91"/>
        <v/>
      </c>
      <c r="Z140" s="364" t="str">
        <f t="shared" si="92"/>
        <v/>
      </c>
      <c r="AA140" s="364" t="str">
        <f t="shared" si="93"/>
        <v/>
      </c>
      <c r="AB140" s="364" t="str">
        <f t="shared" si="94"/>
        <v/>
      </c>
      <c r="AC140" s="364" t="str">
        <f t="shared" si="95"/>
        <v/>
      </c>
      <c r="AD140" s="364" t="str">
        <f t="shared" si="96"/>
        <v/>
      </c>
      <c r="AE140" s="390" t="str">
        <f t="shared" si="97"/>
        <v/>
      </c>
      <c r="AF140" s="504">
        <f t="shared" si="98"/>
        <v>0</v>
      </c>
      <c r="AG140" s="373">
        <f>IFERROR(VLOOKUP($O140,#REF!,4,FALSE),0)</f>
        <v>0</v>
      </c>
      <c r="AH140" s="373">
        <f>IFERROR(VLOOKUP($O140,#REF!,6,FALSE),0)</f>
        <v>0</v>
      </c>
      <c r="AI140" s="373">
        <f>IFERROR(VLOOKUP($O140,#REF!,8,FALSE),0)</f>
        <v>0</v>
      </c>
      <c r="AJ140" s="373">
        <f>IFERROR(VLOOKUP($O140,#REF!,10,FALSE),0)</f>
        <v>0</v>
      </c>
      <c r="AK140" s="373">
        <f>IFERROR(VLOOKUP($O140,#REF!,12,FALSE),0)</f>
        <v>0</v>
      </c>
      <c r="AL140" s="373">
        <f>IFERROR(VLOOKUP($O140,#REF!,14,FALSE),0)</f>
        <v>0</v>
      </c>
      <c r="AM140" s="459">
        <f t="shared" si="99"/>
        <v>0</v>
      </c>
      <c r="AN140" s="405">
        <f t="shared" si="100"/>
        <v>0</v>
      </c>
      <c r="AO140" s="406">
        <f>IF(Z140="V",IF('1.GHG Inventory Form'!$E$6="IPCC AR2 Report(1995)",'6.GWP'!$C$2,IF('1.GHG Inventory Form'!$E$6="IPCC AR3 Report(2001)",'6.GWP'!$D$2,IF('1.GHG Inventory Form'!$E$6="IPCC AR4 Report(2007)",'6.GWP'!$E$2,IF('1.GHG Inventory Form'!$E$6="IPCC AR5 Report(2013)",'6.GWP'!$F$2,IF('1.GHG Inventory Form'!$E$6="IPCC AR6 Report(2021)",'6.GWP'!$G$2,0))))),0)</f>
        <v>0</v>
      </c>
      <c r="AP140" s="406">
        <f>IF(AA140="V",IF('1.GHG Inventory Form'!$E$6="IPCC AR2 Report(1995)",'6.GWP'!$C$3,IF('1.GHG Inventory Form'!$E$6="IPCC AR3 Report(2001)",'6.GWP'!$D$3,IF('1.GHG Inventory Form'!$E$6="IPCC AR4 Report(2007)",'6.GWP'!$E$3,IF('1.GHG Inventory Form'!$E$6="IPCC AR5 Report(2013)",'6.GWP'!$F$3,IF('1.GHG Inventory Form'!$E$6="IPCC AR6 Report(2021)",'6.GWP'!$G$3,0))))),0)</f>
        <v>0</v>
      </c>
      <c r="AQ140" s="406">
        <f>IFERROR(IF(AB140="V",IF('1.GHG Inventory Form'!$E$6="IPCC AR2 Report(1995)",VLOOKUP($O140,'6.GWP'!$B$1:$G$173,2,FALSE),IF('1.GHG Inventory Form'!$E$6="IPCC AR3 Report(2001)",VLOOKUP($O140,'6.GWP'!$B$1:$G$173,3,FALSE),IF('1.GHG Inventory Form'!$E$6="IPCC AR4 Report(2007)",VLOOKUP($KQ54,'6.GWP'!$B$1:$G$173,4,FALSE),IF('1.GHG Inventory Form'!$E$6="IPCC AR5 Report(2013)",VLOOKUP($O140,'6.GWP'!$B$1:$G$173,5,FALSE),IF('1.GHG Inventory Form'!$E$6="IPCC AR6 Report(2021)",VLOOKUP($O140,'6.GWP'!$B$2:$G$173,6,FALSE),0))))),0),0)</f>
        <v>0</v>
      </c>
      <c r="AR140" s="406">
        <f>IFERROR(IF(AC140="V",IF('1.GHG Inventory Form'!$E$6="IPCC AR2 Report(1995)",VLOOKUP($O140,'6.GWP'!$B$1:$G$173,2,FALSE),IF('1.GHG Inventory Form'!$E$6="IPCC AR3 Report(2001)",VLOOKUP($O140,'6.GWP'!$B$1:$G$173,3,FALSE),IF('1.GHG Inventory Form'!$E$6="IPCC AR4 Report(2007)",VLOOKUP($KQ54,'6.GWP'!$B$1:$G$173,4,FALSE),IF('1.GHG Inventory Form'!$E$6="IPCC AR5 Report(2013)",VLOOKUP($O140,'6.GWP'!$B$1:$G$173,5,FALSE),IF('1.GHG Inventory Form'!$E$6="IPCC AR6 Report(2021)",VLOOKUP($O140,'6.GWP'!$B$2:$G$173,6,FALSE),0))))),0),0)</f>
        <v>0</v>
      </c>
      <c r="AS140" s="406">
        <f>IF(AD140="V",IF('1.GHG Inventory Form'!$E$6="IPCC AR2 Report(1995)",'6.GWP'!$C$5,IF('1.GHG Inventory Form'!$E$6="IPCC AR3 Report(2001)",'6.GWP'!$D$5,IF('1.GHG Inventory Form'!$E$6="IPCC AR4 Report(2007)",'6.GWP'!$E$5,IF('1.GHG Inventory Form'!$E$6="IPCC AR5 Report(2013)",'6.GWP'!$F$5,IF('1.GHG Inventory Form'!$E$6="IPCC AR6 Report(2021)",'6.GWP'!$G$5,0))))),0)</f>
        <v>0</v>
      </c>
      <c r="AT140" s="407">
        <f>IF(AE140="V",IF('1.GHG Inventory Form'!$E$6="IPCC AR2 Report(1995)",'6.GWP'!$C$4,IF('1.GHG Inventory Form'!$E$6="IPCC AR3 Report(2001)",'6.GWP'!$D$4,IF('1.GHG Inventory Form'!$E$6="IPCC AR4 Report(2007)",'6.GWP'!$E$4,IF('1.GHG Inventory Form'!$E$6="IPCC AR5 Report(2013)",'6.GWP'!$F$4,IF('1.GHG Inventory Form'!$E$6="IPCC AR6 Report(2021)",'6.GWP'!$G$4,0))))),0)</f>
        <v>0</v>
      </c>
      <c r="AU140" s="334">
        <f t="shared" si="90"/>
        <v>0</v>
      </c>
      <c r="AV140" s="334">
        <f t="shared" si="90"/>
        <v>0</v>
      </c>
      <c r="AW140" s="334">
        <f t="shared" si="90"/>
        <v>0</v>
      </c>
      <c r="AX140" s="334">
        <f t="shared" si="90"/>
        <v>0</v>
      </c>
      <c r="AY140" s="334">
        <f t="shared" si="90"/>
        <v>0</v>
      </c>
      <c r="AZ140" s="334">
        <f t="shared" si="90"/>
        <v>0</v>
      </c>
      <c r="BA140" s="334">
        <f t="shared" si="90"/>
        <v>0</v>
      </c>
      <c r="BB140" s="409">
        <f t="shared" si="101"/>
        <v>0</v>
      </c>
      <c r="BC140" s="419"/>
      <c r="BD140" s="411">
        <f t="shared" si="102"/>
        <v>0</v>
      </c>
      <c r="BI140" s="86" t="str">
        <f t="shared" si="103"/>
        <v/>
      </c>
      <c r="BJ140" s="86" t="str">
        <f t="shared" si="104"/>
        <v/>
      </c>
      <c r="BK140" s="86" t="str">
        <f t="shared" si="105"/>
        <v/>
      </c>
    </row>
    <row r="141" spans="2:63" customFormat="1" ht="80" customHeight="1" thickBot="1">
      <c r="B141" s="644"/>
      <c r="C141" s="652">
        <v>4.3</v>
      </c>
      <c r="D141" s="638" t="s">
        <v>482</v>
      </c>
      <c r="E141" s="655"/>
      <c r="F141" s="477" t="s">
        <v>240</v>
      </c>
      <c r="G141" s="505" t="s">
        <v>483</v>
      </c>
      <c r="H141" s="256" t="s">
        <v>240</v>
      </c>
      <c r="I141" s="455" t="s">
        <v>80</v>
      </c>
      <c r="J141" s="261"/>
      <c r="K141" s="352" t="s">
        <v>325</v>
      </c>
      <c r="L141" s="367">
        <v>0.51900000000000002</v>
      </c>
      <c r="M141" s="455" t="s">
        <v>484</v>
      </c>
      <c r="N141" s="506" t="s">
        <v>485</v>
      </c>
      <c r="O141" s="212"/>
      <c r="P141" s="118"/>
      <c r="Q141" s="185"/>
      <c r="R141" s="421"/>
      <c r="S141" s="421"/>
      <c r="T141" s="421"/>
      <c r="U141" s="421"/>
      <c r="V141" s="421"/>
      <c r="W141" s="421"/>
      <c r="X141" s="421"/>
      <c r="Y141" s="389" t="str">
        <f t="shared" si="91"/>
        <v>V</v>
      </c>
      <c r="Z141" s="364" t="str">
        <f t="shared" si="92"/>
        <v/>
      </c>
      <c r="AA141" s="364" t="str">
        <f t="shared" si="93"/>
        <v/>
      </c>
      <c r="AB141" s="364" t="str">
        <f t="shared" si="94"/>
        <v/>
      </c>
      <c r="AC141" s="364" t="str">
        <f t="shared" si="95"/>
        <v/>
      </c>
      <c r="AD141" s="364" t="str">
        <f t="shared" si="96"/>
        <v/>
      </c>
      <c r="AE141" s="390" t="str">
        <f t="shared" si="97"/>
        <v/>
      </c>
      <c r="AF141" s="381">
        <f t="shared" si="98"/>
        <v>0.51900000000000002</v>
      </c>
      <c r="AG141" s="355">
        <f>IFERROR(VLOOKUP($O141,#REF!,4,FALSE),0)</f>
        <v>0</v>
      </c>
      <c r="AH141" s="355">
        <f>IFERROR(VLOOKUP($O141,#REF!,6,FALSE),0)</f>
        <v>0</v>
      </c>
      <c r="AI141" s="355">
        <f>IFERROR(VLOOKUP($O141,#REF!,8,FALSE),0)</f>
        <v>0</v>
      </c>
      <c r="AJ141" s="355">
        <f>IFERROR(VLOOKUP($O141,#REF!,10,FALSE),0)</f>
        <v>0</v>
      </c>
      <c r="AK141" s="355">
        <f>IFERROR(VLOOKUP($O141,#REF!,12,FALSE),0)</f>
        <v>0</v>
      </c>
      <c r="AL141" s="355">
        <f>IFERROR(VLOOKUP($O141,#REF!,14,FALSE),0)</f>
        <v>0</v>
      </c>
      <c r="AM141" s="382" t="str">
        <f t="shared" si="99"/>
        <v>Simapro 9.4.0.2-Municipal solid waste {RoW}| treatment of, incineration</v>
      </c>
      <c r="AN141" s="424">
        <f t="shared" si="100"/>
        <v>1</v>
      </c>
      <c r="AO141" s="332">
        <f>IF(Z141="V",IF('1.GHG Inventory Form'!$E$6="IPCC AR2 Report(1995)",'6.GWP'!$C$2,IF('1.GHG Inventory Form'!$E$6="IPCC AR3 Report(2001)",'6.GWP'!$D$2,IF('1.GHG Inventory Form'!$E$6="IPCC AR4 Report(2007)",'6.GWP'!$E$2,IF('1.GHG Inventory Form'!$E$6="IPCC AR5 Report(2013)",'6.GWP'!$F$2,IF('1.GHG Inventory Form'!$E$6="IPCC AR6 Report(2021)",'6.GWP'!$G$2,0))))),0)</f>
        <v>0</v>
      </c>
      <c r="AP141" s="332">
        <f>IF(AA141="V",IF('1.GHG Inventory Form'!$E$6="IPCC AR2 Report(1995)",'6.GWP'!$C$3,IF('1.GHG Inventory Form'!$E$6="IPCC AR3 Report(2001)",'6.GWP'!$D$3,IF('1.GHG Inventory Form'!$E$6="IPCC AR4 Report(2007)",'6.GWP'!$E$3,IF('1.GHG Inventory Form'!$E$6="IPCC AR5 Report(2013)",'6.GWP'!$F$3,IF('1.GHG Inventory Form'!$E$6="IPCC AR6 Report(2021)",'6.GWP'!$G$3,0))))),0)</f>
        <v>0</v>
      </c>
      <c r="AQ141" s="332">
        <f>IFERROR(IF(AB141="V",IF('1.GHG Inventory Form'!$E$6="IPCC AR2 Report(1995)",VLOOKUP($O141,'6.GWP'!$B$1:$G$173,2,FALSE),IF('1.GHG Inventory Form'!$E$6="IPCC AR3 Report(2001)",VLOOKUP($O141,'6.GWP'!$B$1:$G$173,3,FALSE),IF('1.GHG Inventory Form'!$E$6="IPCC AR4 Report(2007)",VLOOKUP($KQ55,'6.GWP'!$B$1:$G$173,4,FALSE),IF('1.GHG Inventory Form'!$E$6="IPCC AR5 Report(2013)",VLOOKUP($O141,'6.GWP'!$B$1:$G$173,5,FALSE),IF('1.GHG Inventory Form'!$E$6="IPCC AR6 Report(2021)",VLOOKUP($O141,'6.GWP'!$B$2:$G$173,6,FALSE),0))))),0),0)</f>
        <v>0</v>
      </c>
      <c r="AR141" s="332">
        <f>IFERROR(IF(AC141="V",IF('1.GHG Inventory Form'!$E$6="IPCC AR2 Report(1995)",VLOOKUP($O141,'6.GWP'!$B$1:$G$173,2,FALSE),IF('1.GHG Inventory Form'!$E$6="IPCC AR3 Report(2001)",VLOOKUP($O141,'6.GWP'!$B$1:$G$173,3,FALSE),IF('1.GHG Inventory Form'!$E$6="IPCC AR4 Report(2007)",VLOOKUP($KQ55,'6.GWP'!$B$1:$G$173,4,FALSE),IF('1.GHG Inventory Form'!$E$6="IPCC AR5 Report(2013)",VLOOKUP($O141,'6.GWP'!$B$1:$G$173,5,FALSE),IF('1.GHG Inventory Form'!$E$6="IPCC AR6 Report(2021)",VLOOKUP($O141,'6.GWP'!$B$2:$G$173,6,FALSE),0))))),0),0)</f>
        <v>0</v>
      </c>
      <c r="AS141" s="332">
        <f>IF(AD141="V",IF('1.GHG Inventory Form'!$E$6="IPCC AR2 Report(1995)",'6.GWP'!$C$5,IF('1.GHG Inventory Form'!$E$6="IPCC AR3 Report(2001)",'6.GWP'!$D$5,IF('1.GHG Inventory Form'!$E$6="IPCC AR4 Report(2007)",'6.GWP'!$E$5,IF('1.GHG Inventory Form'!$E$6="IPCC AR5 Report(2013)",'6.GWP'!$F$5,IF('1.GHG Inventory Form'!$E$6="IPCC AR6 Report(2021)",'6.GWP'!$G$5,0))))),0)</f>
        <v>0</v>
      </c>
      <c r="AT141" s="333">
        <f>IF(AE141="V",IF('1.GHG Inventory Form'!$E$6="IPCC AR2 Report(1995)",'6.GWP'!$C$4,IF('1.GHG Inventory Form'!$E$6="IPCC AR3 Report(2001)",'6.GWP'!$D$4,IF('1.GHG Inventory Form'!$E$6="IPCC AR4 Report(2007)",'6.GWP'!$E$4,IF('1.GHG Inventory Form'!$E$6="IPCC AR5 Report(2013)",'6.GWP'!$F$4,IF('1.GHG Inventory Form'!$E$6="IPCC AR6 Report(2021)",'6.GWP'!$G$4,0))))),0)</f>
        <v>0</v>
      </c>
      <c r="AU141" s="457" t="str">
        <f t="shared" ref="AU141:AU150" si="106">IFERROR($H141*AF141*AN141,"")</f>
        <v/>
      </c>
      <c r="AV141" s="457" t="str">
        <f t="shared" ref="AV141:AV150" si="107">IFERROR($H141*AG141*AO141,"")</f>
        <v/>
      </c>
      <c r="AW141" s="457" t="str">
        <f t="shared" ref="AW141:AW150" si="108">IFERROR($H141*AH141*AP141,"")</f>
        <v/>
      </c>
      <c r="AX141" s="457" t="str">
        <f t="shared" ref="AX141:AX150" si="109">IFERROR($H141*AI141*AQ141,"")</f>
        <v/>
      </c>
      <c r="AY141" s="457" t="str">
        <f t="shared" ref="AY141:AY150" si="110">IFERROR($H141*AJ141*AR141,"")</f>
        <v/>
      </c>
      <c r="AZ141" s="457" t="str">
        <f t="shared" ref="AZ141:AZ150" si="111">IFERROR($H141*AK141*AS141,"")</f>
        <v/>
      </c>
      <c r="BA141" s="457" t="str">
        <f t="shared" ref="BA141:BA150" si="112">IFERROR($H141*AL141*AT141,"")</f>
        <v/>
      </c>
      <c r="BB141" s="386">
        <f t="shared" si="101"/>
        <v>0</v>
      </c>
      <c r="BC141" s="358"/>
      <c r="BD141" s="360">
        <f t="shared" si="102"/>
        <v>0</v>
      </c>
      <c r="BI141" s="86" t="str">
        <f t="shared" si="103"/>
        <v/>
      </c>
      <c r="BJ141" s="86" t="str">
        <f t="shared" si="104"/>
        <v/>
      </c>
      <c r="BK141" s="86" t="str">
        <f t="shared" si="105"/>
        <v/>
      </c>
    </row>
    <row r="142" spans="2:63" customFormat="1" ht="81" customHeight="1" thickBot="1">
      <c r="B142" s="644"/>
      <c r="C142" s="653"/>
      <c r="D142" s="656"/>
      <c r="E142" s="657"/>
      <c r="F142" s="477" t="s">
        <v>240</v>
      </c>
      <c r="G142" s="507" t="s">
        <v>486</v>
      </c>
      <c r="H142" s="256" t="s">
        <v>240</v>
      </c>
      <c r="I142" s="455" t="s">
        <v>80</v>
      </c>
      <c r="J142" s="259"/>
      <c r="K142" s="361" t="s">
        <v>325</v>
      </c>
      <c r="L142" s="367">
        <v>0.51900000000000002</v>
      </c>
      <c r="M142" s="455" t="s">
        <v>487</v>
      </c>
      <c r="N142" s="506" t="s">
        <v>488</v>
      </c>
      <c r="O142" s="213"/>
      <c r="P142" s="101"/>
      <c r="Q142" s="224"/>
      <c r="R142" s="421"/>
      <c r="S142" s="421"/>
      <c r="T142" s="421"/>
      <c r="U142" s="421"/>
      <c r="V142" s="421"/>
      <c r="W142" s="421"/>
      <c r="X142" s="421"/>
      <c r="Y142" s="389" t="str">
        <f t="shared" si="91"/>
        <v>V</v>
      </c>
      <c r="Z142" s="364" t="str">
        <f t="shared" si="92"/>
        <v/>
      </c>
      <c r="AA142" s="364" t="str">
        <f t="shared" si="93"/>
        <v/>
      </c>
      <c r="AB142" s="364" t="str">
        <f t="shared" si="94"/>
        <v/>
      </c>
      <c r="AC142" s="364" t="str">
        <f t="shared" si="95"/>
        <v/>
      </c>
      <c r="AD142" s="364" t="str">
        <f t="shared" si="96"/>
        <v/>
      </c>
      <c r="AE142" s="390" t="str">
        <f t="shared" si="97"/>
        <v/>
      </c>
      <c r="AF142" s="389">
        <f t="shared" si="98"/>
        <v>0.51900000000000002</v>
      </c>
      <c r="AG142" s="364">
        <f>IFERROR(VLOOKUP($O142,#REF!,4,FALSE),0)</f>
        <v>0</v>
      </c>
      <c r="AH142" s="364">
        <f>IFERROR(VLOOKUP($O142,#REF!,6,FALSE),0)</f>
        <v>0</v>
      </c>
      <c r="AI142" s="364">
        <f>IFERROR(VLOOKUP($O142,#REF!,8,FALSE),0)</f>
        <v>0</v>
      </c>
      <c r="AJ142" s="364">
        <f>IFERROR(VLOOKUP($O142,#REF!,10,FALSE),0)</f>
        <v>0</v>
      </c>
      <c r="AK142" s="364">
        <f>IFERROR(VLOOKUP($O142,#REF!,12,FALSE),0)</f>
        <v>0</v>
      </c>
      <c r="AL142" s="364">
        <f>IFERROR(VLOOKUP($O142,#REF!,14,FALSE),0)</f>
        <v>0</v>
      </c>
      <c r="AM142" s="390" t="str">
        <f t="shared" si="99"/>
        <v>Simapro 9.4.0.2-Municipal solid waste {RoW}| treatment of, incineration</v>
      </c>
      <c r="AN142" s="431">
        <f t="shared" si="100"/>
        <v>1</v>
      </c>
      <c r="AO142" s="366">
        <f>IF(Z142="V",IF('1.GHG Inventory Form'!$E$6="IPCC AR2 Report(1995)",'6.GWP'!$C$2,IF('1.GHG Inventory Form'!$E$6="IPCC AR3 Report(2001)",'6.GWP'!$D$2,IF('1.GHG Inventory Form'!$E$6="IPCC AR4 Report(2007)",'6.GWP'!$E$2,IF('1.GHG Inventory Form'!$E$6="IPCC AR5 Report(2013)",'6.GWP'!$F$2,IF('1.GHG Inventory Form'!$E$6="IPCC AR6 Report(2021)",'6.GWP'!$G$2,0))))),0)</f>
        <v>0</v>
      </c>
      <c r="AP142" s="366">
        <f>IF(AA142="V",IF('1.GHG Inventory Form'!$E$6="IPCC AR2 Report(1995)",'6.GWP'!$C$3,IF('1.GHG Inventory Form'!$E$6="IPCC AR3 Report(2001)",'6.GWP'!$D$3,IF('1.GHG Inventory Form'!$E$6="IPCC AR4 Report(2007)",'6.GWP'!$E$3,IF('1.GHG Inventory Form'!$E$6="IPCC AR5 Report(2013)",'6.GWP'!$F$3,IF('1.GHG Inventory Form'!$E$6="IPCC AR6 Report(2021)",'6.GWP'!$G$3,0))))),0)</f>
        <v>0</v>
      </c>
      <c r="AQ142" s="366">
        <f>IFERROR(IF(AB142="V",IF('1.GHG Inventory Form'!$E$6="IPCC AR2 Report(1995)",VLOOKUP($O142,'6.GWP'!$B$1:$G$173,2,FALSE),IF('1.GHG Inventory Form'!$E$6="IPCC AR3 Report(2001)",VLOOKUP($O142,'6.GWP'!$B$1:$G$173,3,FALSE),IF('1.GHG Inventory Form'!$E$6="IPCC AR4 Report(2007)",VLOOKUP($KQ56,'6.GWP'!$B$1:$G$173,4,FALSE),IF('1.GHG Inventory Form'!$E$6="IPCC AR5 Report(2013)",VLOOKUP($O142,'6.GWP'!$B$1:$G$173,5,FALSE),IF('1.GHG Inventory Form'!$E$6="IPCC AR6 Report(2021)",VLOOKUP($O142,'6.GWP'!$B$2:$G$173,6,FALSE),0))))),0),0)</f>
        <v>0</v>
      </c>
      <c r="AR142" s="366">
        <f>IFERROR(IF(AC142="V",IF('1.GHG Inventory Form'!$E$6="IPCC AR2 Report(1995)",VLOOKUP($O142,'6.GWP'!$B$1:$G$173,2,FALSE),IF('1.GHG Inventory Form'!$E$6="IPCC AR3 Report(2001)",VLOOKUP($O142,'6.GWP'!$B$1:$G$173,3,FALSE),IF('1.GHG Inventory Form'!$E$6="IPCC AR4 Report(2007)",VLOOKUP($KQ56,'6.GWP'!$B$1:$G$173,4,FALSE),IF('1.GHG Inventory Form'!$E$6="IPCC AR5 Report(2013)",VLOOKUP($O142,'6.GWP'!$B$1:$G$173,5,FALSE),IF('1.GHG Inventory Form'!$E$6="IPCC AR6 Report(2021)",VLOOKUP($O142,'6.GWP'!$B$2:$G$173,6,FALSE),0))))),0),0)</f>
        <v>0</v>
      </c>
      <c r="AS142" s="366">
        <f>IF(AD142="V",IF('1.GHG Inventory Form'!$E$6="IPCC AR2 Report(1995)",'6.GWP'!$C$5,IF('1.GHG Inventory Form'!$E$6="IPCC AR3 Report(2001)",'6.GWP'!$D$5,IF('1.GHG Inventory Form'!$E$6="IPCC AR4 Report(2007)",'6.GWP'!$E$5,IF('1.GHG Inventory Form'!$E$6="IPCC AR5 Report(2013)",'6.GWP'!$F$5,IF('1.GHG Inventory Form'!$E$6="IPCC AR6 Report(2021)",'6.GWP'!$G$5,0))))),0)</f>
        <v>0</v>
      </c>
      <c r="AT142" s="392">
        <f>IF(AE142="V",IF('1.GHG Inventory Form'!$E$6="IPCC AR2 Report(1995)",'6.GWP'!$C$4,IF('1.GHG Inventory Form'!$E$6="IPCC AR3 Report(2001)",'6.GWP'!$D$4,IF('1.GHG Inventory Form'!$E$6="IPCC AR4 Report(2007)",'6.GWP'!$E$4,IF('1.GHG Inventory Form'!$E$6="IPCC AR5 Report(2013)",'6.GWP'!$F$4,IF('1.GHG Inventory Form'!$E$6="IPCC AR6 Report(2021)",'6.GWP'!$G$4,0))))),0)</f>
        <v>0</v>
      </c>
      <c r="AU142" s="457" t="str">
        <f t="shared" si="106"/>
        <v/>
      </c>
      <c r="AV142" s="457" t="str">
        <f t="shared" si="107"/>
        <v/>
      </c>
      <c r="AW142" s="457" t="str">
        <f t="shared" si="108"/>
        <v/>
      </c>
      <c r="AX142" s="457" t="str">
        <f t="shared" si="109"/>
        <v/>
      </c>
      <c r="AY142" s="457" t="str">
        <f t="shared" si="110"/>
        <v/>
      </c>
      <c r="AZ142" s="457" t="str">
        <f t="shared" si="111"/>
        <v/>
      </c>
      <c r="BA142" s="457" t="str">
        <f t="shared" si="112"/>
        <v/>
      </c>
      <c r="BB142" s="393">
        <f t="shared" si="101"/>
        <v>0</v>
      </c>
      <c r="BC142" s="367"/>
      <c r="BD142" s="369">
        <f t="shared" si="102"/>
        <v>0</v>
      </c>
      <c r="BI142" s="86" t="str">
        <f t="shared" si="103"/>
        <v/>
      </c>
      <c r="BJ142" s="86" t="str">
        <f t="shared" si="104"/>
        <v/>
      </c>
      <c r="BK142" s="86" t="str">
        <f t="shared" si="105"/>
        <v/>
      </c>
    </row>
    <row r="143" spans="2:63" customFormat="1" ht="62.5" customHeight="1" thickBot="1">
      <c r="B143" s="644"/>
      <c r="C143" s="653"/>
      <c r="D143" s="656"/>
      <c r="E143" s="657"/>
      <c r="F143" s="477" t="s">
        <v>240</v>
      </c>
      <c r="G143" s="507" t="s">
        <v>489</v>
      </c>
      <c r="H143" s="256" t="s">
        <v>240</v>
      </c>
      <c r="I143" s="455" t="s">
        <v>80</v>
      </c>
      <c r="J143" s="259"/>
      <c r="K143" s="361" t="s">
        <v>325</v>
      </c>
      <c r="L143" s="491">
        <v>0.626</v>
      </c>
      <c r="M143" s="365" t="s">
        <v>490</v>
      </c>
      <c r="N143" s="506" t="s">
        <v>491</v>
      </c>
      <c r="O143" s="213"/>
      <c r="P143" s="101"/>
      <c r="Q143" s="182"/>
      <c r="R143" s="421"/>
      <c r="S143" s="421"/>
      <c r="T143" s="421"/>
      <c r="U143" s="421"/>
      <c r="V143" s="421"/>
      <c r="W143" s="421"/>
      <c r="X143" s="421"/>
      <c r="Y143" s="389" t="str">
        <f t="shared" si="91"/>
        <v>V</v>
      </c>
      <c r="Z143" s="364" t="str">
        <f t="shared" si="92"/>
        <v/>
      </c>
      <c r="AA143" s="364" t="str">
        <f t="shared" si="93"/>
        <v/>
      </c>
      <c r="AB143" s="364" t="str">
        <f t="shared" si="94"/>
        <v/>
      </c>
      <c r="AC143" s="364" t="str">
        <f t="shared" si="95"/>
        <v/>
      </c>
      <c r="AD143" s="364" t="str">
        <f t="shared" si="96"/>
        <v/>
      </c>
      <c r="AE143" s="390" t="str">
        <f t="shared" si="97"/>
        <v/>
      </c>
      <c r="AF143" s="389">
        <f t="shared" si="98"/>
        <v>0.626</v>
      </c>
      <c r="AG143" s="364">
        <f>IFERROR(VLOOKUP($O143,#REF!,4,FALSE),0)</f>
        <v>0</v>
      </c>
      <c r="AH143" s="364">
        <f>IFERROR(VLOOKUP($O143,#REF!,6,FALSE),0)</f>
        <v>0</v>
      </c>
      <c r="AI143" s="364">
        <f>IFERROR(VLOOKUP($O143,#REF!,8,FALSE),0)</f>
        <v>0</v>
      </c>
      <c r="AJ143" s="364">
        <f>IFERROR(VLOOKUP($O143,#REF!,10,FALSE),0)</f>
        <v>0</v>
      </c>
      <c r="AK143" s="364">
        <f>IFERROR(VLOOKUP($O143,#REF!,12,FALSE),0)</f>
        <v>0</v>
      </c>
      <c r="AL143" s="364">
        <f>IFERROR(VLOOKUP($O143,#REF!,14,FALSE),0)</f>
        <v>0</v>
      </c>
      <c r="AM143" s="390" t="str">
        <f t="shared" si="99"/>
        <v>Simapro 9.4.0.2-Municipal solid waste {RoW}| treatment of, sanitary landfill | Cut-off, U</v>
      </c>
      <c r="AN143" s="431">
        <f t="shared" si="100"/>
        <v>1</v>
      </c>
      <c r="AO143" s="366">
        <f>IF(Z143="V",IF('1.GHG Inventory Form'!$E$6="IPCC AR2 Report(1995)",'6.GWP'!$C$2,IF('1.GHG Inventory Form'!$E$6="IPCC AR3 Report(2001)",'6.GWP'!$D$2,IF('1.GHG Inventory Form'!$E$6="IPCC AR4 Report(2007)",'6.GWP'!$E$2,IF('1.GHG Inventory Form'!$E$6="IPCC AR5 Report(2013)",'6.GWP'!$F$2,IF('1.GHG Inventory Form'!$E$6="IPCC AR6 Report(2021)",'6.GWP'!$G$2,0))))),0)</f>
        <v>0</v>
      </c>
      <c r="AP143" s="366">
        <f>IF(AA143="V",IF('1.GHG Inventory Form'!$E$6="IPCC AR2 Report(1995)",'6.GWP'!$C$3,IF('1.GHG Inventory Form'!$E$6="IPCC AR3 Report(2001)",'6.GWP'!$D$3,IF('1.GHG Inventory Form'!$E$6="IPCC AR4 Report(2007)",'6.GWP'!$E$3,IF('1.GHG Inventory Form'!$E$6="IPCC AR5 Report(2013)",'6.GWP'!$F$3,IF('1.GHG Inventory Form'!$E$6="IPCC AR6 Report(2021)",'6.GWP'!$G$3,0))))),0)</f>
        <v>0</v>
      </c>
      <c r="AQ143" s="366">
        <f>IFERROR(IF(AB143="V",IF('1.GHG Inventory Form'!$E$6="IPCC AR2 Report(1995)",VLOOKUP($O143,'6.GWP'!$B$1:$G$173,2,FALSE),IF('1.GHG Inventory Form'!$E$6="IPCC AR3 Report(2001)",VLOOKUP($O143,'6.GWP'!$B$1:$G$173,3,FALSE),IF('1.GHG Inventory Form'!$E$6="IPCC AR4 Report(2007)",VLOOKUP(#REF!,'6.GWP'!$B$1:$G$173,4,FALSE),IF('1.GHG Inventory Form'!$E$6="IPCC AR5 Report(2013)",VLOOKUP($O143,'6.GWP'!$B$1:$G$173,5,FALSE),IF('1.GHG Inventory Form'!$E$6="IPCC AR6 Report(2021)",VLOOKUP($O143,'6.GWP'!$B$2:$G$173,6,FALSE),0))))),0),0)</f>
        <v>0</v>
      </c>
      <c r="AR143" s="366">
        <f>IFERROR(IF(AC143="V",IF('1.GHG Inventory Form'!$E$6="IPCC AR2 Report(1995)",VLOOKUP($O143,'6.GWP'!$B$1:$G$173,2,FALSE),IF('1.GHG Inventory Form'!$E$6="IPCC AR3 Report(2001)",VLOOKUP($O143,'6.GWP'!$B$1:$G$173,3,FALSE),IF('1.GHG Inventory Form'!$E$6="IPCC AR4 Report(2007)",VLOOKUP(#REF!,'6.GWP'!$B$1:$G$173,4,FALSE),IF('1.GHG Inventory Form'!$E$6="IPCC AR5 Report(2013)",VLOOKUP($O143,'6.GWP'!$B$1:$G$173,5,FALSE),IF('1.GHG Inventory Form'!$E$6="IPCC AR6 Report(2021)",VLOOKUP($O143,'6.GWP'!$B$2:$G$173,6,FALSE),0))))),0),0)</f>
        <v>0</v>
      </c>
      <c r="AS143" s="366">
        <f>IF(AD143="V",IF('1.GHG Inventory Form'!$E$6="IPCC AR2 Report(1995)",'6.GWP'!$C$5,IF('1.GHG Inventory Form'!$E$6="IPCC AR3 Report(2001)",'6.GWP'!$D$5,IF('1.GHG Inventory Form'!$E$6="IPCC AR4 Report(2007)",'6.GWP'!$E$5,IF('1.GHG Inventory Form'!$E$6="IPCC AR5 Report(2013)",'6.GWP'!$F$5,IF('1.GHG Inventory Form'!$E$6="IPCC AR6 Report(2021)",'6.GWP'!$G$5,0))))),0)</f>
        <v>0</v>
      </c>
      <c r="AT143" s="392">
        <f>IF(AE143="V",IF('1.GHG Inventory Form'!$E$6="IPCC AR2 Report(1995)",'6.GWP'!$C$4,IF('1.GHG Inventory Form'!$E$6="IPCC AR3 Report(2001)",'6.GWP'!$D$4,IF('1.GHG Inventory Form'!$E$6="IPCC AR4 Report(2007)",'6.GWP'!$E$4,IF('1.GHG Inventory Form'!$E$6="IPCC AR5 Report(2013)",'6.GWP'!$F$4,IF('1.GHG Inventory Form'!$E$6="IPCC AR6 Report(2021)",'6.GWP'!$G$4,0))))),0)</f>
        <v>0</v>
      </c>
      <c r="AU143" s="457" t="str">
        <f t="shared" si="106"/>
        <v/>
      </c>
      <c r="AV143" s="457" t="str">
        <f t="shared" si="107"/>
        <v/>
      </c>
      <c r="AW143" s="457" t="str">
        <f t="shared" si="108"/>
        <v/>
      </c>
      <c r="AX143" s="457" t="str">
        <f t="shared" si="109"/>
        <v/>
      </c>
      <c r="AY143" s="457" t="str">
        <f t="shared" si="110"/>
        <v/>
      </c>
      <c r="AZ143" s="457" t="str">
        <f t="shared" si="111"/>
        <v/>
      </c>
      <c r="BA143" s="457" t="str">
        <f t="shared" si="112"/>
        <v/>
      </c>
      <c r="BB143" s="393">
        <f t="shared" si="101"/>
        <v>0</v>
      </c>
      <c r="BC143" s="367"/>
      <c r="BD143" s="369">
        <f t="shared" si="102"/>
        <v>0</v>
      </c>
      <c r="BI143" s="86" t="str">
        <f t="shared" si="103"/>
        <v/>
      </c>
      <c r="BJ143" s="86" t="str">
        <f t="shared" si="104"/>
        <v/>
      </c>
      <c r="BK143" s="86" t="str">
        <f t="shared" si="105"/>
        <v/>
      </c>
    </row>
    <row r="144" spans="2:63" customFormat="1" ht="62" customHeight="1">
      <c r="B144" s="644"/>
      <c r="C144" s="653"/>
      <c r="D144" s="656"/>
      <c r="E144" s="657"/>
      <c r="F144" s="477" t="s">
        <v>386</v>
      </c>
      <c r="G144" s="507" t="s">
        <v>492</v>
      </c>
      <c r="H144" s="256">
        <v>108.646</v>
      </c>
      <c r="I144" s="455" t="s">
        <v>80</v>
      </c>
      <c r="J144" s="259"/>
      <c r="K144" s="361" t="s">
        <v>325</v>
      </c>
      <c r="L144" s="491">
        <v>0</v>
      </c>
      <c r="M144" s="365" t="s">
        <v>493</v>
      </c>
      <c r="N144" s="508"/>
      <c r="O144" s="213"/>
      <c r="P144" s="101"/>
      <c r="Q144" s="182"/>
      <c r="R144" s="421"/>
      <c r="S144" s="421"/>
      <c r="T144" s="421"/>
      <c r="U144" s="421"/>
      <c r="V144" s="421"/>
      <c r="W144" s="421"/>
      <c r="X144" s="421"/>
      <c r="Y144" s="389" t="str">
        <f t="shared" si="91"/>
        <v/>
      </c>
      <c r="Z144" s="364" t="str">
        <f t="shared" si="92"/>
        <v/>
      </c>
      <c r="AA144" s="364" t="str">
        <f t="shared" si="93"/>
        <v/>
      </c>
      <c r="AB144" s="364" t="str">
        <f t="shared" si="94"/>
        <v/>
      </c>
      <c r="AC144" s="364" t="str">
        <f t="shared" si="95"/>
        <v/>
      </c>
      <c r="AD144" s="364" t="str">
        <f t="shared" si="96"/>
        <v/>
      </c>
      <c r="AE144" s="390" t="str">
        <f t="shared" si="97"/>
        <v/>
      </c>
      <c r="AF144" s="389">
        <f t="shared" si="98"/>
        <v>0</v>
      </c>
      <c r="AG144" s="364">
        <f>IFERROR(VLOOKUP($O144,#REF!,4,FALSE),0)</f>
        <v>0</v>
      </c>
      <c r="AH144" s="364">
        <f>IFERROR(VLOOKUP($O144,#REF!,6,FALSE),0)</f>
        <v>0</v>
      </c>
      <c r="AI144" s="364">
        <f>IFERROR(VLOOKUP($O144,#REF!,8,FALSE),0)</f>
        <v>0</v>
      </c>
      <c r="AJ144" s="364">
        <f>IFERROR(VLOOKUP($O144,#REF!,10,FALSE),0)</f>
        <v>0</v>
      </c>
      <c r="AK144" s="364">
        <f>IFERROR(VLOOKUP($O144,#REF!,12,FALSE),0)</f>
        <v>0</v>
      </c>
      <c r="AL144" s="364">
        <f>IFERROR(VLOOKUP($O144,#REF!,14,FALSE),0)</f>
        <v>0</v>
      </c>
      <c r="AM144" s="390">
        <f t="shared" si="99"/>
        <v>0</v>
      </c>
      <c r="AN144" s="431">
        <f t="shared" si="100"/>
        <v>0</v>
      </c>
      <c r="AO144" s="366">
        <f>IF(Z144="V",IF('1.GHG Inventory Form'!$E$6="IPCC AR2 Report(1995)",'6.GWP'!$C$2,IF('1.GHG Inventory Form'!$E$6="IPCC AR3 Report(2001)",'6.GWP'!$D$2,IF('1.GHG Inventory Form'!$E$6="IPCC AR4 Report(2007)",'6.GWP'!$E$2,IF('1.GHG Inventory Form'!$E$6="IPCC AR5 Report(2013)",'6.GWP'!$F$2,IF('1.GHG Inventory Form'!$E$6="IPCC AR6 Report(2021)",'6.GWP'!$G$2,0))))),0)</f>
        <v>0</v>
      </c>
      <c r="AP144" s="366">
        <f>IF(AA144="V",IF('1.GHG Inventory Form'!$E$6="IPCC AR2 Report(1995)",'6.GWP'!$C$3,IF('1.GHG Inventory Form'!$E$6="IPCC AR3 Report(2001)",'6.GWP'!$D$3,IF('1.GHG Inventory Form'!$E$6="IPCC AR4 Report(2007)",'6.GWP'!$E$3,IF('1.GHG Inventory Form'!$E$6="IPCC AR5 Report(2013)",'6.GWP'!$F$3,IF('1.GHG Inventory Form'!$E$6="IPCC AR6 Report(2021)",'6.GWP'!$G$3,0))))),0)</f>
        <v>0</v>
      </c>
      <c r="AQ144" s="366">
        <f>IFERROR(IF(AB144="V",IF('1.GHG Inventory Form'!$E$6="IPCC AR2 Report(1995)",VLOOKUP($O144,'6.GWP'!$B$1:$G$173,2,FALSE),IF('1.GHG Inventory Form'!$E$6="IPCC AR3 Report(2001)",VLOOKUP($O144,'6.GWP'!$B$1:$G$173,3,FALSE),IF('1.GHG Inventory Form'!$E$6="IPCC AR4 Report(2007)",VLOOKUP($KQ57,'6.GWP'!$B$1:$G$173,4,FALSE),IF('1.GHG Inventory Form'!$E$6="IPCC AR5 Report(2013)",VLOOKUP($O144,'6.GWP'!$B$1:$G$173,5,FALSE),IF('1.GHG Inventory Form'!$E$6="IPCC AR6 Report(2021)",VLOOKUP($O144,'6.GWP'!$B$2:$G$173,6,FALSE),0))))),0),0)</f>
        <v>0</v>
      </c>
      <c r="AR144" s="366">
        <f>IFERROR(IF(AC144="V",IF('1.GHG Inventory Form'!$E$6="IPCC AR2 Report(1995)",VLOOKUP($O144,'6.GWP'!$B$1:$G$173,2,FALSE),IF('1.GHG Inventory Form'!$E$6="IPCC AR3 Report(2001)",VLOOKUP($O144,'6.GWP'!$B$1:$G$173,3,FALSE),IF('1.GHG Inventory Form'!$E$6="IPCC AR4 Report(2007)",VLOOKUP($KQ57,'6.GWP'!$B$1:$G$173,4,FALSE),IF('1.GHG Inventory Form'!$E$6="IPCC AR5 Report(2013)",VLOOKUP($O144,'6.GWP'!$B$1:$G$173,5,FALSE),IF('1.GHG Inventory Form'!$E$6="IPCC AR6 Report(2021)",VLOOKUP($O144,'6.GWP'!$B$2:$G$173,6,FALSE),0))))),0),0)</f>
        <v>0</v>
      </c>
      <c r="AS144" s="366">
        <f>IF(AD144="V",IF('1.GHG Inventory Form'!$E$6="IPCC AR2 Report(1995)",'6.GWP'!$C$5,IF('1.GHG Inventory Form'!$E$6="IPCC AR3 Report(2001)",'6.GWP'!$D$5,IF('1.GHG Inventory Form'!$E$6="IPCC AR4 Report(2007)",'6.GWP'!$E$5,IF('1.GHG Inventory Form'!$E$6="IPCC AR5 Report(2013)",'6.GWP'!$F$5,IF('1.GHG Inventory Form'!$E$6="IPCC AR6 Report(2021)",'6.GWP'!$G$5,0))))),0)</f>
        <v>0</v>
      </c>
      <c r="AT144" s="392">
        <f>IF(AE144="V",IF('1.GHG Inventory Form'!$E$6="IPCC AR2 Report(1995)",'6.GWP'!$C$4,IF('1.GHG Inventory Form'!$E$6="IPCC AR3 Report(2001)",'6.GWP'!$D$4,IF('1.GHG Inventory Form'!$E$6="IPCC AR4 Report(2007)",'6.GWP'!$E$4,IF('1.GHG Inventory Form'!$E$6="IPCC AR5 Report(2013)",'6.GWP'!$F$4,IF('1.GHG Inventory Form'!$E$6="IPCC AR6 Report(2021)",'6.GWP'!$G$4,0))))),0)</f>
        <v>0</v>
      </c>
      <c r="AU144" s="457">
        <f t="shared" si="106"/>
        <v>0</v>
      </c>
      <c r="AV144" s="457">
        <f t="shared" si="107"/>
        <v>0</v>
      </c>
      <c r="AW144" s="457">
        <f t="shared" si="108"/>
        <v>0</v>
      </c>
      <c r="AX144" s="457">
        <f t="shared" si="109"/>
        <v>0</v>
      </c>
      <c r="AY144" s="457">
        <f t="shared" si="110"/>
        <v>0</v>
      </c>
      <c r="AZ144" s="457">
        <f t="shared" si="111"/>
        <v>0</v>
      </c>
      <c r="BA144" s="457">
        <f t="shared" si="112"/>
        <v>0</v>
      </c>
      <c r="BB144" s="393">
        <f t="shared" si="101"/>
        <v>0</v>
      </c>
      <c r="BC144" s="367"/>
      <c r="BD144" s="369">
        <f t="shared" si="102"/>
        <v>0</v>
      </c>
      <c r="BI144" s="86" t="str">
        <f t="shared" si="103"/>
        <v>一般事業廢棄物-再利用
Emissions from the disposal of solid and liquid waste - from the Reuse (General Waste)</v>
      </c>
      <c r="BJ144" s="86" t="str">
        <f t="shared" si="104"/>
        <v/>
      </c>
      <c r="BK144" s="86" t="str">
        <f t="shared" si="105"/>
        <v/>
      </c>
    </row>
    <row r="145" spans="2:63" customFormat="1" ht="93" customHeight="1">
      <c r="B145" s="644"/>
      <c r="C145" s="653"/>
      <c r="D145" s="656"/>
      <c r="E145" s="657"/>
      <c r="F145" s="477" t="s">
        <v>240</v>
      </c>
      <c r="G145" s="507" t="s">
        <v>494</v>
      </c>
      <c r="H145" s="254" t="s">
        <v>240</v>
      </c>
      <c r="I145" s="455" t="s">
        <v>80</v>
      </c>
      <c r="J145" s="259"/>
      <c r="K145" s="361" t="s">
        <v>325</v>
      </c>
      <c r="L145" s="491">
        <v>2.5499999999999998</v>
      </c>
      <c r="M145" s="365" t="s">
        <v>495</v>
      </c>
      <c r="N145" s="506" t="s">
        <v>496</v>
      </c>
      <c r="O145" s="213"/>
      <c r="P145" s="101"/>
      <c r="Q145" s="182"/>
      <c r="R145" s="421"/>
      <c r="S145" s="421"/>
      <c r="T145" s="421"/>
      <c r="U145" s="421"/>
      <c r="V145" s="421"/>
      <c r="W145" s="421"/>
      <c r="X145" s="421"/>
      <c r="Y145" s="389" t="str">
        <f t="shared" si="91"/>
        <v>V</v>
      </c>
      <c r="Z145" s="364" t="str">
        <f t="shared" si="92"/>
        <v/>
      </c>
      <c r="AA145" s="364" t="str">
        <f t="shared" si="93"/>
        <v/>
      </c>
      <c r="AB145" s="364" t="str">
        <f t="shared" si="94"/>
        <v/>
      </c>
      <c r="AC145" s="364" t="str">
        <f t="shared" si="95"/>
        <v/>
      </c>
      <c r="AD145" s="364" t="str">
        <f t="shared" si="96"/>
        <v/>
      </c>
      <c r="AE145" s="390" t="str">
        <f t="shared" si="97"/>
        <v/>
      </c>
      <c r="AF145" s="389">
        <f t="shared" si="98"/>
        <v>2.5499999999999998</v>
      </c>
      <c r="AG145" s="364">
        <f>IFERROR(VLOOKUP($O145,#REF!,4,FALSE),0)</f>
        <v>0</v>
      </c>
      <c r="AH145" s="364">
        <f>IFERROR(VLOOKUP($O145,#REF!,6,FALSE),0)</f>
        <v>0</v>
      </c>
      <c r="AI145" s="364">
        <f>IFERROR(VLOOKUP($O145,#REF!,8,FALSE),0)</f>
        <v>0</v>
      </c>
      <c r="AJ145" s="364">
        <f>IFERROR(VLOOKUP($O145,#REF!,10,FALSE),0)</f>
        <v>0</v>
      </c>
      <c r="AK145" s="364">
        <f>IFERROR(VLOOKUP($O145,#REF!,12,FALSE),0)</f>
        <v>0</v>
      </c>
      <c r="AL145" s="364">
        <f>IFERROR(VLOOKUP($O145,#REF!,14,FALSE),0)</f>
        <v>0</v>
      </c>
      <c r="AM145" s="390" t="str">
        <f t="shared" si="99"/>
        <v xml:space="preserve">Simapro 9.4.0.2-Hazardous waste, for incineration {Europe without Switzerland}| market for hazardous waste, for incineration </v>
      </c>
      <c r="AN145" s="431">
        <f t="shared" si="100"/>
        <v>1</v>
      </c>
      <c r="AO145" s="366">
        <f>IF(Z145="V",IF('1.GHG Inventory Form'!$E$6="IPCC AR2 Report(1995)",'6.GWP'!$C$2,IF('1.GHG Inventory Form'!$E$6="IPCC AR3 Report(2001)",'6.GWP'!$D$2,IF('1.GHG Inventory Form'!$E$6="IPCC AR4 Report(2007)",'6.GWP'!$E$2,IF('1.GHG Inventory Form'!$E$6="IPCC AR5 Report(2013)",'6.GWP'!$F$2,IF('1.GHG Inventory Form'!$E$6="IPCC AR6 Report(2021)",'6.GWP'!$G$2,0))))),0)</f>
        <v>0</v>
      </c>
      <c r="AP145" s="366">
        <f>IF(AA145="V",IF('1.GHG Inventory Form'!$E$6="IPCC AR2 Report(1995)",'6.GWP'!$C$3,IF('1.GHG Inventory Form'!$E$6="IPCC AR3 Report(2001)",'6.GWP'!$D$3,IF('1.GHG Inventory Form'!$E$6="IPCC AR4 Report(2007)",'6.GWP'!$E$3,IF('1.GHG Inventory Form'!$E$6="IPCC AR5 Report(2013)",'6.GWP'!$F$3,IF('1.GHG Inventory Form'!$E$6="IPCC AR6 Report(2021)",'6.GWP'!$G$3,0))))),0)</f>
        <v>0</v>
      </c>
      <c r="AQ145" s="366">
        <f>IFERROR(IF(AB145="V",IF('1.GHG Inventory Form'!$E$6="IPCC AR2 Report(1995)",VLOOKUP($O145,'6.GWP'!$B$1:$G$173,2,FALSE),IF('1.GHG Inventory Form'!$E$6="IPCC AR3 Report(2001)",VLOOKUP($O145,'6.GWP'!$B$1:$G$173,3,FALSE),IF('1.GHG Inventory Form'!$E$6="IPCC AR4 Report(2007)",VLOOKUP($KQ58,'6.GWP'!$B$1:$G$173,4,FALSE),IF('1.GHG Inventory Form'!$E$6="IPCC AR5 Report(2013)",VLOOKUP($O145,'6.GWP'!$B$1:$G$173,5,FALSE),IF('1.GHG Inventory Form'!$E$6="IPCC AR6 Report(2021)",VLOOKUP($O145,'6.GWP'!$B$2:$G$173,6,FALSE),0))))),0),0)</f>
        <v>0</v>
      </c>
      <c r="AR145" s="366">
        <f>IFERROR(IF(AC145="V",IF('1.GHG Inventory Form'!$E$6="IPCC AR2 Report(1995)",VLOOKUP($O145,'6.GWP'!$B$1:$G$173,2,FALSE),IF('1.GHG Inventory Form'!$E$6="IPCC AR3 Report(2001)",VLOOKUP($O145,'6.GWP'!$B$1:$G$173,3,FALSE),IF('1.GHG Inventory Form'!$E$6="IPCC AR4 Report(2007)",VLOOKUP($KQ58,'6.GWP'!$B$1:$G$173,4,FALSE),IF('1.GHG Inventory Form'!$E$6="IPCC AR5 Report(2013)",VLOOKUP($O145,'6.GWP'!$B$1:$G$173,5,FALSE),IF('1.GHG Inventory Form'!$E$6="IPCC AR6 Report(2021)",VLOOKUP($O145,'6.GWP'!$B$2:$G$173,6,FALSE),0))))),0),0)</f>
        <v>0</v>
      </c>
      <c r="AS145" s="366">
        <f>IF(AD145="V",IF('1.GHG Inventory Form'!$E$6="IPCC AR2 Report(1995)",'6.GWP'!$C$5,IF('1.GHG Inventory Form'!$E$6="IPCC AR3 Report(2001)",'6.GWP'!$D$5,IF('1.GHG Inventory Form'!$E$6="IPCC AR4 Report(2007)",'6.GWP'!$E$5,IF('1.GHG Inventory Form'!$E$6="IPCC AR5 Report(2013)",'6.GWP'!$F$5,IF('1.GHG Inventory Form'!$E$6="IPCC AR6 Report(2021)",'6.GWP'!$G$5,0))))),0)</f>
        <v>0</v>
      </c>
      <c r="AT145" s="392">
        <f>IF(AE145="V",IF('1.GHG Inventory Form'!$E$6="IPCC AR2 Report(1995)",'6.GWP'!$C$4,IF('1.GHG Inventory Form'!$E$6="IPCC AR3 Report(2001)",'6.GWP'!$D$4,IF('1.GHG Inventory Form'!$E$6="IPCC AR4 Report(2007)",'6.GWP'!$E$4,IF('1.GHG Inventory Form'!$E$6="IPCC AR5 Report(2013)",'6.GWP'!$F$4,IF('1.GHG Inventory Form'!$E$6="IPCC AR6 Report(2021)",'6.GWP'!$G$4,0))))),0)</f>
        <v>0</v>
      </c>
      <c r="AU145" s="457" t="str">
        <f t="shared" si="106"/>
        <v/>
      </c>
      <c r="AV145" s="457" t="str">
        <f t="shared" si="107"/>
        <v/>
      </c>
      <c r="AW145" s="457" t="str">
        <f t="shared" si="108"/>
        <v/>
      </c>
      <c r="AX145" s="457" t="str">
        <f t="shared" si="109"/>
        <v/>
      </c>
      <c r="AY145" s="457" t="str">
        <f t="shared" si="110"/>
        <v/>
      </c>
      <c r="AZ145" s="457" t="str">
        <f t="shared" si="111"/>
        <v/>
      </c>
      <c r="BA145" s="457" t="str">
        <f t="shared" si="112"/>
        <v/>
      </c>
      <c r="BB145" s="393">
        <f t="shared" si="101"/>
        <v>0</v>
      </c>
      <c r="BC145" s="367"/>
      <c r="BD145" s="369">
        <f t="shared" si="102"/>
        <v>0</v>
      </c>
      <c r="BI145" s="86" t="str">
        <f t="shared" si="103"/>
        <v/>
      </c>
      <c r="BJ145" s="86" t="str">
        <f t="shared" si="104"/>
        <v/>
      </c>
      <c r="BK145" s="86" t="str">
        <f t="shared" si="105"/>
        <v/>
      </c>
    </row>
    <row r="146" spans="2:63" customFormat="1" ht="93" customHeight="1">
      <c r="B146" s="644"/>
      <c r="C146" s="653"/>
      <c r="D146" s="656"/>
      <c r="E146" s="657"/>
      <c r="F146" s="477" t="s">
        <v>240</v>
      </c>
      <c r="G146" s="507" t="s">
        <v>497</v>
      </c>
      <c r="H146" s="254" t="s">
        <v>240</v>
      </c>
      <c r="I146" s="455" t="s">
        <v>80</v>
      </c>
      <c r="J146" s="259"/>
      <c r="K146" s="361" t="s">
        <v>325</v>
      </c>
      <c r="L146" s="491">
        <v>2.5499999999999998</v>
      </c>
      <c r="M146" s="365" t="s">
        <v>498</v>
      </c>
      <c r="N146" s="506" t="s">
        <v>499</v>
      </c>
      <c r="O146" s="213"/>
      <c r="P146" s="101"/>
      <c r="Q146" s="182"/>
      <c r="R146" s="421"/>
      <c r="S146" s="421"/>
      <c r="T146" s="421"/>
      <c r="U146" s="421"/>
      <c r="V146" s="421"/>
      <c r="W146" s="421"/>
      <c r="X146" s="421"/>
      <c r="Y146" s="389" t="str">
        <f t="shared" si="91"/>
        <v>V</v>
      </c>
      <c r="Z146" s="364" t="str">
        <f t="shared" si="92"/>
        <v/>
      </c>
      <c r="AA146" s="364" t="str">
        <f t="shared" si="93"/>
        <v/>
      </c>
      <c r="AB146" s="364" t="str">
        <f t="shared" si="94"/>
        <v/>
      </c>
      <c r="AC146" s="364" t="str">
        <f t="shared" si="95"/>
        <v/>
      </c>
      <c r="AD146" s="364" t="str">
        <f t="shared" si="96"/>
        <v/>
      </c>
      <c r="AE146" s="390" t="str">
        <f t="shared" si="97"/>
        <v/>
      </c>
      <c r="AF146" s="389">
        <f t="shared" si="98"/>
        <v>2.5499999999999998</v>
      </c>
      <c r="AG146" s="364">
        <f>IFERROR(VLOOKUP($O146,#REF!,4,FALSE),0)</f>
        <v>0</v>
      </c>
      <c r="AH146" s="364">
        <f>IFERROR(VLOOKUP($O146,#REF!,6,FALSE),0)</f>
        <v>0</v>
      </c>
      <c r="AI146" s="364">
        <f>IFERROR(VLOOKUP($O146,#REF!,8,FALSE),0)</f>
        <v>0</v>
      </c>
      <c r="AJ146" s="364">
        <f>IFERROR(VLOOKUP($O146,#REF!,10,FALSE),0)</f>
        <v>0</v>
      </c>
      <c r="AK146" s="364">
        <f>IFERROR(VLOOKUP($O146,#REF!,12,FALSE),0)</f>
        <v>0</v>
      </c>
      <c r="AL146" s="364">
        <f>IFERROR(VLOOKUP($O146,#REF!,14,FALSE),0)</f>
        <v>0</v>
      </c>
      <c r="AM146" s="390" t="str">
        <f t="shared" si="99"/>
        <v xml:space="preserve">Simapro 9.4.0.2-Hazardous waste, for incineration {Europe without Switzerland}| market for hazardous waste, for incineration </v>
      </c>
      <c r="AN146" s="431">
        <f t="shared" si="100"/>
        <v>1</v>
      </c>
      <c r="AO146" s="366">
        <f>IF(Z146="V",IF('1.GHG Inventory Form'!$E$6="IPCC AR2 Report(1995)",'6.GWP'!$C$2,IF('1.GHG Inventory Form'!$E$6="IPCC AR3 Report(2001)",'6.GWP'!$D$2,IF('1.GHG Inventory Form'!$E$6="IPCC AR4 Report(2007)",'6.GWP'!$E$2,IF('1.GHG Inventory Form'!$E$6="IPCC AR5 Report(2013)",'6.GWP'!$F$2,IF('1.GHG Inventory Form'!$E$6="IPCC AR6 Report(2021)",'6.GWP'!$G$2,0))))),0)</f>
        <v>0</v>
      </c>
      <c r="AP146" s="366">
        <f>IF(AA146="V",IF('1.GHG Inventory Form'!$E$6="IPCC AR2 Report(1995)",'6.GWP'!$C$3,IF('1.GHG Inventory Form'!$E$6="IPCC AR3 Report(2001)",'6.GWP'!$D$3,IF('1.GHG Inventory Form'!$E$6="IPCC AR4 Report(2007)",'6.GWP'!$E$3,IF('1.GHG Inventory Form'!$E$6="IPCC AR5 Report(2013)",'6.GWP'!$F$3,IF('1.GHG Inventory Form'!$E$6="IPCC AR6 Report(2021)",'6.GWP'!$G$3,0))))),0)</f>
        <v>0</v>
      </c>
      <c r="AQ146" s="366">
        <f>IFERROR(IF(AB146="V",IF('1.GHG Inventory Form'!$E$6="IPCC AR2 Report(1995)",VLOOKUP($O146,'6.GWP'!$B$1:$G$173,2,FALSE),IF('1.GHG Inventory Form'!$E$6="IPCC AR3 Report(2001)",VLOOKUP($O146,'6.GWP'!$B$1:$G$173,3,FALSE),IF('1.GHG Inventory Form'!$E$6="IPCC AR4 Report(2007)",VLOOKUP($KQ59,'6.GWP'!$B$1:$G$173,4,FALSE),IF('1.GHG Inventory Form'!$E$6="IPCC AR5 Report(2013)",VLOOKUP($O146,'6.GWP'!$B$1:$G$173,5,FALSE),IF('1.GHG Inventory Form'!$E$6="IPCC AR6 Report(2021)",VLOOKUP($O146,'6.GWP'!$B$2:$G$173,6,FALSE),0))))),0),0)</f>
        <v>0</v>
      </c>
      <c r="AR146" s="366">
        <f>IFERROR(IF(AC146="V",IF('1.GHG Inventory Form'!$E$6="IPCC AR2 Report(1995)",VLOOKUP($O146,'6.GWP'!$B$1:$G$173,2,FALSE),IF('1.GHG Inventory Form'!$E$6="IPCC AR3 Report(2001)",VLOOKUP($O146,'6.GWP'!$B$1:$G$173,3,FALSE),IF('1.GHG Inventory Form'!$E$6="IPCC AR4 Report(2007)",VLOOKUP($KQ59,'6.GWP'!$B$1:$G$173,4,FALSE),IF('1.GHG Inventory Form'!$E$6="IPCC AR5 Report(2013)",VLOOKUP($O146,'6.GWP'!$B$1:$G$173,5,FALSE),IF('1.GHG Inventory Form'!$E$6="IPCC AR6 Report(2021)",VLOOKUP($O146,'6.GWP'!$B$2:$G$173,6,FALSE),0))))),0),0)</f>
        <v>0</v>
      </c>
      <c r="AS146" s="366">
        <f>IF(AD146="V",IF('1.GHG Inventory Form'!$E$6="IPCC AR2 Report(1995)",'6.GWP'!$C$5,IF('1.GHG Inventory Form'!$E$6="IPCC AR3 Report(2001)",'6.GWP'!$D$5,IF('1.GHG Inventory Form'!$E$6="IPCC AR4 Report(2007)",'6.GWP'!$E$5,IF('1.GHG Inventory Form'!$E$6="IPCC AR5 Report(2013)",'6.GWP'!$F$5,IF('1.GHG Inventory Form'!$E$6="IPCC AR6 Report(2021)",'6.GWP'!$G$5,0))))),0)</f>
        <v>0</v>
      </c>
      <c r="AT146" s="392">
        <f>IF(AE146="V",IF('1.GHG Inventory Form'!$E$6="IPCC AR2 Report(1995)",'6.GWP'!$C$4,IF('1.GHG Inventory Form'!$E$6="IPCC AR3 Report(2001)",'6.GWP'!$D$4,IF('1.GHG Inventory Form'!$E$6="IPCC AR4 Report(2007)",'6.GWP'!$E$4,IF('1.GHG Inventory Form'!$E$6="IPCC AR5 Report(2013)",'6.GWP'!$F$4,IF('1.GHG Inventory Form'!$E$6="IPCC AR6 Report(2021)",'6.GWP'!$G$4,0))))),0)</f>
        <v>0</v>
      </c>
      <c r="AU146" s="457" t="str">
        <f t="shared" si="106"/>
        <v/>
      </c>
      <c r="AV146" s="457" t="str">
        <f t="shared" si="107"/>
        <v/>
      </c>
      <c r="AW146" s="457" t="str">
        <f t="shared" si="108"/>
        <v/>
      </c>
      <c r="AX146" s="457" t="str">
        <f t="shared" si="109"/>
        <v/>
      </c>
      <c r="AY146" s="457" t="str">
        <f t="shared" si="110"/>
        <v/>
      </c>
      <c r="AZ146" s="457" t="str">
        <f t="shared" si="111"/>
        <v/>
      </c>
      <c r="BA146" s="457" t="str">
        <f t="shared" si="112"/>
        <v/>
      </c>
      <c r="BB146" s="393">
        <f t="shared" si="101"/>
        <v>0</v>
      </c>
      <c r="BC146" s="367"/>
      <c r="BD146" s="369">
        <f t="shared" si="102"/>
        <v>0</v>
      </c>
      <c r="BI146" s="86" t="str">
        <f t="shared" si="103"/>
        <v/>
      </c>
      <c r="BJ146" s="86" t="str">
        <f t="shared" si="104"/>
        <v/>
      </c>
      <c r="BK146" s="86" t="str">
        <f t="shared" si="105"/>
        <v/>
      </c>
    </row>
    <row r="147" spans="2:63" customFormat="1" ht="62.5" customHeight="1" thickBot="1">
      <c r="B147" s="644"/>
      <c r="C147" s="653"/>
      <c r="D147" s="656"/>
      <c r="E147" s="657"/>
      <c r="F147" s="477" t="s">
        <v>240</v>
      </c>
      <c r="G147" s="507" t="s">
        <v>500</v>
      </c>
      <c r="H147" s="254" t="s">
        <v>240</v>
      </c>
      <c r="I147" s="455" t="s">
        <v>80</v>
      </c>
      <c r="J147" s="259"/>
      <c r="K147" s="361" t="s">
        <v>325</v>
      </c>
      <c r="L147" s="491">
        <v>0.626</v>
      </c>
      <c r="M147" s="365" t="s">
        <v>501</v>
      </c>
      <c r="N147" s="506" t="s">
        <v>502</v>
      </c>
      <c r="O147" s="213"/>
      <c r="P147" s="101"/>
      <c r="Q147" s="182"/>
      <c r="R147" s="421"/>
      <c r="S147" s="421"/>
      <c r="T147" s="421"/>
      <c r="U147" s="421"/>
      <c r="V147" s="421"/>
      <c r="W147" s="421"/>
      <c r="X147" s="421"/>
      <c r="Y147" s="389" t="str">
        <f t="shared" si="91"/>
        <v>V</v>
      </c>
      <c r="Z147" s="364" t="str">
        <f t="shared" si="92"/>
        <v/>
      </c>
      <c r="AA147" s="364" t="str">
        <f t="shared" si="93"/>
        <v/>
      </c>
      <c r="AB147" s="364" t="str">
        <f t="shared" si="94"/>
        <v/>
      </c>
      <c r="AC147" s="364" t="str">
        <f t="shared" si="95"/>
        <v/>
      </c>
      <c r="AD147" s="364" t="str">
        <f t="shared" si="96"/>
        <v/>
      </c>
      <c r="AE147" s="390" t="str">
        <f t="shared" si="97"/>
        <v/>
      </c>
      <c r="AF147" s="389">
        <f t="shared" si="98"/>
        <v>0.626</v>
      </c>
      <c r="AG147" s="364">
        <f>IFERROR(VLOOKUP($O147,#REF!,4,FALSE),0)</f>
        <v>0</v>
      </c>
      <c r="AH147" s="364">
        <f>IFERROR(VLOOKUP($O147,#REF!,6,FALSE),0)</f>
        <v>0</v>
      </c>
      <c r="AI147" s="364">
        <f>IFERROR(VLOOKUP($O147,#REF!,8,FALSE),0)</f>
        <v>0</v>
      </c>
      <c r="AJ147" s="364">
        <f>IFERROR(VLOOKUP($O147,#REF!,10,FALSE),0)</f>
        <v>0</v>
      </c>
      <c r="AK147" s="364">
        <f>IFERROR(VLOOKUP($O147,#REF!,12,FALSE),0)</f>
        <v>0</v>
      </c>
      <c r="AL147" s="364">
        <f>IFERROR(VLOOKUP($O147,#REF!,14,FALSE),0)</f>
        <v>0</v>
      </c>
      <c r="AM147" s="390" t="str">
        <f t="shared" si="99"/>
        <v>Simapro 9.4.0.2-Municipal solid waste {RoW}| treatment of, sanitary landfill | Cut-off, U</v>
      </c>
      <c r="AN147" s="431">
        <f t="shared" si="100"/>
        <v>1</v>
      </c>
      <c r="AO147" s="366">
        <f>IF(Z147="V",IF('1.GHG Inventory Form'!$E$6="IPCC AR2 Report(1995)",'6.GWP'!$C$2,IF('1.GHG Inventory Form'!$E$6="IPCC AR3 Report(2001)",'6.GWP'!$D$2,IF('1.GHG Inventory Form'!$E$6="IPCC AR4 Report(2007)",'6.GWP'!$E$2,IF('1.GHG Inventory Form'!$E$6="IPCC AR5 Report(2013)",'6.GWP'!$F$2,IF('1.GHG Inventory Form'!$E$6="IPCC AR6 Report(2021)",'6.GWP'!$G$2,0))))),0)</f>
        <v>0</v>
      </c>
      <c r="AP147" s="366">
        <f>IF(AA147="V",IF('1.GHG Inventory Form'!$E$6="IPCC AR2 Report(1995)",'6.GWP'!$C$3,IF('1.GHG Inventory Form'!$E$6="IPCC AR3 Report(2001)",'6.GWP'!$D$3,IF('1.GHG Inventory Form'!$E$6="IPCC AR4 Report(2007)",'6.GWP'!$E$3,IF('1.GHG Inventory Form'!$E$6="IPCC AR5 Report(2013)",'6.GWP'!$F$3,IF('1.GHG Inventory Form'!$E$6="IPCC AR6 Report(2021)",'6.GWP'!$G$3,0))))),0)</f>
        <v>0</v>
      </c>
      <c r="AQ147" s="366">
        <f>IFERROR(IF(AB147="V",IF('1.GHG Inventory Form'!$E$6="IPCC AR2 Report(1995)",VLOOKUP($O147,'6.GWP'!$B$1:$G$173,2,FALSE),IF('1.GHG Inventory Form'!$E$6="IPCC AR3 Report(2001)",VLOOKUP($O147,'6.GWP'!$B$1:$G$173,3,FALSE),IF('1.GHG Inventory Form'!$E$6="IPCC AR4 Report(2007)",VLOOKUP($KQ67,'6.GWP'!$B$1:$G$173,4,FALSE),IF('1.GHG Inventory Form'!$E$6="IPCC AR5 Report(2013)",VLOOKUP($O147,'6.GWP'!$B$1:$G$173,5,FALSE),IF('1.GHG Inventory Form'!$E$6="IPCC AR6 Report(2021)",VLOOKUP($O147,'6.GWP'!$B$2:$G$173,6,FALSE),0))))),0),0)</f>
        <v>0</v>
      </c>
      <c r="AR147" s="366">
        <f>IFERROR(IF(AC147="V",IF('1.GHG Inventory Form'!$E$6="IPCC AR2 Report(1995)",VLOOKUP($O147,'6.GWP'!$B$1:$G$173,2,FALSE),IF('1.GHG Inventory Form'!$E$6="IPCC AR3 Report(2001)",VLOOKUP($O147,'6.GWP'!$B$1:$G$173,3,FALSE),IF('1.GHG Inventory Form'!$E$6="IPCC AR4 Report(2007)",VLOOKUP($KQ67,'6.GWP'!$B$1:$G$173,4,FALSE),IF('1.GHG Inventory Form'!$E$6="IPCC AR5 Report(2013)",VLOOKUP($O147,'6.GWP'!$B$1:$G$173,5,FALSE),IF('1.GHG Inventory Form'!$E$6="IPCC AR6 Report(2021)",VLOOKUP($O147,'6.GWP'!$B$2:$G$173,6,FALSE),0))))),0),0)</f>
        <v>0</v>
      </c>
      <c r="AS147" s="366">
        <f>IF(AD147="V",IF('1.GHG Inventory Form'!$E$6="IPCC AR2 Report(1995)",'6.GWP'!$C$5,IF('1.GHG Inventory Form'!$E$6="IPCC AR3 Report(2001)",'6.GWP'!$D$5,IF('1.GHG Inventory Form'!$E$6="IPCC AR4 Report(2007)",'6.GWP'!$E$5,IF('1.GHG Inventory Form'!$E$6="IPCC AR5 Report(2013)",'6.GWP'!$F$5,IF('1.GHG Inventory Form'!$E$6="IPCC AR6 Report(2021)",'6.GWP'!$G$5,0))))),0)</f>
        <v>0</v>
      </c>
      <c r="AT147" s="392">
        <f>IF(AE147="V",IF('1.GHG Inventory Form'!$E$6="IPCC AR2 Report(1995)",'6.GWP'!$C$4,IF('1.GHG Inventory Form'!$E$6="IPCC AR3 Report(2001)",'6.GWP'!$D$4,IF('1.GHG Inventory Form'!$E$6="IPCC AR4 Report(2007)",'6.GWP'!$E$4,IF('1.GHG Inventory Form'!$E$6="IPCC AR5 Report(2013)",'6.GWP'!$F$4,IF('1.GHG Inventory Form'!$E$6="IPCC AR6 Report(2021)",'6.GWP'!$G$4,0))))),0)</f>
        <v>0</v>
      </c>
      <c r="AU147" s="457" t="str">
        <f t="shared" si="106"/>
        <v/>
      </c>
      <c r="AV147" s="457" t="str">
        <f t="shared" si="107"/>
        <v/>
      </c>
      <c r="AW147" s="457" t="str">
        <f t="shared" si="108"/>
        <v/>
      </c>
      <c r="AX147" s="457" t="str">
        <f t="shared" si="109"/>
        <v/>
      </c>
      <c r="AY147" s="457" t="str">
        <f t="shared" si="110"/>
        <v/>
      </c>
      <c r="AZ147" s="457" t="str">
        <f t="shared" si="111"/>
        <v/>
      </c>
      <c r="BA147" s="457" t="str">
        <f t="shared" si="112"/>
        <v/>
      </c>
      <c r="BB147" s="393">
        <f t="shared" si="101"/>
        <v>0</v>
      </c>
      <c r="BC147" s="367"/>
      <c r="BD147" s="369">
        <f t="shared" si="102"/>
        <v>0</v>
      </c>
      <c r="BI147" s="86" t="str">
        <f t="shared" si="103"/>
        <v/>
      </c>
      <c r="BJ147" s="86" t="str">
        <f t="shared" si="104"/>
        <v/>
      </c>
      <c r="BK147" s="86" t="str">
        <f t="shared" si="105"/>
        <v/>
      </c>
    </row>
    <row r="148" spans="2:63" customFormat="1" ht="62" customHeight="1">
      <c r="B148" s="644"/>
      <c r="C148" s="653"/>
      <c r="D148" s="656"/>
      <c r="E148" s="657"/>
      <c r="F148" s="477" t="s">
        <v>386</v>
      </c>
      <c r="G148" s="507" t="s">
        <v>503</v>
      </c>
      <c r="H148" s="256">
        <v>0.76700000000000013</v>
      </c>
      <c r="I148" s="455" t="s">
        <v>80</v>
      </c>
      <c r="J148" s="259"/>
      <c r="K148" s="361" t="s">
        <v>325</v>
      </c>
      <c r="L148" s="491">
        <v>0</v>
      </c>
      <c r="M148" s="365" t="s">
        <v>504</v>
      </c>
      <c r="N148" s="508"/>
      <c r="O148" s="213"/>
      <c r="P148" s="101"/>
      <c r="Q148" s="182"/>
      <c r="R148" s="421"/>
      <c r="S148" s="421"/>
      <c r="T148" s="421"/>
      <c r="U148" s="421"/>
      <c r="V148" s="421"/>
      <c r="W148" s="421"/>
      <c r="X148" s="421"/>
      <c r="Y148" s="389" t="str">
        <f t="shared" si="91"/>
        <v/>
      </c>
      <c r="Z148" s="364" t="str">
        <f t="shared" si="92"/>
        <v/>
      </c>
      <c r="AA148" s="364" t="str">
        <f t="shared" si="93"/>
        <v/>
      </c>
      <c r="AB148" s="364" t="str">
        <f t="shared" si="94"/>
        <v/>
      </c>
      <c r="AC148" s="364" t="str">
        <f t="shared" si="95"/>
        <v/>
      </c>
      <c r="AD148" s="364" t="str">
        <f t="shared" si="96"/>
        <v/>
      </c>
      <c r="AE148" s="390" t="str">
        <f t="shared" si="97"/>
        <v/>
      </c>
      <c r="AF148" s="389">
        <f t="shared" si="98"/>
        <v>0</v>
      </c>
      <c r="AG148" s="364">
        <f>IFERROR(VLOOKUP($O148,#REF!,4,FALSE),0)</f>
        <v>0</v>
      </c>
      <c r="AH148" s="364">
        <f>IFERROR(VLOOKUP($O148,#REF!,6,FALSE),0)</f>
        <v>0</v>
      </c>
      <c r="AI148" s="364">
        <f>IFERROR(VLOOKUP($O148,#REF!,8,FALSE),0)</f>
        <v>0</v>
      </c>
      <c r="AJ148" s="364">
        <f>IFERROR(VLOOKUP($O148,#REF!,10,FALSE),0)</f>
        <v>0</v>
      </c>
      <c r="AK148" s="364">
        <f>IFERROR(VLOOKUP($O148,#REF!,12,FALSE),0)</f>
        <v>0</v>
      </c>
      <c r="AL148" s="364">
        <f>IFERROR(VLOOKUP($O148,#REF!,14,FALSE),0)</f>
        <v>0</v>
      </c>
      <c r="AM148" s="390">
        <f t="shared" si="99"/>
        <v>0</v>
      </c>
      <c r="AN148" s="431">
        <f t="shared" si="100"/>
        <v>0</v>
      </c>
      <c r="AO148" s="366">
        <f>IF(Z148="V",IF('1.GHG Inventory Form'!$E$6="IPCC AR2 Report(1995)",'6.GWP'!$C$2,IF('1.GHG Inventory Form'!$E$6="IPCC AR3 Report(2001)",'6.GWP'!$D$2,IF('1.GHG Inventory Form'!$E$6="IPCC AR4 Report(2007)",'6.GWP'!$E$2,IF('1.GHG Inventory Form'!$E$6="IPCC AR5 Report(2013)",'6.GWP'!$F$2,IF('1.GHG Inventory Form'!$E$6="IPCC AR6 Report(2021)",'6.GWP'!$G$2,0))))),0)</f>
        <v>0</v>
      </c>
      <c r="AP148" s="366">
        <f>IF(AA148="V",IF('1.GHG Inventory Form'!$E$6="IPCC AR2 Report(1995)",'6.GWP'!$C$3,IF('1.GHG Inventory Form'!$E$6="IPCC AR3 Report(2001)",'6.GWP'!$D$3,IF('1.GHG Inventory Form'!$E$6="IPCC AR4 Report(2007)",'6.GWP'!$E$3,IF('1.GHG Inventory Form'!$E$6="IPCC AR5 Report(2013)",'6.GWP'!$F$3,IF('1.GHG Inventory Form'!$E$6="IPCC AR6 Report(2021)",'6.GWP'!$G$3,0))))),0)</f>
        <v>0</v>
      </c>
      <c r="AQ148" s="366">
        <f>IFERROR(IF(AB148="V",IF('1.GHG Inventory Form'!$E$6="IPCC AR2 Report(1995)",VLOOKUP($O148,'6.GWP'!$B$1:$G$173,2,FALSE),IF('1.GHG Inventory Form'!$E$6="IPCC AR3 Report(2001)",VLOOKUP($O148,'6.GWP'!$B$1:$G$173,3,FALSE),IF('1.GHG Inventory Form'!$E$6="IPCC AR4 Report(2007)",VLOOKUP($KQ68,'6.GWP'!$B$1:$G$173,4,FALSE),IF('1.GHG Inventory Form'!$E$6="IPCC AR5 Report(2013)",VLOOKUP($O148,'6.GWP'!$B$1:$G$173,5,FALSE),IF('1.GHG Inventory Form'!$E$6="IPCC AR6 Report(2021)",VLOOKUP($O148,'6.GWP'!$B$2:$G$173,6,FALSE),0))))),0),0)</f>
        <v>0</v>
      </c>
      <c r="AR148" s="366">
        <f>IFERROR(IF(AC148="V",IF('1.GHG Inventory Form'!$E$6="IPCC AR2 Report(1995)",VLOOKUP($O148,'6.GWP'!$B$1:$G$173,2,FALSE),IF('1.GHG Inventory Form'!$E$6="IPCC AR3 Report(2001)",VLOOKUP($O148,'6.GWP'!$B$1:$G$173,3,FALSE),IF('1.GHG Inventory Form'!$E$6="IPCC AR4 Report(2007)",VLOOKUP($KQ68,'6.GWP'!$B$1:$G$173,4,FALSE),IF('1.GHG Inventory Form'!$E$6="IPCC AR5 Report(2013)",VLOOKUP($O148,'6.GWP'!$B$1:$G$173,5,FALSE),IF('1.GHG Inventory Form'!$E$6="IPCC AR6 Report(2021)",VLOOKUP($O148,'6.GWP'!$B$2:$G$173,6,FALSE),0))))),0),0)</f>
        <v>0</v>
      </c>
      <c r="AS148" s="366">
        <f>IF(AD148="V",IF('1.GHG Inventory Form'!$E$6="IPCC AR2 Report(1995)",'6.GWP'!$C$5,IF('1.GHG Inventory Form'!$E$6="IPCC AR3 Report(2001)",'6.GWP'!$D$5,IF('1.GHG Inventory Form'!$E$6="IPCC AR4 Report(2007)",'6.GWP'!$E$5,IF('1.GHG Inventory Form'!$E$6="IPCC AR5 Report(2013)",'6.GWP'!$F$5,IF('1.GHG Inventory Form'!$E$6="IPCC AR6 Report(2021)",'6.GWP'!$G$5,0))))),0)</f>
        <v>0</v>
      </c>
      <c r="AT148" s="392">
        <f>IF(AE148="V",IF('1.GHG Inventory Form'!$E$6="IPCC AR2 Report(1995)",'6.GWP'!$C$4,IF('1.GHG Inventory Form'!$E$6="IPCC AR3 Report(2001)",'6.GWP'!$D$4,IF('1.GHG Inventory Form'!$E$6="IPCC AR4 Report(2007)",'6.GWP'!$E$4,IF('1.GHG Inventory Form'!$E$6="IPCC AR5 Report(2013)",'6.GWP'!$F$4,IF('1.GHG Inventory Form'!$E$6="IPCC AR6 Report(2021)",'6.GWP'!$G$4,0))))),0)</f>
        <v>0</v>
      </c>
      <c r="AU148" s="457">
        <f t="shared" si="106"/>
        <v>0</v>
      </c>
      <c r="AV148" s="457">
        <f t="shared" si="107"/>
        <v>0</v>
      </c>
      <c r="AW148" s="457">
        <f t="shared" si="108"/>
        <v>0</v>
      </c>
      <c r="AX148" s="457">
        <f t="shared" si="109"/>
        <v>0</v>
      </c>
      <c r="AY148" s="457">
        <f t="shared" si="110"/>
        <v>0</v>
      </c>
      <c r="AZ148" s="457">
        <f t="shared" si="111"/>
        <v>0</v>
      </c>
      <c r="BA148" s="457">
        <f t="shared" si="112"/>
        <v>0</v>
      </c>
      <c r="BB148" s="393">
        <f t="shared" si="101"/>
        <v>0</v>
      </c>
      <c r="BC148" s="367"/>
      <c r="BD148" s="369">
        <f t="shared" si="102"/>
        <v>0</v>
      </c>
      <c r="BI148" s="86" t="str">
        <f t="shared" si="103"/>
        <v>有害事業廢棄物-再利用
Emissions from the disposal of solid and liquid waste - from the Reuse (Hazardous waste)</v>
      </c>
      <c r="BJ148" s="86" t="str">
        <f t="shared" si="104"/>
        <v/>
      </c>
      <c r="BK148" s="86" t="str">
        <f t="shared" si="105"/>
        <v/>
      </c>
    </row>
    <row r="149" spans="2:63" customFormat="1" ht="62" customHeight="1">
      <c r="B149" s="644"/>
      <c r="C149" s="653"/>
      <c r="D149" s="656"/>
      <c r="E149" s="657"/>
      <c r="F149" s="477" t="s">
        <v>386</v>
      </c>
      <c r="G149" s="507" t="s">
        <v>505</v>
      </c>
      <c r="H149" s="254">
        <v>0</v>
      </c>
      <c r="I149" s="455" t="s">
        <v>81</v>
      </c>
      <c r="J149" s="248"/>
      <c r="K149" s="361" t="s">
        <v>325</v>
      </c>
      <c r="L149" s="491">
        <v>5.53E-4</v>
      </c>
      <c r="M149" s="365" t="s">
        <v>506</v>
      </c>
      <c r="N149" s="506" t="s">
        <v>507</v>
      </c>
      <c r="O149" s="213"/>
      <c r="P149" s="101"/>
      <c r="Q149" s="182"/>
      <c r="R149" s="421"/>
      <c r="S149" s="421"/>
      <c r="T149" s="421"/>
      <c r="U149" s="421"/>
      <c r="V149" s="421"/>
      <c r="W149" s="421"/>
      <c r="X149" s="421"/>
      <c r="Y149" s="389" t="str">
        <f t="shared" si="91"/>
        <v>V</v>
      </c>
      <c r="Z149" s="364" t="str">
        <f t="shared" si="92"/>
        <v/>
      </c>
      <c r="AA149" s="364" t="str">
        <f t="shared" si="93"/>
        <v/>
      </c>
      <c r="AB149" s="364" t="str">
        <f t="shared" si="94"/>
        <v/>
      </c>
      <c r="AC149" s="364" t="str">
        <f t="shared" si="95"/>
        <v/>
      </c>
      <c r="AD149" s="364" t="str">
        <f t="shared" si="96"/>
        <v/>
      </c>
      <c r="AE149" s="390" t="str">
        <f t="shared" si="97"/>
        <v/>
      </c>
      <c r="AF149" s="389">
        <f t="shared" si="98"/>
        <v>5.53E-4</v>
      </c>
      <c r="AG149" s="364">
        <f>IFERROR(VLOOKUP($O149,#REF!,4,FALSE),0)</f>
        <v>0</v>
      </c>
      <c r="AH149" s="364">
        <f>IFERROR(VLOOKUP($O149,#REF!,6,FALSE),0)</f>
        <v>0</v>
      </c>
      <c r="AI149" s="364">
        <f>IFERROR(VLOOKUP($O149,#REF!,8,FALSE),0)</f>
        <v>0</v>
      </c>
      <c r="AJ149" s="364">
        <f>IFERROR(VLOOKUP($O149,#REF!,10,FALSE),0)</f>
        <v>0</v>
      </c>
      <c r="AK149" s="364">
        <f>IFERROR(VLOOKUP($O149,#REF!,12,FALSE),0)</f>
        <v>0</v>
      </c>
      <c r="AL149" s="364">
        <f>IFERROR(VLOOKUP($O149,#REF!,14,FALSE),0)</f>
        <v>0</v>
      </c>
      <c r="AM149" s="390" t="str">
        <f t="shared" si="99"/>
        <v>Simapro-Wastewater, average {RoW} market for wastewater, average</v>
      </c>
      <c r="AN149" s="431">
        <f t="shared" si="100"/>
        <v>1</v>
      </c>
      <c r="AO149" s="366">
        <f>IF(Z149="V",IF('1.GHG Inventory Form'!$E$6="IPCC AR2 Report(1995)",'6.GWP'!$C$2,IF('1.GHG Inventory Form'!$E$6="IPCC AR3 Report(2001)",'6.GWP'!$D$2,IF('1.GHG Inventory Form'!$E$6="IPCC AR4 Report(2007)",'6.GWP'!$E$2,IF('1.GHG Inventory Form'!$E$6="IPCC AR5 Report(2013)",'6.GWP'!$F$2,IF('1.GHG Inventory Form'!$E$6="IPCC AR6 Report(2021)",'6.GWP'!$G$2,0))))),0)</f>
        <v>0</v>
      </c>
      <c r="AP149" s="366">
        <f>IF(AA149="V",IF('1.GHG Inventory Form'!$E$6="IPCC AR2 Report(1995)",'6.GWP'!$C$3,IF('1.GHG Inventory Form'!$E$6="IPCC AR3 Report(2001)",'6.GWP'!$D$3,IF('1.GHG Inventory Form'!$E$6="IPCC AR4 Report(2007)",'6.GWP'!$E$3,IF('1.GHG Inventory Form'!$E$6="IPCC AR5 Report(2013)",'6.GWP'!$F$3,IF('1.GHG Inventory Form'!$E$6="IPCC AR6 Report(2021)",'6.GWP'!$G$3,0))))),0)</f>
        <v>0</v>
      </c>
      <c r="AQ149" s="366">
        <f>IFERROR(IF(AB149="V",IF('1.GHG Inventory Form'!$E$6="IPCC AR2 Report(1995)",VLOOKUP($O149,'6.GWP'!$B$1:$G$173,2,FALSE),IF('1.GHG Inventory Form'!$E$6="IPCC AR3 Report(2001)",VLOOKUP($O149,'6.GWP'!$B$1:$G$173,3,FALSE),IF('1.GHG Inventory Form'!$E$6="IPCC AR4 Report(2007)",VLOOKUP($KQ69,'6.GWP'!$B$1:$G$173,4,FALSE),IF('1.GHG Inventory Form'!$E$6="IPCC AR5 Report(2013)",VLOOKUP($O149,'6.GWP'!$B$1:$G$173,5,FALSE),IF('1.GHG Inventory Form'!$E$6="IPCC AR6 Report(2021)",VLOOKUP($O149,'6.GWP'!$B$2:$G$173,6,FALSE),0))))),0),0)</f>
        <v>0</v>
      </c>
      <c r="AR149" s="366">
        <f>IFERROR(IF(AC149="V",IF('1.GHG Inventory Form'!$E$6="IPCC AR2 Report(1995)",VLOOKUP($O149,'6.GWP'!$B$1:$G$173,2,FALSE),IF('1.GHG Inventory Form'!$E$6="IPCC AR3 Report(2001)",VLOOKUP($O149,'6.GWP'!$B$1:$G$173,3,FALSE),IF('1.GHG Inventory Form'!$E$6="IPCC AR4 Report(2007)",VLOOKUP($KQ69,'6.GWP'!$B$1:$G$173,4,FALSE),IF('1.GHG Inventory Form'!$E$6="IPCC AR5 Report(2013)",VLOOKUP($O149,'6.GWP'!$B$1:$G$173,5,FALSE),IF('1.GHG Inventory Form'!$E$6="IPCC AR6 Report(2021)",VLOOKUP($O149,'6.GWP'!$B$2:$G$173,6,FALSE),0))))),0),0)</f>
        <v>0</v>
      </c>
      <c r="AS149" s="366">
        <f>IF(AD149="V",IF('1.GHG Inventory Form'!$E$6="IPCC AR2 Report(1995)",'6.GWP'!$C$5,IF('1.GHG Inventory Form'!$E$6="IPCC AR3 Report(2001)",'6.GWP'!$D$5,IF('1.GHG Inventory Form'!$E$6="IPCC AR4 Report(2007)",'6.GWP'!$E$5,IF('1.GHG Inventory Form'!$E$6="IPCC AR5 Report(2013)",'6.GWP'!$F$5,IF('1.GHG Inventory Form'!$E$6="IPCC AR6 Report(2021)",'6.GWP'!$G$5,0))))),0)</f>
        <v>0</v>
      </c>
      <c r="AT149" s="392">
        <f>IF(AE149="V",IF('1.GHG Inventory Form'!$E$6="IPCC AR2 Report(1995)",'6.GWP'!$C$4,IF('1.GHG Inventory Form'!$E$6="IPCC AR3 Report(2001)",'6.GWP'!$D$4,IF('1.GHG Inventory Form'!$E$6="IPCC AR4 Report(2007)",'6.GWP'!$E$4,IF('1.GHG Inventory Form'!$E$6="IPCC AR5 Report(2013)",'6.GWP'!$F$4,IF('1.GHG Inventory Form'!$E$6="IPCC AR6 Report(2021)",'6.GWP'!$G$4,0))))),0)</f>
        <v>0</v>
      </c>
      <c r="AU149" s="457">
        <f t="shared" si="106"/>
        <v>0</v>
      </c>
      <c r="AV149" s="457">
        <f t="shared" si="107"/>
        <v>0</v>
      </c>
      <c r="AW149" s="457">
        <f t="shared" si="108"/>
        <v>0</v>
      </c>
      <c r="AX149" s="457">
        <f t="shared" si="109"/>
        <v>0</v>
      </c>
      <c r="AY149" s="457">
        <f t="shared" si="110"/>
        <v>0</v>
      </c>
      <c r="AZ149" s="457">
        <f t="shared" si="111"/>
        <v>0</v>
      </c>
      <c r="BA149" s="457">
        <f t="shared" si="112"/>
        <v>0</v>
      </c>
      <c r="BB149" s="393">
        <f t="shared" si="101"/>
        <v>0</v>
      </c>
      <c r="BC149" s="367"/>
      <c r="BD149" s="369">
        <f t="shared" si="102"/>
        <v>0</v>
      </c>
      <c r="BI149" s="86" t="str">
        <f t="shared" si="103"/>
        <v>工業廢水處理
Emissions from the disposal of solid and liquid waste -from Industrial Wastewater</v>
      </c>
      <c r="BJ149" s="86" t="str">
        <f t="shared" si="104"/>
        <v/>
      </c>
      <c r="BK149" s="86" t="str">
        <f t="shared" si="105"/>
        <v>Simapro-Wastewater, average {RoW} market for wastewater, average</v>
      </c>
    </row>
    <row r="150" spans="2:63" customFormat="1" ht="62" customHeight="1">
      <c r="B150" s="644"/>
      <c r="C150" s="653"/>
      <c r="D150" s="656"/>
      <c r="E150" s="657"/>
      <c r="F150" s="477" t="s">
        <v>386</v>
      </c>
      <c r="G150" s="507" t="s">
        <v>508</v>
      </c>
      <c r="H150" s="254">
        <v>0</v>
      </c>
      <c r="I150" s="455" t="s">
        <v>81</v>
      </c>
      <c r="J150" s="248"/>
      <c r="K150" s="361" t="s">
        <v>325</v>
      </c>
      <c r="L150" s="367">
        <v>3.3599999999999998E-4</v>
      </c>
      <c r="M150" s="455" t="s">
        <v>509</v>
      </c>
      <c r="N150" s="509" t="s">
        <v>510</v>
      </c>
      <c r="O150" s="186"/>
      <c r="P150" s="101"/>
      <c r="Q150" s="182"/>
      <c r="R150" s="421"/>
      <c r="S150" s="421"/>
      <c r="T150" s="421"/>
      <c r="U150" s="421"/>
      <c r="V150" s="421"/>
      <c r="W150" s="421"/>
      <c r="X150" s="421"/>
      <c r="Y150" s="389" t="str">
        <f t="shared" si="91"/>
        <v>V</v>
      </c>
      <c r="Z150" s="364" t="str">
        <f t="shared" si="92"/>
        <v/>
      </c>
      <c r="AA150" s="364" t="str">
        <f t="shared" si="93"/>
        <v/>
      </c>
      <c r="AB150" s="364" t="str">
        <f t="shared" si="94"/>
        <v/>
      </c>
      <c r="AC150" s="364" t="str">
        <f t="shared" si="95"/>
        <v/>
      </c>
      <c r="AD150" s="364" t="str">
        <f t="shared" si="96"/>
        <v/>
      </c>
      <c r="AE150" s="390" t="str">
        <f t="shared" si="97"/>
        <v/>
      </c>
      <c r="AF150" s="389">
        <f t="shared" si="98"/>
        <v>3.3599999999999998E-4</v>
      </c>
      <c r="AG150" s="364">
        <f>IFERROR(VLOOKUP($O150,#REF!,4,FALSE),0)</f>
        <v>0</v>
      </c>
      <c r="AH150" s="364">
        <f>IFERROR(VLOOKUP($O150,#REF!,6,FALSE),0)</f>
        <v>0</v>
      </c>
      <c r="AI150" s="364">
        <f>IFERROR(VLOOKUP($O150,#REF!,8,FALSE),0)</f>
        <v>0</v>
      </c>
      <c r="AJ150" s="364">
        <f>IFERROR(VLOOKUP($O150,#REF!,10,FALSE),0)</f>
        <v>0</v>
      </c>
      <c r="AK150" s="364">
        <f>IFERROR(VLOOKUP($O150,#REF!,12,FALSE),0)</f>
        <v>0</v>
      </c>
      <c r="AL150" s="364">
        <f>IFERROR(VLOOKUP($O150,#REF!,14,FALSE),0)</f>
        <v>0</v>
      </c>
      <c r="AM150" s="390" t="str">
        <f t="shared" si="99"/>
        <v>Simapro9.4.02-Wastewater, unpolluted, from residence {GLO}</v>
      </c>
      <c r="AN150" s="431">
        <f t="shared" si="100"/>
        <v>1</v>
      </c>
      <c r="AO150" s="366">
        <f>IF(Z150="V",IF('1.GHG Inventory Form'!$E$6="IPCC AR2 Report(1995)",'6.GWP'!$C$2,IF('1.GHG Inventory Form'!$E$6="IPCC AR3 Report(2001)",'6.GWP'!$D$2,IF('1.GHG Inventory Form'!$E$6="IPCC AR4 Report(2007)",'6.GWP'!$E$2,IF('1.GHG Inventory Form'!$E$6="IPCC AR5 Report(2013)",'6.GWP'!$F$2,IF('1.GHG Inventory Form'!$E$6="IPCC AR6 Report(2021)",'6.GWP'!$G$2,0))))),0)</f>
        <v>0</v>
      </c>
      <c r="AP150" s="366">
        <f>IF(AA150="V",IF('1.GHG Inventory Form'!$E$6="IPCC AR2 Report(1995)",'6.GWP'!$C$3,IF('1.GHG Inventory Form'!$E$6="IPCC AR3 Report(2001)",'6.GWP'!$D$3,IF('1.GHG Inventory Form'!$E$6="IPCC AR4 Report(2007)",'6.GWP'!$E$3,IF('1.GHG Inventory Form'!$E$6="IPCC AR5 Report(2013)",'6.GWP'!$F$3,IF('1.GHG Inventory Form'!$E$6="IPCC AR6 Report(2021)",'6.GWP'!$G$3,0))))),0)</f>
        <v>0</v>
      </c>
      <c r="AQ150" s="366">
        <f>IFERROR(IF(AB150="V",IF('1.GHG Inventory Form'!$E$6="IPCC AR2 Report(1995)",VLOOKUP($O150,'6.GWP'!$B$1:$G$173,2,FALSE),IF('1.GHG Inventory Form'!$E$6="IPCC AR3 Report(2001)",VLOOKUP($O150,'6.GWP'!$B$1:$G$173,3,FALSE),IF('1.GHG Inventory Form'!$E$6="IPCC AR4 Report(2007)",VLOOKUP($KQ70,'6.GWP'!$B$1:$G$173,4,FALSE),IF('1.GHG Inventory Form'!$E$6="IPCC AR5 Report(2013)",VLOOKUP($O150,'6.GWP'!$B$1:$G$173,5,FALSE),IF('1.GHG Inventory Form'!$E$6="IPCC AR6 Report(2021)",VLOOKUP($O150,'6.GWP'!$B$2:$G$173,6,FALSE),0))))),0),0)</f>
        <v>0</v>
      </c>
      <c r="AR150" s="366">
        <f>IFERROR(IF(AC150="V",IF('1.GHG Inventory Form'!$E$6="IPCC AR2 Report(1995)",VLOOKUP($O150,'6.GWP'!$B$1:$G$173,2,FALSE),IF('1.GHG Inventory Form'!$E$6="IPCC AR3 Report(2001)",VLOOKUP($O150,'6.GWP'!$B$1:$G$173,3,FALSE),IF('1.GHG Inventory Form'!$E$6="IPCC AR4 Report(2007)",VLOOKUP($KQ70,'6.GWP'!$B$1:$G$173,4,FALSE),IF('1.GHG Inventory Form'!$E$6="IPCC AR5 Report(2013)",VLOOKUP($O150,'6.GWP'!$B$1:$G$173,5,FALSE),IF('1.GHG Inventory Form'!$E$6="IPCC AR6 Report(2021)",VLOOKUP($O150,'6.GWP'!$B$2:$G$173,6,FALSE),0))))),0),0)</f>
        <v>0</v>
      </c>
      <c r="AS150" s="366">
        <f>IF(AD150="V",IF('1.GHG Inventory Form'!$E$6="IPCC AR2 Report(1995)",'6.GWP'!$C$5,IF('1.GHG Inventory Form'!$E$6="IPCC AR3 Report(2001)",'6.GWP'!$D$5,IF('1.GHG Inventory Form'!$E$6="IPCC AR4 Report(2007)",'6.GWP'!$E$5,IF('1.GHG Inventory Form'!$E$6="IPCC AR5 Report(2013)",'6.GWP'!$F$5,IF('1.GHG Inventory Form'!$E$6="IPCC AR6 Report(2021)",'6.GWP'!$G$5,0))))),0)</f>
        <v>0</v>
      </c>
      <c r="AT150" s="392">
        <f>IF(AE150="V",IF('1.GHG Inventory Form'!$E$6="IPCC AR2 Report(1995)",'6.GWP'!$C$4,IF('1.GHG Inventory Form'!$E$6="IPCC AR3 Report(2001)",'6.GWP'!$D$4,IF('1.GHG Inventory Form'!$E$6="IPCC AR4 Report(2007)",'6.GWP'!$E$4,IF('1.GHG Inventory Form'!$E$6="IPCC AR5 Report(2013)",'6.GWP'!$F$4,IF('1.GHG Inventory Form'!$E$6="IPCC AR6 Report(2021)",'6.GWP'!$G$4,0))))),0)</f>
        <v>0</v>
      </c>
      <c r="AU150" s="457">
        <f t="shared" si="106"/>
        <v>0</v>
      </c>
      <c r="AV150" s="457">
        <f t="shared" si="107"/>
        <v>0</v>
      </c>
      <c r="AW150" s="457">
        <f t="shared" si="108"/>
        <v>0</v>
      </c>
      <c r="AX150" s="457">
        <f t="shared" si="109"/>
        <v>0</v>
      </c>
      <c r="AY150" s="457">
        <f t="shared" si="110"/>
        <v>0</v>
      </c>
      <c r="AZ150" s="457">
        <f t="shared" si="111"/>
        <v>0</v>
      </c>
      <c r="BA150" s="457">
        <f t="shared" si="112"/>
        <v>0</v>
      </c>
      <c r="BB150" s="393">
        <f t="shared" si="101"/>
        <v>0</v>
      </c>
      <c r="BC150" s="367"/>
      <c r="BD150" s="369">
        <f t="shared" si="102"/>
        <v>0</v>
      </c>
      <c r="BI150" s="86" t="str">
        <f t="shared" si="103"/>
        <v>生活污水廢理
Emissions from the disposal of solid and liquid waste -from sewage</v>
      </c>
      <c r="BJ150" s="86" t="str">
        <f t="shared" si="104"/>
        <v/>
      </c>
      <c r="BK150" s="86" t="str">
        <f t="shared" si="105"/>
        <v>Simapro9.4.02-Wastewater, unpolluted, from residence {GLO}</v>
      </c>
    </row>
    <row r="151" spans="2:63">
      <c r="B151" s="644"/>
      <c r="C151" s="653"/>
      <c r="D151" s="656"/>
      <c r="E151" s="657"/>
      <c r="F151" s="477"/>
      <c r="G151" s="43" t="s">
        <v>511</v>
      </c>
      <c r="H151" s="83"/>
      <c r="I151" s="109"/>
      <c r="J151" s="85"/>
      <c r="K151" s="477"/>
      <c r="L151" s="32"/>
      <c r="M151" s="32"/>
      <c r="N151" s="66"/>
      <c r="O151" s="68"/>
      <c r="P151" s="32"/>
      <c r="Q151" s="28"/>
      <c r="R151" s="421"/>
      <c r="S151" s="421"/>
      <c r="T151" s="421"/>
      <c r="U151" s="421"/>
      <c r="V151" s="421"/>
      <c r="W151" s="421"/>
      <c r="X151" s="421"/>
      <c r="Y151" s="389" t="str">
        <f t="shared" si="91"/>
        <v/>
      </c>
      <c r="Z151" s="364" t="str">
        <f t="shared" si="92"/>
        <v/>
      </c>
      <c r="AA151" s="364" t="str">
        <f t="shared" si="93"/>
        <v/>
      </c>
      <c r="AB151" s="364" t="str">
        <f t="shared" si="94"/>
        <v/>
      </c>
      <c r="AC151" s="364" t="str">
        <f t="shared" si="95"/>
        <v/>
      </c>
      <c r="AD151" s="364" t="str">
        <f t="shared" si="96"/>
        <v/>
      </c>
      <c r="AE151" s="390" t="str">
        <f t="shared" si="97"/>
        <v/>
      </c>
      <c r="AF151" s="389">
        <f t="shared" si="98"/>
        <v>0</v>
      </c>
      <c r="AG151" s="364">
        <f>IFERROR(VLOOKUP($O151,#REF!,4,FALSE),0)</f>
        <v>0</v>
      </c>
      <c r="AH151" s="364">
        <f>IFERROR(VLOOKUP($O151,#REF!,6,FALSE),0)</f>
        <v>0</v>
      </c>
      <c r="AI151" s="364">
        <f>IFERROR(VLOOKUP($O151,#REF!,8,FALSE),0)</f>
        <v>0</v>
      </c>
      <c r="AJ151" s="364">
        <f>IFERROR(VLOOKUP($O151,#REF!,10,FALSE),0)</f>
        <v>0</v>
      </c>
      <c r="AK151" s="364">
        <f>IFERROR(VLOOKUP($O151,#REF!,12,FALSE),0)</f>
        <v>0</v>
      </c>
      <c r="AL151" s="364">
        <f>IFERROR(VLOOKUP($O151,#REF!,14,FALSE),0)</f>
        <v>0</v>
      </c>
      <c r="AM151" s="390">
        <f t="shared" si="99"/>
        <v>0</v>
      </c>
      <c r="AN151" s="431">
        <f t="shared" si="100"/>
        <v>0</v>
      </c>
      <c r="AO151" s="366">
        <f>IF(Z151="V",IF('1.GHG Inventory Form'!$E$6="IPCC AR2 Report(1995)",'6.GWP'!$C$2,IF('1.GHG Inventory Form'!$E$6="IPCC AR3 Report(2001)",'6.GWP'!$D$2,IF('1.GHG Inventory Form'!$E$6="IPCC AR4 Report(2007)",'6.GWP'!$E$2,IF('1.GHG Inventory Form'!$E$6="IPCC AR5 Report(2013)",'6.GWP'!$F$2,IF('1.GHG Inventory Form'!$E$6="IPCC AR6 Report(2021)",'6.GWP'!$G$2,0))))),0)</f>
        <v>0</v>
      </c>
      <c r="AP151" s="366">
        <f>IF(AA151="V",IF('1.GHG Inventory Form'!$E$6="IPCC AR2 Report(1995)",'6.GWP'!$C$3,IF('1.GHG Inventory Form'!$E$6="IPCC AR3 Report(2001)",'6.GWP'!$D$3,IF('1.GHG Inventory Form'!$E$6="IPCC AR4 Report(2007)",'6.GWP'!$E$3,IF('1.GHG Inventory Form'!$E$6="IPCC AR5 Report(2013)",'6.GWP'!$F$3,IF('1.GHG Inventory Form'!$E$6="IPCC AR6 Report(2021)",'6.GWP'!$G$3,0))))),0)</f>
        <v>0</v>
      </c>
      <c r="AQ151" s="366">
        <f>IFERROR(IF(AB151="V",IF('1.GHG Inventory Form'!$E$6="IPCC AR2 Report(1995)",VLOOKUP($O151,'6.GWP'!$B$1:$G$173,2,FALSE),IF('1.GHG Inventory Form'!$E$6="IPCC AR3 Report(2001)",VLOOKUP($O151,'6.GWP'!$B$1:$G$173,3,FALSE),IF('1.GHG Inventory Form'!$E$6="IPCC AR4 Report(2007)",VLOOKUP($KQ71,'6.GWP'!$B$1:$G$173,4,FALSE),IF('1.GHG Inventory Form'!$E$6="IPCC AR5 Report(2013)",VLOOKUP($O151,'6.GWP'!$B$1:$G$173,5,FALSE),IF('1.GHG Inventory Form'!$E$6="IPCC AR6 Report(2021)",VLOOKUP($O151,'6.GWP'!$B$2:$G$173,6,FALSE),0))))),0),0)</f>
        <v>0</v>
      </c>
      <c r="AR151" s="366">
        <f>IFERROR(IF(AC151="V",IF('1.GHG Inventory Form'!$E$6="IPCC AR2 Report(1995)",VLOOKUP($O151,'6.GWP'!$B$1:$G$173,2,FALSE),IF('1.GHG Inventory Form'!$E$6="IPCC AR3 Report(2001)",VLOOKUP($O151,'6.GWP'!$B$1:$G$173,3,FALSE),IF('1.GHG Inventory Form'!$E$6="IPCC AR4 Report(2007)",VLOOKUP($KQ71,'6.GWP'!$B$1:$G$173,4,FALSE),IF('1.GHG Inventory Form'!$E$6="IPCC AR5 Report(2013)",VLOOKUP($O151,'6.GWP'!$B$1:$G$173,5,FALSE),IF('1.GHG Inventory Form'!$E$6="IPCC AR6 Report(2021)",VLOOKUP($O151,'6.GWP'!$B$2:$G$173,6,FALSE),0))))),0),0)</f>
        <v>0</v>
      </c>
      <c r="AS151" s="366">
        <f>IF(AD151="V",IF('1.GHG Inventory Form'!$E$6="IPCC AR2 Report(1995)",'6.GWP'!$C$5,IF('1.GHG Inventory Form'!$E$6="IPCC AR3 Report(2001)",'6.GWP'!$D$5,IF('1.GHG Inventory Form'!$E$6="IPCC AR4 Report(2007)",'6.GWP'!$E$5,IF('1.GHG Inventory Form'!$E$6="IPCC AR5 Report(2013)",'6.GWP'!$F$5,IF('1.GHG Inventory Form'!$E$6="IPCC AR6 Report(2021)",'6.GWP'!$G$5,0))))),0)</f>
        <v>0</v>
      </c>
      <c r="AT151" s="392">
        <f>IF(AE151="V",IF('1.GHG Inventory Form'!$E$6="IPCC AR2 Report(1995)",'6.GWP'!$C$4,IF('1.GHG Inventory Form'!$E$6="IPCC AR3 Report(2001)",'6.GWP'!$D$4,IF('1.GHG Inventory Form'!$E$6="IPCC AR4 Report(2007)",'6.GWP'!$E$4,IF('1.GHG Inventory Form'!$E$6="IPCC AR5 Report(2013)",'6.GWP'!$F$4,IF('1.GHG Inventory Form'!$E$6="IPCC AR6 Report(2021)",'6.GWP'!$G$4,0))))),0)</f>
        <v>0</v>
      </c>
      <c r="AU151" s="478">
        <f t="shared" ref="AU151:AU167" si="113">$H151*AF151*AN151</f>
        <v>0</v>
      </c>
      <c r="AV151" s="367">
        <f t="shared" ref="AV151:AV167" si="114">$H151*AG151*AO151</f>
        <v>0</v>
      </c>
      <c r="AW151" s="367">
        <f t="shared" ref="AW151:AW167" si="115">$H151*AH151*AP151</f>
        <v>0</v>
      </c>
      <c r="AX151" s="367">
        <f t="shared" ref="AX151:AX167" si="116">$H151*AI151*AQ151</f>
        <v>0</v>
      </c>
      <c r="AY151" s="367">
        <f t="shared" ref="AY151:AY167" si="117">$H151*AJ151*AR151</f>
        <v>0</v>
      </c>
      <c r="AZ151" s="367">
        <f t="shared" ref="AZ151:AZ167" si="118">$H151*AK151*AS151</f>
        <v>0</v>
      </c>
      <c r="BA151" s="479">
        <f t="shared" ref="BA151:BA167" si="119">$H151*AL151*AT151</f>
        <v>0</v>
      </c>
      <c r="BB151" s="393">
        <f t="shared" si="101"/>
        <v>0</v>
      </c>
      <c r="BC151" s="367"/>
      <c r="BD151" s="369">
        <f t="shared" si="102"/>
        <v>0</v>
      </c>
      <c r="BI151" s="86" t="str">
        <f t="shared" si="103"/>
        <v/>
      </c>
      <c r="BJ151" s="86" t="str">
        <f t="shared" si="104"/>
        <v/>
      </c>
      <c r="BK151" s="86" t="str">
        <f t="shared" si="105"/>
        <v/>
      </c>
    </row>
    <row r="152" spans="2:63" customFormat="1" ht="16" customHeight="1" thickBot="1">
      <c r="B152" s="644"/>
      <c r="C152" s="654"/>
      <c r="D152" s="658"/>
      <c r="E152" s="659"/>
      <c r="F152" s="510"/>
      <c r="G152" s="44" t="s">
        <v>512</v>
      </c>
      <c r="H152" s="120"/>
      <c r="I152" s="121"/>
      <c r="J152" s="122"/>
      <c r="K152" s="510"/>
      <c r="L152" s="30"/>
      <c r="M152" s="30"/>
      <c r="N152" s="67"/>
      <c r="O152" s="69"/>
      <c r="P152" s="30"/>
      <c r="Q152" s="35"/>
      <c r="R152" s="421"/>
      <c r="S152" s="421"/>
      <c r="T152" s="421"/>
      <c r="U152" s="421"/>
      <c r="V152" s="421"/>
      <c r="W152" s="421"/>
      <c r="X152" s="421"/>
      <c r="Y152" s="389" t="str">
        <f t="shared" si="91"/>
        <v/>
      </c>
      <c r="Z152" s="364" t="str">
        <f t="shared" si="92"/>
        <v/>
      </c>
      <c r="AA152" s="364" t="str">
        <f t="shared" si="93"/>
        <v/>
      </c>
      <c r="AB152" s="364" t="str">
        <f t="shared" si="94"/>
        <v/>
      </c>
      <c r="AC152" s="364" t="str">
        <f t="shared" si="95"/>
        <v/>
      </c>
      <c r="AD152" s="364" t="str">
        <f t="shared" si="96"/>
        <v/>
      </c>
      <c r="AE152" s="390" t="str">
        <f t="shared" si="97"/>
        <v/>
      </c>
      <c r="AF152" s="399">
        <f t="shared" si="98"/>
        <v>0</v>
      </c>
      <c r="AG152" s="400">
        <f>IFERROR(VLOOKUP($O152,#REF!,4,FALSE),0)</f>
        <v>0</v>
      </c>
      <c r="AH152" s="400">
        <f>IFERROR(VLOOKUP($O152,#REF!,6,FALSE),0)</f>
        <v>0</v>
      </c>
      <c r="AI152" s="400">
        <f>IFERROR(VLOOKUP($O152,#REF!,8,FALSE),0)</f>
        <v>0</v>
      </c>
      <c r="AJ152" s="400">
        <f>IFERROR(VLOOKUP($O152,#REF!,10,FALSE),0)</f>
        <v>0</v>
      </c>
      <c r="AK152" s="400">
        <f>IFERROR(VLOOKUP($O152,#REF!,12,FALSE),0)</f>
        <v>0</v>
      </c>
      <c r="AL152" s="400">
        <f>IFERROR(VLOOKUP($O152,#REF!,14,FALSE),0)</f>
        <v>0</v>
      </c>
      <c r="AM152" s="401">
        <f t="shared" si="99"/>
        <v>0</v>
      </c>
      <c r="AN152" s="511">
        <f t="shared" si="100"/>
        <v>0</v>
      </c>
      <c r="AO152" s="375">
        <f>IF(Z152="V",IF('1.GHG Inventory Form'!$E$6="IPCC AR2 Report(1995)",'6.GWP'!$C$2,IF('1.GHG Inventory Form'!$E$6="IPCC AR3 Report(2001)",'6.GWP'!$D$2,IF('1.GHG Inventory Form'!$E$6="IPCC AR4 Report(2007)",'6.GWP'!$E$2,IF('1.GHG Inventory Form'!$E$6="IPCC AR5 Report(2013)",'6.GWP'!$F$2,IF('1.GHG Inventory Form'!$E$6="IPCC AR6 Report(2021)",'6.GWP'!$G$2,0))))),0)</f>
        <v>0</v>
      </c>
      <c r="AP152" s="375">
        <f>IF(AA152="V",IF('1.GHG Inventory Form'!$E$6="IPCC AR2 Report(1995)",'6.GWP'!$C$3,IF('1.GHG Inventory Form'!$E$6="IPCC AR3 Report(2001)",'6.GWP'!$D$3,IF('1.GHG Inventory Form'!$E$6="IPCC AR4 Report(2007)",'6.GWP'!$E$3,IF('1.GHG Inventory Form'!$E$6="IPCC AR5 Report(2013)",'6.GWP'!$F$3,IF('1.GHG Inventory Form'!$E$6="IPCC AR6 Report(2021)",'6.GWP'!$G$3,0))))),0)</f>
        <v>0</v>
      </c>
      <c r="AQ152" s="375">
        <f>IFERROR(IF(AB152="V",IF('1.GHG Inventory Form'!$E$6="IPCC AR2 Report(1995)",VLOOKUP($O152,'6.GWP'!$B$1:$G$173,2,FALSE),IF('1.GHG Inventory Form'!$E$6="IPCC AR3 Report(2001)",VLOOKUP($O152,'6.GWP'!$B$1:$G$173,3,FALSE),IF('1.GHG Inventory Form'!$E$6="IPCC AR4 Report(2007)",VLOOKUP($KQ72,'6.GWP'!$B$1:$G$173,4,FALSE),IF('1.GHG Inventory Form'!$E$6="IPCC AR5 Report(2013)",VLOOKUP($O152,'6.GWP'!$B$1:$G$173,5,FALSE),IF('1.GHG Inventory Form'!$E$6="IPCC AR6 Report(2021)",VLOOKUP($O152,'6.GWP'!$B$2:$G$173,6,FALSE),0))))),0),0)</f>
        <v>0</v>
      </c>
      <c r="AR152" s="375">
        <f>IFERROR(IF(AC152="V",IF('1.GHG Inventory Form'!$E$6="IPCC AR2 Report(1995)",VLOOKUP($O152,'6.GWP'!$B$1:$G$173,2,FALSE),IF('1.GHG Inventory Form'!$E$6="IPCC AR3 Report(2001)",VLOOKUP($O152,'6.GWP'!$B$1:$G$173,3,FALSE),IF('1.GHG Inventory Form'!$E$6="IPCC AR4 Report(2007)",VLOOKUP($KQ72,'6.GWP'!$B$1:$G$173,4,FALSE),IF('1.GHG Inventory Form'!$E$6="IPCC AR5 Report(2013)",VLOOKUP($O152,'6.GWP'!$B$1:$G$173,5,FALSE),IF('1.GHG Inventory Form'!$E$6="IPCC AR6 Report(2021)",VLOOKUP($O152,'6.GWP'!$B$2:$G$173,6,FALSE),0))))),0),0)</f>
        <v>0</v>
      </c>
      <c r="AS152" s="375">
        <f>IF(AD152="V",IF('1.GHG Inventory Form'!$E$6="IPCC AR2 Report(1995)",'6.GWP'!$C$5,IF('1.GHG Inventory Form'!$E$6="IPCC AR3 Report(2001)",'6.GWP'!$D$5,IF('1.GHG Inventory Form'!$E$6="IPCC AR4 Report(2007)",'6.GWP'!$E$5,IF('1.GHG Inventory Form'!$E$6="IPCC AR5 Report(2013)",'6.GWP'!$F$5,IF('1.GHG Inventory Form'!$E$6="IPCC AR6 Report(2021)",'6.GWP'!$G$5,0))))),0)</f>
        <v>0</v>
      </c>
      <c r="AT152" s="512">
        <f>IF(AE152="V",IF('1.GHG Inventory Form'!$E$6="IPCC AR2 Report(1995)",'6.GWP'!$C$4,IF('1.GHG Inventory Form'!$E$6="IPCC AR3 Report(2001)",'6.GWP'!$D$4,IF('1.GHG Inventory Form'!$E$6="IPCC AR4 Report(2007)",'6.GWP'!$E$4,IF('1.GHG Inventory Form'!$E$6="IPCC AR5 Report(2013)",'6.GWP'!$F$4,IF('1.GHG Inventory Form'!$E$6="IPCC AR6 Report(2021)",'6.GWP'!$G$4,0))))),0)</f>
        <v>0</v>
      </c>
      <c r="AU152" s="482">
        <f t="shared" si="113"/>
        <v>0</v>
      </c>
      <c r="AV152" s="419">
        <f t="shared" si="114"/>
        <v>0</v>
      </c>
      <c r="AW152" s="419">
        <f t="shared" si="115"/>
        <v>0</v>
      </c>
      <c r="AX152" s="419">
        <f t="shared" si="116"/>
        <v>0</v>
      </c>
      <c r="AY152" s="419">
        <f t="shared" si="117"/>
        <v>0</v>
      </c>
      <c r="AZ152" s="419">
        <f t="shared" si="118"/>
        <v>0</v>
      </c>
      <c r="BA152" s="483">
        <f t="shared" si="119"/>
        <v>0</v>
      </c>
      <c r="BB152" s="409">
        <f t="shared" si="101"/>
        <v>0</v>
      </c>
      <c r="BC152" s="419"/>
      <c r="BD152" s="411">
        <f t="shared" si="102"/>
        <v>0</v>
      </c>
      <c r="BI152" s="86" t="str">
        <f t="shared" si="103"/>
        <v/>
      </c>
      <c r="BJ152" s="86" t="str">
        <f t="shared" si="104"/>
        <v/>
      </c>
      <c r="BK152" s="86" t="str">
        <f t="shared" si="105"/>
        <v/>
      </c>
    </row>
    <row r="153" spans="2:63" customFormat="1" ht="97" customHeight="1" thickBot="1">
      <c r="B153" s="644"/>
      <c r="C153" s="484">
        <v>4.4000000000000004</v>
      </c>
      <c r="D153" s="632" t="s">
        <v>513</v>
      </c>
      <c r="E153" s="633"/>
      <c r="F153" s="485"/>
      <c r="G153" s="49" t="s">
        <v>514</v>
      </c>
      <c r="H153" s="123"/>
      <c r="I153" s="114"/>
      <c r="J153" s="115"/>
      <c r="K153" s="485"/>
      <c r="L153" s="50"/>
      <c r="M153" s="50"/>
      <c r="N153" s="51"/>
      <c r="O153" s="50"/>
      <c r="P153" s="50"/>
      <c r="Q153" s="52"/>
      <c r="R153" s="421"/>
      <c r="S153" s="421"/>
      <c r="T153" s="421"/>
      <c r="U153" s="421"/>
      <c r="V153" s="421"/>
      <c r="W153" s="421"/>
      <c r="X153" s="421"/>
      <c r="Y153" s="389" t="str">
        <f t="shared" si="91"/>
        <v/>
      </c>
      <c r="Z153" s="364" t="str">
        <f t="shared" si="92"/>
        <v/>
      </c>
      <c r="AA153" s="364" t="str">
        <f t="shared" si="93"/>
        <v/>
      </c>
      <c r="AB153" s="364" t="str">
        <f t="shared" si="94"/>
        <v/>
      </c>
      <c r="AC153" s="364" t="str">
        <f t="shared" si="95"/>
        <v/>
      </c>
      <c r="AD153" s="364" t="str">
        <f t="shared" si="96"/>
        <v/>
      </c>
      <c r="AE153" s="390" t="str">
        <f t="shared" si="97"/>
        <v/>
      </c>
      <c r="AF153" s="513">
        <f t="shared" si="98"/>
        <v>0</v>
      </c>
      <c r="AG153" s="343">
        <f>IFERROR(VLOOKUP($O153,#REF!,4,FALSE),0)</f>
        <v>0</v>
      </c>
      <c r="AH153" s="343">
        <f>IFERROR(VLOOKUP($O153,#REF!,6,FALSE),0)</f>
        <v>0</v>
      </c>
      <c r="AI153" s="343">
        <f>IFERROR(VLOOKUP($O153,#REF!,8,FALSE),0)</f>
        <v>0</v>
      </c>
      <c r="AJ153" s="343">
        <f>IFERROR(VLOOKUP($O153,#REF!,10,FALSE),0)</f>
        <v>0</v>
      </c>
      <c r="AK153" s="343">
        <f>IFERROR(VLOOKUP($O153,#REF!,12,FALSE),0)</f>
        <v>0</v>
      </c>
      <c r="AL153" s="343">
        <f>IFERROR(VLOOKUP($O153,#REF!,14,FALSE),0)</f>
        <v>0</v>
      </c>
      <c r="AM153" s="344">
        <f t="shared" si="99"/>
        <v>0</v>
      </c>
      <c r="AN153" s="514">
        <f t="shared" si="100"/>
        <v>0</v>
      </c>
      <c r="AO153" s="515">
        <f>IF(Z153="V",IF('1.GHG Inventory Form'!$E$6="IPCC AR2 Report(1995)",'6.GWP'!$C$2,IF('1.GHG Inventory Form'!$E$6="IPCC AR3 Report(2001)",'6.GWP'!$D$2,IF('1.GHG Inventory Form'!$E$6="IPCC AR4 Report(2007)",'6.GWP'!$E$2,IF('1.GHG Inventory Form'!$E$6="IPCC AR5 Report(2013)",'6.GWP'!$F$2,IF('1.GHG Inventory Form'!$E$6="IPCC AR6 Report(2021)",'6.GWP'!$G$2,0))))),0)</f>
        <v>0</v>
      </c>
      <c r="AP153" s="515">
        <f>IF(AA153="V",IF('1.GHG Inventory Form'!$E$6="IPCC AR2 Report(1995)",'6.GWP'!$C$3,IF('1.GHG Inventory Form'!$E$6="IPCC AR3 Report(2001)",'6.GWP'!$D$3,IF('1.GHG Inventory Form'!$E$6="IPCC AR4 Report(2007)",'6.GWP'!$E$3,IF('1.GHG Inventory Form'!$E$6="IPCC AR5 Report(2013)",'6.GWP'!$F$3,IF('1.GHG Inventory Form'!$E$6="IPCC AR6 Report(2021)",'6.GWP'!$G$3,0))))),0)</f>
        <v>0</v>
      </c>
      <c r="AQ153" s="515">
        <f>IFERROR(IF(AB153="V",IF('1.GHG Inventory Form'!$E$6="IPCC AR2 Report(1995)",VLOOKUP($O153,'6.GWP'!$B$1:$G$173,2,FALSE),IF('1.GHG Inventory Form'!$E$6="IPCC AR3 Report(2001)",VLOOKUP($O153,'6.GWP'!$B$1:$G$173,3,FALSE),IF('1.GHG Inventory Form'!$E$6="IPCC AR4 Report(2007)",VLOOKUP($KQ73,'6.GWP'!$B$1:$G$173,4,FALSE),IF('1.GHG Inventory Form'!$E$6="IPCC AR5 Report(2013)",VLOOKUP($O153,'6.GWP'!$B$1:$G$173,5,FALSE),IF('1.GHG Inventory Form'!$E$6="IPCC AR6 Report(2021)",VLOOKUP($O153,'6.GWP'!$B$2:$G$173,6,FALSE),0))))),0),0)</f>
        <v>0</v>
      </c>
      <c r="AR153" s="515">
        <f>IFERROR(IF(AC153="V",IF('1.GHG Inventory Form'!$E$6="IPCC AR2 Report(1995)",VLOOKUP($O153,'6.GWP'!$B$1:$G$173,2,FALSE),IF('1.GHG Inventory Form'!$E$6="IPCC AR3 Report(2001)",VLOOKUP($O153,'6.GWP'!$B$1:$G$173,3,FALSE),IF('1.GHG Inventory Form'!$E$6="IPCC AR4 Report(2007)",VLOOKUP($KQ73,'6.GWP'!$B$1:$G$173,4,FALSE),IF('1.GHG Inventory Form'!$E$6="IPCC AR5 Report(2013)",VLOOKUP($O153,'6.GWP'!$B$1:$G$173,5,FALSE),IF('1.GHG Inventory Form'!$E$6="IPCC AR6 Report(2021)",VLOOKUP($O153,'6.GWP'!$B$2:$G$173,6,FALSE),0))))),0),0)</f>
        <v>0</v>
      </c>
      <c r="AS153" s="515">
        <f>IF(AD153="V",IF('1.GHG Inventory Form'!$E$6="IPCC AR2 Report(1995)",'6.GWP'!$C$5,IF('1.GHG Inventory Form'!$E$6="IPCC AR3 Report(2001)",'6.GWP'!$D$5,IF('1.GHG Inventory Form'!$E$6="IPCC AR4 Report(2007)",'6.GWP'!$E$5,IF('1.GHG Inventory Form'!$E$6="IPCC AR5 Report(2013)",'6.GWP'!$F$5,IF('1.GHG Inventory Form'!$E$6="IPCC AR6 Report(2021)",'6.GWP'!$G$5,0))))),0)</f>
        <v>0</v>
      </c>
      <c r="AT153" s="516">
        <f>IF(AE153="V",IF('1.GHG Inventory Form'!$E$6="IPCC AR2 Report(1995)",'6.GWP'!$C$4,IF('1.GHG Inventory Form'!$E$6="IPCC AR3 Report(2001)",'6.GWP'!$D$4,IF('1.GHG Inventory Form'!$E$6="IPCC AR4 Report(2007)",'6.GWP'!$E$4,IF('1.GHG Inventory Form'!$E$6="IPCC AR5 Report(2013)",'6.GWP'!$F$4,IF('1.GHG Inventory Form'!$E$6="IPCC AR6 Report(2021)",'6.GWP'!$G$4,0))))),0)</f>
        <v>0</v>
      </c>
      <c r="AU153" s="486">
        <f t="shared" si="113"/>
        <v>0</v>
      </c>
      <c r="AV153" s="487">
        <f t="shared" si="114"/>
        <v>0</v>
      </c>
      <c r="AW153" s="487">
        <f t="shared" si="115"/>
        <v>0</v>
      </c>
      <c r="AX153" s="487">
        <f t="shared" si="116"/>
        <v>0</v>
      </c>
      <c r="AY153" s="487">
        <f t="shared" si="117"/>
        <v>0</v>
      </c>
      <c r="AZ153" s="487">
        <f t="shared" si="118"/>
        <v>0</v>
      </c>
      <c r="BA153" s="488">
        <f t="shared" si="119"/>
        <v>0</v>
      </c>
      <c r="BB153" s="349">
        <f t="shared" si="101"/>
        <v>0</v>
      </c>
      <c r="BC153" s="487"/>
      <c r="BD153" s="351">
        <f t="shared" si="102"/>
        <v>0</v>
      </c>
      <c r="BI153" s="86" t="str">
        <f t="shared" si="103"/>
        <v/>
      </c>
      <c r="BJ153" s="86" t="str">
        <f t="shared" si="104"/>
        <v/>
      </c>
      <c r="BK153" s="86" t="str">
        <f t="shared" si="105"/>
        <v/>
      </c>
    </row>
    <row r="154" spans="2:63" customFormat="1" ht="18" customHeight="1">
      <c r="B154" s="644"/>
      <c r="C154" s="635">
        <v>4.5</v>
      </c>
      <c r="D154" s="638" t="s">
        <v>515</v>
      </c>
      <c r="E154" s="639"/>
      <c r="F154" s="490"/>
      <c r="G154" s="46" t="s">
        <v>516</v>
      </c>
      <c r="H154" s="117"/>
      <c r="I154" s="118"/>
      <c r="J154" s="119"/>
      <c r="K154" s="490"/>
      <c r="L154" s="39"/>
      <c r="M154" s="39"/>
      <c r="N154" s="40"/>
      <c r="O154" s="39"/>
      <c r="P154" s="39"/>
      <c r="Q154" s="41"/>
      <c r="R154" s="421"/>
      <c r="S154" s="421"/>
      <c r="T154" s="421"/>
      <c r="U154" s="421"/>
      <c r="V154" s="421"/>
      <c r="W154" s="421"/>
      <c r="X154" s="421"/>
      <c r="Y154" s="389" t="str">
        <f t="shared" si="91"/>
        <v/>
      </c>
      <c r="Z154" s="364" t="str">
        <f t="shared" si="92"/>
        <v/>
      </c>
      <c r="AA154" s="364" t="str">
        <f t="shared" si="93"/>
        <v/>
      </c>
      <c r="AB154" s="364" t="str">
        <f t="shared" si="94"/>
        <v/>
      </c>
      <c r="AC154" s="364" t="str">
        <f t="shared" si="95"/>
        <v/>
      </c>
      <c r="AD154" s="364" t="str">
        <f t="shared" si="96"/>
        <v/>
      </c>
      <c r="AE154" s="390" t="str">
        <f t="shared" si="97"/>
        <v/>
      </c>
      <c r="AF154" s="381">
        <f t="shared" si="98"/>
        <v>0</v>
      </c>
      <c r="AG154" s="355">
        <f>IFERROR(VLOOKUP($O154,#REF!,4,FALSE),0)</f>
        <v>0</v>
      </c>
      <c r="AH154" s="355">
        <f>IFERROR(VLOOKUP($O154,#REF!,6,FALSE),0)</f>
        <v>0</v>
      </c>
      <c r="AI154" s="355">
        <f>IFERROR(VLOOKUP($O154,#REF!,8,FALSE),0)</f>
        <v>0</v>
      </c>
      <c r="AJ154" s="355">
        <f>IFERROR(VLOOKUP($O154,#REF!,10,FALSE),0)</f>
        <v>0</v>
      </c>
      <c r="AK154" s="355">
        <f>IFERROR(VLOOKUP($O154,#REF!,12,FALSE),0)</f>
        <v>0</v>
      </c>
      <c r="AL154" s="355">
        <f>IFERROR(VLOOKUP($O154,#REF!,14,FALSE),0)</f>
        <v>0</v>
      </c>
      <c r="AM154" s="382">
        <f t="shared" si="99"/>
        <v>0</v>
      </c>
      <c r="AN154" s="424">
        <f t="shared" si="100"/>
        <v>0</v>
      </c>
      <c r="AO154" s="332">
        <f>IF(Z154="V",IF('1.GHG Inventory Form'!$E$6="IPCC AR2 Report(1995)",'6.GWP'!$C$2,IF('1.GHG Inventory Form'!$E$6="IPCC AR3 Report(2001)",'6.GWP'!$D$2,IF('1.GHG Inventory Form'!$E$6="IPCC AR4 Report(2007)",'6.GWP'!$E$2,IF('1.GHG Inventory Form'!$E$6="IPCC AR5 Report(2013)",'6.GWP'!$F$2,IF('1.GHG Inventory Form'!$E$6="IPCC AR6 Report(2021)",'6.GWP'!$G$2,0))))),0)</f>
        <v>0</v>
      </c>
      <c r="AP154" s="332">
        <f>IF(AA154="V",IF('1.GHG Inventory Form'!$E$6="IPCC AR2 Report(1995)",'6.GWP'!$C$3,IF('1.GHG Inventory Form'!$E$6="IPCC AR3 Report(2001)",'6.GWP'!$D$3,IF('1.GHG Inventory Form'!$E$6="IPCC AR4 Report(2007)",'6.GWP'!$E$3,IF('1.GHG Inventory Form'!$E$6="IPCC AR5 Report(2013)",'6.GWP'!$F$3,IF('1.GHG Inventory Form'!$E$6="IPCC AR6 Report(2021)",'6.GWP'!$G$3,0))))),0)</f>
        <v>0</v>
      </c>
      <c r="AQ154" s="332">
        <f>IFERROR(IF(AB154="V",IF('1.GHG Inventory Form'!$E$6="IPCC AR2 Report(1995)",VLOOKUP($O154,'6.GWP'!$B$1:$G$173,2,FALSE),IF('1.GHG Inventory Form'!$E$6="IPCC AR3 Report(2001)",VLOOKUP($O154,'6.GWP'!$B$1:$G$173,3,FALSE),IF('1.GHG Inventory Form'!$E$6="IPCC AR4 Report(2007)",VLOOKUP($KQ74,'6.GWP'!$B$1:$G$173,4,FALSE),IF('1.GHG Inventory Form'!$E$6="IPCC AR5 Report(2013)",VLOOKUP($O154,'6.GWP'!$B$1:$G$173,5,FALSE),IF('1.GHG Inventory Form'!$E$6="IPCC AR6 Report(2021)",VLOOKUP($O154,'6.GWP'!$B$2:$G$173,6,FALSE),0))))),0),0)</f>
        <v>0</v>
      </c>
      <c r="AR154" s="332">
        <f>IFERROR(IF(AC154="V",IF('1.GHG Inventory Form'!$E$6="IPCC AR2 Report(1995)",VLOOKUP($O154,'6.GWP'!$B$1:$G$173,2,FALSE),IF('1.GHG Inventory Form'!$E$6="IPCC AR3 Report(2001)",VLOOKUP($O154,'6.GWP'!$B$1:$G$173,3,FALSE),IF('1.GHG Inventory Form'!$E$6="IPCC AR4 Report(2007)",VLOOKUP($KQ74,'6.GWP'!$B$1:$G$173,4,FALSE),IF('1.GHG Inventory Form'!$E$6="IPCC AR5 Report(2013)",VLOOKUP($O154,'6.GWP'!$B$1:$G$173,5,FALSE),IF('1.GHG Inventory Form'!$E$6="IPCC AR6 Report(2021)",VLOOKUP($O154,'6.GWP'!$B$2:$G$173,6,FALSE),0))))),0),0)</f>
        <v>0</v>
      </c>
      <c r="AS154" s="332">
        <f>IF(AD154="V",IF('1.GHG Inventory Form'!$E$6="IPCC AR2 Report(1995)",'6.GWP'!$C$5,IF('1.GHG Inventory Form'!$E$6="IPCC AR3 Report(2001)",'6.GWP'!$D$5,IF('1.GHG Inventory Form'!$E$6="IPCC AR4 Report(2007)",'6.GWP'!$E$5,IF('1.GHG Inventory Form'!$E$6="IPCC AR5 Report(2013)",'6.GWP'!$F$5,IF('1.GHG Inventory Form'!$E$6="IPCC AR6 Report(2021)",'6.GWP'!$G$5,0))))),0)</f>
        <v>0</v>
      </c>
      <c r="AT154" s="333">
        <f>IF(AE154="V",IF('1.GHG Inventory Form'!$E$6="IPCC AR2 Report(1995)",'6.GWP'!$C$4,IF('1.GHG Inventory Form'!$E$6="IPCC AR3 Report(2001)",'6.GWP'!$D$4,IF('1.GHG Inventory Form'!$E$6="IPCC AR4 Report(2007)",'6.GWP'!$E$4,IF('1.GHG Inventory Form'!$E$6="IPCC AR5 Report(2013)",'6.GWP'!$F$4,IF('1.GHG Inventory Form'!$E$6="IPCC AR6 Report(2021)",'6.GWP'!$G$4,0))))),0)</f>
        <v>0</v>
      </c>
      <c r="AU154" s="474">
        <f t="shared" si="113"/>
        <v>0</v>
      </c>
      <c r="AV154" s="358">
        <f t="shared" si="114"/>
        <v>0</v>
      </c>
      <c r="AW154" s="358">
        <f t="shared" si="115"/>
        <v>0</v>
      </c>
      <c r="AX154" s="358">
        <f t="shared" si="116"/>
        <v>0</v>
      </c>
      <c r="AY154" s="358">
        <f t="shared" si="117"/>
        <v>0</v>
      </c>
      <c r="AZ154" s="358">
        <f t="shared" si="118"/>
        <v>0</v>
      </c>
      <c r="BA154" s="475">
        <f t="shared" si="119"/>
        <v>0</v>
      </c>
      <c r="BB154" s="386">
        <f t="shared" si="101"/>
        <v>0</v>
      </c>
      <c r="BC154" s="358"/>
      <c r="BD154" s="360">
        <f t="shared" si="102"/>
        <v>0</v>
      </c>
      <c r="BI154" s="86" t="str">
        <f t="shared" si="103"/>
        <v/>
      </c>
      <c r="BJ154" s="86" t="str">
        <f t="shared" si="104"/>
        <v/>
      </c>
      <c r="BK154" s="86" t="str">
        <f t="shared" si="105"/>
        <v/>
      </c>
    </row>
    <row r="155" spans="2:63">
      <c r="B155" s="644"/>
      <c r="C155" s="636"/>
      <c r="D155" s="640"/>
      <c r="E155" s="641"/>
      <c r="F155" s="477"/>
      <c r="G155" s="47" t="s">
        <v>517</v>
      </c>
      <c r="H155" s="83"/>
      <c r="I155" s="84"/>
      <c r="J155" s="85"/>
      <c r="K155" s="477"/>
      <c r="L155" s="32"/>
      <c r="M155" s="32"/>
      <c r="N155" s="33"/>
      <c r="O155" s="32"/>
      <c r="P155" s="32"/>
      <c r="Q155" s="28"/>
      <c r="R155" s="421"/>
      <c r="S155" s="421"/>
      <c r="T155" s="421"/>
      <c r="U155" s="421"/>
      <c r="V155" s="421"/>
      <c r="W155" s="421"/>
      <c r="X155" s="421"/>
      <c r="Y155" s="389" t="str">
        <f t="shared" si="91"/>
        <v/>
      </c>
      <c r="Z155" s="364" t="str">
        <f t="shared" si="92"/>
        <v/>
      </c>
      <c r="AA155" s="364" t="str">
        <f t="shared" si="93"/>
        <v/>
      </c>
      <c r="AB155" s="364" t="str">
        <f t="shared" si="94"/>
        <v/>
      </c>
      <c r="AC155" s="364" t="str">
        <f t="shared" si="95"/>
        <v/>
      </c>
      <c r="AD155" s="364" t="str">
        <f t="shared" si="96"/>
        <v/>
      </c>
      <c r="AE155" s="390" t="str">
        <f t="shared" si="97"/>
        <v/>
      </c>
      <c r="AF155" s="389">
        <f t="shared" si="98"/>
        <v>0</v>
      </c>
      <c r="AG155" s="364">
        <f>IFERROR(VLOOKUP($O155,#REF!,4,FALSE),0)</f>
        <v>0</v>
      </c>
      <c r="AH155" s="364">
        <f>IFERROR(VLOOKUP($O155,#REF!,6,FALSE),0)</f>
        <v>0</v>
      </c>
      <c r="AI155" s="364">
        <f>IFERROR(VLOOKUP($O155,#REF!,8,FALSE),0)</f>
        <v>0</v>
      </c>
      <c r="AJ155" s="364">
        <f>IFERROR(VLOOKUP($O155,#REF!,10,FALSE),0)</f>
        <v>0</v>
      </c>
      <c r="AK155" s="364">
        <f>IFERROR(VLOOKUP($O155,#REF!,12,FALSE),0)</f>
        <v>0</v>
      </c>
      <c r="AL155" s="364">
        <f>IFERROR(VLOOKUP($O155,#REF!,14,FALSE),0)</f>
        <v>0</v>
      </c>
      <c r="AM155" s="390">
        <f t="shared" si="99"/>
        <v>0</v>
      </c>
      <c r="AN155" s="431">
        <f t="shared" si="100"/>
        <v>0</v>
      </c>
      <c r="AO155" s="366">
        <f>IF(Z155="V",IF('1.GHG Inventory Form'!$E$6="IPCC AR2 Report(1995)",'6.GWP'!$C$2,IF('1.GHG Inventory Form'!$E$6="IPCC AR3 Report(2001)",'6.GWP'!$D$2,IF('1.GHG Inventory Form'!$E$6="IPCC AR4 Report(2007)",'6.GWP'!$E$2,IF('1.GHG Inventory Form'!$E$6="IPCC AR5 Report(2013)",'6.GWP'!$F$2,IF('1.GHG Inventory Form'!$E$6="IPCC AR6 Report(2021)",'6.GWP'!$G$2,0))))),0)</f>
        <v>0</v>
      </c>
      <c r="AP155" s="366">
        <f>IF(AA155="V",IF('1.GHG Inventory Form'!$E$6="IPCC AR2 Report(1995)",'6.GWP'!$C$3,IF('1.GHG Inventory Form'!$E$6="IPCC AR3 Report(2001)",'6.GWP'!$D$3,IF('1.GHG Inventory Form'!$E$6="IPCC AR4 Report(2007)",'6.GWP'!$E$3,IF('1.GHG Inventory Form'!$E$6="IPCC AR5 Report(2013)",'6.GWP'!$F$3,IF('1.GHG Inventory Form'!$E$6="IPCC AR6 Report(2021)",'6.GWP'!$G$3,0))))),0)</f>
        <v>0</v>
      </c>
      <c r="AQ155" s="366">
        <f>IFERROR(IF(AB155="V",IF('1.GHG Inventory Form'!$E$6="IPCC AR2 Report(1995)",VLOOKUP($O155,'6.GWP'!$B$1:$G$173,2,FALSE),IF('1.GHG Inventory Form'!$E$6="IPCC AR3 Report(2001)",VLOOKUP($O155,'6.GWP'!$B$1:$G$173,3,FALSE),IF('1.GHG Inventory Form'!$E$6="IPCC AR4 Report(2007)",VLOOKUP($KQ75,'6.GWP'!$B$1:$G$173,4,FALSE),IF('1.GHG Inventory Form'!$E$6="IPCC AR5 Report(2013)",VLOOKUP($O155,'6.GWP'!$B$1:$G$173,5,FALSE),IF('1.GHG Inventory Form'!$E$6="IPCC AR6 Report(2021)",VLOOKUP($O155,'6.GWP'!$B$2:$G$173,6,FALSE),0))))),0),0)</f>
        <v>0</v>
      </c>
      <c r="AR155" s="366">
        <f>IFERROR(IF(AC155="V",IF('1.GHG Inventory Form'!$E$6="IPCC AR2 Report(1995)",VLOOKUP($O155,'6.GWP'!$B$1:$G$173,2,FALSE),IF('1.GHG Inventory Form'!$E$6="IPCC AR3 Report(2001)",VLOOKUP($O155,'6.GWP'!$B$1:$G$173,3,FALSE),IF('1.GHG Inventory Form'!$E$6="IPCC AR4 Report(2007)",VLOOKUP($KQ75,'6.GWP'!$B$1:$G$173,4,FALSE),IF('1.GHG Inventory Form'!$E$6="IPCC AR5 Report(2013)",VLOOKUP($O155,'6.GWP'!$B$1:$G$173,5,FALSE),IF('1.GHG Inventory Form'!$E$6="IPCC AR6 Report(2021)",VLOOKUP($O155,'6.GWP'!$B$2:$G$173,6,FALSE),0))))),0),0)</f>
        <v>0</v>
      </c>
      <c r="AS155" s="366">
        <f>IF(AD155="V",IF('1.GHG Inventory Form'!$E$6="IPCC AR2 Report(1995)",'6.GWP'!$C$5,IF('1.GHG Inventory Form'!$E$6="IPCC AR3 Report(2001)",'6.GWP'!$D$5,IF('1.GHG Inventory Form'!$E$6="IPCC AR4 Report(2007)",'6.GWP'!$E$5,IF('1.GHG Inventory Form'!$E$6="IPCC AR5 Report(2013)",'6.GWP'!$F$5,IF('1.GHG Inventory Form'!$E$6="IPCC AR6 Report(2021)",'6.GWP'!$G$5,0))))),0)</f>
        <v>0</v>
      </c>
      <c r="AT155" s="392">
        <f>IF(AE155="V",IF('1.GHG Inventory Form'!$E$6="IPCC AR2 Report(1995)",'6.GWP'!$C$4,IF('1.GHG Inventory Form'!$E$6="IPCC AR3 Report(2001)",'6.GWP'!$D$4,IF('1.GHG Inventory Form'!$E$6="IPCC AR4 Report(2007)",'6.GWP'!$E$4,IF('1.GHG Inventory Form'!$E$6="IPCC AR5 Report(2013)",'6.GWP'!$F$4,IF('1.GHG Inventory Form'!$E$6="IPCC AR6 Report(2021)",'6.GWP'!$G$4,0))))),0)</f>
        <v>0</v>
      </c>
      <c r="AU155" s="478">
        <f t="shared" si="113"/>
        <v>0</v>
      </c>
      <c r="AV155" s="367">
        <f t="shared" si="114"/>
        <v>0</v>
      </c>
      <c r="AW155" s="367">
        <f t="shared" si="115"/>
        <v>0</v>
      </c>
      <c r="AX155" s="367">
        <f t="shared" si="116"/>
        <v>0</v>
      </c>
      <c r="AY155" s="367">
        <f t="shared" si="117"/>
        <v>0</v>
      </c>
      <c r="AZ155" s="367">
        <f t="shared" si="118"/>
        <v>0</v>
      </c>
      <c r="BA155" s="479">
        <f t="shared" si="119"/>
        <v>0</v>
      </c>
      <c r="BB155" s="393">
        <f t="shared" si="101"/>
        <v>0</v>
      </c>
      <c r="BC155" s="367"/>
      <c r="BD155" s="369">
        <f t="shared" si="102"/>
        <v>0</v>
      </c>
      <c r="BI155" s="86" t="str">
        <f t="shared" si="103"/>
        <v/>
      </c>
      <c r="BJ155" s="86" t="str">
        <f t="shared" si="104"/>
        <v/>
      </c>
      <c r="BK155" s="86" t="str">
        <f t="shared" si="105"/>
        <v/>
      </c>
    </row>
    <row r="156" spans="2:63">
      <c r="B156" s="644"/>
      <c r="C156" s="636"/>
      <c r="D156" s="640"/>
      <c r="E156" s="641"/>
      <c r="F156" s="477"/>
      <c r="G156" s="47" t="s">
        <v>518</v>
      </c>
      <c r="H156" s="83"/>
      <c r="I156" s="84"/>
      <c r="J156" s="85"/>
      <c r="K156" s="477"/>
      <c r="L156" s="32"/>
      <c r="M156" s="32"/>
      <c r="N156" s="33"/>
      <c r="O156" s="32"/>
      <c r="P156" s="32"/>
      <c r="Q156" s="28"/>
      <c r="R156" s="421"/>
      <c r="S156" s="421"/>
      <c r="T156" s="421"/>
      <c r="U156" s="421"/>
      <c r="V156" s="421"/>
      <c r="W156" s="421"/>
      <c r="X156" s="421"/>
      <c r="Y156" s="389" t="str">
        <f t="shared" si="91"/>
        <v/>
      </c>
      <c r="Z156" s="364" t="str">
        <f t="shared" si="92"/>
        <v/>
      </c>
      <c r="AA156" s="364" t="str">
        <f t="shared" si="93"/>
        <v/>
      </c>
      <c r="AB156" s="364" t="str">
        <f t="shared" si="94"/>
        <v/>
      </c>
      <c r="AC156" s="364" t="str">
        <f t="shared" si="95"/>
        <v/>
      </c>
      <c r="AD156" s="364" t="str">
        <f t="shared" si="96"/>
        <v/>
      </c>
      <c r="AE156" s="390" t="str">
        <f t="shared" si="97"/>
        <v/>
      </c>
      <c r="AF156" s="389">
        <f t="shared" si="98"/>
        <v>0</v>
      </c>
      <c r="AG156" s="364">
        <f>IFERROR(VLOOKUP($O156,#REF!,4,FALSE),0)</f>
        <v>0</v>
      </c>
      <c r="AH156" s="364">
        <f>IFERROR(VLOOKUP($O156,#REF!,6,FALSE),0)</f>
        <v>0</v>
      </c>
      <c r="AI156" s="364">
        <f>IFERROR(VLOOKUP($O156,#REF!,8,FALSE),0)</f>
        <v>0</v>
      </c>
      <c r="AJ156" s="364">
        <f>IFERROR(VLOOKUP($O156,#REF!,10,FALSE),0)</f>
        <v>0</v>
      </c>
      <c r="AK156" s="364">
        <f>IFERROR(VLOOKUP($O156,#REF!,12,FALSE),0)</f>
        <v>0</v>
      </c>
      <c r="AL156" s="364">
        <f>IFERROR(VLOOKUP($O156,#REF!,14,FALSE),0)</f>
        <v>0</v>
      </c>
      <c r="AM156" s="390">
        <f t="shared" si="99"/>
        <v>0</v>
      </c>
      <c r="AN156" s="431">
        <f t="shared" si="100"/>
        <v>0</v>
      </c>
      <c r="AO156" s="366">
        <f>IF(Z156="V",IF('1.GHG Inventory Form'!$E$6="IPCC AR2 Report(1995)",'6.GWP'!$C$2,IF('1.GHG Inventory Form'!$E$6="IPCC AR3 Report(2001)",'6.GWP'!$D$2,IF('1.GHG Inventory Form'!$E$6="IPCC AR4 Report(2007)",'6.GWP'!$E$2,IF('1.GHG Inventory Form'!$E$6="IPCC AR5 Report(2013)",'6.GWP'!$F$2,IF('1.GHG Inventory Form'!$E$6="IPCC AR6 Report(2021)",'6.GWP'!$G$2,0))))),0)</f>
        <v>0</v>
      </c>
      <c r="AP156" s="366">
        <f>IF(AA156="V",IF('1.GHG Inventory Form'!$E$6="IPCC AR2 Report(1995)",'6.GWP'!$C$3,IF('1.GHG Inventory Form'!$E$6="IPCC AR3 Report(2001)",'6.GWP'!$D$3,IF('1.GHG Inventory Form'!$E$6="IPCC AR4 Report(2007)",'6.GWP'!$E$3,IF('1.GHG Inventory Form'!$E$6="IPCC AR5 Report(2013)",'6.GWP'!$F$3,IF('1.GHG Inventory Form'!$E$6="IPCC AR6 Report(2021)",'6.GWP'!$G$3,0))))),0)</f>
        <v>0</v>
      </c>
      <c r="AQ156" s="366">
        <f>IFERROR(IF(AB156="V",IF('1.GHG Inventory Form'!$E$6="IPCC AR2 Report(1995)",VLOOKUP($O156,'6.GWP'!$B$1:$G$173,2,FALSE),IF('1.GHG Inventory Form'!$E$6="IPCC AR3 Report(2001)",VLOOKUP($O156,'6.GWP'!$B$1:$G$173,3,FALSE),IF('1.GHG Inventory Form'!$E$6="IPCC AR4 Report(2007)",VLOOKUP($KQ76,'6.GWP'!$B$1:$G$173,4,FALSE),IF('1.GHG Inventory Form'!$E$6="IPCC AR5 Report(2013)",VLOOKUP($O156,'6.GWP'!$B$1:$G$173,5,FALSE),IF('1.GHG Inventory Form'!$E$6="IPCC AR6 Report(2021)",VLOOKUP($O156,'6.GWP'!$B$2:$G$173,6,FALSE),0))))),0),0)</f>
        <v>0</v>
      </c>
      <c r="AR156" s="366">
        <f>IFERROR(IF(AC156="V",IF('1.GHG Inventory Form'!$E$6="IPCC AR2 Report(1995)",VLOOKUP($O156,'6.GWP'!$B$1:$G$173,2,FALSE),IF('1.GHG Inventory Form'!$E$6="IPCC AR3 Report(2001)",VLOOKUP($O156,'6.GWP'!$B$1:$G$173,3,FALSE),IF('1.GHG Inventory Form'!$E$6="IPCC AR4 Report(2007)",VLOOKUP($KQ76,'6.GWP'!$B$1:$G$173,4,FALSE),IF('1.GHG Inventory Form'!$E$6="IPCC AR5 Report(2013)",VLOOKUP($O156,'6.GWP'!$B$1:$G$173,5,FALSE),IF('1.GHG Inventory Form'!$E$6="IPCC AR6 Report(2021)",VLOOKUP($O156,'6.GWP'!$B$2:$G$173,6,FALSE),0))))),0),0)</f>
        <v>0</v>
      </c>
      <c r="AS156" s="366">
        <f>IF(AD156="V",IF('1.GHG Inventory Form'!$E$6="IPCC AR2 Report(1995)",'6.GWP'!$C$5,IF('1.GHG Inventory Form'!$E$6="IPCC AR3 Report(2001)",'6.GWP'!$D$5,IF('1.GHG Inventory Form'!$E$6="IPCC AR4 Report(2007)",'6.GWP'!$E$5,IF('1.GHG Inventory Form'!$E$6="IPCC AR5 Report(2013)",'6.GWP'!$F$5,IF('1.GHG Inventory Form'!$E$6="IPCC AR6 Report(2021)",'6.GWP'!$G$5,0))))),0)</f>
        <v>0</v>
      </c>
      <c r="AT156" s="392">
        <f>IF(AE156="V",IF('1.GHG Inventory Form'!$E$6="IPCC AR2 Report(1995)",'6.GWP'!$C$4,IF('1.GHG Inventory Form'!$E$6="IPCC AR3 Report(2001)",'6.GWP'!$D$4,IF('1.GHG Inventory Form'!$E$6="IPCC AR4 Report(2007)",'6.GWP'!$E$4,IF('1.GHG Inventory Form'!$E$6="IPCC AR5 Report(2013)",'6.GWP'!$F$4,IF('1.GHG Inventory Form'!$E$6="IPCC AR6 Report(2021)",'6.GWP'!$G$4,0))))),0)</f>
        <v>0</v>
      </c>
      <c r="AU156" s="478">
        <f t="shared" si="113"/>
        <v>0</v>
      </c>
      <c r="AV156" s="367">
        <f t="shared" si="114"/>
        <v>0</v>
      </c>
      <c r="AW156" s="367">
        <f t="shared" si="115"/>
        <v>0</v>
      </c>
      <c r="AX156" s="367">
        <f t="shared" si="116"/>
        <v>0</v>
      </c>
      <c r="AY156" s="367">
        <f t="shared" si="117"/>
        <v>0</v>
      </c>
      <c r="AZ156" s="367">
        <f t="shared" si="118"/>
        <v>0</v>
      </c>
      <c r="BA156" s="479">
        <f t="shared" si="119"/>
        <v>0</v>
      </c>
      <c r="BB156" s="393">
        <f t="shared" si="101"/>
        <v>0</v>
      </c>
      <c r="BC156" s="367"/>
      <c r="BD156" s="369">
        <f t="shared" si="102"/>
        <v>0</v>
      </c>
      <c r="BI156" s="86" t="str">
        <f t="shared" si="103"/>
        <v/>
      </c>
      <c r="BJ156" s="86" t="str">
        <f t="shared" si="104"/>
        <v/>
      </c>
      <c r="BK156" s="86" t="str">
        <f t="shared" si="105"/>
        <v/>
      </c>
    </row>
    <row r="157" spans="2:63" customFormat="1" ht="16" customHeight="1" thickBot="1">
      <c r="B157" s="645"/>
      <c r="C157" s="637"/>
      <c r="D157" s="642"/>
      <c r="E157" s="643"/>
      <c r="F157" s="510"/>
      <c r="G157" s="48" t="s">
        <v>519</v>
      </c>
      <c r="H157" s="120"/>
      <c r="I157" s="121"/>
      <c r="J157" s="122"/>
      <c r="K157" s="510"/>
      <c r="L157" s="30"/>
      <c r="M157" s="30"/>
      <c r="N157" s="34"/>
      <c r="O157" s="30"/>
      <c r="P157" s="30"/>
      <c r="Q157" s="35"/>
      <c r="R157" s="421"/>
      <c r="S157" s="421"/>
      <c r="T157" s="421"/>
      <c r="U157" s="421"/>
      <c r="V157" s="421"/>
      <c r="W157" s="421"/>
      <c r="X157" s="421"/>
      <c r="Y157" s="389" t="str">
        <f t="shared" si="91"/>
        <v/>
      </c>
      <c r="Z157" s="364" t="str">
        <f t="shared" si="92"/>
        <v/>
      </c>
      <c r="AA157" s="364" t="str">
        <f t="shared" si="93"/>
        <v/>
      </c>
      <c r="AB157" s="364" t="str">
        <f t="shared" si="94"/>
        <v/>
      </c>
      <c r="AC157" s="364" t="str">
        <f t="shared" si="95"/>
        <v/>
      </c>
      <c r="AD157" s="364" t="str">
        <f t="shared" si="96"/>
        <v/>
      </c>
      <c r="AE157" s="390" t="str">
        <f t="shared" si="97"/>
        <v/>
      </c>
      <c r="AF157" s="399">
        <f t="shared" si="98"/>
        <v>0</v>
      </c>
      <c r="AG157" s="400">
        <f>IFERROR(VLOOKUP($O157,#REF!,4,FALSE),0)</f>
        <v>0</v>
      </c>
      <c r="AH157" s="400">
        <f>IFERROR(VLOOKUP($O157,#REF!,6,FALSE),0)</f>
        <v>0</v>
      </c>
      <c r="AI157" s="400">
        <f>IFERROR(VLOOKUP($O157,#REF!,8,FALSE),0)</f>
        <v>0</v>
      </c>
      <c r="AJ157" s="400">
        <f>IFERROR(VLOOKUP($O157,#REF!,10,FALSE),0)</f>
        <v>0</v>
      </c>
      <c r="AK157" s="400">
        <f>IFERROR(VLOOKUP($O157,#REF!,12,FALSE),0)</f>
        <v>0</v>
      </c>
      <c r="AL157" s="400">
        <f>IFERROR(VLOOKUP($O157,#REF!,14,FALSE),0)</f>
        <v>0</v>
      </c>
      <c r="AM157" s="401">
        <f t="shared" si="99"/>
        <v>0</v>
      </c>
      <c r="AN157" s="511">
        <f t="shared" si="100"/>
        <v>0</v>
      </c>
      <c r="AO157" s="375">
        <f>IF(Z157="V",IF('1.GHG Inventory Form'!$E$6="IPCC AR2 Report(1995)",'6.GWP'!$C$2,IF('1.GHG Inventory Form'!$E$6="IPCC AR3 Report(2001)",'6.GWP'!$D$2,IF('1.GHG Inventory Form'!$E$6="IPCC AR4 Report(2007)",'6.GWP'!$E$2,IF('1.GHG Inventory Form'!$E$6="IPCC AR5 Report(2013)",'6.GWP'!$F$2,IF('1.GHG Inventory Form'!$E$6="IPCC AR6 Report(2021)",'6.GWP'!$G$2,0))))),0)</f>
        <v>0</v>
      </c>
      <c r="AP157" s="375">
        <f>IF(AA157="V",IF('1.GHG Inventory Form'!$E$6="IPCC AR2 Report(1995)",'6.GWP'!$C$3,IF('1.GHG Inventory Form'!$E$6="IPCC AR3 Report(2001)",'6.GWP'!$D$3,IF('1.GHG Inventory Form'!$E$6="IPCC AR4 Report(2007)",'6.GWP'!$E$3,IF('1.GHG Inventory Form'!$E$6="IPCC AR5 Report(2013)",'6.GWP'!$F$3,IF('1.GHG Inventory Form'!$E$6="IPCC AR6 Report(2021)",'6.GWP'!$G$3,0))))),0)</f>
        <v>0</v>
      </c>
      <c r="AQ157" s="375">
        <f>IFERROR(IF(AB157="V",IF('1.GHG Inventory Form'!$E$6="IPCC AR2 Report(1995)",VLOOKUP($O157,'6.GWP'!$B$1:$G$173,2,FALSE),IF('1.GHG Inventory Form'!$E$6="IPCC AR3 Report(2001)",VLOOKUP($O157,'6.GWP'!$B$1:$G$173,3,FALSE),IF('1.GHG Inventory Form'!$E$6="IPCC AR4 Report(2007)",VLOOKUP($KQ77,'6.GWP'!$B$1:$G$173,4,FALSE),IF('1.GHG Inventory Form'!$E$6="IPCC AR5 Report(2013)",VLOOKUP($O157,'6.GWP'!$B$1:$G$173,5,FALSE),IF('1.GHG Inventory Form'!$E$6="IPCC AR6 Report(2021)",VLOOKUP($O157,'6.GWP'!$B$2:$G$173,6,FALSE),0))))),0),0)</f>
        <v>0</v>
      </c>
      <c r="AR157" s="375">
        <f>IFERROR(IF(AC157="V",IF('1.GHG Inventory Form'!$E$6="IPCC AR2 Report(1995)",VLOOKUP($O157,'6.GWP'!$B$1:$G$173,2,FALSE),IF('1.GHG Inventory Form'!$E$6="IPCC AR3 Report(2001)",VLOOKUP($O157,'6.GWP'!$B$1:$G$173,3,FALSE),IF('1.GHG Inventory Form'!$E$6="IPCC AR4 Report(2007)",VLOOKUP($KQ77,'6.GWP'!$B$1:$G$173,4,FALSE),IF('1.GHG Inventory Form'!$E$6="IPCC AR5 Report(2013)",VLOOKUP($O157,'6.GWP'!$B$1:$G$173,5,FALSE),IF('1.GHG Inventory Form'!$E$6="IPCC AR6 Report(2021)",VLOOKUP($O157,'6.GWP'!$B$2:$G$173,6,FALSE),0))))),0),0)</f>
        <v>0</v>
      </c>
      <c r="AS157" s="375">
        <f>IF(AD157="V",IF('1.GHG Inventory Form'!$E$6="IPCC AR2 Report(1995)",'6.GWP'!$C$5,IF('1.GHG Inventory Form'!$E$6="IPCC AR3 Report(2001)",'6.GWP'!$D$5,IF('1.GHG Inventory Form'!$E$6="IPCC AR4 Report(2007)",'6.GWP'!$E$5,IF('1.GHG Inventory Form'!$E$6="IPCC AR5 Report(2013)",'6.GWP'!$F$5,IF('1.GHG Inventory Form'!$E$6="IPCC AR6 Report(2021)",'6.GWP'!$G$5,0))))),0)</f>
        <v>0</v>
      </c>
      <c r="AT157" s="512">
        <f>IF(AE157="V",IF('1.GHG Inventory Form'!$E$6="IPCC AR2 Report(1995)",'6.GWP'!$C$4,IF('1.GHG Inventory Form'!$E$6="IPCC AR3 Report(2001)",'6.GWP'!$D$4,IF('1.GHG Inventory Form'!$E$6="IPCC AR4 Report(2007)",'6.GWP'!$E$4,IF('1.GHG Inventory Form'!$E$6="IPCC AR5 Report(2013)",'6.GWP'!$F$4,IF('1.GHG Inventory Form'!$E$6="IPCC AR6 Report(2021)",'6.GWP'!$G$4,0))))),0)</f>
        <v>0</v>
      </c>
      <c r="AU157" s="482">
        <f t="shared" si="113"/>
        <v>0</v>
      </c>
      <c r="AV157" s="419">
        <f t="shared" si="114"/>
        <v>0</v>
      </c>
      <c r="AW157" s="419">
        <f t="shared" si="115"/>
        <v>0</v>
      </c>
      <c r="AX157" s="419">
        <f t="shared" si="116"/>
        <v>0</v>
      </c>
      <c r="AY157" s="419">
        <f t="shared" si="117"/>
        <v>0</v>
      </c>
      <c r="AZ157" s="419">
        <f t="shared" si="118"/>
        <v>0</v>
      </c>
      <c r="BA157" s="483">
        <f t="shared" si="119"/>
        <v>0</v>
      </c>
      <c r="BB157" s="409">
        <f t="shared" si="101"/>
        <v>0</v>
      </c>
      <c r="BC157" s="419"/>
      <c r="BD157" s="411">
        <f t="shared" si="102"/>
        <v>0</v>
      </c>
      <c r="BI157" s="86" t="str">
        <f t="shared" si="103"/>
        <v/>
      </c>
      <c r="BJ157" s="86" t="str">
        <f t="shared" si="104"/>
        <v/>
      </c>
      <c r="BK157" s="86" t="str">
        <f t="shared" si="105"/>
        <v/>
      </c>
    </row>
    <row r="158" spans="2:63" customFormat="1" ht="54" customHeight="1" thickBot="1">
      <c r="B158" s="630" t="s">
        <v>520</v>
      </c>
      <c r="C158" s="484">
        <v>5.0999999999999996</v>
      </c>
      <c r="D158" s="632" t="s">
        <v>521</v>
      </c>
      <c r="E158" s="633"/>
      <c r="F158" s="485"/>
      <c r="G158" s="49" t="s">
        <v>522</v>
      </c>
      <c r="H158" s="123"/>
      <c r="I158" s="114"/>
      <c r="J158" s="115"/>
      <c r="K158" s="485"/>
      <c r="L158" s="50"/>
      <c r="M158" s="50"/>
      <c r="N158" s="51"/>
      <c r="O158" s="50"/>
      <c r="P158" s="50"/>
      <c r="Q158" s="52"/>
      <c r="R158" s="421"/>
      <c r="S158" s="421"/>
      <c r="T158" s="421"/>
      <c r="U158" s="421"/>
      <c r="V158" s="421"/>
      <c r="W158" s="421"/>
      <c r="X158" s="421"/>
      <c r="Y158" s="389" t="str">
        <f t="shared" si="91"/>
        <v/>
      </c>
      <c r="Z158" s="364" t="str">
        <f t="shared" si="92"/>
        <v/>
      </c>
      <c r="AA158" s="364" t="str">
        <f t="shared" si="93"/>
        <v/>
      </c>
      <c r="AB158" s="364" t="str">
        <f t="shared" si="94"/>
        <v/>
      </c>
      <c r="AC158" s="364" t="str">
        <f t="shared" si="95"/>
        <v/>
      </c>
      <c r="AD158" s="364" t="str">
        <f t="shared" si="96"/>
        <v/>
      </c>
      <c r="AE158" s="390" t="str">
        <f t="shared" si="97"/>
        <v/>
      </c>
      <c r="AF158" s="513">
        <f t="shared" si="98"/>
        <v>0</v>
      </c>
      <c r="AG158" s="343">
        <f>IFERROR(VLOOKUP($O158,#REF!,4,FALSE),0)</f>
        <v>0</v>
      </c>
      <c r="AH158" s="343">
        <f>IFERROR(VLOOKUP($O158,#REF!,6,FALSE),0)</f>
        <v>0</v>
      </c>
      <c r="AI158" s="343">
        <f>IFERROR(VLOOKUP($O158,#REF!,8,FALSE),0)</f>
        <v>0</v>
      </c>
      <c r="AJ158" s="343">
        <f>IFERROR(VLOOKUP($O158,#REF!,10,FALSE),0)</f>
        <v>0</v>
      </c>
      <c r="AK158" s="343">
        <f>IFERROR(VLOOKUP($O158,#REF!,12,FALSE),0)</f>
        <v>0</v>
      </c>
      <c r="AL158" s="343">
        <f>IFERROR(VLOOKUP($O158,#REF!,14,FALSE),0)</f>
        <v>0</v>
      </c>
      <c r="AM158" s="344">
        <f t="shared" si="99"/>
        <v>0</v>
      </c>
      <c r="AN158" s="514">
        <f t="shared" si="100"/>
        <v>0</v>
      </c>
      <c r="AO158" s="515">
        <f>IF(Z158="V",IF('1.GHG Inventory Form'!$E$6="IPCC AR2 Report(1995)",'6.GWP'!$C$2,IF('1.GHG Inventory Form'!$E$6="IPCC AR3 Report(2001)",'6.GWP'!$D$2,IF('1.GHG Inventory Form'!$E$6="IPCC AR4 Report(2007)",'6.GWP'!$E$2,IF('1.GHG Inventory Form'!$E$6="IPCC AR5 Report(2013)",'6.GWP'!$F$2,IF('1.GHG Inventory Form'!$E$6="IPCC AR6 Report(2021)",'6.GWP'!$G$2,0))))),0)</f>
        <v>0</v>
      </c>
      <c r="AP158" s="515">
        <f>IF(AA158="V",IF('1.GHG Inventory Form'!$E$6="IPCC AR2 Report(1995)",'6.GWP'!$C$3,IF('1.GHG Inventory Form'!$E$6="IPCC AR3 Report(2001)",'6.GWP'!$D$3,IF('1.GHG Inventory Form'!$E$6="IPCC AR4 Report(2007)",'6.GWP'!$E$3,IF('1.GHG Inventory Form'!$E$6="IPCC AR5 Report(2013)",'6.GWP'!$F$3,IF('1.GHG Inventory Form'!$E$6="IPCC AR6 Report(2021)",'6.GWP'!$G$3,0))))),0)</f>
        <v>0</v>
      </c>
      <c r="AQ158" s="515">
        <f>IFERROR(IF(AB158="V",IF('1.GHG Inventory Form'!$E$6="IPCC AR2 Report(1995)",VLOOKUP($O158,'6.GWP'!$B$1:$G$173,2,FALSE),IF('1.GHG Inventory Form'!$E$6="IPCC AR3 Report(2001)",VLOOKUP($O158,'6.GWP'!$B$1:$G$173,3,FALSE),IF('1.GHG Inventory Form'!$E$6="IPCC AR4 Report(2007)",VLOOKUP($KQ79,'6.GWP'!$B$1:$G$173,4,FALSE),IF('1.GHG Inventory Form'!$E$6="IPCC AR5 Report(2013)",VLOOKUP($O158,'6.GWP'!$B$1:$G$173,5,FALSE),IF('1.GHG Inventory Form'!$E$6="IPCC AR6 Report(2021)",VLOOKUP($O158,'6.GWP'!$B$2:$G$173,6,FALSE),0))))),0),0)</f>
        <v>0</v>
      </c>
      <c r="AR158" s="515">
        <f>IFERROR(IF(AC158="V",IF('1.GHG Inventory Form'!$E$6="IPCC AR2 Report(1995)",VLOOKUP($O158,'6.GWP'!$B$1:$G$173,2,FALSE),IF('1.GHG Inventory Form'!$E$6="IPCC AR3 Report(2001)",VLOOKUP($O158,'6.GWP'!$B$1:$G$173,3,FALSE),IF('1.GHG Inventory Form'!$E$6="IPCC AR4 Report(2007)",VLOOKUP($KQ79,'6.GWP'!$B$1:$G$173,4,FALSE),IF('1.GHG Inventory Form'!$E$6="IPCC AR5 Report(2013)",VLOOKUP($O158,'6.GWP'!$B$1:$G$173,5,FALSE),IF('1.GHG Inventory Form'!$E$6="IPCC AR6 Report(2021)",VLOOKUP($O158,'6.GWP'!$B$2:$G$173,6,FALSE),0))))),0),0)</f>
        <v>0</v>
      </c>
      <c r="AS158" s="515">
        <f>IF(AD158="V",IF('1.GHG Inventory Form'!$E$6="IPCC AR2 Report(1995)",'6.GWP'!$C$5,IF('1.GHG Inventory Form'!$E$6="IPCC AR3 Report(2001)",'6.GWP'!$D$5,IF('1.GHG Inventory Form'!$E$6="IPCC AR4 Report(2007)",'6.GWP'!$E$5,IF('1.GHG Inventory Form'!$E$6="IPCC AR5 Report(2013)",'6.GWP'!$F$5,IF('1.GHG Inventory Form'!$E$6="IPCC AR6 Report(2021)",'6.GWP'!$G$5,0))))),0)</f>
        <v>0</v>
      </c>
      <c r="AT158" s="516">
        <f>IF(AE158="V",IF('1.GHG Inventory Form'!$E$6="IPCC AR2 Report(1995)",'6.GWP'!$C$4,IF('1.GHG Inventory Form'!$E$6="IPCC AR3 Report(2001)",'6.GWP'!$D$4,IF('1.GHG Inventory Form'!$E$6="IPCC AR4 Report(2007)",'6.GWP'!$E$4,IF('1.GHG Inventory Form'!$E$6="IPCC AR5 Report(2013)",'6.GWP'!$F$4,IF('1.GHG Inventory Form'!$E$6="IPCC AR6 Report(2021)",'6.GWP'!$G$4,0))))),0)</f>
        <v>0</v>
      </c>
      <c r="AU158" s="517">
        <f t="shared" si="113"/>
        <v>0</v>
      </c>
      <c r="AV158" s="518">
        <f t="shared" si="114"/>
        <v>0</v>
      </c>
      <c r="AW158" s="518">
        <f t="shared" si="115"/>
        <v>0</v>
      </c>
      <c r="AX158" s="518">
        <f t="shared" si="116"/>
        <v>0</v>
      </c>
      <c r="AY158" s="518">
        <f t="shared" si="117"/>
        <v>0</v>
      </c>
      <c r="AZ158" s="518">
        <f t="shared" si="118"/>
        <v>0</v>
      </c>
      <c r="BA158" s="519">
        <f t="shared" si="119"/>
        <v>0</v>
      </c>
      <c r="BB158" s="520">
        <f t="shared" si="101"/>
        <v>0</v>
      </c>
      <c r="BC158" s="518"/>
      <c r="BD158" s="521">
        <f t="shared" si="102"/>
        <v>0</v>
      </c>
      <c r="BI158" s="86" t="str">
        <f t="shared" si="103"/>
        <v/>
      </c>
      <c r="BJ158" s="86" t="str">
        <f t="shared" si="104"/>
        <v/>
      </c>
      <c r="BK158" s="86" t="str">
        <f t="shared" si="105"/>
        <v/>
      </c>
    </row>
    <row r="159" spans="2:63" customFormat="1" ht="45" customHeight="1" thickBot="1">
      <c r="B159" s="634"/>
      <c r="C159" s="476">
        <v>5.2</v>
      </c>
      <c r="D159" s="632" t="s">
        <v>523</v>
      </c>
      <c r="E159" s="633"/>
      <c r="F159" s="522"/>
      <c r="G159" s="45" t="s">
        <v>524</v>
      </c>
      <c r="H159" s="124"/>
      <c r="I159" s="125"/>
      <c r="J159" s="126"/>
      <c r="K159" s="522"/>
      <c r="L159" s="36"/>
      <c r="M159" s="36"/>
      <c r="N159" s="37"/>
      <c r="O159" s="36"/>
      <c r="P159" s="36"/>
      <c r="Q159" s="38"/>
      <c r="R159" s="421"/>
      <c r="S159" s="421"/>
      <c r="T159" s="421"/>
      <c r="U159" s="421"/>
      <c r="V159" s="421"/>
      <c r="W159" s="421"/>
      <c r="X159" s="421"/>
      <c r="Y159" s="389" t="str">
        <f t="shared" si="91"/>
        <v/>
      </c>
      <c r="Z159" s="364" t="str">
        <f t="shared" si="92"/>
        <v/>
      </c>
      <c r="AA159" s="364" t="str">
        <f t="shared" si="93"/>
        <v/>
      </c>
      <c r="AB159" s="364" t="str">
        <f t="shared" si="94"/>
        <v/>
      </c>
      <c r="AC159" s="364" t="str">
        <f t="shared" si="95"/>
        <v/>
      </c>
      <c r="AD159" s="364" t="str">
        <f t="shared" si="96"/>
        <v/>
      </c>
      <c r="AE159" s="390" t="str">
        <f t="shared" si="97"/>
        <v/>
      </c>
      <c r="AF159" s="523">
        <f t="shared" si="98"/>
        <v>0</v>
      </c>
      <c r="AG159" s="524">
        <f>IFERROR(VLOOKUP($O159,#REF!,4,FALSE),0)</f>
        <v>0</v>
      </c>
      <c r="AH159" s="524">
        <f>IFERROR(VLOOKUP($O159,#REF!,6,FALSE),0)</f>
        <v>0</v>
      </c>
      <c r="AI159" s="524">
        <f>IFERROR(VLOOKUP($O159,#REF!,8,FALSE),0)</f>
        <v>0</v>
      </c>
      <c r="AJ159" s="524">
        <f>IFERROR(VLOOKUP($O159,#REF!,10,FALSE),0)</f>
        <v>0</v>
      </c>
      <c r="AK159" s="524">
        <f>IFERROR(VLOOKUP($O159,#REF!,12,FALSE),0)</f>
        <v>0</v>
      </c>
      <c r="AL159" s="524">
        <f>IFERROR(VLOOKUP($O159,#REF!,14,FALSE),0)</f>
        <v>0</v>
      </c>
      <c r="AM159" s="525">
        <f t="shared" si="99"/>
        <v>0</v>
      </c>
      <c r="AN159" s="526">
        <f t="shared" si="100"/>
        <v>0</v>
      </c>
      <c r="AO159" s="347">
        <f>IF(Z159="V",IF('1.GHG Inventory Form'!$E$6="IPCC AR2 Report(1995)",'6.GWP'!$C$2,IF('1.GHG Inventory Form'!$E$6="IPCC AR3 Report(2001)",'6.GWP'!$D$2,IF('1.GHG Inventory Form'!$E$6="IPCC AR4 Report(2007)",'6.GWP'!$E$2,IF('1.GHG Inventory Form'!$E$6="IPCC AR5 Report(2013)",'6.GWP'!$F$2,IF('1.GHG Inventory Form'!$E$6="IPCC AR6 Report(2021)",'6.GWP'!$G$2,0))))),0)</f>
        <v>0</v>
      </c>
      <c r="AP159" s="347">
        <f>IF(AA159="V",IF('1.GHG Inventory Form'!$E$6="IPCC AR2 Report(1995)",'6.GWP'!$C$3,IF('1.GHG Inventory Form'!$E$6="IPCC AR3 Report(2001)",'6.GWP'!$D$3,IF('1.GHG Inventory Form'!$E$6="IPCC AR4 Report(2007)",'6.GWP'!$E$3,IF('1.GHG Inventory Form'!$E$6="IPCC AR5 Report(2013)",'6.GWP'!$F$3,IF('1.GHG Inventory Form'!$E$6="IPCC AR6 Report(2021)",'6.GWP'!$G$3,0))))),0)</f>
        <v>0</v>
      </c>
      <c r="AQ159" s="347">
        <f>IFERROR(IF(AB159="V",IF('1.GHG Inventory Form'!$E$6="IPCC AR2 Report(1995)",VLOOKUP($O159,'6.GWP'!$B$1:$G$173,2,FALSE),IF('1.GHG Inventory Form'!$E$6="IPCC AR3 Report(2001)",VLOOKUP($O159,'6.GWP'!$B$1:$G$173,3,FALSE),IF('1.GHG Inventory Form'!$E$6="IPCC AR4 Report(2007)",VLOOKUP($KQ80,'6.GWP'!$B$1:$G$173,4,FALSE),IF('1.GHG Inventory Form'!$E$6="IPCC AR5 Report(2013)",VLOOKUP($O159,'6.GWP'!$B$1:$G$173,5,FALSE),IF('1.GHG Inventory Form'!$E$6="IPCC AR6 Report(2021)",VLOOKUP($O159,'6.GWP'!$B$2:$G$173,6,FALSE),0))))),0),0)</f>
        <v>0</v>
      </c>
      <c r="AR159" s="347">
        <f>IFERROR(IF(AC159="V",IF('1.GHG Inventory Form'!$E$6="IPCC AR2 Report(1995)",VLOOKUP($O159,'6.GWP'!$B$1:$G$173,2,FALSE),IF('1.GHG Inventory Form'!$E$6="IPCC AR3 Report(2001)",VLOOKUP($O159,'6.GWP'!$B$1:$G$173,3,FALSE),IF('1.GHG Inventory Form'!$E$6="IPCC AR4 Report(2007)",VLOOKUP($KQ80,'6.GWP'!$B$1:$G$173,4,FALSE),IF('1.GHG Inventory Form'!$E$6="IPCC AR5 Report(2013)",VLOOKUP($O159,'6.GWP'!$B$1:$G$173,5,FALSE),IF('1.GHG Inventory Form'!$E$6="IPCC AR6 Report(2021)",VLOOKUP($O159,'6.GWP'!$B$2:$G$173,6,FALSE),0))))),0),0)</f>
        <v>0</v>
      </c>
      <c r="AS159" s="347">
        <f>IF(AD159="V",IF('1.GHG Inventory Form'!$E$6="IPCC AR2 Report(1995)",'6.GWP'!$C$5,IF('1.GHG Inventory Form'!$E$6="IPCC AR3 Report(2001)",'6.GWP'!$D$5,IF('1.GHG Inventory Form'!$E$6="IPCC AR4 Report(2007)",'6.GWP'!$E$5,IF('1.GHG Inventory Form'!$E$6="IPCC AR5 Report(2013)",'6.GWP'!$F$5,IF('1.GHG Inventory Form'!$E$6="IPCC AR6 Report(2021)",'6.GWP'!$G$5,0))))),0)</f>
        <v>0</v>
      </c>
      <c r="AT159" s="348">
        <f>IF(AE159="V",IF('1.GHG Inventory Form'!$E$6="IPCC AR2 Report(1995)",'6.GWP'!$C$4,IF('1.GHG Inventory Form'!$E$6="IPCC AR3 Report(2001)",'6.GWP'!$D$4,IF('1.GHG Inventory Form'!$E$6="IPCC AR4 Report(2007)",'6.GWP'!$E$4,IF('1.GHG Inventory Form'!$E$6="IPCC AR5 Report(2013)",'6.GWP'!$F$4,IF('1.GHG Inventory Form'!$E$6="IPCC AR6 Report(2021)",'6.GWP'!$G$4,0))))),0)</f>
        <v>0</v>
      </c>
      <c r="AU159" s="527">
        <f t="shared" si="113"/>
        <v>0</v>
      </c>
      <c r="AV159" s="528">
        <f t="shared" si="114"/>
        <v>0</v>
      </c>
      <c r="AW159" s="528">
        <f t="shared" si="115"/>
        <v>0</v>
      </c>
      <c r="AX159" s="528">
        <f t="shared" si="116"/>
        <v>0</v>
      </c>
      <c r="AY159" s="528">
        <f t="shared" si="117"/>
        <v>0</v>
      </c>
      <c r="AZ159" s="528">
        <f t="shared" si="118"/>
        <v>0</v>
      </c>
      <c r="BA159" s="529">
        <f t="shared" si="119"/>
        <v>0</v>
      </c>
      <c r="BB159" s="530">
        <f t="shared" si="101"/>
        <v>0</v>
      </c>
      <c r="BC159" s="528"/>
      <c r="BD159" s="531">
        <f t="shared" si="102"/>
        <v>0</v>
      </c>
      <c r="BI159" s="86" t="str">
        <f t="shared" si="103"/>
        <v/>
      </c>
      <c r="BJ159" s="86" t="str">
        <f t="shared" si="104"/>
        <v/>
      </c>
      <c r="BK159" s="86" t="str">
        <f t="shared" si="105"/>
        <v/>
      </c>
    </row>
    <row r="160" spans="2:63">
      <c r="B160" s="634"/>
      <c r="C160" s="635">
        <v>5.3</v>
      </c>
      <c r="D160" s="638" t="s">
        <v>525</v>
      </c>
      <c r="E160" s="639"/>
      <c r="F160" s="490"/>
      <c r="G160" s="42" t="s">
        <v>526</v>
      </c>
      <c r="H160" s="117"/>
      <c r="I160" s="118"/>
      <c r="J160" s="119"/>
      <c r="K160" s="490"/>
      <c r="L160" s="39"/>
      <c r="M160" s="39"/>
      <c r="N160" s="40"/>
      <c r="O160" s="39"/>
      <c r="P160" s="39"/>
      <c r="Q160" s="41"/>
      <c r="R160" s="421"/>
      <c r="S160" s="421"/>
      <c r="T160" s="421"/>
      <c r="U160" s="421"/>
      <c r="V160" s="421"/>
      <c r="W160" s="421"/>
      <c r="X160" s="421"/>
      <c r="Y160" s="389" t="str">
        <f t="shared" si="91"/>
        <v/>
      </c>
      <c r="Z160" s="364" t="str">
        <f t="shared" si="92"/>
        <v/>
      </c>
      <c r="AA160" s="364" t="str">
        <f t="shared" si="93"/>
        <v/>
      </c>
      <c r="AB160" s="364" t="str">
        <f t="shared" si="94"/>
        <v/>
      </c>
      <c r="AC160" s="364" t="str">
        <f t="shared" si="95"/>
        <v/>
      </c>
      <c r="AD160" s="364" t="str">
        <f t="shared" si="96"/>
        <v/>
      </c>
      <c r="AE160" s="390" t="str">
        <f t="shared" si="97"/>
        <v/>
      </c>
      <c r="AF160" s="381">
        <f t="shared" si="98"/>
        <v>0</v>
      </c>
      <c r="AG160" s="355">
        <f>IFERROR(VLOOKUP($O160,#REF!,4,FALSE),0)</f>
        <v>0</v>
      </c>
      <c r="AH160" s="355">
        <f>IFERROR(VLOOKUP($O160,#REF!,6,FALSE),0)</f>
        <v>0</v>
      </c>
      <c r="AI160" s="355">
        <f>IFERROR(VLOOKUP($O160,#REF!,8,FALSE),0)</f>
        <v>0</v>
      </c>
      <c r="AJ160" s="355">
        <f>IFERROR(VLOOKUP($O160,#REF!,10,FALSE),0)</f>
        <v>0</v>
      </c>
      <c r="AK160" s="355">
        <f>IFERROR(VLOOKUP($O160,#REF!,12,FALSE),0)</f>
        <v>0</v>
      </c>
      <c r="AL160" s="355">
        <f>IFERROR(VLOOKUP($O160,#REF!,14,FALSE),0)</f>
        <v>0</v>
      </c>
      <c r="AM160" s="382">
        <f t="shared" si="99"/>
        <v>0</v>
      </c>
      <c r="AN160" s="384">
        <f t="shared" si="100"/>
        <v>0</v>
      </c>
      <c r="AO160" s="357">
        <f>IF(Z160="V",IF('1.GHG Inventory Form'!$E$6="IPCC AR2 Report(1995)",'6.GWP'!$C$2,IF('1.GHG Inventory Form'!$E$6="IPCC AR3 Report(2001)",'6.GWP'!$D$2,IF('1.GHG Inventory Form'!$E$6="IPCC AR4 Report(2007)",'6.GWP'!$E$2,IF('1.GHG Inventory Form'!$E$6="IPCC AR5 Report(2013)",'6.GWP'!$F$2,IF('1.GHG Inventory Form'!$E$6="IPCC AR6 Report(2021)",'6.GWP'!$G$2,0))))),0)</f>
        <v>0</v>
      </c>
      <c r="AP160" s="357">
        <f>IF(AA160="V",IF('1.GHG Inventory Form'!$E$6="IPCC AR2 Report(1995)",'6.GWP'!$C$3,IF('1.GHG Inventory Form'!$E$6="IPCC AR3 Report(2001)",'6.GWP'!$D$3,IF('1.GHG Inventory Form'!$E$6="IPCC AR4 Report(2007)",'6.GWP'!$E$3,IF('1.GHG Inventory Form'!$E$6="IPCC AR5 Report(2013)",'6.GWP'!$F$3,IF('1.GHG Inventory Form'!$E$6="IPCC AR6 Report(2021)",'6.GWP'!$G$3,0))))),0)</f>
        <v>0</v>
      </c>
      <c r="AQ160" s="357">
        <f>IFERROR(IF(AB160="V",IF('1.GHG Inventory Form'!$E$6="IPCC AR2 Report(1995)",VLOOKUP($O160,'6.GWP'!$B$1:$G$173,2,FALSE),IF('1.GHG Inventory Form'!$E$6="IPCC AR3 Report(2001)",VLOOKUP($O160,'6.GWP'!$B$1:$G$173,3,FALSE),IF('1.GHG Inventory Form'!$E$6="IPCC AR4 Report(2007)",VLOOKUP($KQ81,'6.GWP'!$B$1:$G$173,4,FALSE),IF('1.GHG Inventory Form'!$E$6="IPCC AR5 Report(2013)",VLOOKUP($O160,'6.GWP'!$B$1:$G$173,5,FALSE),IF('1.GHG Inventory Form'!$E$6="IPCC AR6 Report(2021)",VLOOKUP($O160,'6.GWP'!$B$2:$G$173,6,FALSE),0))))),0),0)</f>
        <v>0</v>
      </c>
      <c r="AR160" s="357">
        <f>IFERROR(IF(AC160="V",IF('1.GHG Inventory Form'!$E$6="IPCC AR2 Report(1995)",VLOOKUP($O160,'6.GWP'!$B$1:$G$173,2,FALSE),IF('1.GHG Inventory Form'!$E$6="IPCC AR3 Report(2001)",VLOOKUP($O160,'6.GWP'!$B$1:$G$173,3,FALSE),IF('1.GHG Inventory Form'!$E$6="IPCC AR4 Report(2007)",VLOOKUP($KQ81,'6.GWP'!$B$1:$G$173,4,FALSE),IF('1.GHG Inventory Form'!$E$6="IPCC AR5 Report(2013)",VLOOKUP($O160,'6.GWP'!$B$1:$G$173,5,FALSE),IF('1.GHG Inventory Form'!$E$6="IPCC AR6 Report(2021)",VLOOKUP($O160,'6.GWP'!$B$2:$G$173,6,FALSE),0))))),0),0)</f>
        <v>0</v>
      </c>
      <c r="AS160" s="357">
        <f>IF(AD160="V",IF('1.GHG Inventory Form'!$E$6="IPCC AR2 Report(1995)",'6.GWP'!$C$5,IF('1.GHG Inventory Form'!$E$6="IPCC AR3 Report(2001)",'6.GWP'!$D$5,IF('1.GHG Inventory Form'!$E$6="IPCC AR4 Report(2007)",'6.GWP'!$E$5,IF('1.GHG Inventory Form'!$E$6="IPCC AR5 Report(2013)",'6.GWP'!$F$5,IF('1.GHG Inventory Form'!$E$6="IPCC AR6 Report(2021)",'6.GWP'!$G$5,0))))),0)</f>
        <v>0</v>
      </c>
      <c r="AT160" s="385">
        <f>IF(AE160="V",IF('1.GHG Inventory Form'!$E$6="IPCC AR2 Report(1995)",'6.GWP'!$C$4,IF('1.GHG Inventory Form'!$E$6="IPCC AR3 Report(2001)",'6.GWP'!$D$4,IF('1.GHG Inventory Form'!$E$6="IPCC AR4 Report(2007)",'6.GWP'!$E$4,IF('1.GHG Inventory Form'!$E$6="IPCC AR5 Report(2013)",'6.GWP'!$F$4,IF('1.GHG Inventory Form'!$E$6="IPCC AR6 Report(2021)",'6.GWP'!$G$4,0))))),0)</f>
        <v>0</v>
      </c>
      <c r="AU160" s="474">
        <f t="shared" si="113"/>
        <v>0</v>
      </c>
      <c r="AV160" s="358">
        <f t="shared" si="114"/>
        <v>0</v>
      </c>
      <c r="AW160" s="358">
        <f t="shared" si="115"/>
        <v>0</v>
      </c>
      <c r="AX160" s="358">
        <f t="shared" si="116"/>
        <v>0</v>
      </c>
      <c r="AY160" s="358">
        <f t="shared" si="117"/>
        <v>0</v>
      </c>
      <c r="AZ160" s="358">
        <f t="shared" si="118"/>
        <v>0</v>
      </c>
      <c r="BA160" s="475">
        <f t="shared" si="119"/>
        <v>0</v>
      </c>
      <c r="BB160" s="386">
        <f t="shared" si="101"/>
        <v>0</v>
      </c>
      <c r="BC160" s="358"/>
      <c r="BD160" s="360">
        <f t="shared" si="102"/>
        <v>0</v>
      </c>
      <c r="BI160" s="86" t="str">
        <f t="shared" si="103"/>
        <v/>
      </c>
      <c r="BJ160" s="86" t="str">
        <f t="shared" si="104"/>
        <v/>
      </c>
      <c r="BK160" s="86" t="str">
        <f t="shared" si="105"/>
        <v/>
      </c>
    </row>
    <row r="161" spans="2:63">
      <c r="B161" s="634"/>
      <c r="C161" s="636"/>
      <c r="D161" s="640"/>
      <c r="E161" s="641"/>
      <c r="F161" s="477"/>
      <c r="G161" s="43" t="s">
        <v>527</v>
      </c>
      <c r="H161" s="83"/>
      <c r="I161" s="84"/>
      <c r="J161" s="85"/>
      <c r="K161" s="477"/>
      <c r="L161" s="32"/>
      <c r="M161" s="32"/>
      <c r="N161" s="33"/>
      <c r="O161" s="32"/>
      <c r="P161" s="32"/>
      <c r="Q161" s="28"/>
      <c r="R161" s="421"/>
      <c r="S161" s="421"/>
      <c r="T161" s="421"/>
      <c r="U161" s="421"/>
      <c r="V161" s="421"/>
      <c r="W161" s="421"/>
      <c r="X161" s="421"/>
      <c r="Y161" s="389" t="str">
        <f t="shared" si="91"/>
        <v/>
      </c>
      <c r="Z161" s="364" t="str">
        <f t="shared" si="92"/>
        <v/>
      </c>
      <c r="AA161" s="364" t="str">
        <f t="shared" si="93"/>
        <v/>
      </c>
      <c r="AB161" s="364" t="str">
        <f t="shared" si="94"/>
        <v/>
      </c>
      <c r="AC161" s="364" t="str">
        <f t="shared" si="95"/>
        <v/>
      </c>
      <c r="AD161" s="364" t="str">
        <f t="shared" si="96"/>
        <v/>
      </c>
      <c r="AE161" s="390" t="str">
        <f t="shared" si="97"/>
        <v/>
      </c>
      <c r="AF161" s="389">
        <f t="shared" si="98"/>
        <v>0</v>
      </c>
      <c r="AG161" s="364">
        <f>IFERROR(VLOOKUP($O161,#REF!,4,FALSE),0)</f>
        <v>0</v>
      </c>
      <c r="AH161" s="364">
        <f>IFERROR(VLOOKUP($O161,#REF!,6,FALSE),0)</f>
        <v>0</v>
      </c>
      <c r="AI161" s="364">
        <f>IFERROR(VLOOKUP($O161,#REF!,8,FALSE),0)</f>
        <v>0</v>
      </c>
      <c r="AJ161" s="364">
        <f>IFERROR(VLOOKUP($O161,#REF!,10,FALSE),0)</f>
        <v>0</v>
      </c>
      <c r="AK161" s="364">
        <f>IFERROR(VLOOKUP($O161,#REF!,12,FALSE),0)</f>
        <v>0</v>
      </c>
      <c r="AL161" s="364">
        <f>IFERROR(VLOOKUP($O161,#REF!,14,FALSE),0)</f>
        <v>0</v>
      </c>
      <c r="AM161" s="390">
        <f t="shared" si="99"/>
        <v>0</v>
      </c>
      <c r="AN161" s="391">
        <f t="shared" si="100"/>
        <v>0</v>
      </c>
      <c r="AO161" s="366">
        <f>IF(Z161="V",IF('1.GHG Inventory Form'!$E$6="IPCC AR2 Report(1995)",'6.GWP'!$C$2,IF('1.GHG Inventory Form'!$E$6="IPCC AR3 Report(2001)",'6.GWP'!$D$2,IF('1.GHG Inventory Form'!$E$6="IPCC AR4 Report(2007)",'6.GWP'!$E$2,IF('1.GHG Inventory Form'!$E$6="IPCC AR5 Report(2013)",'6.GWP'!$F$2,IF('1.GHG Inventory Form'!$E$6="IPCC AR6 Report(2021)",'6.GWP'!$G$2,0))))),0)</f>
        <v>0</v>
      </c>
      <c r="AP161" s="366">
        <f>IF(AA161="V",IF('1.GHG Inventory Form'!$E$6="IPCC AR2 Report(1995)",'6.GWP'!$C$3,IF('1.GHG Inventory Form'!$E$6="IPCC AR3 Report(2001)",'6.GWP'!$D$3,IF('1.GHG Inventory Form'!$E$6="IPCC AR4 Report(2007)",'6.GWP'!$E$3,IF('1.GHG Inventory Form'!$E$6="IPCC AR5 Report(2013)",'6.GWP'!$F$3,IF('1.GHG Inventory Form'!$E$6="IPCC AR6 Report(2021)",'6.GWP'!$G$3,0))))),0)</f>
        <v>0</v>
      </c>
      <c r="AQ161" s="366">
        <f>IFERROR(IF(AB161="V",IF('1.GHG Inventory Form'!$E$6="IPCC AR2 Report(1995)",VLOOKUP($O161,'6.GWP'!$B$1:$G$173,2,FALSE),IF('1.GHG Inventory Form'!$E$6="IPCC AR3 Report(2001)",VLOOKUP($O161,'6.GWP'!$B$1:$G$173,3,FALSE),IF('1.GHG Inventory Form'!$E$6="IPCC AR4 Report(2007)",VLOOKUP($KQ82,'6.GWP'!$B$1:$G$173,4,FALSE),IF('1.GHG Inventory Form'!$E$6="IPCC AR5 Report(2013)",VLOOKUP($O161,'6.GWP'!$B$1:$G$173,5,FALSE),IF('1.GHG Inventory Form'!$E$6="IPCC AR6 Report(2021)",VLOOKUP($O161,'6.GWP'!$B$2:$G$173,6,FALSE),0))))),0),0)</f>
        <v>0</v>
      </c>
      <c r="AR161" s="366">
        <f>IFERROR(IF(AC161="V",IF('1.GHG Inventory Form'!$E$6="IPCC AR2 Report(1995)",VLOOKUP($O161,'6.GWP'!$B$1:$G$173,2,FALSE),IF('1.GHG Inventory Form'!$E$6="IPCC AR3 Report(2001)",VLOOKUP($O161,'6.GWP'!$B$1:$G$173,3,FALSE),IF('1.GHG Inventory Form'!$E$6="IPCC AR4 Report(2007)",VLOOKUP($KQ82,'6.GWP'!$B$1:$G$173,4,FALSE),IF('1.GHG Inventory Form'!$E$6="IPCC AR5 Report(2013)",VLOOKUP($O161,'6.GWP'!$B$1:$G$173,5,FALSE),IF('1.GHG Inventory Form'!$E$6="IPCC AR6 Report(2021)",VLOOKUP($O161,'6.GWP'!$B$2:$G$173,6,FALSE),0))))),0),0)</f>
        <v>0</v>
      </c>
      <c r="AS161" s="366">
        <f>IF(AD161="V",IF('1.GHG Inventory Form'!$E$6="IPCC AR2 Report(1995)",'6.GWP'!$C$5,IF('1.GHG Inventory Form'!$E$6="IPCC AR3 Report(2001)",'6.GWP'!$D$5,IF('1.GHG Inventory Form'!$E$6="IPCC AR4 Report(2007)",'6.GWP'!$E$5,IF('1.GHG Inventory Form'!$E$6="IPCC AR5 Report(2013)",'6.GWP'!$F$5,IF('1.GHG Inventory Form'!$E$6="IPCC AR6 Report(2021)",'6.GWP'!$G$5,0))))),0)</f>
        <v>0</v>
      </c>
      <c r="AT161" s="392">
        <f>IF(AE161="V",IF('1.GHG Inventory Form'!$E$6="IPCC AR2 Report(1995)",'6.GWP'!$C$4,IF('1.GHG Inventory Form'!$E$6="IPCC AR3 Report(2001)",'6.GWP'!$D$4,IF('1.GHG Inventory Form'!$E$6="IPCC AR4 Report(2007)",'6.GWP'!$E$4,IF('1.GHG Inventory Form'!$E$6="IPCC AR5 Report(2013)",'6.GWP'!$F$4,IF('1.GHG Inventory Form'!$E$6="IPCC AR6 Report(2021)",'6.GWP'!$G$4,0))))),0)</f>
        <v>0</v>
      </c>
      <c r="AU161" s="478">
        <f t="shared" si="113"/>
        <v>0</v>
      </c>
      <c r="AV161" s="367">
        <f t="shared" si="114"/>
        <v>0</v>
      </c>
      <c r="AW161" s="367">
        <f t="shared" si="115"/>
        <v>0</v>
      </c>
      <c r="AX161" s="367">
        <f t="shared" si="116"/>
        <v>0</v>
      </c>
      <c r="AY161" s="367">
        <f t="shared" si="117"/>
        <v>0</v>
      </c>
      <c r="AZ161" s="367">
        <f t="shared" si="118"/>
        <v>0</v>
      </c>
      <c r="BA161" s="479">
        <f t="shared" si="119"/>
        <v>0</v>
      </c>
      <c r="BB161" s="393">
        <f t="shared" si="101"/>
        <v>0</v>
      </c>
      <c r="BC161" s="367"/>
      <c r="BD161" s="369">
        <f t="shared" si="102"/>
        <v>0</v>
      </c>
      <c r="BI161" s="86" t="str">
        <f t="shared" si="103"/>
        <v/>
      </c>
      <c r="BJ161" s="86" t="str">
        <f t="shared" si="104"/>
        <v/>
      </c>
      <c r="BK161" s="86" t="str">
        <f t="shared" si="105"/>
        <v/>
      </c>
    </row>
    <row r="162" spans="2:63">
      <c r="B162" s="634"/>
      <c r="C162" s="636"/>
      <c r="D162" s="640"/>
      <c r="E162" s="641"/>
      <c r="F162" s="477"/>
      <c r="G162" s="43" t="s">
        <v>528</v>
      </c>
      <c r="H162" s="83"/>
      <c r="I162" s="84"/>
      <c r="J162" s="85"/>
      <c r="K162" s="477"/>
      <c r="L162" s="32"/>
      <c r="M162" s="32"/>
      <c r="N162" s="33"/>
      <c r="O162" s="32"/>
      <c r="P162" s="32"/>
      <c r="Q162" s="28"/>
      <c r="R162" s="421"/>
      <c r="S162" s="421"/>
      <c r="T162" s="421"/>
      <c r="U162" s="421"/>
      <c r="V162" s="421"/>
      <c r="W162" s="421"/>
      <c r="X162" s="421"/>
      <c r="Y162" s="389" t="str">
        <f t="shared" si="91"/>
        <v/>
      </c>
      <c r="Z162" s="364" t="str">
        <f t="shared" si="92"/>
        <v/>
      </c>
      <c r="AA162" s="364" t="str">
        <f t="shared" si="93"/>
        <v/>
      </c>
      <c r="AB162" s="364" t="str">
        <f t="shared" si="94"/>
        <v/>
      </c>
      <c r="AC162" s="364" t="str">
        <f t="shared" si="95"/>
        <v/>
      </c>
      <c r="AD162" s="364" t="str">
        <f t="shared" si="96"/>
        <v/>
      </c>
      <c r="AE162" s="390" t="str">
        <f t="shared" si="97"/>
        <v/>
      </c>
      <c r="AF162" s="389">
        <f t="shared" si="98"/>
        <v>0</v>
      </c>
      <c r="AG162" s="364">
        <f>IFERROR(VLOOKUP($O162,#REF!,4,FALSE),0)</f>
        <v>0</v>
      </c>
      <c r="AH162" s="364">
        <f>IFERROR(VLOOKUP($O162,#REF!,6,FALSE),0)</f>
        <v>0</v>
      </c>
      <c r="AI162" s="364">
        <f>IFERROR(VLOOKUP($O162,#REF!,8,FALSE),0)</f>
        <v>0</v>
      </c>
      <c r="AJ162" s="364">
        <f>IFERROR(VLOOKUP($O162,#REF!,10,FALSE),0)</f>
        <v>0</v>
      </c>
      <c r="AK162" s="364">
        <f>IFERROR(VLOOKUP($O162,#REF!,12,FALSE),0)</f>
        <v>0</v>
      </c>
      <c r="AL162" s="364">
        <f>IFERROR(VLOOKUP($O162,#REF!,14,FALSE),0)</f>
        <v>0</v>
      </c>
      <c r="AM162" s="390">
        <f t="shared" si="99"/>
        <v>0</v>
      </c>
      <c r="AN162" s="391">
        <f t="shared" si="100"/>
        <v>0</v>
      </c>
      <c r="AO162" s="366">
        <f>IF(Z162="V",IF('1.GHG Inventory Form'!$E$6="IPCC AR2 Report(1995)",'6.GWP'!$C$2,IF('1.GHG Inventory Form'!$E$6="IPCC AR3 Report(2001)",'6.GWP'!$D$2,IF('1.GHG Inventory Form'!$E$6="IPCC AR4 Report(2007)",'6.GWP'!$E$2,IF('1.GHG Inventory Form'!$E$6="IPCC AR5 Report(2013)",'6.GWP'!$F$2,IF('1.GHG Inventory Form'!$E$6="IPCC AR6 Report(2021)",'6.GWP'!$G$2,0))))),0)</f>
        <v>0</v>
      </c>
      <c r="AP162" s="366">
        <f>IF(AA162="V",IF('1.GHG Inventory Form'!$E$6="IPCC AR2 Report(1995)",'6.GWP'!$C$3,IF('1.GHG Inventory Form'!$E$6="IPCC AR3 Report(2001)",'6.GWP'!$D$3,IF('1.GHG Inventory Form'!$E$6="IPCC AR4 Report(2007)",'6.GWP'!$E$3,IF('1.GHG Inventory Form'!$E$6="IPCC AR5 Report(2013)",'6.GWP'!$F$3,IF('1.GHG Inventory Form'!$E$6="IPCC AR6 Report(2021)",'6.GWP'!$G$3,0))))),0)</f>
        <v>0</v>
      </c>
      <c r="AQ162" s="366">
        <f>IFERROR(IF(AB162="V",IF('1.GHG Inventory Form'!$E$6="IPCC AR2 Report(1995)",VLOOKUP($O162,'6.GWP'!$B$1:$G$173,2,FALSE),IF('1.GHG Inventory Form'!$E$6="IPCC AR3 Report(2001)",VLOOKUP($O162,'6.GWP'!$B$1:$G$173,3,FALSE),IF('1.GHG Inventory Form'!$E$6="IPCC AR4 Report(2007)",VLOOKUP($KQ83,'6.GWP'!$B$1:$G$173,4,FALSE),IF('1.GHG Inventory Form'!$E$6="IPCC AR5 Report(2013)",VLOOKUP($O162,'6.GWP'!$B$1:$G$173,5,FALSE),IF('1.GHG Inventory Form'!$E$6="IPCC AR6 Report(2021)",VLOOKUP($O162,'6.GWP'!$B$2:$G$173,6,FALSE),0))))),0),0)</f>
        <v>0</v>
      </c>
      <c r="AR162" s="366">
        <f>IFERROR(IF(AC162="V",IF('1.GHG Inventory Form'!$E$6="IPCC AR2 Report(1995)",VLOOKUP($O162,'6.GWP'!$B$1:$G$173,2,FALSE),IF('1.GHG Inventory Form'!$E$6="IPCC AR3 Report(2001)",VLOOKUP($O162,'6.GWP'!$B$1:$G$173,3,FALSE),IF('1.GHG Inventory Form'!$E$6="IPCC AR4 Report(2007)",VLOOKUP($KQ83,'6.GWP'!$B$1:$G$173,4,FALSE),IF('1.GHG Inventory Form'!$E$6="IPCC AR5 Report(2013)",VLOOKUP($O162,'6.GWP'!$B$1:$G$173,5,FALSE),IF('1.GHG Inventory Form'!$E$6="IPCC AR6 Report(2021)",VLOOKUP($O162,'6.GWP'!$B$2:$G$173,6,FALSE),0))))),0),0)</f>
        <v>0</v>
      </c>
      <c r="AS162" s="366">
        <f>IF(AD162="V",IF('1.GHG Inventory Form'!$E$6="IPCC AR2 Report(1995)",'6.GWP'!$C$5,IF('1.GHG Inventory Form'!$E$6="IPCC AR3 Report(2001)",'6.GWP'!$D$5,IF('1.GHG Inventory Form'!$E$6="IPCC AR4 Report(2007)",'6.GWP'!$E$5,IF('1.GHG Inventory Form'!$E$6="IPCC AR5 Report(2013)",'6.GWP'!$F$5,IF('1.GHG Inventory Form'!$E$6="IPCC AR6 Report(2021)",'6.GWP'!$G$5,0))))),0)</f>
        <v>0</v>
      </c>
      <c r="AT162" s="392">
        <f>IF(AE162="V",IF('1.GHG Inventory Form'!$E$6="IPCC AR2 Report(1995)",'6.GWP'!$C$4,IF('1.GHG Inventory Form'!$E$6="IPCC AR3 Report(2001)",'6.GWP'!$D$4,IF('1.GHG Inventory Form'!$E$6="IPCC AR4 Report(2007)",'6.GWP'!$E$4,IF('1.GHG Inventory Form'!$E$6="IPCC AR5 Report(2013)",'6.GWP'!$F$4,IF('1.GHG Inventory Form'!$E$6="IPCC AR6 Report(2021)",'6.GWP'!$G$4,0))))),0)</f>
        <v>0</v>
      </c>
      <c r="AU162" s="478">
        <f t="shared" si="113"/>
        <v>0</v>
      </c>
      <c r="AV162" s="367">
        <f t="shared" si="114"/>
        <v>0</v>
      </c>
      <c r="AW162" s="367">
        <f t="shared" si="115"/>
        <v>0</v>
      </c>
      <c r="AX162" s="367">
        <f t="shared" si="116"/>
        <v>0</v>
      </c>
      <c r="AY162" s="367">
        <f t="shared" si="117"/>
        <v>0</v>
      </c>
      <c r="AZ162" s="367">
        <f t="shared" si="118"/>
        <v>0</v>
      </c>
      <c r="BA162" s="479">
        <f t="shared" si="119"/>
        <v>0</v>
      </c>
      <c r="BB162" s="393">
        <f t="shared" si="101"/>
        <v>0</v>
      </c>
      <c r="BC162" s="367"/>
      <c r="BD162" s="369">
        <f t="shared" si="102"/>
        <v>0</v>
      </c>
      <c r="BI162" s="86" t="str">
        <f t="shared" si="103"/>
        <v/>
      </c>
      <c r="BJ162" s="86" t="str">
        <f t="shared" si="104"/>
        <v/>
      </c>
      <c r="BK162" s="86" t="str">
        <f t="shared" si="105"/>
        <v/>
      </c>
    </row>
    <row r="163" spans="2:63">
      <c r="B163" s="634"/>
      <c r="C163" s="636"/>
      <c r="D163" s="640"/>
      <c r="E163" s="641"/>
      <c r="F163" s="477"/>
      <c r="G163" s="43" t="s">
        <v>529</v>
      </c>
      <c r="H163" s="83"/>
      <c r="I163" s="84"/>
      <c r="J163" s="85"/>
      <c r="K163" s="477"/>
      <c r="L163" s="32"/>
      <c r="M163" s="32"/>
      <c r="N163" s="33"/>
      <c r="O163" s="32"/>
      <c r="P163" s="32"/>
      <c r="Q163" s="28"/>
      <c r="R163" s="421"/>
      <c r="S163" s="421"/>
      <c r="T163" s="421"/>
      <c r="U163" s="421"/>
      <c r="V163" s="421"/>
      <c r="W163" s="421"/>
      <c r="X163" s="421"/>
      <c r="Y163" s="389" t="str">
        <f t="shared" si="91"/>
        <v/>
      </c>
      <c r="Z163" s="364" t="str">
        <f t="shared" si="92"/>
        <v/>
      </c>
      <c r="AA163" s="364" t="str">
        <f t="shared" si="93"/>
        <v/>
      </c>
      <c r="AB163" s="364" t="str">
        <f t="shared" si="94"/>
        <v/>
      </c>
      <c r="AC163" s="364" t="str">
        <f t="shared" si="95"/>
        <v/>
      </c>
      <c r="AD163" s="364" t="str">
        <f t="shared" si="96"/>
        <v/>
      </c>
      <c r="AE163" s="390" t="str">
        <f t="shared" si="97"/>
        <v/>
      </c>
      <c r="AF163" s="389">
        <f t="shared" si="98"/>
        <v>0</v>
      </c>
      <c r="AG163" s="364">
        <f>IFERROR(VLOOKUP($O163,#REF!,4,FALSE),0)</f>
        <v>0</v>
      </c>
      <c r="AH163" s="364">
        <f>IFERROR(VLOOKUP($O163,#REF!,6,FALSE),0)</f>
        <v>0</v>
      </c>
      <c r="AI163" s="364">
        <f>IFERROR(VLOOKUP($O163,#REF!,8,FALSE),0)</f>
        <v>0</v>
      </c>
      <c r="AJ163" s="364">
        <f>IFERROR(VLOOKUP($O163,#REF!,10,FALSE),0)</f>
        <v>0</v>
      </c>
      <c r="AK163" s="364">
        <f>IFERROR(VLOOKUP($O163,#REF!,12,FALSE),0)</f>
        <v>0</v>
      </c>
      <c r="AL163" s="364">
        <f>IFERROR(VLOOKUP($O163,#REF!,14,FALSE),0)</f>
        <v>0</v>
      </c>
      <c r="AM163" s="390">
        <f t="shared" si="99"/>
        <v>0</v>
      </c>
      <c r="AN163" s="391">
        <f t="shared" si="100"/>
        <v>0</v>
      </c>
      <c r="AO163" s="366">
        <f>IF(Z163="V",IF('1.GHG Inventory Form'!$E$6="IPCC AR2 Report(1995)",'6.GWP'!$C$2,IF('1.GHG Inventory Form'!$E$6="IPCC AR3 Report(2001)",'6.GWP'!$D$2,IF('1.GHG Inventory Form'!$E$6="IPCC AR4 Report(2007)",'6.GWP'!$E$2,IF('1.GHG Inventory Form'!$E$6="IPCC AR5 Report(2013)",'6.GWP'!$F$2,IF('1.GHG Inventory Form'!$E$6="IPCC AR6 Report(2021)",'6.GWP'!$G$2,0))))),0)</f>
        <v>0</v>
      </c>
      <c r="AP163" s="366">
        <f>IF(AA163="V",IF('1.GHG Inventory Form'!$E$6="IPCC AR2 Report(1995)",'6.GWP'!$C$3,IF('1.GHG Inventory Form'!$E$6="IPCC AR3 Report(2001)",'6.GWP'!$D$3,IF('1.GHG Inventory Form'!$E$6="IPCC AR4 Report(2007)",'6.GWP'!$E$3,IF('1.GHG Inventory Form'!$E$6="IPCC AR5 Report(2013)",'6.GWP'!$F$3,IF('1.GHG Inventory Form'!$E$6="IPCC AR6 Report(2021)",'6.GWP'!$G$3,0))))),0)</f>
        <v>0</v>
      </c>
      <c r="AQ163" s="366">
        <f>IFERROR(IF(AB163="V",IF('1.GHG Inventory Form'!$E$6="IPCC AR2 Report(1995)",VLOOKUP($O163,'6.GWP'!$B$1:$G$173,2,FALSE),IF('1.GHG Inventory Form'!$E$6="IPCC AR3 Report(2001)",VLOOKUP($O163,'6.GWP'!$B$1:$G$173,3,FALSE),IF('1.GHG Inventory Form'!$E$6="IPCC AR4 Report(2007)",VLOOKUP($KQ84,'6.GWP'!$B$1:$G$173,4,FALSE),IF('1.GHG Inventory Form'!$E$6="IPCC AR5 Report(2013)",VLOOKUP($O163,'6.GWP'!$B$1:$G$173,5,FALSE),IF('1.GHG Inventory Form'!$E$6="IPCC AR6 Report(2021)",VLOOKUP($O163,'6.GWP'!$B$2:$G$173,6,FALSE),0))))),0),0)</f>
        <v>0</v>
      </c>
      <c r="AR163" s="366">
        <f>IFERROR(IF(AC163="V",IF('1.GHG Inventory Form'!$E$6="IPCC AR2 Report(1995)",VLOOKUP($O163,'6.GWP'!$B$1:$G$173,2,FALSE),IF('1.GHG Inventory Form'!$E$6="IPCC AR3 Report(2001)",VLOOKUP($O163,'6.GWP'!$B$1:$G$173,3,FALSE),IF('1.GHG Inventory Form'!$E$6="IPCC AR4 Report(2007)",VLOOKUP($KQ84,'6.GWP'!$B$1:$G$173,4,FALSE),IF('1.GHG Inventory Form'!$E$6="IPCC AR5 Report(2013)",VLOOKUP($O163,'6.GWP'!$B$1:$G$173,5,FALSE),IF('1.GHG Inventory Form'!$E$6="IPCC AR6 Report(2021)",VLOOKUP($O163,'6.GWP'!$B$2:$G$173,6,FALSE),0))))),0),0)</f>
        <v>0</v>
      </c>
      <c r="AS163" s="366">
        <f>IF(AD163="V",IF('1.GHG Inventory Form'!$E$6="IPCC AR2 Report(1995)",'6.GWP'!$C$5,IF('1.GHG Inventory Form'!$E$6="IPCC AR3 Report(2001)",'6.GWP'!$D$5,IF('1.GHG Inventory Form'!$E$6="IPCC AR4 Report(2007)",'6.GWP'!$E$5,IF('1.GHG Inventory Form'!$E$6="IPCC AR5 Report(2013)",'6.GWP'!$F$5,IF('1.GHG Inventory Form'!$E$6="IPCC AR6 Report(2021)",'6.GWP'!$G$5,0))))),0)</f>
        <v>0</v>
      </c>
      <c r="AT163" s="392">
        <f>IF(AE163="V",IF('1.GHG Inventory Form'!$E$6="IPCC AR2 Report(1995)",'6.GWP'!$C$4,IF('1.GHG Inventory Form'!$E$6="IPCC AR3 Report(2001)",'6.GWP'!$D$4,IF('1.GHG Inventory Form'!$E$6="IPCC AR4 Report(2007)",'6.GWP'!$E$4,IF('1.GHG Inventory Form'!$E$6="IPCC AR5 Report(2013)",'6.GWP'!$F$4,IF('1.GHG Inventory Form'!$E$6="IPCC AR6 Report(2021)",'6.GWP'!$G$4,0))))),0)</f>
        <v>0</v>
      </c>
      <c r="AU163" s="478">
        <f t="shared" si="113"/>
        <v>0</v>
      </c>
      <c r="AV163" s="367">
        <f t="shared" si="114"/>
        <v>0</v>
      </c>
      <c r="AW163" s="367">
        <f t="shared" si="115"/>
        <v>0</v>
      </c>
      <c r="AX163" s="367">
        <f t="shared" si="116"/>
        <v>0</v>
      </c>
      <c r="AY163" s="367">
        <f t="shared" si="117"/>
        <v>0</v>
      </c>
      <c r="AZ163" s="367">
        <f t="shared" si="118"/>
        <v>0</v>
      </c>
      <c r="BA163" s="479">
        <f t="shared" si="119"/>
        <v>0</v>
      </c>
      <c r="BB163" s="393">
        <f t="shared" si="101"/>
        <v>0</v>
      </c>
      <c r="BC163" s="367"/>
      <c r="BD163" s="369">
        <f t="shared" si="102"/>
        <v>0</v>
      </c>
      <c r="BI163" s="86" t="str">
        <f t="shared" si="103"/>
        <v/>
      </c>
      <c r="BJ163" s="86" t="str">
        <f t="shared" si="104"/>
        <v/>
      </c>
      <c r="BK163" s="86" t="str">
        <f t="shared" si="105"/>
        <v/>
      </c>
    </row>
    <row r="164" spans="2:63" customFormat="1" ht="16" customHeight="1" thickBot="1">
      <c r="B164" s="634"/>
      <c r="C164" s="637"/>
      <c r="D164" s="642"/>
      <c r="E164" s="643"/>
      <c r="F164" s="510"/>
      <c r="G164" s="44" t="s">
        <v>530</v>
      </c>
      <c r="H164" s="120"/>
      <c r="I164" s="121"/>
      <c r="J164" s="122"/>
      <c r="K164" s="510"/>
      <c r="L164" s="30"/>
      <c r="M164" s="30"/>
      <c r="N164" s="34"/>
      <c r="O164" s="30"/>
      <c r="P164" s="30"/>
      <c r="Q164" s="35"/>
      <c r="R164" s="421"/>
      <c r="S164" s="421"/>
      <c r="T164" s="421"/>
      <c r="U164" s="421"/>
      <c r="V164" s="421"/>
      <c r="W164" s="421"/>
      <c r="X164" s="421"/>
      <c r="Y164" s="389" t="str">
        <f t="shared" si="91"/>
        <v/>
      </c>
      <c r="Z164" s="364" t="str">
        <f t="shared" si="92"/>
        <v/>
      </c>
      <c r="AA164" s="364" t="str">
        <f t="shared" si="93"/>
        <v/>
      </c>
      <c r="AB164" s="364" t="str">
        <f t="shared" si="94"/>
        <v/>
      </c>
      <c r="AC164" s="364" t="str">
        <f t="shared" si="95"/>
        <v/>
      </c>
      <c r="AD164" s="364" t="str">
        <f t="shared" si="96"/>
        <v/>
      </c>
      <c r="AE164" s="390" t="str">
        <f t="shared" si="97"/>
        <v/>
      </c>
      <c r="AF164" s="399">
        <f t="shared" si="98"/>
        <v>0</v>
      </c>
      <c r="AG164" s="400">
        <f>IFERROR(VLOOKUP($O164,#REF!,4,FALSE),0)</f>
        <v>0</v>
      </c>
      <c r="AH164" s="400">
        <f>IFERROR(VLOOKUP($O164,#REF!,6,FALSE),0)</f>
        <v>0</v>
      </c>
      <c r="AI164" s="400">
        <f>IFERROR(VLOOKUP($O164,#REF!,8,FALSE),0)</f>
        <v>0</v>
      </c>
      <c r="AJ164" s="400">
        <f>IFERROR(VLOOKUP($O164,#REF!,10,FALSE),0)</f>
        <v>0</v>
      </c>
      <c r="AK164" s="400">
        <f>IFERROR(VLOOKUP($O164,#REF!,12,FALSE),0)</f>
        <v>0</v>
      </c>
      <c r="AL164" s="400">
        <f>IFERROR(VLOOKUP($O164,#REF!,14,FALSE),0)</f>
        <v>0</v>
      </c>
      <c r="AM164" s="401">
        <f t="shared" si="99"/>
        <v>0</v>
      </c>
      <c r="AN164" s="405">
        <f t="shared" si="100"/>
        <v>0</v>
      </c>
      <c r="AO164" s="406">
        <f>IF(Z164="V",IF('1.GHG Inventory Form'!$E$6="IPCC AR2 Report(1995)",'6.GWP'!$C$2,IF('1.GHG Inventory Form'!$E$6="IPCC AR3 Report(2001)",'6.GWP'!$D$2,IF('1.GHG Inventory Form'!$E$6="IPCC AR4 Report(2007)",'6.GWP'!$E$2,IF('1.GHG Inventory Form'!$E$6="IPCC AR5 Report(2013)",'6.GWP'!$F$2,IF('1.GHG Inventory Form'!$E$6="IPCC AR6 Report(2021)",'6.GWP'!$G$2,0))))),0)</f>
        <v>0</v>
      </c>
      <c r="AP164" s="406">
        <f>IF(AA164="V",IF('1.GHG Inventory Form'!$E$6="IPCC AR2 Report(1995)",'6.GWP'!$C$3,IF('1.GHG Inventory Form'!$E$6="IPCC AR3 Report(2001)",'6.GWP'!$D$3,IF('1.GHG Inventory Form'!$E$6="IPCC AR4 Report(2007)",'6.GWP'!$E$3,IF('1.GHG Inventory Form'!$E$6="IPCC AR5 Report(2013)",'6.GWP'!$F$3,IF('1.GHG Inventory Form'!$E$6="IPCC AR6 Report(2021)",'6.GWP'!$G$3,0))))),0)</f>
        <v>0</v>
      </c>
      <c r="AQ164" s="406">
        <f>IFERROR(IF(AB164="V",IF('1.GHG Inventory Form'!$E$6="IPCC AR2 Report(1995)",VLOOKUP($O164,'6.GWP'!$B$1:$G$173,2,FALSE),IF('1.GHG Inventory Form'!$E$6="IPCC AR3 Report(2001)",VLOOKUP($O164,'6.GWP'!$B$1:$G$173,3,FALSE),IF('1.GHG Inventory Form'!$E$6="IPCC AR4 Report(2007)",VLOOKUP($KQ85,'6.GWP'!$B$1:$G$173,4,FALSE),IF('1.GHG Inventory Form'!$E$6="IPCC AR5 Report(2013)",VLOOKUP($O164,'6.GWP'!$B$1:$G$173,5,FALSE),IF('1.GHG Inventory Form'!$E$6="IPCC AR6 Report(2021)",VLOOKUP($O164,'6.GWP'!$B$2:$G$173,6,FALSE),0))))),0),0)</f>
        <v>0</v>
      </c>
      <c r="AR164" s="406">
        <f>IFERROR(IF(AC164="V",IF('1.GHG Inventory Form'!$E$6="IPCC AR2 Report(1995)",VLOOKUP($O164,'6.GWP'!$B$1:$G$173,2,FALSE),IF('1.GHG Inventory Form'!$E$6="IPCC AR3 Report(2001)",VLOOKUP($O164,'6.GWP'!$B$1:$G$173,3,FALSE),IF('1.GHG Inventory Form'!$E$6="IPCC AR4 Report(2007)",VLOOKUP($KQ85,'6.GWP'!$B$1:$G$173,4,FALSE),IF('1.GHG Inventory Form'!$E$6="IPCC AR5 Report(2013)",VLOOKUP($O164,'6.GWP'!$B$1:$G$173,5,FALSE),IF('1.GHG Inventory Form'!$E$6="IPCC AR6 Report(2021)",VLOOKUP($O164,'6.GWP'!$B$2:$G$173,6,FALSE),0))))),0),0)</f>
        <v>0</v>
      </c>
      <c r="AS164" s="406">
        <f>IF(AD164="V",IF('1.GHG Inventory Form'!$E$6="IPCC AR2 Report(1995)",'6.GWP'!$C$5,IF('1.GHG Inventory Form'!$E$6="IPCC AR3 Report(2001)",'6.GWP'!$D$5,IF('1.GHG Inventory Form'!$E$6="IPCC AR4 Report(2007)",'6.GWP'!$E$5,IF('1.GHG Inventory Form'!$E$6="IPCC AR5 Report(2013)",'6.GWP'!$F$5,IF('1.GHG Inventory Form'!$E$6="IPCC AR6 Report(2021)",'6.GWP'!$G$5,0))))),0)</f>
        <v>0</v>
      </c>
      <c r="AT164" s="407">
        <f>IF(AE164="V",IF('1.GHG Inventory Form'!$E$6="IPCC AR2 Report(1995)",'6.GWP'!$C$4,IF('1.GHG Inventory Form'!$E$6="IPCC AR3 Report(2001)",'6.GWP'!$D$4,IF('1.GHG Inventory Form'!$E$6="IPCC AR4 Report(2007)",'6.GWP'!$E$4,IF('1.GHG Inventory Form'!$E$6="IPCC AR5 Report(2013)",'6.GWP'!$F$4,IF('1.GHG Inventory Form'!$E$6="IPCC AR6 Report(2021)",'6.GWP'!$G$4,0))))),0)</f>
        <v>0</v>
      </c>
      <c r="AU164" s="482">
        <f t="shared" si="113"/>
        <v>0</v>
      </c>
      <c r="AV164" s="419">
        <f t="shared" si="114"/>
        <v>0</v>
      </c>
      <c r="AW164" s="419">
        <f t="shared" si="115"/>
        <v>0</v>
      </c>
      <c r="AX164" s="419">
        <f t="shared" si="116"/>
        <v>0</v>
      </c>
      <c r="AY164" s="419">
        <f t="shared" si="117"/>
        <v>0</v>
      </c>
      <c r="AZ164" s="419">
        <f t="shared" si="118"/>
        <v>0</v>
      </c>
      <c r="BA164" s="483">
        <f t="shared" si="119"/>
        <v>0</v>
      </c>
      <c r="BB164" s="409">
        <f t="shared" si="101"/>
        <v>0</v>
      </c>
      <c r="BC164" s="419"/>
      <c r="BD164" s="411">
        <f t="shared" si="102"/>
        <v>0</v>
      </c>
      <c r="BI164" s="86" t="str">
        <f t="shared" si="103"/>
        <v/>
      </c>
      <c r="BJ164" s="86" t="str">
        <f t="shared" si="104"/>
        <v/>
      </c>
      <c r="BK164" s="86" t="str">
        <f t="shared" si="105"/>
        <v/>
      </c>
    </row>
    <row r="165" spans="2:63" customFormat="1" ht="42" customHeight="1" thickBot="1">
      <c r="B165" s="631"/>
      <c r="C165" s="476">
        <v>5.4</v>
      </c>
      <c r="D165" s="632" t="s">
        <v>531</v>
      </c>
      <c r="E165" s="633"/>
      <c r="F165" s="522"/>
      <c r="G165" s="45" t="s">
        <v>532</v>
      </c>
      <c r="H165" s="124"/>
      <c r="I165" s="125"/>
      <c r="J165" s="126"/>
      <c r="K165" s="522"/>
      <c r="L165" s="36"/>
      <c r="M165" s="36"/>
      <c r="N165" s="37"/>
      <c r="O165" s="36"/>
      <c r="P165" s="36"/>
      <c r="Q165" s="38"/>
      <c r="R165" s="421"/>
      <c r="S165" s="421"/>
      <c r="T165" s="421"/>
      <c r="U165" s="421"/>
      <c r="V165" s="421"/>
      <c r="W165" s="421"/>
      <c r="X165" s="421"/>
      <c r="Y165" s="389" t="str">
        <f t="shared" si="91"/>
        <v/>
      </c>
      <c r="Z165" s="364" t="str">
        <f t="shared" si="92"/>
        <v/>
      </c>
      <c r="AA165" s="364" t="str">
        <f t="shared" si="93"/>
        <v/>
      </c>
      <c r="AB165" s="364" t="str">
        <f t="shared" si="94"/>
        <v/>
      </c>
      <c r="AC165" s="364" t="str">
        <f t="shared" si="95"/>
        <v/>
      </c>
      <c r="AD165" s="364" t="str">
        <f t="shared" si="96"/>
        <v/>
      </c>
      <c r="AE165" s="390" t="str">
        <f t="shared" si="97"/>
        <v/>
      </c>
      <c r="AF165" s="513">
        <f t="shared" si="98"/>
        <v>0</v>
      </c>
      <c r="AG165" s="343">
        <f>IFERROR(VLOOKUP($O165,#REF!,4,FALSE),0)</f>
        <v>0</v>
      </c>
      <c r="AH165" s="343">
        <f>IFERROR(VLOOKUP($O165,#REF!,6,FALSE),0)</f>
        <v>0</v>
      </c>
      <c r="AI165" s="343">
        <f>IFERROR(VLOOKUP($O165,#REF!,8,FALSE),0)</f>
        <v>0</v>
      </c>
      <c r="AJ165" s="343">
        <f>IFERROR(VLOOKUP($O165,#REF!,10,FALSE),0)</f>
        <v>0</v>
      </c>
      <c r="AK165" s="343">
        <f>IFERROR(VLOOKUP($O165,#REF!,12,FALSE),0)</f>
        <v>0</v>
      </c>
      <c r="AL165" s="343">
        <f>IFERROR(VLOOKUP($O165,#REF!,14,FALSE),0)</f>
        <v>0</v>
      </c>
      <c r="AM165" s="344">
        <f t="shared" si="99"/>
        <v>0</v>
      </c>
      <c r="AN165" s="526">
        <f t="shared" si="100"/>
        <v>0</v>
      </c>
      <c r="AO165" s="347">
        <f>IF(Z165="V",IF('1.GHG Inventory Form'!$E$6="IPCC AR2 Report(1995)",'6.GWP'!$C$2,IF('1.GHG Inventory Form'!$E$6="IPCC AR3 Report(2001)",'6.GWP'!$D$2,IF('1.GHG Inventory Form'!$E$6="IPCC AR4 Report(2007)",'6.GWP'!$E$2,IF('1.GHG Inventory Form'!$E$6="IPCC AR5 Report(2013)",'6.GWP'!$F$2,IF('1.GHG Inventory Form'!$E$6="IPCC AR6 Report(2021)",'6.GWP'!$G$2,0))))),0)</f>
        <v>0</v>
      </c>
      <c r="AP165" s="347">
        <f>IF(AA165="V",IF('1.GHG Inventory Form'!$E$6="IPCC AR2 Report(1995)",'6.GWP'!$C$3,IF('1.GHG Inventory Form'!$E$6="IPCC AR3 Report(2001)",'6.GWP'!$D$3,IF('1.GHG Inventory Form'!$E$6="IPCC AR4 Report(2007)",'6.GWP'!$E$3,IF('1.GHG Inventory Form'!$E$6="IPCC AR5 Report(2013)",'6.GWP'!$F$3,IF('1.GHG Inventory Form'!$E$6="IPCC AR6 Report(2021)",'6.GWP'!$G$3,0))))),0)</f>
        <v>0</v>
      </c>
      <c r="AQ165" s="347">
        <f>IFERROR(IF(AB165="V",IF('1.GHG Inventory Form'!$E$6="IPCC AR2 Report(1995)",VLOOKUP($O165,'6.GWP'!$B$1:$G$173,2,FALSE),IF('1.GHG Inventory Form'!$E$6="IPCC AR3 Report(2001)",VLOOKUP($O165,'6.GWP'!$B$1:$G$173,3,FALSE),IF('1.GHG Inventory Form'!$E$6="IPCC AR4 Report(2007)",VLOOKUP($KQ86,'6.GWP'!$B$1:$G$173,4,FALSE),IF('1.GHG Inventory Form'!$E$6="IPCC AR5 Report(2013)",VLOOKUP($O165,'6.GWP'!$B$1:$G$173,5,FALSE),IF('1.GHG Inventory Form'!$E$6="IPCC AR6 Report(2021)",VLOOKUP($O165,'6.GWP'!$B$2:$G$173,6,FALSE),0))))),0),0)</f>
        <v>0</v>
      </c>
      <c r="AR165" s="347">
        <f>IFERROR(IF(AC165="V",IF('1.GHG Inventory Form'!$E$6="IPCC AR2 Report(1995)",VLOOKUP($O165,'6.GWP'!$B$1:$G$173,2,FALSE),IF('1.GHG Inventory Form'!$E$6="IPCC AR3 Report(2001)",VLOOKUP($O165,'6.GWP'!$B$1:$G$173,3,FALSE),IF('1.GHG Inventory Form'!$E$6="IPCC AR4 Report(2007)",VLOOKUP($KQ86,'6.GWP'!$B$1:$G$173,4,FALSE),IF('1.GHG Inventory Form'!$E$6="IPCC AR5 Report(2013)",VLOOKUP($O165,'6.GWP'!$B$1:$G$173,5,FALSE),IF('1.GHG Inventory Form'!$E$6="IPCC AR6 Report(2021)",VLOOKUP($O165,'6.GWP'!$B$2:$G$173,6,FALSE),0))))),0),0)</f>
        <v>0</v>
      </c>
      <c r="AS165" s="347">
        <f>IF(AD165="V",IF('1.GHG Inventory Form'!$E$6="IPCC AR2 Report(1995)",'6.GWP'!$C$5,IF('1.GHG Inventory Form'!$E$6="IPCC AR3 Report(2001)",'6.GWP'!$D$5,IF('1.GHG Inventory Form'!$E$6="IPCC AR4 Report(2007)",'6.GWP'!$E$5,IF('1.GHG Inventory Form'!$E$6="IPCC AR5 Report(2013)",'6.GWP'!$F$5,IF('1.GHG Inventory Form'!$E$6="IPCC AR6 Report(2021)",'6.GWP'!$G$5,0))))),0)</f>
        <v>0</v>
      </c>
      <c r="AT165" s="348">
        <f>IF(AE165="V",IF('1.GHG Inventory Form'!$E$6="IPCC AR2 Report(1995)",'6.GWP'!$C$4,IF('1.GHG Inventory Form'!$E$6="IPCC AR3 Report(2001)",'6.GWP'!$D$4,IF('1.GHG Inventory Form'!$E$6="IPCC AR4 Report(2007)",'6.GWP'!$E$4,IF('1.GHG Inventory Form'!$E$6="IPCC AR5 Report(2013)",'6.GWP'!$F$4,IF('1.GHG Inventory Form'!$E$6="IPCC AR6 Report(2021)",'6.GWP'!$G$4,0))))),0)</f>
        <v>0</v>
      </c>
      <c r="AU165" s="486">
        <f t="shared" si="113"/>
        <v>0</v>
      </c>
      <c r="AV165" s="487">
        <f t="shared" si="114"/>
        <v>0</v>
      </c>
      <c r="AW165" s="487">
        <f t="shared" si="115"/>
        <v>0</v>
      </c>
      <c r="AX165" s="487">
        <f t="shared" si="116"/>
        <v>0</v>
      </c>
      <c r="AY165" s="487">
        <f t="shared" si="117"/>
        <v>0</v>
      </c>
      <c r="AZ165" s="487">
        <f t="shared" si="118"/>
        <v>0</v>
      </c>
      <c r="BA165" s="488">
        <f t="shared" si="119"/>
        <v>0</v>
      </c>
      <c r="BB165" s="349">
        <f t="shared" si="101"/>
        <v>0</v>
      </c>
      <c r="BC165" s="487"/>
      <c r="BD165" s="351">
        <f t="shared" si="102"/>
        <v>0</v>
      </c>
      <c r="BI165" s="86" t="str">
        <f t="shared" si="103"/>
        <v/>
      </c>
      <c r="BJ165" s="86" t="str">
        <f t="shared" si="104"/>
        <v/>
      </c>
      <c r="BK165" s="86" t="str">
        <f t="shared" si="105"/>
        <v/>
      </c>
    </row>
    <row r="166" spans="2:63" customFormat="1" ht="34" customHeight="1" thickBot="1">
      <c r="B166" s="630" t="s">
        <v>533</v>
      </c>
      <c r="C166" s="484">
        <v>6.1</v>
      </c>
      <c r="D166" s="632" t="s">
        <v>534</v>
      </c>
      <c r="E166" s="633"/>
      <c r="F166" s="485"/>
      <c r="G166" s="49" t="s">
        <v>535</v>
      </c>
      <c r="H166" s="123"/>
      <c r="I166" s="114"/>
      <c r="J166" s="115"/>
      <c r="K166" s="485"/>
      <c r="L166" s="50"/>
      <c r="M166" s="50"/>
      <c r="N166" s="51"/>
      <c r="O166" s="50"/>
      <c r="P166" s="50"/>
      <c r="Q166" s="52"/>
      <c r="R166" s="421"/>
      <c r="S166" s="421"/>
      <c r="T166" s="421"/>
      <c r="U166" s="421"/>
      <c r="V166" s="421"/>
      <c r="W166" s="421"/>
      <c r="X166" s="421"/>
      <c r="Y166" s="389" t="str">
        <f t="shared" si="91"/>
        <v/>
      </c>
      <c r="Z166" s="364" t="str">
        <f t="shared" si="92"/>
        <v/>
      </c>
      <c r="AA166" s="364" t="str">
        <f t="shared" si="93"/>
        <v/>
      </c>
      <c r="AB166" s="364" t="str">
        <f t="shared" si="94"/>
        <v/>
      </c>
      <c r="AC166" s="364" t="str">
        <f t="shared" si="95"/>
        <v/>
      </c>
      <c r="AD166" s="364" t="str">
        <f t="shared" si="96"/>
        <v/>
      </c>
      <c r="AE166" s="390" t="str">
        <f t="shared" si="97"/>
        <v/>
      </c>
      <c r="AF166" s="523">
        <f t="shared" si="98"/>
        <v>0</v>
      </c>
      <c r="AG166" s="524">
        <f>IFERROR(VLOOKUP($O166,#REF!,4,FALSE),0)</f>
        <v>0</v>
      </c>
      <c r="AH166" s="524">
        <f>IFERROR(VLOOKUP($O166,#REF!,6,FALSE),0)</f>
        <v>0</v>
      </c>
      <c r="AI166" s="524">
        <f>IFERROR(VLOOKUP($O166,#REF!,8,FALSE),0)</f>
        <v>0</v>
      </c>
      <c r="AJ166" s="524">
        <f>IFERROR(VLOOKUP($O166,#REF!,10,FALSE),0)</f>
        <v>0</v>
      </c>
      <c r="AK166" s="524">
        <f>IFERROR(VLOOKUP($O166,#REF!,12,FALSE),0)</f>
        <v>0</v>
      </c>
      <c r="AL166" s="524">
        <f>IFERROR(VLOOKUP($O166,#REF!,14,FALSE),0)</f>
        <v>0</v>
      </c>
      <c r="AM166" s="525">
        <f t="shared" si="99"/>
        <v>0</v>
      </c>
      <c r="AN166" s="514">
        <f t="shared" si="100"/>
        <v>0</v>
      </c>
      <c r="AO166" s="515">
        <f>IF(Z166="V",IF('1.GHG Inventory Form'!$E$6="IPCC AR2 Report(1995)",'6.GWP'!$C$2,IF('1.GHG Inventory Form'!$E$6="IPCC AR3 Report(2001)",'6.GWP'!$D$2,IF('1.GHG Inventory Form'!$E$6="IPCC AR4 Report(2007)",'6.GWP'!$E$2,IF('1.GHG Inventory Form'!$E$6="IPCC AR5 Report(2013)",'6.GWP'!$F$2,IF('1.GHG Inventory Form'!$E$6="IPCC AR6 Report(2021)",'6.GWP'!$G$2,0))))),0)</f>
        <v>0</v>
      </c>
      <c r="AP166" s="515">
        <f>IF(AA166="V",IF('1.GHG Inventory Form'!$E$6="IPCC AR2 Report(1995)",'6.GWP'!$C$3,IF('1.GHG Inventory Form'!$E$6="IPCC AR3 Report(2001)",'6.GWP'!$D$3,IF('1.GHG Inventory Form'!$E$6="IPCC AR4 Report(2007)",'6.GWP'!$E$3,IF('1.GHG Inventory Form'!$E$6="IPCC AR5 Report(2013)",'6.GWP'!$F$3,IF('1.GHG Inventory Form'!$E$6="IPCC AR6 Report(2021)",'6.GWP'!$G$3,0))))),0)</f>
        <v>0</v>
      </c>
      <c r="AQ166" s="515">
        <f>IFERROR(IF(AB166="V",IF('1.GHG Inventory Form'!$E$6="IPCC AR2 Report(1995)",VLOOKUP($O166,'6.GWP'!$B$1:$G$173,2,FALSE),IF('1.GHG Inventory Form'!$E$6="IPCC AR3 Report(2001)",VLOOKUP($O166,'6.GWP'!$B$1:$G$173,3,FALSE),IF('1.GHG Inventory Form'!$E$6="IPCC AR4 Report(2007)",VLOOKUP(#REF!,'6.GWP'!$B$1:$G$173,4,FALSE),IF('1.GHG Inventory Form'!$E$6="IPCC AR5 Report(2013)",VLOOKUP($O166,'6.GWP'!$B$1:$G$173,5,FALSE),IF('1.GHG Inventory Form'!$E$6="IPCC AR6 Report(2021)",VLOOKUP($O166,'6.GWP'!$B$2:$G$173,6,FALSE),0))))),0),0)</f>
        <v>0</v>
      </c>
      <c r="AR166" s="515">
        <f>IFERROR(IF(AC166="V",IF('1.GHG Inventory Form'!$E$6="IPCC AR2 Report(1995)",VLOOKUP($O166,'6.GWP'!$B$1:$G$173,2,FALSE),IF('1.GHG Inventory Form'!$E$6="IPCC AR3 Report(2001)",VLOOKUP($O166,'6.GWP'!$B$1:$G$173,3,FALSE),IF('1.GHG Inventory Form'!$E$6="IPCC AR4 Report(2007)",VLOOKUP(#REF!,'6.GWP'!$B$1:$G$173,4,FALSE),IF('1.GHG Inventory Form'!$E$6="IPCC AR5 Report(2013)",VLOOKUP($O166,'6.GWP'!$B$1:$G$173,5,FALSE),IF('1.GHG Inventory Form'!$E$6="IPCC AR6 Report(2021)",VLOOKUP($O166,'6.GWP'!$B$2:$G$173,6,FALSE),0))))),0),0)</f>
        <v>0</v>
      </c>
      <c r="AS166" s="515">
        <f>IF(AD166="V",IF('1.GHG Inventory Form'!$E$6="IPCC AR2 Report(1995)",'6.GWP'!$C$5,IF('1.GHG Inventory Form'!$E$6="IPCC AR3 Report(2001)",'6.GWP'!$D$5,IF('1.GHG Inventory Form'!$E$6="IPCC AR4 Report(2007)",'6.GWP'!$E$5,IF('1.GHG Inventory Form'!$E$6="IPCC AR5 Report(2013)",'6.GWP'!$F$5,IF('1.GHG Inventory Form'!$E$6="IPCC AR6 Report(2021)",'6.GWP'!$G$5,0))))),0)</f>
        <v>0</v>
      </c>
      <c r="AT166" s="516">
        <f>IF(AE166="V",IF('1.GHG Inventory Form'!$E$6="IPCC AR2 Report(1995)",'6.GWP'!$C$4,IF('1.GHG Inventory Form'!$E$6="IPCC AR3 Report(2001)",'6.GWP'!$D$4,IF('1.GHG Inventory Form'!$E$6="IPCC AR4 Report(2007)",'6.GWP'!$E$4,IF('1.GHG Inventory Form'!$E$6="IPCC AR5 Report(2013)",'6.GWP'!$F$4,IF('1.GHG Inventory Form'!$E$6="IPCC AR6 Report(2021)",'6.GWP'!$G$4,0))))),0)</f>
        <v>0</v>
      </c>
      <c r="AU166" s="517">
        <f t="shared" si="113"/>
        <v>0</v>
      </c>
      <c r="AV166" s="518">
        <f t="shared" si="114"/>
        <v>0</v>
      </c>
      <c r="AW166" s="518">
        <f t="shared" si="115"/>
        <v>0</v>
      </c>
      <c r="AX166" s="518">
        <f t="shared" si="116"/>
        <v>0</v>
      </c>
      <c r="AY166" s="518">
        <f t="shared" si="117"/>
        <v>0</v>
      </c>
      <c r="AZ166" s="518">
        <f t="shared" si="118"/>
        <v>0</v>
      </c>
      <c r="BA166" s="519">
        <f t="shared" si="119"/>
        <v>0</v>
      </c>
      <c r="BB166" s="520">
        <f t="shared" ref="BB166:BB167" si="120">ROUND(SUM(AU166:BA166),4)</f>
        <v>0</v>
      </c>
      <c r="BC166" s="518"/>
      <c r="BD166" s="521">
        <f t="shared" si="102"/>
        <v>0</v>
      </c>
      <c r="BI166" s="86" t="str">
        <f t="shared" si="103"/>
        <v/>
      </c>
      <c r="BJ166" s="86" t="str">
        <f t="shared" si="104"/>
        <v/>
      </c>
      <c r="BK166" s="86" t="str">
        <f t="shared" si="105"/>
        <v/>
      </c>
    </row>
    <row r="167" spans="2:63" customFormat="1" ht="39" customHeight="1" thickBot="1">
      <c r="B167" s="631"/>
      <c r="C167" s="480">
        <v>6.2</v>
      </c>
      <c r="D167" s="632" t="s">
        <v>536</v>
      </c>
      <c r="E167" s="633"/>
      <c r="F167" s="532"/>
      <c r="G167" s="62" t="s">
        <v>537</v>
      </c>
      <c r="H167" s="127"/>
      <c r="I167" s="128"/>
      <c r="J167" s="129"/>
      <c r="K167" s="472"/>
      <c r="L167" s="63"/>
      <c r="M167" s="63"/>
      <c r="N167" s="64"/>
      <c r="O167" s="63"/>
      <c r="P167" s="63"/>
      <c r="Q167" s="65"/>
      <c r="R167" s="421"/>
      <c r="S167" s="421"/>
      <c r="T167" s="421"/>
      <c r="U167" s="421"/>
      <c r="V167" s="421"/>
      <c r="W167" s="421"/>
      <c r="X167" s="421"/>
      <c r="Y167" s="399" t="str">
        <f t="shared" si="91"/>
        <v/>
      </c>
      <c r="Z167" s="400" t="str">
        <f t="shared" si="92"/>
        <v/>
      </c>
      <c r="AA167" s="400" t="str">
        <f t="shared" si="93"/>
        <v/>
      </c>
      <c r="AB167" s="400" t="str">
        <f t="shared" si="94"/>
        <v/>
      </c>
      <c r="AC167" s="400" t="str">
        <f t="shared" si="95"/>
        <v/>
      </c>
      <c r="AD167" s="400" t="str">
        <f t="shared" si="96"/>
        <v/>
      </c>
      <c r="AE167" s="401" t="str">
        <f t="shared" si="97"/>
        <v/>
      </c>
      <c r="AF167" s="533">
        <f t="shared" si="98"/>
        <v>0</v>
      </c>
      <c r="AG167" s="403">
        <f>IFERROR(VLOOKUP($O167,#REF!,4,FALSE),0)</f>
        <v>0</v>
      </c>
      <c r="AH167" s="403">
        <f>IFERROR(VLOOKUP($O167,#REF!,6,FALSE),0)</f>
        <v>0</v>
      </c>
      <c r="AI167" s="403">
        <f>IFERROR(VLOOKUP($O167,#REF!,8,FALSE),0)</f>
        <v>0</v>
      </c>
      <c r="AJ167" s="403">
        <f>IFERROR(VLOOKUP($O167,#REF!,10,FALSE),0)</f>
        <v>0</v>
      </c>
      <c r="AK167" s="403">
        <f>IFERROR(VLOOKUP($O167,#REF!,12,FALSE),0)</f>
        <v>0</v>
      </c>
      <c r="AL167" s="403">
        <f>IFERROR(VLOOKUP($O167,#REF!,14,FALSE),0)</f>
        <v>0</v>
      </c>
      <c r="AM167" s="534">
        <f t="shared" si="99"/>
        <v>0</v>
      </c>
      <c r="AN167" s="535">
        <f t="shared" si="100"/>
        <v>0</v>
      </c>
      <c r="AO167" s="536">
        <f>IF(Z167="V",IF('1.GHG Inventory Form'!$E$6="IPCC AR2 Report(1995)",'6.GWP'!$C$2,IF('1.GHG Inventory Form'!$E$6="IPCC AR3 Report(2001)",'6.GWP'!$D$2,IF('1.GHG Inventory Form'!$E$6="IPCC AR4 Report(2007)",'6.GWP'!$E$2,IF('1.GHG Inventory Form'!$E$6="IPCC AR5 Report(2013)",'6.GWP'!$F$2,IF('1.GHG Inventory Form'!$E$6="IPCC AR6 Report(2021)",'6.GWP'!$G$2,0))))),0)</f>
        <v>0</v>
      </c>
      <c r="AP167" s="536">
        <f>IF(AA167="V",IF('1.GHG Inventory Form'!$E$6="IPCC AR2 Report(1995)",'6.GWP'!$C$3,IF('1.GHG Inventory Form'!$E$6="IPCC AR3 Report(2001)",'6.GWP'!$D$3,IF('1.GHG Inventory Form'!$E$6="IPCC AR4 Report(2007)",'6.GWP'!$E$3,IF('1.GHG Inventory Form'!$E$6="IPCC AR5 Report(2013)",'6.GWP'!$F$3,IF('1.GHG Inventory Form'!$E$6="IPCC AR6 Report(2021)",'6.GWP'!$G$3,0))))),0)</f>
        <v>0</v>
      </c>
      <c r="AQ167" s="536">
        <f>IFERROR(IF(AB167="V",IF('1.GHG Inventory Form'!$E$6="IPCC AR2 Report(1995)",VLOOKUP($O167,'6.GWP'!$B$1:$G$173,2,FALSE),IF('1.GHG Inventory Form'!$E$6="IPCC AR3 Report(2001)",VLOOKUP($O167,'6.GWP'!$B$1:$G$173,3,FALSE),IF('1.GHG Inventory Form'!$E$6="IPCC AR4 Report(2007)",VLOOKUP(#REF!,'6.GWP'!$B$1:$G$173,4,FALSE),IF('1.GHG Inventory Form'!$E$6="IPCC AR5 Report(2013)",VLOOKUP($O167,'6.GWP'!$B$1:$G$173,5,FALSE),IF('1.GHG Inventory Form'!$E$6="IPCC AR6 Report(2021)",VLOOKUP($O167,'6.GWP'!$B$2:$G$173,6,FALSE),0))))),0),0)</f>
        <v>0</v>
      </c>
      <c r="AR167" s="536">
        <f>IFERROR(IF(AC167="V",IF('1.GHG Inventory Form'!$E$6="IPCC AR2 Report(1995)",VLOOKUP($O167,'6.GWP'!$B$1:$G$173,2,FALSE),IF('1.GHG Inventory Form'!$E$6="IPCC AR3 Report(2001)",VLOOKUP($O167,'6.GWP'!$B$1:$G$173,3,FALSE),IF('1.GHG Inventory Form'!$E$6="IPCC AR4 Report(2007)",VLOOKUP(#REF!,'6.GWP'!$B$1:$G$173,4,FALSE),IF('1.GHG Inventory Form'!$E$6="IPCC AR5 Report(2013)",VLOOKUP($O167,'6.GWP'!$B$1:$G$173,5,FALSE),IF('1.GHG Inventory Form'!$E$6="IPCC AR6 Report(2021)",VLOOKUP($O167,'6.GWP'!$B$2:$G$173,6,FALSE),0))))),0),0)</f>
        <v>0</v>
      </c>
      <c r="AS167" s="536">
        <f>IF(AD167="V",IF('1.GHG Inventory Form'!$E$6="IPCC AR2 Report(1995)",'6.GWP'!$C$5,IF('1.GHG Inventory Form'!$E$6="IPCC AR3 Report(2001)",'6.GWP'!$D$5,IF('1.GHG Inventory Form'!$E$6="IPCC AR4 Report(2007)",'6.GWP'!$E$5,IF('1.GHG Inventory Form'!$E$6="IPCC AR5 Report(2013)",'6.GWP'!$F$5,IF('1.GHG Inventory Form'!$E$6="IPCC AR6 Report(2021)",'6.GWP'!$G$5,0))))),0)</f>
        <v>0</v>
      </c>
      <c r="AT167" s="537">
        <f>IF(AE167="V",IF('1.GHG Inventory Form'!$E$6="IPCC AR2 Report(1995)",'6.GWP'!$C$4,IF('1.GHG Inventory Form'!$E$6="IPCC AR3 Report(2001)",'6.GWP'!$D$4,IF('1.GHG Inventory Form'!$E$6="IPCC AR4 Report(2007)",'6.GWP'!$E$4,IF('1.GHG Inventory Form'!$E$6="IPCC AR5 Report(2013)",'6.GWP'!$F$4,IF('1.GHG Inventory Form'!$E$6="IPCC AR6 Report(2021)",'6.GWP'!$G$4,0))))),0)</f>
        <v>0</v>
      </c>
      <c r="AU167" s="517">
        <f t="shared" si="113"/>
        <v>0</v>
      </c>
      <c r="AV167" s="518">
        <f t="shared" si="114"/>
        <v>0</v>
      </c>
      <c r="AW167" s="518">
        <f t="shared" si="115"/>
        <v>0</v>
      </c>
      <c r="AX167" s="518">
        <f t="shared" si="116"/>
        <v>0</v>
      </c>
      <c r="AY167" s="518">
        <f t="shared" si="117"/>
        <v>0</v>
      </c>
      <c r="AZ167" s="518">
        <f t="shared" si="118"/>
        <v>0</v>
      </c>
      <c r="BA167" s="519">
        <f t="shared" si="119"/>
        <v>0</v>
      </c>
      <c r="BB167" s="520">
        <f t="shared" si="120"/>
        <v>0</v>
      </c>
      <c r="BC167" s="518"/>
      <c r="BD167" s="521">
        <f t="shared" si="102"/>
        <v>0</v>
      </c>
      <c r="BI167" s="86" t="str">
        <f t="shared" si="103"/>
        <v/>
      </c>
      <c r="BJ167" s="86" t="str">
        <f t="shared" si="104"/>
        <v/>
      </c>
      <c r="BK167" s="86" t="str">
        <f t="shared" si="105"/>
        <v/>
      </c>
    </row>
    <row r="168" spans="2:63">
      <c r="C168" s="20"/>
      <c r="D168" s="130"/>
      <c r="E168" s="130"/>
      <c r="F168" s="130"/>
      <c r="G168" s="130"/>
      <c r="H168" s="130"/>
      <c r="I168" s="130"/>
      <c r="J168" s="130"/>
      <c r="K168" s="130"/>
      <c r="M168" s="130"/>
      <c r="N168" s="130"/>
      <c r="O168" s="130"/>
      <c r="P168" s="130"/>
      <c r="Q168" s="9"/>
      <c r="R168" s="9"/>
      <c r="S168" s="130"/>
      <c r="T168" s="9"/>
      <c r="U168" s="9"/>
      <c r="V168" s="9"/>
      <c r="W168" s="9"/>
      <c r="X168" s="9"/>
      <c r="Y168" s="8"/>
      <c r="Z168" s="8"/>
      <c r="AA168" s="8"/>
      <c r="AB168" s="8"/>
      <c r="AC168" s="8"/>
      <c r="AD168" s="8"/>
      <c r="AE168" s="8"/>
      <c r="AF168" s="9"/>
      <c r="AG168" s="9"/>
      <c r="AH168" s="9"/>
      <c r="AI168" s="9"/>
      <c r="BB168" s="9" t="s">
        <v>538</v>
      </c>
    </row>
    <row r="169" spans="2:63">
      <c r="C169" s="20"/>
      <c r="D169" s="130"/>
      <c r="E169" s="130"/>
      <c r="F169" s="130"/>
      <c r="G169" s="130"/>
      <c r="H169" s="130"/>
      <c r="I169" s="130"/>
      <c r="J169" s="130"/>
      <c r="K169" s="130"/>
      <c r="L169" s="130"/>
      <c r="M169" s="130"/>
      <c r="N169" s="130"/>
      <c r="O169" s="130"/>
      <c r="P169" s="130"/>
      <c r="Q169" s="9"/>
      <c r="R169" s="9"/>
      <c r="S169" s="9"/>
      <c r="T169" s="9"/>
      <c r="U169" s="9"/>
      <c r="V169" s="9"/>
      <c r="W169" s="9"/>
      <c r="X169" s="9"/>
      <c r="Y169" s="8"/>
      <c r="Z169" s="8"/>
      <c r="AA169" s="8"/>
      <c r="AB169" s="8"/>
      <c r="AC169" s="8"/>
      <c r="AD169" s="8"/>
      <c r="AE169" s="8"/>
      <c r="AF169" s="9"/>
      <c r="AG169" s="9"/>
      <c r="AH169" s="9"/>
      <c r="AI169" s="9"/>
      <c r="BB169" s="86">
        <f>SUM(BB16:BB167)</f>
        <v>1585.9101999999998</v>
      </c>
    </row>
  </sheetData>
  <mergeCells count="78">
    <mergeCell ref="C8:E8"/>
    <mergeCell ref="C9:E9"/>
    <mergeCell ref="C10:E10"/>
    <mergeCell ref="B14:B15"/>
    <mergeCell ref="C14:C15"/>
    <mergeCell ref="D14:F15"/>
    <mergeCell ref="G14:O14"/>
    <mergeCell ref="P14:X14"/>
    <mergeCell ref="Y14:AE14"/>
    <mergeCell ref="AF14:AL14"/>
    <mergeCell ref="AN14:AT14"/>
    <mergeCell ref="AU14:BA14"/>
    <mergeCell ref="BB14:BB15"/>
    <mergeCell ref="BC14:BC15"/>
    <mergeCell ref="BD14:BD15"/>
    <mergeCell ref="B16:B87"/>
    <mergeCell ref="C16:C27"/>
    <mergeCell ref="D16:F27"/>
    <mergeCell ref="C28:C34"/>
    <mergeCell ref="D28:F34"/>
    <mergeCell ref="C35:C48"/>
    <mergeCell ref="D35:F48"/>
    <mergeCell ref="D49:F49"/>
    <mergeCell ref="C50:C87"/>
    <mergeCell ref="D50:E87"/>
    <mergeCell ref="F50:F56"/>
    <mergeCell ref="F57:F87"/>
    <mergeCell ref="P57:P58"/>
    <mergeCell ref="G57:G58"/>
    <mergeCell ref="H57:H58"/>
    <mergeCell ref="I57:I58"/>
    <mergeCell ref="J57:J58"/>
    <mergeCell ref="K57:K58"/>
    <mergeCell ref="BC57:BC58"/>
    <mergeCell ref="BD57:BD58"/>
    <mergeCell ref="D89:E89"/>
    <mergeCell ref="B90:B99"/>
    <mergeCell ref="C90:C98"/>
    <mergeCell ref="D90:E98"/>
    <mergeCell ref="D99:E99"/>
    <mergeCell ref="Q57:Q58"/>
    <mergeCell ref="Y57:AE57"/>
    <mergeCell ref="AF57:AL57"/>
    <mergeCell ref="AN57:AT57"/>
    <mergeCell ref="BB57:BB58"/>
    <mergeCell ref="L57:L58"/>
    <mergeCell ref="M57:M58"/>
    <mergeCell ref="N57:N58"/>
    <mergeCell ref="O57:O58"/>
    <mergeCell ref="D101:E101"/>
    <mergeCell ref="B102:B120"/>
    <mergeCell ref="C102:C105"/>
    <mergeCell ref="D102:E105"/>
    <mergeCell ref="D106:E106"/>
    <mergeCell ref="C107:C113"/>
    <mergeCell ref="D107:E113"/>
    <mergeCell ref="D114:E114"/>
    <mergeCell ref="C115:C120"/>
    <mergeCell ref="D115:E120"/>
    <mergeCell ref="B121:B157"/>
    <mergeCell ref="C121:C132"/>
    <mergeCell ref="D121:E132"/>
    <mergeCell ref="C133:C140"/>
    <mergeCell ref="D133:E140"/>
    <mergeCell ref="C141:C152"/>
    <mergeCell ref="D141:E152"/>
    <mergeCell ref="D153:E153"/>
    <mergeCell ref="C154:C157"/>
    <mergeCell ref="D154:E157"/>
    <mergeCell ref="B166:B167"/>
    <mergeCell ref="D166:E166"/>
    <mergeCell ref="D167:E167"/>
    <mergeCell ref="B158:B165"/>
    <mergeCell ref="D158:E158"/>
    <mergeCell ref="D159:E159"/>
    <mergeCell ref="C160:C164"/>
    <mergeCell ref="D160:E164"/>
    <mergeCell ref="D165:E165"/>
  </mergeCells>
  <phoneticPr fontId="0" type="noConversion"/>
  <conditionalFormatting sqref="N125">
    <cfRule type="expression" dxfId="34" priority="3">
      <formula>$K125="自訂值Custom Value"</formula>
    </cfRule>
    <cfRule type="expression" dxfId="33" priority="4">
      <formula>$K125=""</formula>
    </cfRule>
  </conditionalFormatting>
  <conditionalFormatting sqref="M125">
    <cfRule type="expression" dxfId="32" priority="5">
      <formula>$K125="自訂值Custom Value"</formula>
    </cfRule>
  </conditionalFormatting>
  <conditionalFormatting sqref="M125 O125:Q125">
    <cfRule type="expression" dxfId="31" priority="6">
      <formula>$K125=""</formula>
    </cfRule>
  </conditionalFormatting>
  <conditionalFormatting sqref="O125:Q125">
    <cfRule type="expression" dxfId="30" priority="7">
      <formula>$K125="預設值Default"</formula>
    </cfRule>
  </conditionalFormatting>
  <conditionalFormatting sqref="H59:H87">
    <cfRule type="expression" dxfId="29" priority="8">
      <formula>$G59=""</formula>
    </cfRule>
    <cfRule type="expression" dxfId="28" priority="9">
      <formula>$G59="填充量計算 Recharge of Loss Volume"</formula>
    </cfRule>
  </conditionalFormatting>
  <conditionalFormatting sqref="I16:I56">
    <cfRule type="expression" dxfId="27" priority="10">
      <formula>$G16=""</formula>
    </cfRule>
    <cfRule type="expression" dxfId="26" priority="11" stopIfTrue="1">
      <formula>$G16="N"</formula>
    </cfRule>
  </conditionalFormatting>
  <conditionalFormatting sqref="K16:K56">
    <cfRule type="expression" dxfId="25" priority="12">
      <formula>$I16="預設值Default"</formula>
    </cfRule>
  </conditionalFormatting>
  <conditionalFormatting sqref="J16:X56">
    <cfRule type="expression" dxfId="24" priority="13">
      <formula>$I16=""</formula>
    </cfRule>
  </conditionalFormatting>
  <conditionalFormatting sqref="P16:X56">
    <cfRule type="expression" dxfId="23" priority="14">
      <formula>$I16="預設值Default"</formula>
    </cfRule>
  </conditionalFormatting>
  <conditionalFormatting sqref="J16:J56">
    <cfRule type="expression" dxfId="22" priority="15">
      <formula>$I16="自訂值Custom Value"</formula>
    </cfRule>
  </conditionalFormatting>
  <conditionalFormatting sqref="I59:Q87">
    <cfRule type="expression" dxfId="21" priority="16">
      <formula>$H59=""</formula>
    </cfRule>
  </conditionalFormatting>
  <conditionalFormatting sqref="I59:I87">
    <cfRule type="expression" dxfId="20" priority="17">
      <formula>$H59="自訂值Custom Value"</formula>
    </cfRule>
  </conditionalFormatting>
  <conditionalFormatting sqref="P59:Q87">
    <cfRule type="expression" dxfId="19" priority="18">
      <formula>$H59="預設逸散率Default"</formula>
    </cfRule>
  </conditionalFormatting>
  <conditionalFormatting sqref="J59:J87">
    <cfRule type="expression" dxfId="18" priority="19" stopIfTrue="1">
      <formula>$H59="預設逸散率Default"</formula>
    </cfRule>
  </conditionalFormatting>
  <conditionalFormatting sqref="L102:N124 L126:N167 L125">
    <cfRule type="expression" dxfId="1" priority="20">
      <formula>$K102="自訂值Custom Value"</formula>
    </cfRule>
  </conditionalFormatting>
  <conditionalFormatting sqref="L102:Q124 L126:Q167 L125">
    <cfRule type="expression" dxfId="0" priority="21">
      <formula>$K102=""</formula>
    </cfRule>
  </conditionalFormatting>
  <conditionalFormatting sqref="H90:K99">
    <cfRule type="expression" dxfId="17" priority="22">
      <formula>$F90=""</formula>
    </cfRule>
  </conditionalFormatting>
  <conditionalFormatting sqref="H90:K99 H132:K150">
    <cfRule type="expression" dxfId="16" priority="23">
      <formula>$F90="N"</formula>
    </cfRule>
  </conditionalFormatting>
  <conditionalFormatting sqref="H132:K150">
    <cfRule type="expression" dxfId="15" priority="24" stopIfTrue="1">
      <formula>$F132=""</formula>
    </cfRule>
  </conditionalFormatting>
  <conditionalFormatting sqref="O102:Q124 O126:Q167">
    <cfRule type="expression" dxfId="14" priority="25">
      <formula>$K102="預設值Default"</formula>
    </cfRule>
  </conditionalFormatting>
  <dataValidations count="18">
    <dataValidation type="list" allowBlank="1" showInputMessage="1" showErrorMessage="1" sqref="L88" xr:uid="{00000000-0002-0000-0500-000000000000}">
      <formula1>"公噸,公秉,千立方公尺,千度,人小時,其他"</formula1>
    </dataValidation>
    <dataValidation type="list" allowBlank="1" showInputMessage="1" showErrorMessage="1" sqref="F88" xr:uid="{00000000-0002-0000-0500-000001000000}">
      <formula1>"有"</formula1>
    </dataValidation>
    <dataValidation type="list" allowBlank="1" showInputMessage="1" showErrorMessage="1" sqref="I16:I56 O88 Q88:S88 K124:K132 K141:K150" xr:uid="{00000000-0002-0000-0500-000002000000}">
      <formula1>title</formula1>
    </dataValidation>
    <dataValidation type="list" allowBlank="1" showInputMessage="1" showErrorMessage="1" sqref="J16:J56 I59:I87" xr:uid="{00000000-0002-0000-0500-000003000000}">
      <formula1>INDIRECT(H16)</formula1>
    </dataValidation>
    <dataValidation type="list" allowBlank="1" showInputMessage="1" showErrorMessage="1" sqref="E5" xr:uid="{00000000-0002-0000-0500-000004000000}">
      <formula1>"2011,2012,2013,2014,2015,2016,2017,2018,2019,2020,2021,2022,2023,2024,2025,2026,2027,2028,2029,2030"</formula1>
    </dataValidation>
    <dataValidation allowBlank="1" showInputMessage="1" showErrorMessage="1" sqref="B1 D1 E7 G8:G9" xr:uid="{00000000-0002-0000-0500-000005000000}"/>
    <dataValidation type="list" allowBlank="1" showInputMessage="1" showErrorMessage="1" sqref="E3" xr:uid="{00000000-0002-0000-0500-000006000000}">
      <formula1>"Taiwan, China, NEA, SEA, India, EMEA, Americas"</formula1>
    </dataValidation>
    <dataValidation type="list" allowBlank="1" showInputMessage="1" showErrorMessage="1" sqref="G5" xr:uid="{00000000-0002-0000-0500-000007000000}">
      <formula1>INDIRECT(G3)</formula1>
    </dataValidation>
    <dataValidation type="list" allowBlank="1" showInputMessage="1" showErrorMessage="1" sqref="F100" xr:uid="{00000000-0002-0000-0500-000008000000}">
      <formula1>"是,否"</formula1>
    </dataValidation>
    <dataValidation type="list" allowBlank="1" showInputMessage="1" showErrorMessage="1" sqref="I88" xr:uid="{00000000-0002-0000-0500-000009000000}">
      <formula1>溫室氣體化學式</formula1>
    </dataValidation>
    <dataValidation type="list" allowBlank="1" showInputMessage="1" showErrorMessage="1" sqref="K59:K87" xr:uid="{00000000-0002-0000-0500-00000A000000}">
      <formula1>溫室氣體種類</formula1>
    </dataValidation>
    <dataValidation type="list" allowBlank="1" showInputMessage="1" showErrorMessage="1" sqref="E4" xr:uid="{00000000-0002-0000-0500-00000B000000}">
      <formula1>INDIRECT(E3)</formula1>
    </dataValidation>
    <dataValidation type="list" allowBlank="1" showInputMessage="1" showErrorMessage="1" sqref="G16:G56 F90:F99 F102:F167" xr:uid="{00000000-0002-0000-0500-00000C000000}">
      <formula1>"Y,N"</formula1>
    </dataValidation>
    <dataValidation type="list" allowBlank="1" showInputMessage="1" showErrorMessage="1" sqref="K102:K123 K133:K140 K151:K167" xr:uid="{00000000-0002-0000-0500-00000D000000}">
      <formula1>"自訂值Custom Value"</formula1>
    </dataValidation>
    <dataValidation type="list" allowBlank="1" showInputMessage="1" showErrorMessage="1" sqref="H7:N7 G88:H88" xr:uid="{00000000-0002-0000-0500-00000E000000}">
      <formula1>#REF!</formula1>
    </dataValidation>
    <dataValidation type="list" allowBlank="1" showInputMessage="1" showErrorMessage="1" sqref="G59:G87" xr:uid="{00000000-0002-0000-0500-00000F000000}">
      <formula1>"填充量計算 Recharge of Loss Volume,逸散率推估 Manufacturer Supplied Loss Factor"</formula1>
    </dataValidation>
    <dataValidation type="list" allowBlank="1" showInputMessage="1" showErrorMessage="1" sqref="K90:K99" xr:uid="{00000000-0002-0000-0500-000010000000}">
      <formula1>國家電網</formula1>
    </dataValidation>
    <dataValidation type="list" allowBlank="1" showInputMessage="1" showErrorMessage="1" sqref="H59:H87" xr:uid="{00000000-0002-0000-0500-000011000000}">
      <formula1>"預設逸散率Default,自訂值 Custom Value"</formula1>
    </dataValidation>
  </dataValidations>
  <hyperlinks>
    <hyperlink ref="N132" location="'7.Simapro9.4.0.2'!B2" display="Simapro9.4.0.2-Tap water {GLO}| market group for | Cut-off, U" xr:uid="{00000000-0004-0000-0500-000000000000}"/>
    <hyperlink ref="N141" location="'7.Simapro9.4.0.2'!B13" display="Simapro 9.4.0.2-Municipal solid waste {RoW}| treatment of, incineration" xr:uid="{00000000-0004-0000-0500-000001000000}"/>
    <hyperlink ref="N142" location="'7.Simapro9.4.0.2'!B13" display="Simapro 9.4.0.2-Municipal solid waste {RoW}| treatment of, incineration" xr:uid="{00000000-0004-0000-0500-000002000000}"/>
    <hyperlink ref="N143" location="'7.Simapro9.4.0.2'!B25" display="Simapro 9.4.0.2-Municipal solid waste {RoW}| treatment of, sanitary landfill | Cut-off, U" xr:uid="{00000000-0004-0000-0500-000003000000}"/>
    <hyperlink ref="N145" location="'7.Simapro9.4.0.2'!B39" display="Simapro 9.4.0.2-Hazardous waste, for incineration {Europe without Switzerland}| market for hazardous waste, for incineration " xr:uid="{00000000-0004-0000-0500-000004000000}"/>
    <hyperlink ref="N146" location="'7.Simapro9.4.0.2'!B39" display="Simapro 9.4.0.2-Hazardous waste, for incineration {Europe without Switzerland}| market for hazardous waste, for incineration " xr:uid="{00000000-0004-0000-0500-000005000000}"/>
    <hyperlink ref="N147" location="'7.Simapro9.4.0.2'!B52" display="Simapro 9.4.0.2-Municipal solid waste {RoW}| treatment of, sanitary landfill | Cut-off, U" xr:uid="{00000000-0004-0000-0500-000006000000}"/>
    <hyperlink ref="N149" location="'7.Simapro9.4.0.2'!B65" display="Simapro-Wastewater, average {RoW} market for wastewater, average" xr:uid="{00000000-0004-0000-0500-000007000000}"/>
    <hyperlink ref="N150" location="'7.Simapro9.4.0.2'!B78" display="Simapro9.4.02-Wastewater, unpolluted, from residence {GLO}" xr:uid="{00000000-0004-0000-0500-000008000000}"/>
    <hyperlink ref="K99" location="'7.Simapro9.4.0.2'!B95" display="Heat, central or small-scale, natural gas {GLO}| market group for | APOS, U" xr:uid="{00000000-0004-0000-0500-000009000000}"/>
    <hyperlink ref="N126" location="'7.Simapro9.4.0.2'!B114" display="Natural gas, high pressure {GLO}| market group for | APOS, U" xr:uid="{00000000-0004-0000-0500-00000A000000}"/>
    <hyperlink ref="N127" location="'7.Simapro9.4.0.2'!B129" display="Simapro9.4.0.2-Liquefied petroleum gas {GLO}| market group for liquefied petroleum gas | Cut-off, U" xr:uid="{00000000-0004-0000-0500-00000B000000}"/>
    <hyperlink ref="N128" location="'7.Simapro9.4.0.2'!B146" display="Diesel  {GLO}| market group for | APOS, U" xr:uid="{00000000-0004-0000-0500-00000C000000}"/>
    <hyperlink ref="N130" location="'7.Simapro9.4.0.2'!B146" display="Diesel  {GLO}| market group for | APOS, U" xr:uid="{00000000-0004-0000-0500-00000D000000}"/>
    <hyperlink ref="N129" location="'7.Simapro9.4.0.2'!B161" display="Petrol, unleaded {RoW}| market for | APOS, U" xr:uid="{00000000-0004-0000-0500-00000E000000}"/>
    <hyperlink ref="N131" location="'7.Simapro9.4.0.2'!B161" display="Petrol, unleaded {RoW}| market for | APOS, U" xr:uid="{00000000-0004-0000-0500-00000F000000}"/>
    <hyperlink ref="J128" location="'Other Emission Factor'!S3" display="密度density" xr:uid="{00000000-0004-0000-0500-000010000000}"/>
    <hyperlink ref="J129" location="'Other Emission Factor'!S3" display="密度density" xr:uid="{00000000-0004-0000-0500-000011000000}"/>
    <hyperlink ref="J130" location="'Other Emission Factor'!S3" display="密度density" xr:uid="{00000000-0004-0000-0500-000012000000}"/>
    <hyperlink ref="J131" location="'Other Emission Factor'!S3" display="密度density" xr:uid="{00000000-0004-0000-0500-000013000000}"/>
  </hyperlink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BF033435-F86F-F440-BC9A-6F71F231D8C2}">
          <x14:formula1>
            <xm:f>#REF!</xm:f>
          </x14:formula1>
          <xm:sqref>H100 Q90:Q100</xm:sqref>
        </x14:dataValidation>
        <x14:dataValidation type="list" allowBlank="1" showInputMessage="1" showErrorMessage="1" xr:uid="{E8EAAD28-F81D-7C49-85E1-E16B81B7D9DC}">
          <x14:formula1>
            <xm:f>'6.GWP'!$C$1:$G$1</xm:f>
          </x14:formula1>
          <xm:sqref>E6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7">
    <tabColor theme="6" tint="0.59999389629810485"/>
  </sheetPr>
  <dimension ref="A1:AI40"/>
  <sheetViews>
    <sheetView showGridLines="0" topLeftCell="A4" zoomScale="55" zoomScaleNormal="55" workbookViewId="0">
      <pane xSplit="5" ySplit="3" topLeftCell="F7" activePane="bottomRight" state="frozenSplit"/>
      <selection activeCell="A33" sqref="A33"/>
      <selection pane="topRight" activeCell="A4" sqref="A4"/>
      <selection pane="bottomLeft" activeCell="A4" sqref="A4"/>
      <selection pane="bottomRight" activeCell="D7" sqref="D7:E7"/>
    </sheetView>
  </sheetViews>
  <sheetFormatPr defaultColWidth="11" defaultRowHeight="13"/>
  <cols>
    <col min="1" max="1" width="20.81640625" style="73" customWidth="1"/>
    <col min="2" max="2" width="22.453125" style="73" customWidth="1"/>
    <col min="3" max="3" width="21.6328125" style="73" customWidth="1"/>
    <col min="4" max="4" width="34.36328125" style="73" bestFit="1" customWidth="1"/>
    <col min="5" max="5" width="32" style="74" customWidth="1"/>
    <col min="6" max="6" width="33.08984375" style="74" customWidth="1"/>
    <col min="7" max="7" width="47.81640625" style="73" customWidth="1"/>
    <col min="8" max="8" width="27" style="74" customWidth="1"/>
    <col min="9" max="9" width="20.6328125" style="74" customWidth="1"/>
    <col min="10" max="10" width="43.36328125" style="73" customWidth="1"/>
    <col min="11" max="11" width="15.6328125" style="73" customWidth="1"/>
    <col min="12" max="12" width="11.453125" style="73" customWidth="1"/>
    <col min="13" max="34" width="8.6328125" style="73" customWidth="1"/>
    <col min="35" max="35" width="11" style="73" customWidth="1"/>
    <col min="36" max="16384" width="11" style="73"/>
  </cols>
  <sheetData>
    <row r="1" spans="1:35" customFormat="1" ht="15" hidden="1" customHeight="1">
      <c r="N1" s="75"/>
      <c r="O1" s="75"/>
      <c r="P1" s="75"/>
    </row>
    <row r="2" spans="1:35" hidden="1">
      <c r="N2" s="75"/>
      <c r="O2" s="75"/>
      <c r="P2" s="75"/>
    </row>
    <row r="3" spans="1:35" hidden="1">
      <c r="N3" s="75"/>
      <c r="O3" s="75"/>
      <c r="P3" s="75"/>
    </row>
    <row r="4" spans="1:35" s="76" customFormat="1" ht="28" customHeight="1" thickBot="1">
      <c r="A4" s="165" t="s">
        <v>539</v>
      </c>
      <c r="B4"/>
      <c r="C4"/>
      <c r="D4"/>
      <c r="E4"/>
      <c r="F4"/>
      <c r="G4"/>
      <c r="H4"/>
      <c r="I4"/>
      <c r="J4"/>
      <c r="K4"/>
      <c r="L4"/>
      <c r="M4"/>
      <c r="N4"/>
      <c r="O4"/>
      <c r="P4"/>
      <c r="Q4"/>
      <c r="R4"/>
      <c r="S4"/>
      <c r="T4"/>
      <c r="U4"/>
      <c r="V4"/>
      <c r="W4"/>
      <c r="X4"/>
      <c r="Y4"/>
      <c r="Z4"/>
      <c r="AA4"/>
      <c r="AB4"/>
      <c r="AC4"/>
      <c r="AD4"/>
      <c r="AE4"/>
      <c r="AF4"/>
      <c r="AG4"/>
      <c r="AH4"/>
      <c r="AI4"/>
    </row>
    <row r="5" spans="1:35" s="132" customFormat="1" ht="31" customHeight="1">
      <c r="A5" s="786" t="s">
        <v>540</v>
      </c>
      <c r="B5" s="787"/>
      <c r="C5" s="788"/>
      <c r="D5" s="792" t="s">
        <v>541</v>
      </c>
      <c r="E5" s="793"/>
      <c r="F5" s="794" t="s">
        <v>542</v>
      </c>
      <c r="G5" s="794"/>
      <c r="H5" s="794"/>
      <c r="I5" s="794"/>
      <c r="J5" s="794"/>
      <c r="K5" s="794"/>
      <c r="L5" s="794"/>
      <c r="M5" s="795"/>
    </row>
    <row r="6" spans="1:35" s="132" customFormat="1" ht="39.5" customHeight="1" thickBot="1">
      <c r="A6" s="789"/>
      <c r="B6" s="790"/>
      <c r="C6" s="791"/>
      <c r="D6" s="796" t="str">
        <f>'1.GHG Inventory Form'!E5&amp;"GHG Emission(tCO2e)"</f>
        <v>2023GHG Emission(tCO2e)</v>
      </c>
      <c r="E6" s="797"/>
      <c r="F6" s="538" t="s">
        <v>543</v>
      </c>
      <c r="G6" s="538" t="s">
        <v>544</v>
      </c>
      <c r="H6" s="538" t="s">
        <v>545</v>
      </c>
      <c r="I6" s="539" t="s">
        <v>546</v>
      </c>
      <c r="J6" s="539" t="s">
        <v>547</v>
      </c>
      <c r="K6" s="540" t="s">
        <v>548</v>
      </c>
      <c r="L6" s="541"/>
      <c r="M6" s="542"/>
    </row>
    <row r="7" spans="1:35" s="76" customFormat="1" ht="351" customHeight="1">
      <c r="A7" s="779" t="s">
        <v>549</v>
      </c>
      <c r="B7" s="763" t="s">
        <v>550</v>
      </c>
      <c r="C7" s="764"/>
      <c r="D7" s="738">
        <f>ROUND(SUM('1.GHG Inventory Form'!BB16:BB27),4)</f>
        <v>500.27249999999998</v>
      </c>
      <c r="E7" s="765"/>
      <c r="F7" s="544" t="s">
        <v>551</v>
      </c>
      <c r="G7" s="544" t="str">
        <f>'1.GHG Inventory Form'!BI16&amp;CHAR(10)&amp;'1.GHG Inventory Form'!BI17&amp;CHAR(10)&amp;'1.GHG Inventory Form'!BI18&amp;CHAR(10)&amp;'1.GHG Inventory Form'!BI19&amp;CHAR(10)&amp;'1.GHG Inventory Form'!C20&amp;CHAR(10)&amp;'1.GHG Inventory Form'!BI21&amp;CHAR(10)&amp;'1.GHG Inventory Form'!BI22&amp;CHAR(10)&amp;'1.GHG Inventory Form'!BI23&amp;CHAR(10)&amp;'1.GHG Inventory Form'!BI24&amp;CHAR(10)&amp;'1.GHG Inventory Form'!BI25&amp;CHAR(10)&amp;'1.GHG Inventory Form'!BI26&amp;CHAR(10)&amp;'1.GHG Inventory Form'!BI27</f>
        <v xml:space="preserve">鍋爐-發電機 Boiler-Generator天然氣Natural Gas
</v>
      </c>
      <c r="H7" s="544" t="s">
        <v>552</v>
      </c>
      <c r="I7" s="544" t="str">
        <f>'1.GHG Inventory Form'!BJ16&amp;CHAR(10)&amp;'1.GHG Inventory Form'!BJ17&amp;CHAR(10)&amp;'1.GHG Inventory Form'!BJ18&amp;CHAR(10)&amp;'1.GHG Inventory Form'!BJ19&amp;CHAR(10)&amp;'1.GHG Inventory Form'!E20&amp;CHAR(10)&amp;'1.GHG Inventory Form'!BJ21&amp;CHAR(10)&amp;'1.GHG Inventory Form'!BJ22&amp;CHAR(10)&amp;'1.GHG Inventory Form'!BJ23&amp;CHAR(10)&amp;'1.GHG Inventory Form'!BJ24&amp;CHAR(10)&amp;'1.GHG Inventory Form'!BJ25&amp;CHAR(10)&amp;'1.GHG Inventory Form'!BJ26&amp;CHAR(10)&amp;'1.GHG Inventory Form'!BJ27</f>
        <v xml:space="preserve">
</v>
      </c>
      <c r="J7" s="544" t="str">
        <f>'1.GHG Inventory Form'!BK16&amp;CHAR(10)&amp;'1.GHG Inventory Form'!BK17&amp;CHAR(10)&amp;'1.GHG Inventory Form'!BK18&amp;CHAR(10)&amp;'1.GHG Inventory Form'!BK19&amp;CHAR(10)&amp;'1.GHG Inventory Form'!E20&amp;CHAR(10)&amp;'1.GHG Inventory Form'!BK21&amp;CHAR(10)&amp;'1.GHG Inventory Form'!BK22&amp;CHAR(10)&amp;'1.GHG Inventory Form'!BK23&amp;CHAR(10)&amp;'1.GHG Inventory Form'!BK24&amp;CHAR(10)&amp;'1.GHG Inventory Form'!BK25&amp;CHAR(10)&amp;'1.GHG Inventory Form'!BK26&amp;CHAR(10)&amp;'1.GHG Inventory Form'!BK27</f>
        <v xml:space="preserve">環保署排放係管理表6.0.4Taiwan EPA GHG coefficient table 6.0.4
</v>
      </c>
      <c r="K7" s="545">
        <f>'1.GHG Inventory Form'!$C$6</f>
        <v>0</v>
      </c>
      <c r="L7" s="214"/>
      <c r="M7" s="215"/>
    </row>
    <row r="8" spans="1:35" s="76" customFormat="1" ht="143" customHeight="1">
      <c r="A8" s="780"/>
      <c r="B8" s="774" t="s">
        <v>553</v>
      </c>
      <c r="C8" s="798"/>
      <c r="D8" s="776">
        <f>ROUND(SUM('1.GHG Inventory Form'!BB28:BB34),4)</f>
        <v>52.861800000000002</v>
      </c>
      <c r="E8" s="777"/>
      <c r="F8" s="546" t="s">
        <v>554</v>
      </c>
      <c r="G8" s="547" t="str">
        <f>'1.GHG Inventory Form'!BI28&amp;CHAR(10)&amp;'1.GHG Inventory Form'!BI29&amp;CHAR(10)&amp;'1.GHG Inventory Form'!BI30&amp;CHAR(10)&amp;'1.GHG Inventory Form'!BI31&amp;CHAR(10)&amp;'1.GHG Inventory Form'!BI32&amp;CHAR(10)&amp;'1.GHG Inventory Form'!BI33&amp;CHAR(10)&amp;'1.GHG Inventory Form'!BI34</f>
        <v xml:space="preserve">車輛 vehicle車用汽油(移動源)Motor Gasoline(Mobile combustion emissions)
車輛 vehicle柴油(移動源)Diesel Oil(Mobile combustion emissions)
</v>
      </c>
      <c r="H8" s="546" t="s">
        <v>555</v>
      </c>
      <c r="I8" s="547" t="str">
        <f>'1.GHG Inventory Form'!BJ28&amp;CHAR(10)&amp;'1.GHG Inventory Form'!BJ29&amp;CHAR(10)&amp;'1.GHG Inventory Form'!BJ30&amp;CHAR(10)&amp;'1.GHG Inventory Form'!BJ31&amp;CHAR(10)&amp;'1.GHG Inventory Form'!BJ32&amp;CHAR(10)&amp;'1.GHG Inventory Form'!BJ33&amp;CHAR(10)&amp;'1.GHG Inventory Form'!BJ34</f>
        <v xml:space="preserve">
</v>
      </c>
      <c r="J8" s="546" t="str">
        <f>'1.GHG Inventory Form'!BK28&amp;CHAR(10)&amp;'1.GHG Inventory Form'!BK29&amp;CHAR(10)&amp;'1.GHG Inventory Form'!BK30&amp;CHAR(10)&amp;'1.GHG Inventory Form'!BK31&amp;CHAR(10)&amp;'1.GHG Inventory Form'!BK32&amp;CHAR(10)&amp;'1.GHG Inventory Form'!BK33&amp;CHAR(10)&amp;'1.GHG Inventory Form'!BK34</f>
        <v xml:space="preserve">環保署排放係管理表6.0.4Taiwan EPA GHG coefficient table 6.0.4
環保署排放係管理表6.0.4Taiwan EPA GHG coefficient table 6.0.4
</v>
      </c>
      <c r="K8" s="547">
        <f>'1.GHG Inventory Form'!$C$6</f>
        <v>0</v>
      </c>
      <c r="L8" s="77"/>
      <c r="M8" s="216"/>
    </row>
    <row r="9" spans="1:35" s="76" customFormat="1" ht="50.25" customHeight="1">
      <c r="A9" s="780"/>
      <c r="B9" s="774" t="s">
        <v>556</v>
      </c>
      <c r="C9" s="798"/>
      <c r="D9" s="776">
        <f>ROUND(SUM('1.GHG Inventory Form'!BB35:BB48),4)</f>
        <v>0</v>
      </c>
      <c r="E9" s="777"/>
      <c r="F9" s="546" t="s">
        <v>557</v>
      </c>
      <c r="G9" s="547" t="str">
        <f>'1.GHG Inventory Form'!BI35&amp;CHAR(10)&amp;'1.GHG Inventory Form'!BI39&amp;CHAR(10)&amp;'1.GHG Inventory Form'!BI40&amp;CHAR(10)&amp;'1.GHG Inventory Form'!BI46&amp;CHAR(10)&amp;'1.GHG Inventory Form'!BI47&amp;CHAR(10)&amp;'1.GHG Inventory Form'!BI47&amp;CHAR(10)&amp;'1.GHG Inventory Form'!BI48</f>
        <v xml:space="preserve">
</v>
      </c>
      <c r="H9" s="546" t="str">
        <f>IF(G9="","","活動數據用量Activity Data × 排放係數Emission Factor × GWP")</f>
        <v>活動數據用量Activity Data × 排放係數Emission Factor × GWP</v>
      </c>
      <c r="I9" s="547" t="str">
        <f>'1.GHG Inventory Form'!BJ35&amp;CHAR(10)&amp;'1.GHG Inventory Form'!BJ39&amp;CHAR(10)&amp;'1.GHG Inventory Form'!BJ40&amp;CHAR(10)&amp;'1.GHG Inventory Form'!BJ46&amp;CHAR(10)&amp;'1.GHG Inventory Form'!BJ47&amp;CHAR(10)&amp;'1.GHG Inventory Form'!BJ48</f>
        <v xml:space="preserve">
</v>
      </c>
      <c r="J9" s="547"/>
      <c r="K9" s="547">
        <f>'1.GHG Inventory Form'!$C$6</f>
        <v>0</v>
      </c>
      <c r="L9" s="77"/>
      <c r="M9" s="216"/>
    </row>
    <row r="10" spans="1:35" s="76" customFormat="1" ht="409" customHeight="1">
      <c r="A10" s="780"/>
      <c r="B10" s="774" t="s">
        <v>558</v>
      </c>
      <c r="C10" s="798"/>
      <c r="D10" s="776">
        <f>ROUND((SUM('1.GHG Inventory Form'!BB50:BB56)+SUM('1.GHG Inventory Form'!BB59:BB87)),4)</f>
        <v>118.9422</v>
      </c>
      <c r="E10" s="777"/>
      <c r="F10" s="546" t="s">
        <v>559</v>
      </c>
      <c r="G10" s="546" t="str">
        <f>'1.GHG Inventory Form'!BI50&amp;CHAR(10)&amp;'1.GHG Inventory Form'!BI51&amp;CHAR(10)&amp;'1.GHG Inventory Form'!BI52&amp;CHAR(10)&amp;'1.GHG Inventory Form'!BI53&amp;CHAR(10)&amp;'1.GHG Inventory Form'!BI54&amp;CHAR(10)&amp;'1.GHG Inventory Form'!BI54&amp;CHAR(10)&amp;'1.GHG Inventory Form'!BI55&amp;CHAR(10)&amp;'1.GHG Inventory Form'!BI56&amp;CHAR(10)&amp;'1.GHG Inventory Form'!BI57&amp;CHAR(10)&amp;'1.GHG Inventory Form'!BI58&amp;CHAR(10)&amp;'1.GHG Inventory Form'!BI59&amp;CHAR(10)&amp;'1.GHG Inventory Form'!BI67&amp;CHAR(10)&amp;'1.GHG Inventory Form'!BI68&amp;CHAR(10)&amp;'1.GHG Inventory Form'!BI69&amp;CHAR(10)&amp;'1.GHG Inventory Form'!BI70&amp;CHAR(10)&amp;'1.GHG Inventory Form'!BI71&amp;CHAR(10)&amp;'1.GHG Inventory Form'!BI72&amp;CHAR(10)&amp;'1.GHG Inventory Form'!BI73&amp;CHAR(10)&amp;'1.GHG Inventory Form'!BI74&amp;CHAR(10)&amp;'1.GHG Inventory Form'!BI75&amp;CHAR(10)&amp;'1.GHG Inventory Form'!BI76&amp;CHAR(10)&amp;'1.GHG Inventory Form'!BI77&amp;CHAR(10)&amp;'1.GHG Inventory Form'!BI77&amp;CHAR(10)&amp;'1.GHG Inventory Form'!BI78&amp;CHAR(10)&amp;'1.GHG Inventory Form'!BI79&amp;CHAR(10)&amp;'1.GHG Inventory Form'!BI80&amp;CHAR(10)&amp;'1.GHG Inventory Form'!BI81&amp;CHAR(10)&amp;'1.GHG Inventory Form'!BI82&amp;CHAR(10)&amp;'1.GHG Inventory Form'!BI83&amp;CHAR(10)&amp;'1.GHG Inventory Form'!BI84&amp;CHAR(10)&amp;'1.GHG Inventory Form'!BI85&amp;CHAR(10)&amp;'1.GHG Inventory Form'!BI86&amp;CHAR(10)&amp;'1.GHG Inventory Form'!BI87</f>
        <v xml:space="preserve">
冰水機(冷水主機)ChillersR-508B
家用冷凍、冷藏裝備(如冰箱、飲水機、冷凍櫃)Domestic RefrigerationR-600a
家用冷凍、冷藏裝備(如冰箱、飲水機、冷凍櫃)Domestic RefrigerationR-290
家用冷凍、冷藏裝備(如冰箱、飲水機、冷凍櫃)Domestic RefrigerationR-12
家用冷凍、冷藏裝備(如冰箱、飲水機、冷凍櫃)Domestic RefrigerationR-134a
冰水機(冷水主機)ChillersR-404A
</v>
      </c>
      <c r="H10" s="546" t="s">
        <v>560</v>
      </c>
      <c r="I10" s="546" t="str">
        <f>'1.GHG Inventory Form'!BJ50&amp;CHAR(10)&amp;'1.GHG Inventory Form'!BJ51&amp;CHAR(10)&amp;'1.GHG Inventory Form'!BJ52&amp;CHAR(10)&amp;'1.GHG Inventory Form'!BJ53&amp;CHAR(10)&amp;'1.GHG Inventory Form'!BJ54&amp;CHAR(10)&amp;'1.GHG Inventory Form'!BJ54&amp;CHAR(10)&amp;'1.GHG Inventory Form'!BJ55&amp;CHAR(10)&amp;'1.GHG Inventory Form'!BJ56&amp;CHAR(10)&amp;'1.GHG Inventory Form'!BJ57&amp;CHAR(10)&amp;'1.GHG Inventory Form'!BJ58&amp;CHAR(10)&amp;'1.GHG Inventory Form'!BJ59&amp;CHAR(10)&amp;'1.GHG Inventory Form'!BJ67&amp;CHAR(10)&amp;'1.GHG Inventory Form'!BJ68&amp;CHAR(10)&amp;'1.GHG Inventory Form'!BJ69&amp;CHAR(10)&amp;'1.GHG Inventory Form'!BJ70&amp;CHAR(10)&amp;'1.GHG Inventory Form'!BJ71&amp;CHAR(10)&amp;'1.GHG Inventory Form'!BJ72&amp;CHAR(10)&amp;'1.GHG Inventory Form'!BJ73&amp;CHAR(10)&amp;'1.GHG Inventory Form'!BJ74&amp;CHAR(10)&amp;'1.GHG Inventory Form'!BJ75&amp;CHAR(10)&amp;'1.GHG Inventory Form'!BJ76&amp;CHAR(10)&amp;'1.GHG Inventory Form'!BJ77&amp;CHAR(10)&amp;'1.GHG Inventory Form'!BJ77&amp;CHAR(10)&amp;'1.GHG Inventory Form'!BJ78&amp;CHAR(10)&amp;'1.GHG Inventory Form'!BJ79&amp;CHAR(10)&amp;'1.GHG Inventory Form'!BJ80&amp;CHAR(10)&amp;'1.GHG Inventory Form'!BJ81&amp;CHAR(10)&amp;'1.GHG Inventory Form'!BJ82&amp;CHAR(10)&amp;'1.GHG Inventory Form'!BJ83&amp;CHAR(10)&amp;'1.GHG Inventory Form'!BJ84&amp;CHAR(10)&amp;'1.GHG Inventory Form'!BJ85&amp;CHAR(10)&amp;'1.GHG Inventory Form'!BJ86&amp;CHAR(10)&amp;'1.GHG Inventory Form'!BJ87</f>
        <v xml:space="preserve">
</v>
      </c>
      <c r="J10" s="546" t="str">
        <f>'1.GHG Inventory Form'!BK50&amp;CHAR(10)&amp;'1.GHG Inventory Form'!BK51&amp;CHAR(10)&amp;'1.GHG Inventory Form'!BK52&amp;CHAR(10)&amp;'1.GHG Inventory Form'!BK53&amp;CHAR(10)&amp;'1.GHG Inventory Form'!BK54&amp;CHAR(10)&amp;'1.GHG Inventory Form'!BK54&amp;CHAR(10)&amp;'1.GHG Inventory Form'!BK55&amp;CHAR(10)&amp;'1.GHG Inventory Form'!BK56&amp;CHAR(10)&amp;'1.GHG Inventory Form'!BK57&amp;CHAR(10)&amp;'1.GHG Inventory Form'!BK58&amp;CHAR(10)&amp;'1.GHG Inventory Form'!BK59&amp;CHAR(10)&amp;'1.GHG Inventory Form'!BK67&amp;CHAR(10)&amp;'1.GHG Inventory Form'!BK68&amp;CHAR(10)&amp;'1.GHG Inventory Form'!BK69&amp;CHAR(10)&amp;'1.GHG Inventory Form'!BK70&amp;CHAR(10)&amp;'1.GHG Inventory Form'!BK71&amp;CHAR(10)&amp;'1.GHG Inventory Form'!BK72&amp;CHAR(10)&amp;'1.GHG Inventory Form'!BK73&amp;CHAR(10)&amp;'1.GHG Inventory Form'!BK74&amp;CHAR(10)&amp;'1.GHG Inventory Form'!BK75&amp;CHAR(10)&amp;'1.GHG Inventory Form'!BK76&amp;CHAR(10)&amp;'1.GHG Inventory Form'!BK77&amp;CHAR(10)&amp;'1.GHG Inventory Form'!BK77&amp;CHAR(10)&amp;'1.GHG Inventory Form'!BK78&amp;CHAR(10)&amp;'1.GHG Inventory Form'!BK79&amp;CHAR(10)&amp;'1.GHG Inventory Form'!BK80&amp;CHAR(10)&amp;'1.GHG Inventory Form'!BK81&amp;CHAR(10)&amp;'1.GHG Inventory Form'!BK82&amp;CHAR(10)&amp;'1.GHG Inventory Form'!BK83&amp;CHAR(10)&amp;'1.GHG Inventory Form'!BK84&amp;CHAR(10)&amp;'1.GHG Inventory Form'!BK85&amp;CHAR(10)&amp;'1.GHG Inventory Form'!BK86&amp;CHAR(10)&amp;'1.GHG Inventory Form'!BK87</f>
        <v xml:space="preserve">
環保署排放係管理表6.0.4Taiwan EPA GHG coefficient table 6.0.4
環保署排放係管理表6.0.4Taiwan EPA GHG coefficient table 6.0.4
環保署排放係管理表6.0.4Taiwan EPA GHG coefficient table 6.0.4
環保署排放係管理表6.0.4Taiwan EPA GHG coefficient table 6.0.4
環保署排放係管理表6.0.4Taiwan EPA GHG coefficient table 6.0.4
環保署排放係管理表6.0.4Taiwan EPA GHG coefficient table 6.0.4
</v>
      </c>
      <c r="K10" s="547">
        <f>'1.GHG Inventory Form'!$C$6</f>
        <v>0</v>
      </c>
      <c r="L10" s="77"/>
      <c r="M10" s="216"/>
    </row>
    <row r="11" spans="1:35" s="76" customFormat="1" ht="247.5" customHeight="1" thickBot="1">
      <c r="A11" s="781"/>
      <c r="B11" s="766" t="s">
        <v>561</v>
      </c>
      <c r="C11" s="767"/>
      <c r="D11" s="768">
        <f>ROUND(SUM('1.GHG Inventory Form'!BB49),4)</f>
        <v>0</v>
      </c>
      <c r="E11" s="769"/>
      <c r="F11" s="548" t="s">
        <v>562</v>
      </c>
      <c r="G11" s="549" t="str">
        <f>'1.GHG Inventory Form'!BI49</f>
        <v/>
      </c>
      <c r="H11" s="548"/>
      <c r="I11" s="549"/>
      <c r="J11" s="549"/>
      <c r="K11" s="549"/>
      <c r="L11" s="217"/>
      <c r="M11" s="218"/>
    </row>
    <row r="12" spans="1:35" s="76" customFormat="1" ht="16" customHeight="1">
      <c r="A12" s="779" t="s">
        <v>563</v>
      </c>
      <c r="B12" s="782" t="s">
        <v>564</v>
      </c>
      <c r="C12" s="783"/>
      <c r="D12" s="550" t="s">
        <v>565</v>
      </c>
      <c r="E12" s="551" t="s">
        <v>566</v>
      </c>
      <c r="F12" s="552"/>
      <c r="G12" s="553"/>
      <c r="H12" s="553"/>
      <c r="I12" s="553"/>
      <c r="J12" s="553"/>
      <c r="K12" s="553"/>
      <c r="L12" s="554"/>
      <c r="M12" s="555"/>
    </row>
    <row r="13" spans="1:35" s="76" customFormat="1" ht="234" customHeight="1">
      <c r="A13" s="780"/>
      <c r="B13" s="784"/>
      <c r="C13" s="785"/>
      <c r="D13" s="556">
        <f>'1.GHG Inventory Form'!BB90+(SUM('1.GHG Inventory Form'!H93:H95)*'1.GHG Inventory Form'!AF90)</f>
        <v>840.973206</v>
      </c>
      <c r="E13" s="557">
        <f>IF(SUM('1.GHG Inventory Form'!BB91:BB95)-(('1.GHG Inventory Form'!H96-'1.GHG Inventory Form'!H90)*'1.GHG Inventory Form'!AF96)&lt;0,0,SUM('1.GHG Inventory Form'!BB91:BB95)-(('1.GHG Inventory Form'!H96-'1.GHG Inventory Form'!H90)*'1.GHG Inventory Form'!AF96))</f>
        <v>0</v>
      </c>
      <c r="F13" s="546" t="s">
        <v>567</v>
      </c>
      <c r="G13" s="546" t="str">
        <f>'1.GHG Inventory Form'!BI90&amp;CHAR(10)&amp;'1.GHG Inventory Form'!BI95&amp;CHAR(10)&amp;'1.GHG Inventory Form'!BI93&amp;CHAR(10)&amp;'1.GHG Inventory Form'!BI94&amp;CHAR(10)&amp;'1.GHG Inventory Form'!BI91&amp;CHAR(10)&amp;'1.GHG Inventory Form'!BI96&amp;CHAR(10)&amp;'1.GHG Inventory Form'!BI92&amp;CHAR(10)&amp;'1.GHG Inventory Form'!BI97&amp;CHAR(10)&amp;'1.GHG Inventory Form'!BI98</f>
        <v xml:space="preserve">外購電力(灰電)
Unspecified non-renewable electricity purchase from grid
轉供-綠色電力產品
Green Electricity Products
自發自用-再生能源電力
Self-generated and consumed Renewable electricity
購買之REC or I-REC(非自發自用申請之憑證)
Unbundled EAC purchase (REC or I-REC)
自發再生電力並售出
Self generated but sold renewable electricity
</v>
      </c>
      <c r="H13" s="546" t="s">
        <v>568</v>
      </c>
      <c r="I13" s="546" t="str">
        <f>'1.GHG Inventory Form'!BJ90&amp;CHAR(10)&amp;'1.GHG Inventory Form'!BJ95&amp;CHAR(10)&amp;'1.GHG Inventory Form'!BJ93&amp;CHAR(10)&amp;'1.GHG Inventory Form'!BJ94&amp;CHAR(10)&amp;'1.GHG Inventory Form'!BJ91&amp;CHAR(10)&amp;'1.GHG Inventory Form'!BJ96&amp;CHAR(10)&amp;'1.GHG Inventory Form'!BJ92&amp;CHAR(10)&amp;'1.GHG Inventory Form'!BJ97&amp;CHAR(10)&amp;'1.GHG Inventory Form'!BJ98</f>
        <v xml:space="preserve">
</v>
      </c>
      <c r="J13" s="546" t="str">
        <f>'1.GHG Inventory Form'!BK90&amp;CHAR(10)&amp;'1.GHG Inventory Form'!BK95&amp;CHAR(10)&amp;'1.GHG Inventory Form'!BK93&amp;CHAR(10)&amp;'1.GHG Inventory Form'!BK94&amp;CHAR(10)&amp;'1.GHG Inventory Form'!BK91&amp;CHAR(10)&amp;'1.GHG Inventory Form'!BK96&amp;CHAR(10)&amp;'1.GHG Inventory Form'!BK92&amp;CHAR(10)&amp;'1.GHG Inventory Form'!BK97&amp;CHAR(10)&amp;'1.GHG Inventory Form'!BK98</f>
        <v xml:space="preserve">Germany2022
Renewable electricity2022
Renewable electricity2022
Renewable electricity2022
</v>
      </c>
      <c r="K13" s="547">
        <f>'1.GHG Inventory Form'!$C$6</f>
        <v>0</v>
      </c>
      <c r="L13" s="77"/>
      <c r="M13" s="216"/>
    </row>
    <row r="14" spans="1:35" s="76" customFormat="1" ht="130.5" customHeight="1" thickBot="1">
      <c r="A14" s="781"/>
      <c r="B14" s="766" t="s">
        <v>569</v>
      </c>
      <c r="C14" s="767"/>
      <c r="D14" s="768">
        <f>ROUND(('1.GHG Inventory Form'!BB99),4)</f>
        <v>0</v>
      </c>
      <c r="E14" s="769"/>
      <c r="F14" s="548" t="s">
        <v>570</v>
      </c>
      <c r="G14" s="549" t="str">
        <f>'1.GHG Inventory Form'!BI99</f>
        <v/>
      </c>
      <c r="H14" s="548" t="s">
        <v>571</v>
      </c>
      <c r="I14" s="549"/>
      <c r="J14" s="549" t="str">
        <f>'1.GHG Inventory Form'!BK99</f>
        <v/>
      </c>
      <c r="K14" s="549">
        <f>'1.GHG Inventory Form'!$C$6</f>
        <v>0</v>
      </c>
      <c r="L14" s="217"/>
      <c r="M14" s="218"/>
    </row>
    <row r="15" spans="1:35" s="76" customFormat="1" ht="52" customHeight="1">
      <c r="A15" s="770" t="s">
        <v>572</v>
      </c>
      <c r="B15" s="763" t="s">
        <v>573</v>
      </c>
      <c r="C15" s="773"/>
      <c r="D15" s="738">
        <f>ROUND(SUM('1.GHG Inventory Form'!BB102:BB105),4)</f>
        <v>0</v>
      </c>
      <c r="E15" s="765"/>
      <c r="F15" s="552" t="s">
        <v>574</v>
      </c>
      <c r="G15" s="552" t="str">
        <f>'1.GHG Inventory Form'!BI102&amp;CHAR(10)&amp;'1.GHG Inventory Form'!BI103&amp;CHAR(10)&amp;'1.GHG Inventory Form'!BI104&amp;CHAR(10)&amp;'1.GHG Inventory Form'!BI105</f>
        <v xml:space="preserve">
</v>
      </c>
      <c r="H15" s="552" t="s">
        <v>575</v>
      </c>
      <c r="I15" s="552" t="str">
        <f>'1.GHG Inventory Form'!BJ102&amp;CHAR(10)&amp;'1.GHG Inventory Form'!BJ103&amp;CHAR(10)&amp;'1.GHG Inventory Form'!BJ104&amp;CHAR(10)&amp;'1.GHG Inventory Form'!BJ105</f>
        <v xml:space="preserve">
</v>
      </c>
      <c r="J15" s="552" t="str">
        <f>'1.GHG Inventory Form'!BK102&amp;CHAR(10)&amp;'1.GHG Inventory Form'!BK103&amp;CHAR(10)&amp;'1.GHG Inventory Form'!BK104&amp;CHAR(10)&amp;'1.GHG Inventory Form'!BK105</f>
        <v xml:space="preserve">
</v>
      </c>
      <c r="K15" s="553">
        <f>'1.GHG Inventory Form'!$C$6</f>
        <v>0</v>
      </c>
      <c r="L15" s="219"/>
      <c r="M15" s="220"/>
    </row>
    <row r="16" spans="1:35" s="76" customFormat="1" ht="44.25" customHeight="1">
      <c r="A16" s="771"/>
      <c r="B16" s="774" t="s">
        <v>576</v>
      </c>
      <c r="C16" s="775"/>
      <c r="D16" s="776">
        <f>ROUND(SUM('1.GHG Inventory Form'!BB106),4)</f>
        <v>0</v>
      </c>
      <c r="E16" s="777"/>
      <c r="F16" s="546" t="s">
        <v>577</v>
      </c>
      <c r="G16" s="546" t="str">
        <f>'1.GHG Inventory Form'!BI106</f>
        <v/>
      </c>
      <c r="H16" s="546" t="s">
        <v>578</v>
      </c>
      <c r="I16" s="546" t="str">
        <f>'1.GHG Inventory Form'!BJ106</f>
        <v/>
      </c>
      <c r="J16" s="546" t="str">
        <f>'1.GHG Inventory Form'!BK106</f>
        <v/>
      </c>
      <c r="K16" s="547">
        <f>'1.GHG Inventory Form'!$C$6</f>
        <v>0</v>
      </c>
      <c r="L16" s="78"/>
      <c r="M16" s="221"/>
    </row>
    <row r="17" spans="1:13" s="76" customFormat="1" ht="91" customHeight="1">
      <c r="A17" s="771"/>
      <c r="B17" s="774" t="s">
        <v>579</v>
      </c>
      <c r="C17" s="775"/>
      <c r="D17" s="776">
        <f>ROUND(SUM('1.GHG Inventory Form'!BB107:BB113),4)</f>
        <v>0</v>
      </c>
      <c r="E17" s="777"/>
      <c r="F17" s="546" t="s">
        <v>580</v>
      </c>
      <c r="G17" s="546" t="str">
        <f>'1.GHG Inventory Form'!BI107&amp;CHAR(10)&amp;'1.GHG Inventory Form'!BI108&amp;CHAR(10)&amp;'1.GHG Inventory Form'!BI109&amp;CHAR(10)&amp;'1.GHG Inventory Form'!BI110&amp;CHAR(10)&amp;'1.GHG Inventory Form'!BI111&amp;CHAR(10)&amp;'1.GHG Inventory Form'!BI112&amp;CHAR(10)&amp;'1.GHG Inventory Form'!BI113</f>
        <v xml:space="preserve">
</v>
      </c>
      <c r="H17" s="546" t="s">
        <v>581</v>
      </c>
      <c r="I17" s="546" t="str">
        <f>'1.GHG Inventory Form'!BJ107&amp;CHAR(10)&amp;'1.GHG Inventory Form'!BJ108&amp;CHAR(10)&amp;'1.GHG Inventory Form'!BJ109&amp;CHAR(10)&amp;'1.GHG Inventory Form'!BJ110&amp;CHAR(10)&amp;'1.GHG Inventory Form'!BJ111&amp;CHAR(10)&amp;'1.GHG Inventory Form'!BJ112&amp;CHAR(10)&amp;'1.GHG Inventory Form'!BJ113</f>
        <v xml:space="preserve">
</v>
      </c>
      <c r="J17" s="546" t="str">
        <f>'1.GHG Inventory Form'!BK107&amp;CHAR(10)&amp;'1.GHG Inventory Form'!BK108&amp;CHAR(10)&amp;'1.GHG Inventory Form'!BK109&amp;CHAR(10)&amp;'1.GHG Inventory Form'!BK110&amp;CHAR(10)&amp;'1.GHG Inventory Form'!BK111&amp;CHAR(10)&amp;'1.GHG Inventory Form'!BK112&amp;CHAR(10)&amp;'1.GHG Inventory Form'!BK113</f>
        <v xml:space="preserve">
</v>
      </c>
      <c r="K17" s="547">
        <f>'1.GHG Inventory Form'!$C$6</f>
        <v>0</v>
      </c>
      <c r="L17" s="78"/>
      <c r="M17" s="221"/>
    </row>
    <row r="18" spans="1:13" s="76" customFormat="1" ht="38.25" customHeight="1">
      <c r="A18" s="771"/>
      <c r="B18" s="774" t="s">
        <v>582</v>
      </c>
      <c r="C18" s="775"/>
      <c r="D18" s="776">
        <f>ROUND(SUM('1.GHG Inventory Form'!BB114),4)</f>
        <v>0</v>
      </c>
      <c r="E18" s="777"/>
      <c r="F18" s="546" t="s">
        <v>583</v>
      </c>
      <c r="G18" s="546" t="str">
        <f>'1.GHG Inventory Form'!BI114</f>
        <v/>
      </c>
      <c r="H18" s="546" t="s">
        <v>584</v>
      </c>
      <c r="I18" s="546" t="str">
        <f>'1.GHG Inventory Form'!BJ114</f>
        <v/>
      </c>
      <c r="J18" s="546" t="str">
        <f>'1.GHG Inventory Form'!BK114</f>
        <v/>
      </c>
      <c r="K18" s="547">
        <f>'1.GHG Inventory Form'!$C$6</f>
        <v>0</v>
      </c>
      <c r="L18" s="78"/>
      <c r="M18" s="221"/>
    </row>
    <row r="19" spans="1:13" s="76" customFormat="1" ht="78.5" customHeight="1" thickBot="1">
      <c r="A19" s="772"/>
      <c r="B19" s="766" t="s">
        <v>585</v>
      </c>
      <c r="C19" s="778"/>
      <c r="D19" s="768">
        <f>ROUND(SUM('1.GHG Inventory Form'!BB115:BB120),4)</f>
        <v>0</v>
      </c>
      <c r="E19" s="769"/>
      <c r="F19" s="548" t="s">
        <v>586</v>
      </c>
      <c r="G19" s="548" t="str">
        <f>'1.GHG Inventory Form'!BI115&amp;CHAR(10)&amp;'1.GHG Inventory Form'!BI116&amp;CHAR(10)&amp;'1.GHG Inventory Form'!BI117&amp;CHAR(10)&amp;'1.GHG Inventory Form'!BI118&amp;CHAR(10)&amp;'1.GHG Inventory Form'!BI119&amp;CHAR(10)&amp;'1.GHG Inventory Form'!BI120</f>
        <v xml:space="preserve">
</v>
      </c>
      <c r="H19" s="548" t="s">
        <v>587</v>
      </c>
      <c r="I19" s="548" t="str">
        <f>'1.GHG Inventory Form'!BJ115&amp;CHAR(10)&amp;'1.GHG Inventory Form'!BJ116&amp;CHAR(10)&amp;'1.GHG Inventory Form'!BJ117&amp;CHAR(10)&amp;'1.GHG Inventory Form'!BJ118&amp;CHAR(10)&amp;'1.GHG Inventory Form'!BJ119&amp;CHAR(10)&amp;'1.GHG Inventory Form'!BJ120</f>
        <v xml:space="preserve">
</v>
      </c>
      <c r="J19" s="548" t="str">
        <f>'1.GHG Inventory Form'!BK115&amp;CHAR(10)&amp;'1.GHG Inventory Form'!BK116&amp;CHAR(10)&amp;'1.GHG Inventory Form'!BK117&amp;CHAR(10)&amp;'1.GHG Inventory Form'!BK118&amp;CHAR(10)&amp;'1.GHG Inventory Form'!BK119&amp;CHAR(10)&amp;'1.GHG Inventory Form'!BK120</f>
        <v xml:space="preserve">
</v>
      </c>
      <c r="K19" s="549">
        <f>'1.GHG Inventory Form'!$C$6</f>
        <v>0</v>
      </c>
      <c r="L19" s="222"/>
      <c r="M19" s="223"/>
    </row>
    <row r="20" spans="1:13" s="76" customFormat="1" ht="156" customHeight="1">
      <c r="A20" s="770" t="s">
        <v>588</v>
      </c>
      <c r="B20" s="763" t="s">
        <v>589</v>
      </c>
      <c r="C20" s="773"/>
      <c r="D20" s="738">
        <f>ROUND(SUM('1.GHG Inventory Form'!BB121:BB132),4)</f>
        <v>156.61250000000001</v>
      </c>
      <c r="E20" s="765"/>
      <c r="F20" s="552" t="s">
        <v>590</v>
      </c>
      <c r="G20" s="552" t="str">
        <f>'1.GHG Inventory Form'!BI121&amp;CHAR(10)&amp;'1.GHG Inventory Form'!BI122&amp;CHAR(10)&amp;'1.GHG Inventory Form'!BI123&amp;CHAR(10)&amp;'1.GHG Inventory Form'!BI124&amp;CHAR(10)&amp;'1.GHG Inventory Form'!BI126&amp;CHAR(10)&amp;'1.GHG Inventory Form'!BI127&amp;CHAR(10)&amp;'1.GHG Inventory Form'!BI128&amp;CHAR(10)&amp;'1.GHG Inventory Form'!BI129&amp;CHAR(10)&amp;'1.GHG Inventory Form'!BI130&amp;CHAR(10)&amp;'1.GHG Inventory Form'!BI131&amp;CHAR(10)&amp;'1.GHG Inventory Form'!BI132</f>
        <v xml:space="preserve">
固定源天然氣上游排放(包含運輸)
Stationary natural gas upstream emissions (including transportation)
移動源柴油上游排放(包含運輸)
Mobile diesel upstream emissions (including transport)
移動源汽油上游排放(包含運輸)
Gasoline upstream emissions from mobile equipment (including transport)
自來水
tap water</v>
      </c>
      <c r="H20" s="552" t="s">
        <v>591</v>
      </c>
      <c r="I20" s="552" t="str">
        <f>'1.GHG Inventory Form'!BJ121&amp;CHAR(10)&amp;'1.GHG Inventory Form'!BJ122&amp;CHAR(10)&amp;'1.GHG Inventory Form'!BJ123&amp;CHAR(10)&amp;'1.GHG Inventory Form'!BJ124&amp;CHAR(10)&amp;'1.GHG Inventory Form'!BJ126&amp;CHAR(10)&amp;'1.GHG Inventory Form'!BJ127&amp;CHAR(10)&amp;'1.GHG Inventory Form'!BJ128&amp;CHAR(10)&amp;'1.GHG Inventory Form'!BJ129&amp;CHAR(10)&amp;'1.GHG Inventory Form'!BJ130&amp;CHAR(10)&amp;'1.GHG Inventory Form'!BJ131&amp;CHAR(10)&amp;'1.GHG Inventory Form'!BJ132</f>
        <v xml:space="preserve">
密度density
密度density
</v>
      </c>
      <c r="J20" s="552" t="str">
        <f>'1.GHG Inventory Form'!BK121&amp;CHAR(10)&amp;'1.GHG Inventory Form'!BK122&amp;CHAR(10)&amp;'1.GHG Inventory Form'!BK123&amp;CHAR(10)&amp;'1.GHG Inventory Form'!BK124&amp;CHAR(10)&amp;'1.GHG Inventory Form'!BK126&amp;CHAR(10)&amp;'1.GHG Inventory Form'!BK127&amp;CHAR(10)&amp;'1.GHG Inventory Form'!BK128&amp;CHAR(10)&amp;'1.GHG Inventory Form'!BK129&amp;CHAR(10)&amp;'1.GHG Inventory Form'!BK130&amp;CHAR(10)&amp;'1.GHG Inventory Form'!BK131&amp;CHAR(10)&amp;'1.GHG Inventory Form'!BK132</f>
        <v xml:space="preserve">
Natural gas, high pressure {GLO}| market group for | APOS, U
Diesel  {GLO}| market group for | APOS, U
Petrol, unleaded {RoW}| market for | APOS, U
Simapro9.4.0.2-Tap water {GLO}| market group for | Cut-off, U</v>
      </c>
      <c r="K20" s="553">
        <f>'1.GHG Inventory Form'!$C$6</f>
        <v>0</v>
      </c>
      <c r="L20" s="219"/>
      <c r="M20" s="220"/>
    </row>
    <row r="21" spans="1:13" s="76" customFormat="1" ht="104" customHeight="1">
      <c r="A21" s="771"/>
      <c r="B21" s="774" t="s">
        <v>592</v>
      </c>
      <c r="C21" s="775"/>
      <c r="D21" s="776">
        <f>ROUND(SUM('1.GHG Inventory Form'!BB133:BB140),4)</f>
        <v>0</v>
      </c>
      <c r="E21" s="777"/>
      <c r="F21" s="546" t="s">
        <v>593</v>
      </c>
      <c r="G21" s="546" t="str">
        <f>'1.GHG Inventory Form'!BI133&amp;CHAR(10)&amp;'1.GHG Inventory Form'!BI134&amp;CHAR(10)&amp;'1.GHG Inventory Form'!BI135&amp;CHAR(10)&amp;'1.GHG Inventory Form'!BI136&amp;CHAR(10)&amp;'1.GHG Inventory Form'!BI137&amp;CHAR(10)&amp;'1.GHG Inventory Form'!BI138&amp;CHAR(10)&amp;'1.GHG Inventory Form'!BI139&amp;CHAR(10)&amp;'1.GHG Inventory Form'!BI140</f>
        <v xml:space="preserve">
</v>
      </c>
      <c r="H21" s="546" t="s">
        <v>594</v>
      </c>
      <c r="I21" s="546" t="str">
        <f>'1.GHG Inventory Form'!BJ133&amp;CHAR(10)&amp;'1.GHG Inventory Form'!BJ134&amp;CHAR(10)&amp;'1.GHG Inventory Form'!BJ135&amp;CHAR(10)&amp;'1.GHG Inventory Form'!BJ136&amp;CHAR(10)&amp;'1.GHG Inventory Form'!BJ137&amp;CHAR(10)&amp;'1.GHG Inventory Form'!BJ138&amp;CHAR(10)&amp;'1.GHG Inventory Form'!BJ139&amp;CHAR(10)&amp;'1.GHG Inventory Form'!BJ140</f>
        <v xml:space="preserve">
</v>
      </c>
      <c r="J21" s="546" t="str">
        <f>'1.GHG Inventory Form'!BK133&amp;CHAR(10)&amp;'1.GHG Inventory Form'!BK134&amp;CHAR(10)&amp;'1.GHG Inventory Form'!BK135&amp;CHAR(10)&amp;'1.GHG Inventory Form'!BK136&amp;CHAR(10)&amp;'1.GHG Inventory Form'!BK137&amp;CHAR(10)&amp;'1.GHG Inventory Form'!BK138&amp;CHAR(10)&amp;'1.GHG Inventory Form'!BK139&amp;CHAR(10)&amp;'1.GHG Inventory Form'!BK140</f>
        <v xml:space="preserve">
</v>
      </c>
      <c r="K21" s="547">
        <f>'1.GHG Inventory Form'!$C$6</f>
        <v>0</v>
      </c>
      <c r="L21" s="78"/>
      <c r="M21" s="221"/>
    </row>
    <row r="22" spans="1:13" s="76" customFormat="1" ht="409.6" customHeight="1">
      <c r="A22" s="771"/>
      <c r="B22" s="774" t="s">
        <v>595</v>
      </c>
      <c r="C22" s="775"/>
      <c r="D22" s="776">
        <f>ROUND(SUM('1.GHG Inventory Form'!BB141:BB152),4)</f>
        <v>0</v>
      </c>
      <c r="E22" s="777"/>
      <c r="F22" s="546" t="s">
        <v>596</v>
      </c>
      <c r="G22" s="546" t="str">
        <f>'1.GHG Inventory Form'!BI141&amp;CHAR(10)&amp;'1.GHG Inventory Form'!BI142&amp;CHAR(10)&amp;'1.GHG Inventory Form'!BI143&amp;CHAR(10)&amp;'1.GHG Inventory Form'!BI144&amp;CHAR(10)&amp;'1.GHG Inventory Form'!BI145&amp;CHAR(10)&amp;'1.GHG Inventory Form'!BI146&amp;CHAR(10)&amp;'1.GHG Inventory Form'!BI147&amp;CHAR(10)&amp;'1.GHG Inventory Form'!BI148&amp;CHAR(10)&amp;'1.GHG Inventory Form'!BI149&amp;CHAR(10)&amp;'1.GHG Inventory Form'!BI150&amp;CHAR(10)&amp;'1.GHG Inventory Form'!BI151&amp;CHAR(10)&amp;'1.GHG Inventory Form'!BI152</f>
        <v xml:space="preserve">
一般事業廢棄物-再利用
Emissions from the disposal of solid and liquid waste - from the Reuse (General Waste)
有害事業廢棄物-再利用
Emissions from the disposal of solid and liquid waste - from the Reuse (Hazardous waste)
工業廢水處理
Emissions from the disposal of solid and liquid waste -from Industrial Wastewater
生活污水廢理
Emissions from the disposal of solid and liquid waste -from sewage
</v>
      </c>
      <c r="H22" s="546" t="s">
        <v>597</v>
      </c>
      <c r="I22" s="546" t="str">
        <f>'1.GHG Inventory Form'!BJ141&amp;CHAR(10)&amp;'1.GHG Inventory Form'!BJ142&amp;CHAR(10)&amp;'1.GHG Inventory Form'!BJ143&amp;CHAR(10)&amp;'1.GHG Inventory Form'!BJ144&amp;CHAR(10)&amp;'1.GHG Inventory Form'!BJ145&amp;CHAR(10)&amp;'1.GHG Inventory Form'!BJ146&amp;CHAR(10)&amp;'1.GHG Inventory Form'!BJ147&amp;CHAR(10)&amp;'1.GHG Inventory Form'!BJ148&amp;CHAR(10)&amp;'1.GHG Inventory Form'!BJ149&amp;CHAR(10)&amp;'1.GHG Inventory Form'!BJ150&amp;CHAR(10)&amp;'1.GHG Inventory Form'!BJ151&amp;CHAR(10)&amp;'1.GHG Inventory Form'!BJ152</f>
        <v xml:space="preserve">
</v>
      </c>
      <c r="J22" s="546" t="str">
        <f>'1.GHG Inventory Form'!BK141&amp;CHAR(10)&amp;'1.GHG Inventory Form'!BK142&amp;CHAR(10)&amp;'1.GHG Inventory Form'!BK143&amp;CHAR(10)&amp;'1.GHG Inventory Form'!BK144&amp;CHAR(10)&amp;'1.GHG Inventory Form'!BK145&amp;CHAR(10)&amp;'1.GHG Inventory Form'!BK146&amp;CHAR(10)&amp;'1.GHG Inventory Form'!BK147&amp;CHAR(10)&amp;'1.GHG Inventory Form'!BK148&amp;CHAR(10)&amp;'1.GHG Inventory Form'!BK149&amp;CHAR(10)&amp;'1.GHG Inventory Form'!BK150&amp;CHAR(10)&amp;'1.GHG Inventory Form'!BK151&amp;CHAR(10)&amp;'1.GHG Inventory Form'!BK152</f>
        <v xml:space="preserve">
Simapro-Wastewater, average {RoW} market for wastewater, average
Simapro9.4.02-Wastewater, unpolluted, from residence {GLO}
</v>
      </c>
      <c r="K22" s="547">
        <f>'1.GHG Inventory Form'!$C$6</f>
        <v>0</v>
      </c>
      <c r="L22" s="78"/>
      <c r="M22" s="221"/>
    </row>
    <row r="23" spans="1:13" s="76" customFormat="1" ht="68.25" customHeight="1">
      <c r="A23" s="771"/>
      <c r="B23" s="774" t="s">
        <v>598</v>
      </c>
      <c r="C23" s="775"/>
      <c r="D23" s="776">
        <f>ROUND(SUM('1.GHG Inventory Form'!BB153),4)</f>
        <v>0</v>
      </c>
      <c r="E23" s="777"/>
      <c r="F23" s="546" t="s">
        <v>599</v>
      </c>
      <c r="G23" s="546" t="str">
        <f>'1.GHG Inventory Form'!BI153</f>
        <v/>
      </c>
      <c r="H23" s="546" t="s">
        <v>600</v>
      </c>
      <c r="I23" s="546" t="str">
        <f>'1.GHG Inventory Form'!BJ153</f>
        <v/>
      </c>
      <c r="J23" s="546" t="str">
        <f>'1.GHG Inventory Form'!BK153</f>
        <v/>
      </c>
      <c r="K23" s="547">
        <f>'1.GHG Inventory Form'!$C$6</f>
        <v>0</v>
      </c>
      <c r="L23" s="78"/>
      <c r="M23" s="221"/>
    </row>
    <row r="24" spans="1:13" s="76" customFormat="1" ht="52.5" customHeight="1" thickBot="1">
      <c r="A24" s="772"/>
      <c r="B24" s="766" t="s">
        <v>601</v>
      </c>
      <c r="C24" s="778"/>
      <c r="D24" s="768">
        <f>ROUND(SUM('1.GHG Inventory Form'!BB154:BB157),4)</f>
        <v>0</v>
      </c>
      <c r="E24" s="769"/>
      <c r="F24" s="548" t="s">
        <v>602</v>
      </c>
      <c r="G24" s="548" t="str">
        <f>'1.GHG Inventory Form'!BI154&amp;CHAR(10)&amp;'1.GHG Inventory Form'!BI155&amp;CHAR(10)&amp;'1.GHG Inventory Form'!BI156&amp;CHAR(10)&amp;'1.GHG Inventory Form'!BI157</f>
        <v xml:space="preserve">
</v>
      </c>
      <c r="H24" s="548" t="s">
        <v>603</v>
      </c>
      <c r="I24" s="548" t="str">
        <f>'1.GHG Inventory Form'!BJ154&amp;CHAR(10)&amp;'1.GHG Inventory Form'!BJ155&amp;CHAR(10)&amp;'1.GHG Inventory Form'!BJ156&amp;CHAR(10)&amp;'1.GHG Inventory Form'!BJ157</f>
        <v xml:space="preserve">
</v>
      </c>
      <c r="J24" s="548" t="str">
        <f>'1.GHG Inventory Form'!BK154&amp;CHAR(10)&amp;'1.GHG Inventory Form'!BK155&amp;CHAR(10)&amp;'1.GHG Inventory Form'!BK156&amp;CHAR(10)&amp;'1.GHG Inventory Form'!BK157</f>
        <v xml:space="preserve">
</v>
      </c>
      <c r="K24" s="549">
        <f>'1.GHG Inventory Form'!$C$6</f>
        <v>0</v>
      </c>
      <c r="L24" s="222"/>
      <c r="M24" s="223"/>
    </row>
    <row r="25" spans="1:13" s="76" customFormat="1" ht="48" customHeight="1">
      <c r="A25" s="770" t="s">
        <v>604</v>
      </c>
      <c r="B25" s="763" t="s">
        <v>605</v>
      </c>
      <c r="C25" s="773"/>
      <c r="D25" s="738">
        <f>ROUND(SUM('1.GHG Inventory Form'!BB158),4)</f>
        <v>0</v>
      </c>
      <c r="E25" s="765"/>
      <c r="F25" s="552" t="s">
        <v>606</v>
      </c>
      <c r="G25" s="552" t="str">
        <f>'1.GHG Inventory Form'!BI158</f>
        <v/>
      </c>
      <c r="H25" s="552" t="s">
        <v>607</v>
      </c>
      <c r="I25" s="552" t="str">
        <f>'1.GHG Inventory Form'!BJ158</f>
        <v/>
      </c>
      <c r="J25" s="552" t="str">
        <f>'1.GHG Inventory Form'!BK158</f>
        <v/>
      </c>
      <c r="K25" s="553">
        <f>'1.GHG Inventory Form'!$C$6</f>
        <v>0</v>
      </c>
      <c r="L25" s="219"/>
      <c r="M25" s="220"/>
    </row>
    <row r="26" spans="1:13" s="76" customFormat="1" ht="26" customHeight="1">
      <c r="A26" s="771"/>
      <c r="B26" s="774" t="s">
        <v>608</v>
      </c>
      <c r="C26" s="775"/>
      <c r="D26" s="776">
        <f>ROUND(SUM('1.GHG Inventory Form'!BB159),4)</f>
        <v>0</v>
      </c>
      <c r="E26" s="777"/>
      <c r="F26" s="546" t="s">
        <v>609</v>
      </c>
      <c r="G26" s="546" t="str">
        <f>'1.GHG Inventory Form'!BI159</f>
        <v/>
      </c>
      <c r="H26" s="546" t="s">
        <v>610</v>
      </c>
      <c r="I26" s="546" t="str">
        <f>'1.GHG Inventory Form'!BJ159</f>
        <v/>
      </c>
      <c r="J26" s="546" t="str">
        <f>'1.GHG Inventory Form'!BK159</f>
        <v/>
      </c>
      <c r="K26" s="547">
        <f>'1.GHG Inventory Form'!$C$6</f>
        <v>0</v>
      </c>
      <c r="L26" s="78"/>
      <c r="M26" s="221"/>
    </row>
    <row r="27" spans="1:13" s="76" customFormat="1" ht="65" customHeight="1">
      <c r="A27" s="771"/>
      <c r="B27" s="774" t="s">
        <v>611</v>
      </c>
      <c r="C27" s="775"/>
      <c r="D27" s="776">
        <f>ROUND(SUM('1.GHG Inventory Form'!BB160:BB164),4)</f>
        <v>0</v>
      </c>
      <c r="E27" s="777"/>
      <c r="F27" s="546" t="s">
        <v>612</v>
      </c>
      <c r="G27" s="546" t="str">
        <f>'1.GHG Inventory Form'!BI160&amp;CHAR(10)&amp;'1.GHG Inventory Form'!BI161&amp;CHAR(10)&amp;'1.GHG Inventory Form'!BI162&amp;CHAR(10)&amp;'1.GHG Inventory Form'!BI163&amp;CHAR(10)&amp;'1.GHG Inventory Form'!BI164</f>
        <v xml:space="preserve">
</v>
      </c>
      <c r="H27" s="546" t="s">
        <v>613</v>
      </c>
      <c r="I27" s="546" t="str">
        <f>'1.GHG Inventory Form'!BJ160&amp;CHAR(10)&amp;'1.GHG Inventory Form'!BJ161&amp;CHAR(10)&amp;'1.GHG Inventory Form'!BJ162&amp;CHAR(10)&amp;'1.GHG Inventory Form'!BJ163&amp;CHAR(10)&amp;'1.GHG Inventory Form'!BJ164</f>
        <v xml:space="preserve">
</v>
      </c>
      <c r="J27" s="546" t="str">
        <f>'1.GHG Inventory Form'!BK160&amp;CHAR(10)&amp;'1.GHG Inventory Form'!BK161&amp;CHAR(10)&amp;'1.GHG Inventory Form'!BK162&amp;CHAR(10)&amp;'1.GHG Inventory Form'!BK163&amp;CHAR(10)&amp;'1.GHG Inventory Form'!BK164</f>
        <v xml:space="preserve">
</v>
      </c>
      <c r="K27" s="547">
        <f>'1.GHG Inventory Form'!$C$6</f>
        <v>0</v>
      </c>
      <c r="L27" s="78"/>
      <c r="M27" s="221"/>
    </row>
    <row r="28" spans="1:13" s="76" customFormat="1" ht="31" customHeight="1" thickBot="1">
      <c r="A28" s="772"/>
      <c r="B28" s="766" t="s">
        <v>614</v>
      </c>
      <c r="C28" s="778"/>
      <c r="D28" s="768">
        <f>ROUND(SUM('1.GHG Inventory Form'!BB165),4)</f>
        <v>0</v>
      </c>
      <c r="E28" s="769"/>
      <c r="F28" s="548" t="s">
        <v>615</v>
      </c>
      <c r="G28" s="548" t="str">
        <f>'1.GHG Inventory Form'!BI165</f>
        <v/>
      </c>
      <c r="H28" s="548" t="s">
        <v>616</v>
      </c>
      <c r="I28" s="548" t="str">
        <f>'1.GHG Inventory Form'!BJ165</f>
        <v/>
      </c>
      <c r="J28" s="548" t="str">
        <f>'1.GHG Inventory Form'!BK165</f>
        <v/>
      </c>
      <c r="K28" s="549">
        <f>'1.GHG Inventory Form'!$C$6</f>
        <v>0</v>
      </c>
      <c r="L28" s="222"/>
      <c r="M28" s="223"/>
    </row>
    <row r="29" spans="1:13" s="76" customFormat="1" ht="30" customHeight="1">
      <c r="A29" s="761" t="s">
        <v>617</v>
      </c>
      <c r="B29" s="763" t="s">
        <v>618</v>
      </c>
      <c r="C29" s="764"/>
      <c r="D29" s="738">
        <f>ROUND(SUM('1.GHG Inventory Form'!BB166),4)</f>
        <v>0</v>
      </c>
      <c r="E29" s="765"/>
      <c r="F29" s="552" t="s">
        <v>619</v>
      </c>
      <c r="G29" s="552" t="str">
        <f>'1.GHG Inventory Form'!BI166</f>
        <v/>
      </c>
      <c r="H29" s="552" t="s">
        <v>620</v>
      </c>
      <c r="I29" s="552" t="str">
        <f>'1.GHG Inventory Form'!BJ166</f>
        <v/>
      </c>
      <c r="J29" s="552" t="str">
        <f>'1.GHG Inventory Form'!BK166</f>
        <v/>
      </c>
      <c r="K29" s="553">
        <f>'1.GHG Inventory Form'!$C$6</f>
        <v>0</v>
      </c>
      <c r="L29" s="219"/>
      <c r="M29" s="220"/>
    </row>
    <row r="30" spans="1:13" s="76" customFormat="1" ht="35.25" customHeight="1" thickBot="1">
      <c r="A30" s="762"/>
      <c r="B30" s="766" t="s">
        <v>621</v>
      </c>
      <c r="C30" s="767"/>
      <c r="D30" s="768">
        <f>ROUND(SUM('1.GHG Inventory Form'!BB167),4)</f>
        <v>0</v>
      </c>
      <c r="E30" s="769"/>
      <c r="F30" s="548" t="s">
        <v>622</v>
      </c>
      <c r="G30" s="548" t="str">
        <f>'1.GHG Inventory Form'!BI167</f>
        <v/>
      </c>
      <c r="H30" s="548" t="s">
        <v>623</v>
      </c>
      <c r="I30" s="548" t="str">
        <f>'1.GHG Inventory Form'!BJ167</f>
        <v/>
      </c>
      <c r="J30" s="548" t="str">
        <f>'1.GHG Inventory Form'!BK167</f>
        <v/>
      </c>
      <c r="K30" s="549">
        <f>'1.GHG Inventory Form'!$C$6</f>
        <v>0</v>
      </c>
      <c r="L30" s="222"/>
      <c r="M30" s="223"/>
    </row>
    <row r="31" spans="1:13" s="76" customFormat="1" ht="18" customHeight="1">
      <c r="A31" s="746" t="s">
        <v>624</v>
      </c>
      <c r="B31" s="747"/>
      <c r="C31" s="748"/>
      <c r="D31" s="543" t="s">
        <v>625</v>
      </c>
      <c r="E31" s="558" t="s">
        <v>626</v>
      </c>
      <c r="F31" s="752"/>
      <c r="G31" s="753"/>
      <c r="H31" s="753"/>
      <c r="I31" s="753"/>
      <c r="J31" s="753"/>
      <c r="K31" s="753"/>
      <c r="L31" s="753"/>
      <c r="M31" s="754"/>
    </row>
    <row r="32" spans="1:13" s="76" customFormat="1" ht="22.5" customHeight="1" thickBot="1">
      <c r="A32" s="749"/>
      <c r="B32" s="750"/>
      <c r="C32" s="751"/>
      <c r="D32" s="559">
        <f>D7+D8+D9+D10+D11+D13+D14+D15+D16+D17+D18+D19+D20+D21+D22+D23+D24+D25+D26+D27+D28+D29+D30</f>
        <v>1669.6622059999997</v>
      </c>
      <c r="E32" s="559">
        <f>D7+D8+D9+D10+D11+E13+D14+D15+D16+D17+D18+D19+D20+D21+D22+D23+D24+D25+D26+D27+D28+D29+D30</f>
        <v>828.68899999999985</v>
      </c>
      <c r="F32" s="755" t="s">
        <v>627</v>
      </c>
      <c r="G32" s="756"/>
      <c r="H32" s="756"/>
      <c r="I32" s="756"/>
      <c r="J32" s="756"/>
      <c r="K32" s="756"/>
      <c r="L32" s="756"/>
      <c r="M32" s="757"/>
    </row>
    <row r="33" spans="1:35" s="76" customFormat="1" ht="19.5" customHeight="1">
      <c r="A33" s="736" t="s">
        <v>628</v>
      </c>
      <c r="B33" s="560" t="s">
        <v>629</v>
      </c>
      <c r="C33" s="560" t="s">
        <v>630</v>
      </c>
      <c r="D33" s="558" t="s">
        <v>631</v>
      </c>
      <c r="E33" s="558" t="s">
        <v>284</v>
      </c>
      <c r="F33" s="558" t="s">
        <v>285</v>
      </c>
      <c r="G33" s="558" t="s">
        <v>286</v>
      </c>
      <c r="H33" s="558" t="s">
        <v>287</v>
      </c>
      <c r="I33" s="738" t="s">
        <v>632</v>
      </c>
      <c r="J33" s="739"/>
      <c r="K33" s="739"/>
      <c r="L33" s="739"/>
      <c r="M33" s="740"/>
      <c r="N33"/>
      <c r="O33"/>
      <c r="P33"/>
      <c r="Q33"/>
      <c r="R33"/>
      <c r="S33"/>
      <c r="T33"/>
      <c r="U33"/>
      <c r="V33"/>
      <c r="W33"/>
      <c r="X33"/>
      <c r="Y33"/>
      <c r="Z33"/>
      <c r="AA33"/>
      <c r="AB33"/>
      <c r="AC33"/>
      <c r="AD33"/>
      <c r="AE33"/>
      <c r="AF33"/>
      <c r="AG33"/>
      <c r="AH33"/>
      <c r="AI33"/>
    </row>
    <row r="34" spans="1:35" s="76" customFormat="1" ht="62" customHeight="1" thickBot="1">
      <c r="A34" s="737"/>
      <c r="B34" s="561">
        <f>ROUND(SUM('1.GHG Inventory Form'!AU16:AU87),4)+E13+SUM('1.GHG Inventory Form'!BB132:BB150)</f>
        <v>552.85590000000002</v>
      </c>
      <c r="C34" s="561">
        <f>ROUND(SUM('1.GHG Inventory Form'!AV16:AV167),4)</f>
        <v>0.75249999999999995</v>
      </c>
      <c r="D34" s="561">
        <f>ROUND(SUM('1.GHG Inventory Form'!AW16:AW167),4)</f>
        <v>1.8291999999999999</v>
      </c>
      <c r="E34" s="561">
        <f>ROUND(SUM('1.GHG Inventory Form'!AX16:AX167),4)</f>
        <v>118.9422</v>
      </c>
      <c r="F34" s="561">
        <f>ROUND(SUM('1.GHG Inventory Form'!AY16:AY167),4)</f>
        <v>0</v>
      </c>
      <c r="G34" s="561">
        <f>ROUND(SUM('1.GHG Inventory Form'!AZ16:AZ167),4)</f>
        <v>0</v>
      </c>
      <c r="H34" s="561">
        <f>ROUND(SUM('1.GHG Inventory Form'!BA16:BA167),4)</f>
        <v>0</v>
      </c>
      <c r="I34" s="758">
        <f>ROUND(SUM(B34:H34),3)</f>
        <v>674.38</v>
      </c>
      <c r="J34" s="759"/>
      <c r="K34" s="759"/>
      <c r="L34" s="759"/>
      <c r="M34" s="760"/>
    </row>
    <row r="35" spans="1:35" s="76" customFormat="1" ht="21" customHeight="1">
      <c r="A35" s="736" t="s">
        <v>633</v>
      </c>
      <c r="B35" s="560" t="s">
        <v>634</v>
      </c>
      <c r="C35" s="560" t="s">
        <v>635</v>
      </c>
      <c r="D35" s="558" t="s">
        <v>636</v>
      </c>
      <c r="E35" s="558" t="s">
        <v>284</v>
      </c>
      <c r="F35" s="558" t="s">
        <v>285</v>
      </c>
      <c r="G35" s="558" t="s">
        <v>286</v>
      </c>
      <c r="H35" s="558" t="s">
        <v>287</v>
      </c>
      <c r="I35" s="738" t="s">
        <v>637</v>
      </c>
      <c r="J35" s="739"/>
      <c r="K35" s="739"/>
      <c r="L35" s="739"/>
      <c r="M35" s="740"/>
    </row>
    <row r="36" spans="1:35" s="76" customFormat="1" ht="37.5" customHeight="1" thickBot="1">
      <c r="A36" s="737"/>
      <c r="B36" s="561">
        <f>ROUND(SUM('1.GHG Inventory Form'!AU16:AU87),4)</f>
        <v>550.55259999999998</v>
      </c>
      <c r="C36" s="561">
        <f>ROUND(SUM('1.GHG Inventory Form'!AV16:AV87),4)</f>
        <v>0.75249999999999995</v>
      </c>
      <c r="D36" s="561">
        <f>ROUND(SUM('1.GHG Inventory Form'!AW16:AW87),4)</f>
        <v>1.8291999999999999</v>
      </c>
      <c r="E36" s="561">
        <f>ROUND(SUM('1.GHG Inventory Form'!AX16:AX87),4)</f>
        <v>118.9422</v>
      </c>
      <c r="F36" s="561">
        <f>ROUND(SUM('1.GHG Inventory Form'!AY16:AY99),4)</f>
        <v>0</v>
      </c>
      <c r="G36" s="561">
        <f>ROUND(SUM('1.GHG Inventory Form'!AZ16:AZ87),4)</f>
        <v>0</v>
      </c>
      <c r="H36" s="561">
        <f>ROUND(SUM('1.GHG Inventory Form'!BA16:BA87),4)</f>
        <v>0</v>
      </c>
      <c r="I36" s="741">
        <f>ROUND(SUM(B36:H36),4)</f>
        <v>672.07650000000001</v>
      </c>
      <c r="J36" s="742"/>
      <c r="K36" s="742"/>
      <c r="L36" s="742"/>
      <c r="M36" s="743"/>
    </row>
    <row r="37" spans="1:35" s="76" customFormat="1" ht="97.5" customHeight="1">
      <c r="A37" s="744" t="s">
        <v>638</v>
      </c>
      <c r="B37" s="744"/>
      <c r="C37" s="744"/>
      <c r="D37" s="744"/>
      <c r="E37" s="744"/>
      <c r="F37" s="744"/>
      <c r="G37" s="744"/>
      <c r="H37" s="744"/>
      <c r="I37" s="744"/>
      <c r="J37" s="744"/>
      <c r="K37" s="744"/>
      <c r="L37" s="744"/>
      <c r="M37" s="744"/>
    </row>
    <row r="38" spans="1:35" customFormat="1" ht="15" customHeight="1">
      <c r="A38" s="745"/>
      <c r="B38" s="745"/>
      <c r="C38" s="745"/>
      <c r="D38" s="745"/>
    </row>
    <row r="39" spans="1:35" customFormat="1" ht="15" customHeight="1">
      <c r="A39" s="4"/>
      <c r="B39" s="4"/>
      <c r="C39" s="4"/>
      <c r="D39" s="4"/>
    </row>
    <row r="40" spans="1:35" customFormat="1" ht="15" customHeight="1">
      <c r="A40" s="4"/>
      <c r="B40" s="4"/>
      <c r="C40" s="4"/>
    </row>
  </sheetData>
  <mergeCells count="66">
    <mergeCell ref="A5:C6"/>
    <mergeCell ref="D5:E5"/>
    <mergeCell ref="F5:M5"/>
    <mergeCell ref="D6:E6"/>
    <mergeCell ref="A7:A11"/>
    <mergeCell ref="B7:C7"/>
    <mergeCell ref="D7:E7"/>
    <mergeCell ref="B8:C8"/>
    <mergeCell ref="D8:E8"/>
    <mergeCell ref="B9:C9"/>
    <mergeCell ref="D9:E9"/>
    <mergeCell ref="B10:C10"/>
    <mergeCell ref="D10:E10"/>
    <mergeCell ref="B11:C11"/>
    <mergeCell ref="D11:E11"/>
    <mergeCell ref="A12:A14"/>
    <mergeCell ref="B12:C13"/>
    <mergeCell ref="B14:C14"/>
    <mergeCell ref="D14:E14"/>
    <mergeCell ref="A15:A19"/>
    <mergeCell ref="B15:C15"/>
    <mergeCell ref="D15:E15"/>
    <mergeCell ref="B16:C16"/>
    <mergeCell ref="D16:E16"/>
    <mergeCell ref="B17:C17"/>
    <mergeCell ref="D17:E17"/>
    <mergeCell ref="B18:C18"/>
    <mergeCell ref="D18:E18"/>
    <mergeCell ref="B19:C19"/>
    <mergeCell ref="D19:E19"/>
    <mergeCell ref="A20:A24"/>
    <mergeCell ref="B20:C20"/>
    <mergeCell ref="D20:E20"/>
    <mergeCell ref="B21:C21"/>
    <mergeCell ref="D21:E21"/>
    <mergeCell ref="B22:C22"/>
    <mergeCell ref="D22:E22"/>
    <mergeCell ref="B23:C23"/>
    <mergeCell ref="D23:E23"/>
    <mergeCell ref="B24:C24"/>
    <mergeCell ref="D24:E24"/>
    <mergeCell ref="A25:A28"/>
    <mergeCell ref="B25:C25"/>
    <mergeCell ref="D25:E25"/>
    <mergeCell ref="B26:C26"/>
    <mergeCell ref="D26:E26"/>
    <mergeCell ref="B27:C27"/>
    <mergeCell ref="D27:E27"/>
    <mergeCell ref="B28:C28"/>
    <mergeCell ref="D28:E28"/>
    <mergeCell ref="A29:A30"/>
    <mergeCell ref="B29:C29"/>
    <mergeCell ref="D29:E29"/>
    <mergeCell ref="B30:C30"/>
    <mergeCell ref="D30:E30"/>
    <mergeCell ref="A31:C32"/>
    <mergeCell ref="F31:M31"/>
    <mergeCell ref="F32:M32"/>
    <mergeCell ref="A33:A34"/>
    <mergeCell ref="I33:M33"/>
    <mergeCell ref="I34:M34"/>
    <mergeCell ref="A35:A36"/>
    <mergeCell ref="I35:M35"/>
    <mergeCell ref="I36:M36"/>
    <mergeCell ref="A37:M37"/>
    <mergeCell ref="A38:D38"/>
  </mergeCells>
  <phoneticPr fontId="12" type="noConversion"/>
  <conditionalFormatting sqref="G33:I33 G35:I35">
    <cfRule type="expression" dxfId="13" priority="1">
      <formula>$D33&lt;0.00001</formula>
    </cfRule>
  </conditionalFormatting>
  <pageMargins left="0.59055118110236227" right="0.19685039370078741" top="0.39370078740157483" bottom="1.1299999999999999" header="0.23622047244094491" footer="0.43"/>
  <pageSetup paperSize="9" orientation="landscape" r:id="rId1"/>
  <headerFooter alignWithMargins="0">
    <oddFooter>&amp;L&amp;"標楷體,標準"&amp;14召集人：&amp;C&amp;"標楷體,標準"&amp;14執行長：&amp;R&amp;"標楷體,標準"&amp;14 20540F011
制表：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699D4-3B06-8F4F-BC38-C349CBC22601}">
  <sheetPr codeName="工作表8">
    <tabColor rgb="FFFFC000"/>
  </sheetPr>
  <dimension ref="A1:G54"/>
  <sheetViews>
    <sheetView topLeftCell="A16" zoomScale="85" zoomScaleNormal="85" workbookViewId="0">
      <pane xSplit="3" topLeftCell="D1" activePane="topRight" state="frozenSplit"/>
      <selection activeCell="E17" sqref="E17"/>
      <selection pane="topRight" activeCell="D27" sqref="D27"/>
    </sheetView>
  </sheetViews>
  <sheetFormatPr defaultColWidth="8.6328125" defaultRowHeight="15.5"/>
  <cols>
    <col min="1" max="1" width="23.453125" style="53" customWidth="1"/>
    <col min="2" max="2" width="46.90625" style="54" customWidth="1"/>
    <col min="3" max="3" width="46.90625" style="55" customWidth="1"/>
    <col min="4" max="4" width="46.90625" style="57" customWidth="1"/>
    <col min="5" max="5" width="36.36328125" style="57" customWidth="1"/>
    <col min="6" max="6" width="29.54296875" style="57" customWidth="1"/>
    <col min="7" max="7" width="8.6328125" style="57" customWidth="1"/>
    <col min="8" max="16384" width="8.6328125" style="57"/>
  </cols>
  <sheetData>
    <row r="1" spans="1:7" customFormat="1" ht="21" customHeight="1" thickBot="1">
      <c r="A1" s="164" t="s">
        <v>639</v>
      </c>
    </row>
    <row r="2" spans="1:7" s="297" customFormat="1" ht="33.5" customHeight="1" thickBot="1">
      <c r="A2" s="562" t="s">
        <v>252</v>
      </c>
      <c r="B2" s="563" t="s">
        <v>239</v>
      </c>
      <c r="C2" s="564" t="s">
        <v>640</v>
      </c>
      <c r="D2" s="565">
        <v>2023</v>
      </c>
    </row>
    <row r="3" spans="1:7" s="297" customFormat="1" ht="26" customHeight="1" thickBot="1">
      <c r="A3" s="566" t="s">
        <v>253</v>
      </c>
      <c r="B3" s="563" t="s">
        <v>77</v>
      </c>
      <c r="C3" s="567" t="s">
        <v>254</v>
      </c>
      <c r="D3" s="565">
        <v>0</v>
      </c>
    </row>
    <row r="4" spans="1:7" s="297" customFormat="1" ht="26.5" customHeight="1" thickBot="1">
      <c r="A4" s="568" t="s">
        <v>641</v>
      </c>
      <c r="B4" s="812" t="s">
        <v>78</v>
      </c>
      <c r="C4" s="813"/>
      <c r="D4" s="814"/>
      <c r="E4"/>
      <c r="F4"/>
      <c r="G4"/>
    </row>
    <row r="6" spans="1:7" customFormat="1" ht="16" customHeight="1" thickBot="1"/>
    <row r="7" spans="1:7" s="56" customFormat="1" ht="32.5" customHeight="1" thickBot="1">
      <c r="A7" s="815" t="s">
        <v>642</v>
      </c>
      <c r="B7" s="816"/>
      <c r="C7" s="569" t="s">
        <v>643</v>
      </c>
      <c r="D7" s="570" t="s">
        <v>644</v>
      </c>
      <c r="E7" s="225"/>
    </row>
    <row r="8" spans="1:7">
      <c r="A8" s="817" t="s">
        <v>645</v>
      </c>
      <c r="B8" s="818"/>
      <c r="C8" s="571" t="s">
        <v>646</v>
      </c>
      <c r="D8" s="572">
        <f>SUM('2.Emission Inventory Results'!D7:D11)</f>
        <v>672.0764999999999</v>
      </c>
      <c r="E8" s="226"/>
    </row>
    <row r="9" spans="1:7" customFormat="1" ht="26" customHeight="1">
      <c r="A9" s="3">
        <v>1.1000000000000001</v>
      </c>
      <c r="B9" s="573" t="s">
        <v>647</v>
      </c>
      <c r="C9" s="574" t="s">
        <v>648</v>
      </c>
      <c r="D9" s="159">
        <f>SUM('1.GHG Inventory Form'!BB16:BB27)</f>
        <v>500.27249999999998</v>
      </c>
      <c r="E9" s="226"/>
    </row>
    <row r="10" spans="1:7" customFormat="1" ht="26" customHeight="1">
      <c r="A10" s="3">
        <v>1.2</v>
      </c>
      <c r="B10" s="573" t="s">
        <v>649</v>
      </c>
      <c r="C10" s="574" t="s">
        <v>648</v>
      </c>
      <c r="D10" s="159">
        <f>SUM('1.GHG Inventory Form'!BB28:BB34)</f>
        <v>52.861800000000002</v>
      </c>
      <c r="E10" s="226"/>
    </row>
    <row r="11" spans="1:7" customFormat="1" ht="26" customHeight="1">
      <c r="A11" s="3">
        <v>1.3</v>
      </c>
      <c r="B11" s="573" t="s">
        <v>650</v>
      </c>
      <c r="C11" s="574" t="s">
        <v>648</v>
      </c>
      <c r="D11" s="159">
        <f>SUM('1.GHG Inventory Form'!BB35:BB48)</f>
        <v>0</v>
      </c>
      <c r="E11" s="226"/>
    </row>
    <row r="12" spans="1:7" customFormat="1" ht="26" customHeight="1">
      <c r="A12" s="195">
        <v>1.4</v>
      </c>
      <c r="B12" s="573" t="s">
        <v>651</v>
      </c>
      <c r="C12" s="574" t="s">
        <v>648</v>
      </c>
      <c r="D12" s="159">
        <f>SUM('1.GHG Inventory Form'!BB50:BB87)</f>
        <v>118.9422</v>
      </c>
      <c r="E12" s="226"/>
    </row>
    <row r="13" spans="1:7" customFormat="1" ht="26" customHeight="1">
      <c r="A13" s="806" t="s">
        <v>652</v>
      </c>
      <c r="B13" s="575" t="s">
        <v>653</v>
      </c>
      <c r="C13" s="576" t="s">
        <v>81</v>
      </c>
      <c r="D13" s="161">
        <v>265977.21640960884</v>
      </c>
      <c r="E13" s="291" t="s">
        <v>15</v>
      </c>
      <c r="F13" s="292" t="s">
        <v>29</v>
      </c>
      <c r="G13" s="292" t="s">
        <v>67</v>
      </c>
    </row>
    <row r="14" spans="1:7" customFormat="1" ht="26" customHeight="1">
      <c r="A14" s="807"/>
      <c r="B14" s="575" t="s">
        <v>654</v>
      </c>
      <c r="C14" s="576" t="s">
        <v>81</v>
      </c>
      <c r="D14" s="161">
        <v>0</v>
      </c>
      <c r="E14" s="291" t="s">
        <v>15</v>
      </c>
      <c r="F14" s="292"/>
      <c r="G14" s="292"/>
    </row>
    <row r="15" spans="1:7" customFormat="1" ht="26" customHeight="1">
      <c r="A15" s="807"/>
      <c r="B15" s="575" t="s">
        <v>655</v>
      </c>
      <c r="C15" s="576" t="s">
        <v>81</v>
      </c>
      <c r="D15" s="161">
        <v>0</v>
      </c>
      <c r="E15" s="291" t="s">
        <v>15</v>
      </c>
      <c r="F15" s="292" t="s">
        <v>21</v>
      </c>
      <c r="G15" s="292"/>
    </row>
    <row r="16" spans="1:7" customFormat="1" ht="26" customHeight="1">
      <c r="A16" s="807"/>
      <c r="B16" s="575" t="s">
        <v>656</v>
      </c>
      <c r="C16" s="576" t="s">
        <v>657</v>
      </c>
      <c r="D16" s="161">
        <v>0</v>
      </c>
      <c r="E16" s="291" t="s">
        <v>22</v>
      </c>
      <c r="F16" s="292"/>
      <c r="G16" s="292"/>
    </row>
    <row r="17" spans="1:7" customFormat="1" ht="26" customHeight="1">
      <c r="A17" s="807"/>
      <c r="B17" s="575" t="s">
        <v>658</v>
      </c>
      <c r="C17" s="576" t="s">
        <v>659</v>
      </c>
      <c r="D17" s="161">
        <v>0.31542000000000003</v>
      </c>
      <c r="E17" s="291" t="s">
        <v>22</v>
      </c>
      <c r="F17" s="292" t="s">
        <v>21</v>
      </c>
      <c r="G17" s="292"/>
    </row>
    <row r="18" spans="1:7" customFormat="1" ht="26" customHeight="1">
      <c r="A18" s="807"/>
      <c r="B18" s="575" t="s">
        <v>660</v>
      </c>
      <c r="C18" s="576" t="s">
        <v>661</v>
      </c>
      <c r="D18" s="161">
        <v>0</v>
      </c>
      <c r="E18" s="291" t="s">
        <v>28</v>
      </c>
      <c r="F18" s="292"/>
      <c r="G18" s="292"/>
    </row>
    <row r="19" spans="1:7" customFormat="1" ht="26" customHeight="1">
      <c r="A19" s="807"/>
      <c r="B19" s="575" t="s">
        <v>662</v>
      </c>
      <c r="C19" s="576" t="s">
        <v>663</v>
      </c>
      <c r="D19" s="161">
        <v>22.071120000000001</v>
      </c>
      <c r="E19" s="291" t="s">
        <v>28</v>
      </c>
      <c r="F19" s="292" t="s">
        <v>21</v>
      </c>
      <c r="G19" s="292"/>
    </row>
    <row r="20" spans="1:7" customFormat="1" ht="26" customHeight="1">
      <c r="A20" s="807"/>
      <c r="B20" s="575" t="s">
        <v>664</v>
      </c>
      <c r="C20" s="576" t="s">
        <v>665</v>
      </c>
      <c r="D20" s="161">
        <v>0</v>
      </c>
      <c r="E20" s="291" t="s">
        <v>88</v>
      </c>
      <c r="F20" s="292"/>
    </row>
    <row r="21" spans="1:7" customFormat="1" ht="26.5" customHeight="1" thickBot="1">
      <c r="A21" s="808"/>
      <c r="B21" s="577" t="s">
        <v>666</v>
      </c>
      <c r="C21" s="578" t="s">
        <v>667</v>
      </c>
      <c r="D21" s="162">
        <v>0</v>
      </c>
      <c r="E21" s="291" t="s">
        <v>88</v>
      </c>
      <c r="F21" s="292" t="s">
        <v>21</v>
      </c>
    </row>
    <row r="22" spans="1:7">
      <c r="A22" s="817" t="s">
        <v>668</v>
      </c>
      <c r="B22" s="818"/>
      <c r="C22" s="571" t="s">
        <v>669</v>
      </c>
      <c r="D22" s="572">
        <f>'2.Emission Inventory Results'!D13+'2.Emission Inventory Results'!D14</f>
        <v>840.973206</v>
      </c>
      <c r="E22" s="291"/>
      <c r="F22" s="296"/>
    </row>
    <row r="23" spans="1:7" customFormat="1" ht="17" customHeight="1">
      <c r="A23" s="799" t="s">
        <v>670</v>
      </c>
      <c r="B23" s="800"/>
      <c r="C23" s="579" t="s">
        <v>671</v>
      </c>
      <c r="D23" s="580">
        <f>'2.Emission Inventory Results'!E13+'2.Emission Inventory Results'!D14</f>
        <v>0</v>
      </c>
      <c r="E23" s="226"/>
    </row>
    <row r="24" spans="1:7" customFormat="1" ht="26" customHeight="1">
      <c r="A24" s="3">
        <v>2.2000000000000002</v>
      </c>
      <c r="B24" s="196" t="s">
        <v>672</v>
      </c>
      <c r="C24" s="197" t="s">
        <v>673</v>
      </c>
      <c r="D24" s="159">
        <f>'1.GHG Inventory Form'!BB99</f>
        <v>0</v>
      </c>
      <c r="E24" s="226"/>
    </row>
    <row r="25" spans="1:7" customFormat="1" ht="26" customHeight="1">
      <c r="A25" s="801" t="s">
        <v>674</v>
      </c>
      <c r="B25" s="581" t="s">
        <v>675</v>
      </c>
      <c r="C25" s="574" t="s">
        <v>676</v>
      </c>
      <c r="D25" s="161">
        <f>'1.GHG Inventory Form'!H90</f>
        <v>0</v>
      </c>
      <c r="E25" s="226"/>
    </row>
    <row r="26" spans="1:7" customFormat="1" ht="39" customHeight="1">
      <c r="A26" s="802"/>
      <c r="B26" s="573" t="s">
        <v>677</v>
      </c>
      <c r="C26" s="574" t="s">
        <v>678</v>
      </c>
      <c r="D26" s="161">
        <f>'1.GHG Inventory Form'!H91</f>
        <v>257.39658000000003</v>
      </c>
      <c r="E26" s="226"/>
    </row>
    <row r="27" spans="1:7" customFormat="1" ht="28.5" customHeight="1">
      <c r="A27" s="802"/>
      <c r="B27" s="573" t="s">
        <v>679</v>
      </c>
      <c r="C27" s="582" t="s">
        <v>680</v>
      </c>
      <c r="D27" s="161">
        <f>'1.GHG Inventory Form'!H92</f>
        <v>0</v>
      </c>
      <c r="E27" s="226"/>
    </row>
    <row r="28" spans="1:7" customFormat="1" ht="39" customHeight="1">
      <c r="A28" s="802"/>
      <c r="B28" s="573" t="s">
        <v>681</v>
      </c>
      <c r="C28" s="582" t="s">
        <v>682</v>
      </c>
      <c r="D28" s="161">
        <f>'1.GHG Inventory Form'!H93</f>
        <v>0</v>
      </c>
      <c r="E28" s="226"/>
    </row>
    <row r="29" spans="1:7" customFormat="1" ht="27.75" customHeight="1">
      <c r="A29" s="802"/>
      <c r="B29" s="573" t="s">
        <v>683</v>
      </c>
      <c r="C29" s="582" t="s">
        <v>684</v>
      </c>
      <c r="D29" s="161">
        <f>'1.GHG Inventory Form'!H94</f>
        <v>2297.741</v>
      </c>
      <c r="E29" s="226"/>
    </row>
    <row r="30" spans="1:7" customFormat="1" ht="39" customHeight="1">
      <c r="A30" s="802"/>
      <c r="B30" s="573" t="s">
        <v>685</v>
      </c>
      <c r="C30" s="582" t="s">
        <v>686</v>
      </c>
      <c r="D30" s="161">
        <f>'1.GHG Inventory Form'!H95</f>
        <v>0</v>
      </c>
      <c r="E30" s="226"/>
    </row>
    <row r="31" spans="1:7" customFormat="1" ht="26" customHeight="1">
      <c r="A31" s="802"/>
      <c r="B31" s="573" t="s">
        <v>687</v>
      </c>
      <c r="C31" s="582" t="s">
        <v>688</v>
      </c>
      <c r="D31" s="161">
        <f>'1.GHG Inventory Form'!H96</f>
        <v>1107</v>
      </c>
      <c r="E31" s="226"/>
    </row>
    <row r="32" spans="1:7" customFormat="1" ht="26.5" customHeight="1" thickBot="1">
      <c r="A32" s="803"/>
      <c r="B32" s="583" t="s">
        <v>689</v>
      </c>
      <c r="C32" s="584" t="s">
        <v>690</v>
      </c>
      <c r="D32" s="162">
        <f>SUM(D25:D30)</f>
        <v>2555.1375800000001</v>
      </c>
      <c r="E32" s="226"/>
    </row>
    <row r="33" spans="1:5">
      <c r="A33" s="804" t="s">
        <v>691</v>
      </c>
      <c r="B33" s="805"/>
      <c r="C33" s="585" t="s">
        <v>692</v>
      </c>
      <c r="D33" s="586">
        <f>SUM('2.Emission Inventory Results'!D20:D24)</f>
        <v>156.61250000000001</v>
      </c>
      <c r="E33" s="226"/>
    </row>
    <row r="34" spans="1:5" customFormat="1" ht="26" customHeight="1">
      <c r="A34" s="3">
        <v>4.0999999999999996</v>
      </c>
      <c r="B34" s="196" t="s">
        <v>693</v>
      </c>
      <c r="C34" s="587" t="s">
        <v>694</v>
      </c>
      <c r="D34" s="2">
        <f>'2.Emission Inventory Results'!D20</f>
        <v>156.61250000000001</v>
      </c>
      <c r="E34" s="226"/>
    </row>
    <row r="35" spans="1:5" customFormat="1" ht="39" customHeight="1">
      <c r="A35" s="3">
        <v>4.3</v>
      </c>
      <c r="B35" s="196" t="s">
        <v>695</v>
      </c>
      <c r="C35" s="587" t="s">
        <v>696</v>
      </c>
      <c r="D35" s="1">
        <f>'2.Emission Inventory Results'!D22</f>
        <v>0</v>
      </c>
      <c r="E35" s="226"/>
    </row>
    <row r="36" spans="1:5" customFormat="1" ht="26" customHeight="1">
      <c r="A36" s="806" t="s">
        <v>697</v>
      </c>
      <c r="B36" s="196" t="s">
        <v>698</v>
      </c>
      <c r="C36" s="588" t="s">
        <v>81</v>
      </c>
      <c r="D36" s="161">
        <f>'1.GHG Inventory Form'!H132</f>
        <v>2923</v>
      </c>
      <c r="E36" s="226"/>
    </row>
    <row r="37" spans="1:5" customFormat="1" ht="39" customHeight="1">
      <c r="A37" s="807"/>
      <c r="B37" s="196" t="s">
        <v>699</v>
      </c>
      <c r="C37" s="588" t="s">
        <v>81</v>
      </c>
      <c r="D37" s="161">
        <f>'1.GHG Inventory Form'!H149</f>
        <v>0</v>
      </c>
      <c r="E37" s="226"/>
    </row>
    <row r="38" spans="1:5" customFormat="1" ht="39" customHeight="1">
      <c r="A38" s="807"/>
      <c r="B38" s="196" t="s">
        <v>700</v>
      </c>
      <c r="C38" s="588" t="s">
        <v>81</v>
      </c>
      <c r="D38" s="161">
        <f>'1.GHG Inventory Form'!H150</f>
        <v>0</v>
      </c>
      <c r="E38" s="226"/>
    </row>
    <row r="39" spans="1:5" customFormat="1" ht="39" customHeight="1">
      <c r="A39" s="807"/>
      <c r="B39" s="589" t="s">
        <v>701</v>
      </c>
      <c r="C39" s="588" t="s">
        <v>80</v>
      </c>
      <c r="D39" s="161" t="str">
        <f>'1.GHG Inventory Form'!H141</f>
        <v/>
      </c>
      <c r="E39" s="226"/>
    </row>
    <row r="40" spans="1:5" customFormat="1" ht="39" customHeight="1">
      <c r="A40" s="807"/>
      <c r="B40" s="589" t="s">
        <v>702</v>
      </c>
      <c r="C40" s="588" t="s">
        <v>80</v>
      </c>
      <c r="D40" s="161" t="str">
        <f>'1.GHG Inventory Form'!H142</f>
        <v/>
      </c>
      <c r="E40" s="226"/>
    </row>
    <row r="41" spans="1:5" customFormat="1" ht="39" customHeight="1">
      <c r="A41" s="807"/>
      <c r="B41" s="589" t="s">
        <v>703</v>
      </c>
      <c r="C41" s="588" t="s">
        <v>80</v>
      </c>
      <c r="D41" s="161" t="str">
        <f>'1.GHG Inventory Form'!H143</f>
        <v/>
      </c>
      <c r="E41" s="226"/>
    </row>
    <row r="42" spans="1:5" customFormat="1" ht="39" customHeight="1" thickBot="1">
      <c r="A42" s="807"/>
      <c r="B42" s="589" t="s">
        <v>704</v>
      </c>
      <c r="C42" s="588" t="s">
        <v>80</v>
      </c>
      <c r="D42" s="162">
        <f>'1.GHG Inventory Form'!H144</f>
        <v>108.646</v>
      </c>
      <c r="E42" s="226"/>
    </row>
    <row r="43" spans="1:5" customFormat="1" ht="52" customHeight="1">
      <c r="A43" s="807"/>
      <c r="B43" s="589" t="s">
        <v>705</v>
      </c>
      <c r="C43" s="588" t="s">
        <v>80</v>
      </c>
      <c r="D43" s="161" t="str">
        <f>'1.GHG Inventory Form'!H145</f>
        <v/>
      </c>
      <c r="E43" s="226"/>
    </row>
    <row r="44" spans="1:5" customFormat="1" ht="39" customHeight="1">
      <c r="A44" s="807"/>
      <c r="B44" s="589" t="s">
        <v>706</v>
      </c>
      <c r="C44" s="588" t="s">
        <v>80</v>
      </c>
      <c r="D44" s="161" t="str">
        <f>'1.GHG Inventory Form'!H146</f>
        <v/>
      </c>
      <c r="E44" s="226"/>
    </row>
    <row r="45" spans="1:5" customFormat="1" ht="39" customHeight="1">
      <c r="A45" s="807"/>
      <c r="B45" s="589" t="s">
        <v>707</v>
      </c>
      <c r="C45" s="588" t="s">
        <v>80</v>
      </c>
      <c r="D45" s="161" t="str">
        <f>'1.GHG Inventory Form'!H147</f>
        <v/>
      </c>
      <c r="E45" s="226"/>
    </row>
    <row r="46" spans="1:5" customFormat="1" ht="39.5" customHeight="1" thickBot="1">
      <c r="A46" s="808"/>
      <c r="B46" s="590" t="s">
        <v>708</v>
      </c>
      <c r="C46" s="591" t="s">
        <v>80</v>
      </c>
      <c r="D46" s="161">
        <f>'1.GHG Inventory Form'!H148</f>
        <v>0.76700000000000013</v>
      </c>
      <c r="E46" s="226"/>
    </row>
    <row r="47" spans="1:5" customFormat="1" ht="17" customHeight="1">
      <c r="A47" s="809" t="s">
        <v>709</v>
      </c>
      <c r="B47" s="592" t="s">
        <v>710</v>
      </c>
      <c r="C47" s="593" t="s">
        <v>648</v>
      </c>
      <c r="D47" s="158">
        <f>SUM('1.GHG Inventory Form'!AU16:AU56)+SUM('1.GHG Inventory Form'!AU59:AU87)</f>
        <v>550.55259399878048</v>
      </c>
      <c r="E47" s="226"/>
    </row>
    <row r="48" spans="1:5">
      <c r="A48" s="810"/>
      <c r="B48" s="594" t="s">
        <v>711</v>
      </c>
      <c r="C48" s="595" t="s">
        <v>648</v>
      </c>
      <c r="D48" s="157">
        <f>D23</f>
        <v>0</v>
      </c>
      <c r="E48" s="226"/>
    </row>
    <row r="49" spans="1:5">
      <c r="A49" s="810"/>
      <c r="B49" s="596" t="s">
        <v>712</v>
      </c>
      <c r="C49" s="574" t="s">
        <v>648</v>
      </c>
      <c r="D49" s="159">
        <f>SUM('1.GHG Inventory Form'!AV16:AV56)+SUM('1.GHG Inventory Form'!AV59:AV87)</f>
        <v>0.75250335387538991</v>
      </c>
      <c r="E49" s="226"/>
    </row>
    <row r="50" spans="1:5">
      <c r="A50" s="810"/>
      <c r="B50" s="596" t="s">
        <v>713</v>
      </c>
      <c r="C50" s="574" t="s">
        <v>648</v>
      </c>
      <c r="D50" s="159">
        <f>SUM('1.GHG Inventory Form'!AW16:AW56)+SUM('1.GHG Inventory Form'!AW59:AW87)</f>
        <v>1.829194490140384</v>
      </c>
      <c r="E50" s="226"/>
    </row>
    <row r="51" spans="1:5">
      <c r="A51" s="810"/>
      <c r="B51" s="596" t="s">
        <v>714</v>
      </c>
      <c r="C51" s="574" t="s">
        <v>648</v>
      </c>
      <c r="D51" s="159">
        <f>SUM('1.GHG Inventory Form'!AX16:AX56)+SUM('1.GHG Inventory Form'!AX59:AX87)</f>
        <v>118.94221156630003</v>
      </c>
      <c r="E51" s="226"/>
    </row>
    <row r="52" spans="1:5">
      <c r="A52" s="810"/>
      <c r="B52" s="596" t="s">
        <v>715</v>
      </c>
      <c r="C52" s="574" t="s">
        <v>648</v>
      </c>
      <c r="D52" s="159">
        <f>SUM('1.GHG Inventory Form'!AY16:AY56)+SUM('1.GHG Inventory Form'!AY59:AY87)</f>
        <v>0</v>
      </c>
      <c r="E52" s="226"/>
    </row>
    <row r="53" spans="1:5">
      <c r="A53" s="810"/>
      <c r="B53" s="596" t="s">
        <v>716</v>
      </c>
      <c r="C53" s="574" t="s">
        <v>648</v>
      </c>
      <c r="D53" s="159">
        <f>SUM('1.GHG Inventory Form'!AZ16:AZ56)+SUM('1.GHG Inventory Form'!AZ59:AZ87)</f>
        <v>0</v>
      </c>
      <c r="E53" s="226"/>
    </row>
    <row r="54" spans="1:5" customFormat="1" ht="16" customHeight="1" thickBot="1">
      <c r="A54" s="811"/>
      <c r="B54" s="583" t="s">
        <v>717</v>
      </c>
      <c r="C54" s="584" t="s">
        <v>648</v>
      </c>
      <c r="D54" s="160">
        <f>SUM('1.GHG Inventory Form'!BA16:BA56)+SUM('1.GHG Inventory Form'!BA59:BA87)</f>
        <v>0</v>
      </c>
      <c r="E54" s="226"/>
    </row>
  </sheetData>
  <mergeCells count="10">
    <mergeCell ref="B4:D4"/>
    <mergeCell ref="A7:B7"/>
    <mergeCell ref="A8:B8"/>
    <mergeCell ref="A13:A21"/>
    <mergeCell ref="A22:B22"/>
    <mergeCell ref="A23:B23"/>
    <mergeCell ref="A25:A32"/>
    <mergeCell ref="A33:B33"/>
    <mergeCell ref="A36:A46"/>
    <mergeCell ref="A47:A54"/>
  </mergeCells>
  <phoneticPr fontId="12" type="noConversion"/>
  <dataValidations count="2">
    <dataValidation allowBlank="1" showInputMessage="1" showErrorMessage="1" sqref="D3" xr:uid="{00000000-0002-0000-0700-000000000000}"/>
    <dataValidation type="list" allowBlank="1" showInputMessage="1" showErrorMessage="1" sqref="D2" xr:uid="{00000000-0002-0000-0700-000001000000}">
      <formula1>"2011,2012,2013,2014,2015,2016,2017,2018,2019,2020,2021,2022,2023,2024,2025,2026,2027,2028,2029,2030"</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5C663-0077-0344-99A0-09B4068C55C3}">
  <sheetPr codeName="工作表9"/>
  <dimension ref="A1:AD293"/>
  <sheetViews>
    <sheetView zoomScale="70" zoomScaleNormal="70" workbookViewId="0">
      <selection activeCell="S2" sqref="S2 S2:S4"/>
    </sheetView>
  </sheetViews>
  <sheetFormatPr defaultColWidth="15" defaultRowHeight="15.5"/>
  <cols>
    <col min="1" max="1" width="2.1796875" style="136" customWidth="1"/>
    <col min="2" max="2" width="11.90625" style="136" customWidth="1"/>
    <col min="3" max="3" width="14.81640625" style="136" customWidth="1"/>
    <col min="4" max="4" width="27.453125" style="227" customWidth="1"/>
    <col min="5" max="5" width="18.08984375" style="136" customWidth="1"/>
    <col min="6" max="6" width="15.54296875" style="138" customWidth="1"/>
    <col min="7" max="7" width="28.81640625" style="136" customWidth="1"/>
    <col min="8" max="8" width="13.6328125" style="136" customWidth="1"/>
    <col min="9" max="9" width="19.6328125" style="136" customWidth="1"/>
    <col min="10" max="10" width="12.7265625" style="136" customWidth="1"/>
    <col min="11" max="11" width="16.6328125" style="136" customWidth="1"/>
    <col min="12" max="12" width="18.453125" style="136" customWidth="1"/>
    <col min="13" max="13" width="14.08984375" style="139" customWidth="1"/>
    <col min="14" max="14" width="18.1796875" style="139" customWidth="1"/>
    <col min="15" max="15" width="22.7265625" style="136" customWidth="1"/>
    <col min="16" max="16" width="25.81640625" style="136" customWidth="1"/>
    <col min="17" max="17" width="23.90625" style="140" customWidth="1"/>
    <col min="18" max="18" width="17.36328125" style="140" customWidth="1"/>
    <col min="19" max="19" width="8.6328125" style="136" customWidth="1"/>
    <col min="20" max="20" width="28.36328125" style="136" customWidth="1"/>
    <col min="21" max="21" width="9.81640625" style="136" customWidth="1"/>
    <col min="22" max="22" width="11.7265625" style="136" customWidth="1"/>
    <col min="23" max="24" width="15" style="136" customWidth="1"/>
    <col min="25" max="26" width="22.453125" style="136" customWidth="1"/>
    <col min="27" max="27" width="79" style="136" bestFit="1" customWidth="1"/>
    <col min="28" max="29" width="11.81640625" style="136" customWidth="1"/>
    <col min="30" max="30" width="15" style="136" customWidth="1"/>
    <col min="31" max="16384" width="15" style="136"/>
  </cols>
  <sheetData>
    <row r="1" spans="1:30" s="274" customFormat="1" ht="26" customHeight="1">
      <c r="A1"/>
      <c r="B1" s="274" t="s">
        <v>719</v>
      </c>
      <c r="C1" s="274" t="s">
        <v>720</v>
      </c>
      <c r="D1" s="274" t="s">
        <v>721</v>
      </c>
      <c r="E1" s="275" t="s">
        <v>722</v>
      </c>
      <c r="F1" s="274" t="s">
        <v>723</v>
      </c>
      <c r="G1" s="274" t="s">
        <v>724</v>
      </c>
      <c r="H1" s="276" t="s">
        <v>725</v>
      </c>
      <c r="I1" s="276" t="s">
        <v>726</v>
      </c>
      <c r="J1" s="274" t="s">
        <v>727</v>
      </c>
      <c r="K1" s="275" t="s">
        <v>728</v>
      </c>
      <c r="L1" s="275" t="s">
        <v>729</v>
      </c>
      <c r="M1" s="275" t="s">
        <v>730</v>
      </c>
      <c r="N1" s="275" t="s">
        <v>731</v>
      </c>
      <c r="O1" s="275" t="s">
        <v>732</v>
      </c>
      <c r="P1" s="275" t="s">
        <v>733</v>
      </c>
      <c r="Q1" s="275" t="s">
        <v>734</v>
      </c>
      <c r="R1" s="275" t="s">
        <v>735</v>
      </c>
      <c r="S1" s="275" t="s">
        <v>736</v>
      </c>
      <c r="T1" s="275" t="s">
        <v>737</v>
      </c>
      <c r="U1" s="275" t="s">
        <v>738</v>
      </c>
      <c r="V1" s="275" t="s">
        <v>739</v>
      </c>
      <c r="W1"/>
      <c r="X1"/>
      <c r="Y1"/>
      <c r="Z1"/>
      <c r="AA1"/>
      <c r="AB1"/>
      <c r="AC1"/>
      <c r="AD1"/>
    </row>
    <row r="2" spans="1:30" customFormat="1" ht="33" customHeight="1">
      <c r="B2" s="597" t="s">
        <v>740</v>
      </c>
      <c r="C2" s="597" t="s">
        <v>0</v>
      </c>
      <c r="D2" s="227" t="s">
        <v>741</v>
      </c>
      <c r="E2" s="137">
        <v>2.606031792</v>
      </c>
      <c r="F2" s="138" t="s">
        <v>742</v>
      </c>
      <c r="G2" s="137">
        <v>1.0550740000000001E-4</v>
      </c>
      <c r="H2" s="136" t="s">
        <v>743</v>
      </c>
      <c r="I2" s="137">
        <v>2.1101500000000001E-5</v>
      </c>
      <c r="J2" s="136" t="s">
        <v>744</v>
      </c>
      <c r="M2" s="139"/>
      <c r="N2" s="139"/>
      <c r="Q2" s="140"/>
      <c r="R2" s="140"/>
      <c r="S2" s="138" t="s">
        <v>83</v>
      </c>
      <c r="T2" s="136" t="s">
        <v>745</v>
      </c>
      <c r="U2" s="136">
        <v>2022</v>
      </c>
      <c r="V2" s="136">
        <v>8400</v>
      </c>
    </row>
    <row r="3" spans="1:30">
      <c r="B3" s="597" t="s">
        <v>740</v>
      </c>
      <c r="C3" s="597" t="s">
        <v>0</v>
      </c>
      <c r="D3" s="227" t="s">
        <v>91</v>
      </c>
      <c r="E3" s="137">
        <v>2.2631328719999999</v>
      </c>
      <c r="F3" s="138" t="s">
        <v>742</v>
      </c>
      <c r="G3" s="137">
        <v>9.7971099999999994E-5</v>
      </c>
      <c r="H3" s="136" t="s">
        <v>743</v>
      </c>
      <c r="I3" s="137">
        <v>1.95942E-5</v>
      </c>
      <c r="J3" s="136" t="s">
        <v>744</v>
      </c>
      <c r="S3" s="138" t="s">
        <v>83</v>
      </c>
      <c r="T3" s="136" t="s">
        <v>746</v>
      </c>
      <c r="U3" s="136">
        <v>2022</v>
      </c>
      <c r="V3" s="136">
        <v>7800</v>
      </c>
    </row>
    <row r="4" spans="1:30" customFormat="1" ht="31" customHeight="1">
      <c r="B4" s="597" t="s">
        <v>740</v>
      </c>
      <c r="C4" s="597" t="s">
        <v>0</v>
      </c>
      <c r="D4" s="227" t="s">
        <v>747</v>
      </c>
      <c r="E4" s="137">
        <v>3.110959872</v>
      </c>
      <c r="F4" s="138" t="s">
        <v>742</v>
      </c>
      <c r="G4" s="137">
        <v>1.205798E-4</v>
      </c>
      <c r="H4" s="136" t="s">
        <v>743</v>
      </c>
      <c r="I4" s="137">
        <v>2.4116000000000001E-5</v>
      </c>
      <c r="J4" s="136" t="s">
        <v>744</v>
      </c>
      <c r="M4" s="139"/>
      <c r="N4" s="139"/>
      <c r="Q4" s="140"/>
      <c r="R4" s="140"/>
      <c r="S4" s="138" t="s">
        <v>83</v>
      </c>
      <c r="T4" s="136" t="s">
        <v>748</v>
      </c>
      <c r="U4" s="136">
        <v>2022</v>
      </c>
      <c r="V4" s="136">
        <v>9600</v>
      </c>
    </row>
    <row r="5" spans="1:30" customFormat="1" ht="46.5" customHeight="1">
      <c r="B5" s="597" t="s">
        <v>740</v>
      </c>
      <c r="C5" s="597" t="s">
        <v>0</v>
      </c>
      <c r="D5" s="227" t="s">
        <v>89</v>
      </c>
      <c r="E5" s="137">
        <v>1.7528812758000001</v>
      </c>
      <c r="F5" s="138" t="s">
        <v>742</v>
      </c>
      <c r="G5" s="137">
        <v>2.77794E-5</v>
      </c>
      <c r="H5" s="136" t="s">
        <v>743</v>
      </c>
      <c r="I5" s="137">
        <v>2.7779000000000001E-6</v>
      </c>
      <c r="J5" s="136" t="s">
        <v>744</v>
      </c>
      <c r="M5" s="139"/>
      <c r="N5" s="139"/>
      <c r="Q5" s="140"/>
      <c r="R5" s="140"/>
      <c r="S5" s="138" t="s">
        <v>83</v>
      </c>
      <c r="T5" s="136" t="s">
        <v>749</v>
      </c>
      <c r="U5" s="136">
        <v>2022</v>
      </c>
      <c r="V5" s="136">
        <v>6635</v>
      </c>
    </row>
    <row r="6" spans="1:30" customFormat="1" ht="46.5" customHeight="1">
      <c r="B6" s="597" t="s">
        <v>740</v>
      </c>
      <c r="C6" s="597" t="s">
        <v>0</v>
      </c>
      <c r="D6" s="227" t="s">
        <v>750</v>
      </c>
      <c r="E6" s="137">
        <v>3.1870568650909101</v>
      </c>
      <c r="F6" s="138" t="s">
        <v>751</v>
      </c>
      <c r="G6" s="137">
        <v>5.0507999999999998E-5</v>
      </c>
      <c r="H6" s="136" t="s">
        <v>752</v>
      </c>
      <c r="I6" s="137">
        <v>5.0507272727272697E-6</v>
      </c>
      <c r="J6" s="136" t="s">
        <v>753</v>
      </c>
      <c r="M6" s="139"/>
      <c r="N6" s="139"/>
      <c r="Q6" s="140"/>
      <c r="R6" s="140"/>
      <c r="S6" s="138" t="s">
        <v>754</v>
      </c>
      <c r="T6" s="136" t="s">
        <v>755</v>
      </c>
      <c r="U6" s="136">
        <v>2022</v>
      </c>
      <c r="V6" s="136">
        <v>6635</v>
      </c>
    </row>
    <row r="7" spans="1:30" customFormat="1" ht="17" customHeight="1">
      <c r="B7" s="597" t="s">
        <v>740</v>
      </c>
      <c r="C7" s="597" t="s">
        <v>0</v>
      </c>
      <c r="D7" s="227" t="s">
        <v>756</v>
      </c>
      <c r="E7" s="137">
        <v>2.8601872992000001</v>
      </c>
      <c r="F7" s="138" t="s">
        <v>742</v>
      </c>
      <c r="G7" s="137">
        <v>4.6431599999999998E-5</v>
      </c>
      <c r="H7" s="136" t="s">
        <v>743</v>
      </c>
      <c r="I7" s="137">
        <v>4.6431999999999999E-6</v>
      </c>
      <c r="J7" s="136" t="s">
        <v>744</v>
      </c>
      <c r="M7" s="139"/>
      <c r="N7" s="139"/>
      <c r="Q7" s="140"/>
      <c r="R7" s="140"/>
      <c r="S7" s="138" t="s">
        <v>83</v>
      </c>
      <c r="T7" s="136" t="s">
        <v>757</v>
      </c>
      <c r="U7" s="136">
        <v>2022</v>
      </c>
      <c r="V7" s="136">
        <v>11090</v>
      </c>
    </row>
    <row r="8" spans="1:30">
      <c r="B8" s="597" t="s">
        <v>740</v>
      </c>
      <c r="C8" s="597" t="s">
        <v>0</v>
      </c>
      <c r="D8" s="227" t="s">
        <v>90</v>
      </c>
      <c r="E8" s="137">
        <v>1.87903584</v>
      </c>
      <c r="F8" s="138" t="s">
        <v>758</v>
      </c>
      <c r="G8" s="137">
        <v>3.3494400000000002E-5</v>
      </c>
      <c r="H8" s="136" t="s">
        <v>759</v>
      </c>
      <c r="I8" s="137">
        <v>3.3494000000000001E-6</v>
      </c>
      <c r="J8" s="136" t="s">
        <v>760</v>
      </c>
      <c r="S8" s="138" t="s">
        <v>84</v>
      </c>
      <c r="T8" s="136" t="s">
        <v>761</v>
      </c>
      <c r="U8" s="136">
        <v>2022</v>
      </c>
      <c r="V8" s="136">
        <v>8000</v>
      </c>
    </row>
    <row r="9" spans="1:30" customFormat="1" ht="62" customHeight="1">
      <c r="B9" s="597" t="s">
        <v>740</v>
      </c>
      <c r="C9" s="597" t="s">
        <v>0</v>
      </c>
      <c r="D9" s="227" t="s">
        <v>762</v>
      </c>
      <c r="E9" s="137">
        <v>2.19807</v>
      </c>
      <c r="F9" s="138" t="s">
        <v>742</v>
      </c>
      <c r="G9" s="137">
        <v>9.4203000000000006E-5</v>
      </c>
      <c r="H9" s="136" t="s">
        <v>743</v>
      </c>
      <c r="I9" s="137">
        <v>1.8840600000000001E-5</v>
      </c>
      <c r="J9" s="136" t="s">
        <v>744</v>
      </c>
      <c r="M9" s="139"/>
      <c r="N9" s="139"/>
      <c r="Q9" s="140"/>
      <c r="R9" s="140"/>
      <c r="S9" s="138" t="s">
        <v>83</v>
      </c>
      <c r="T9" s="136" t="s">
        <v>763</v>
      </c>
      <c r="U9" s="136">
        <v>2022</v>
      </c>
      <c r="V9" s="136">
        <v>7500</v>
      </c>
    </row>
    <row r="10" spans="1:30" customFormat="1" ht="46.5" customHeight="1">
      <c r="B10" s="597" t="s">
        <v>740</v>
      </c>
      <c r="C10" s="597" t="s">
        <v>0</v>
      </c>
      <c r="D10" s="227" t="s">
        <v>764</v>
      </c>
      <c r="E10" s="137">
        <v>2.3948496000000001</v>
      </c>
      <c r="F10" s="138" t="s">
        <v>742</v>
      </c>
      <c r="G10" s="137">
        <v>1.0048319999999999E-4</v>
      </c>
      <c r="H10" s="136" t="s">
        <v>743</v>
      </c>
      <c r="I10" s="137">
        <v>2.00966E-5</v>
      </c>
      <c r="J10" s="136" t="s">
        <v>744</v>
      </c>
      <c r="M10" s="139"/>
      <c r="N10" s="139"/>
      <c r="Q10" s="140"/>
      <c r="R10" s="140"/>
      <c r="S10" s="138" t="s">
        <v>83</v>
      </c>
      <c r="T10" s="136" t="s">
        <v>765</v>
      </c>
      <c r="U10" s="136">
        <v>2022</v>
      </c>
      <c r="V10" s="136">
        <v>8000</v>
      </c>
    </row>
    <row r="11" spans="1:30" customFormat="1" ht="46.5" customHeight="1">
      <c r="B11" s="597" t="s">
        <v>740</v>
      </c>
      <c r="C11" s="597" t="s">
        <v>0</v>
      </c>
      <c r="D11" s="227" t="s">
        <v>93</v>
      </c>
      <c r="E11" s="137">
        <v>2.2631328719999999</v>
      </c>
      <c r="F11" s="138" t="s">
        <v>742</v>
      </c>
      <c r="G11" s="137">
        <v>8.1642599999999998E-4</v>
      </c>
      <c r="H11" s="136" t="s">
        <v>743</v>
      </c>
      <c r="I11" s="137">
        <v>2.6125630000000001E-4</v>
      </c>
      <c r="J11" s="136" t="s">
        <v>744</v>
      </c>
      <c r="M11" s="139"/>
      <c r="N11" s="139"/>
      <c r="Q11" s="140"/>
      <c r="R11" s="140"/>
      <c r="S11" s="138" t="s">
        <v>83</v>
      </c>
      <c r="T11" s="136" t="s">
        <v>766</v>
      </c>
      <c r="U11" s="136">
        <v>2022</v>
      </c>
      <c r="V11" s="136">
        <v>7800</v>
      </c>
    </row>
    <row r="12" spans="1:30" customFormat="1" ht="46.5" customHeight="1">
      <c r="B12" s="597" t="s">
        <v>740</v>
      </c>
      <c r="C12" s="597" t="s">
        <v>0</v>
      </c>
      <c r="D12" s="227" t="s">
        <v>767</v>
      </c>
      <c r="E12" s="137">
        <v>2.606031792</v>
      </c>
      <c r="F12" s="138" t="s">
        <v>742</v>
      </c>
      <c r="G12" s="137">
        <v>1.3715959999999999E-4</v>
      </c>
      <c r="H12" s="136" t="s">
        <v>743</v>
      </c>
      <c r="I12" s="137">
        <v>1.3715959999999999E-4</v>
      </c>
      <c r="J12" s="136" t="s">
        <v>744</v>
      </c>
      <c r="M12" s="139"/>
      <c r="N12" s="139"/>
      <c r="Q12" s="140"/>
      <c r="R12" s="140"/>
      <c r="S12" s="138" t="s">
        <v>83</v>
      </c>
      <c r="T12" s="136" t="s">
        <v>768</v>
      </c>
      <c r="U12" s="136">
        <v>2022</v>
      </c>
      <c r="V12" s="136">
        <v>8400</v>
      </c>
    </row>
    <row r="13" spans="1:30" customFormat="1" ht="46.5" customHeight="1">
      <c r="B13" s="597" t="s">
        <v>740</v>
      </c>
      <c r="C13" s="597" t="s">
        <v>0</v>
      </c>
      <c r="D13" s="227" t="s">
        <v>769</v>
      </c>
      <c r="E13" s="137">
        <v>2.5587628200000001</v>
      </c>
      <c r="F13" s="138" t="s">
        <v>742</v>
      </c>
      <c r="G13" s="137">
        <v>1.0676339999999999E-4</v>
      </c>
      <c r="H13" s="136" t="s">
        <v>743</v>
      </c>
      <c r="I13" s="137">
        <v>2.13527E-5</v>
      </c>
      <c r="J13" s="136" t="s">
        <v>744</v>
      </c>
      <c r="M13" s="139"/>
      <c r="N13" s="139"/>
      <c r="Q13" s="140"/>
      <c r="R13" s="140"/>
      <c r="S13" s="138" t="s">
        <v>83</v>
      </c>
      <c r="T13" s="136" t="s">
        <v>770</v>
      </c>
      <c r="U13" s="136">
        <v>2022</v>
      </c>
      <c r="V13" s="136">
        <v>8500</v>
      </c>
    </row>
    <row r="14" spans="1:30" customFormat="1" ht="46.5" customHeight="1">
      <c r="B14" s="597" t="s">
        <v>740</v>
      </c>
      <c r="C14" s="597" t="s">
        <v>0</v>
      </c>
      <c r="D14" s="227" t="s">
        <v>771</v>
      </c>
      <c r="E14" s="137">
        <v>2.946167424</v>
      </c>
      <c r="F14" s="138" t="s">
        <v>742</v>
      </c>
      <c r="G14" s="137">
        <v>1.205798E-4</v>
      </c>
      <c r="H14" s="136" t="s">
        <v>743</v>
      </c>
      <c r="I14" s="137">
        <v>2.4116000000000001E-5</v>
      </c>
      <c r="J14" s="136" t="s">
        <v>744</v>
      </c>
      <c r="M14" s="139"/>
      <c r="N14" s="139"/>
      <c r="Q14" s="140"/>
      <c r="R14" s="140"/>
      <c r="S14" s="138" t="s">
        <v>83</v>
      </c>
      <c r="T14" s="136" t="s">
        <v>772</v>
      </c>
      <c r="U14" s="136">
        <v>2022</v>
      </c>
      <c r="V14" s="136">
        <v>9600</v>
      </c>
    </row>
    <row r="15" spans="1:30" customFormat="1" ht="62" customHeight="1">
      <c r="B15" s="597" t="s">
        <v>740</v>
      </c>
      <c r="C15" s="597" t="s">
        <v>0</v>
      </c>
      <c r="D15" s="227" t="s">
        <v>773</v>
      </c>
      <c r="E15" s="137">
        <v>1.7528812758000001</v>
      </c>
      <c r="F15" s="138" t="s">
        <v>742</v>
      </c>
      <c r="G15" s="137">
        <v>1.7223239000000001E-3</v>
      </c>
      <c r="H15" s="136" t="s">
        <v>743</v>
      </c>
      <c r="I15" s="137">
        <v>5.5558999999999996E-6</v>
      </c>
      <c r="J15" s="136" t="s">
        <v>744</v>
      </c>
      <c r="M15" s="139"/>
      <c r="N15" s="139"/>
      <c r="Q15" s="140"/>
      <c r="R15" s="140"/>
      <c r="S15" s="138" t="s">
        <v>83</v>
      </c>
      <c r="T15" s="136" t="s">
        <v>774</v>
      </c>
      <c r="U15" s="136">
        <v>2022</v>
      </c>
      <c r="V15" s="136">
        <v>6635</v>
      </c>
    </row>
    <row r="16" spans="1:30" customFormat="1" ht="62" customHeight="1">
      <c r="B16" s="597" t="s">
        <v>740</v>
      </c>
      <c r="C16" s="597" t="s">
        <v>0</v>
      </c>
      <c r="D16" s="227" t="s">
        <v>775</v>
      </c>
      <c r="E16" s="137">
        <v>2.1139153199999998</v>
      </c>
      <c r="F16" s="138" t="s">
        <v>758</v>
      </c>
      <c r="G16" s="137">
        <v>3.4666704E-3</v>
      </c>
      <c r="H16" s="136" t="s">
        <v>759</v>
      </c>
      <c r="I16" s="137">
        <v>1.130436E-4</v>
      </c>
      <c r="J16" s="136" t="s">
        <v>760</v>
      </c>
      <c r="M16" s="139"/>
      <c r="N16" s="139"/>
      <c r="Q16" s="140"/>
      <c r="R16" s="140"/>
      <c r="S16" s="138" t="s">
        <v>84</v>
      </c>
      <c r="T16" s="136" t="s">
        <v>776</v>
      </c>
      <c r="U16" s="136">
        <v>2022</v>
      </c>
      <c r="V16" s="136">
        <v>9000</v>
      </c>
    </row>
    <row r="17" spans="2:22" customFormat="1" ht="31" customHeight="1">
      <c r="B17" s="597" t="s">
        <v>740</v>
      </c>
      <c r="C17" s="597" t="s">
        <v>0</v>
      </c>
      <c r="D17" s="227" t="s">
        <v>777</v>
      </c>
      <c r="E17" s="137">
        <v>2.3328598392000002</v>
      </c>
      <c r="F17" s="138" t="s">
        <v>751</v>
      </c>
      <c r="G17" s="137">
        <v>2.4660299999999998E-5</v>
      </c>
      <c r="H17" s="136" t="s">
        <v>778</v>
      </c>
      <c r="I17" s="137">
        <v>3.6990399999999997E-5</v>
      </c>
      <c r="J17" s="136" t="s">
        <v>779</v>
      </c>
      <c r="M17" s="139"/>
      <c r="N17" s="139"/>
      <c r="Q17" s="140"/>
      <c r="R17" s="140"/>
      <c r="S17" s="138" t="s">
        <v>754</v>
      </c>
      <c r="T17" s="136" t="s">
        <v>780</v>
      </c>
      <c r="U17" s="136">
        <v>2022</v>
      </c>
      <c r="V17" s="136">
        <v>5890</v>
      </c>
    </row>
    <row r="18" spans="2:22" customFormat="1" ht="31" customHeight="1">
      <c r="B18" s="597" t="s">
        <v>740</v>
      </c>
      <c r="C18" s="597" t="s">
        <v>0</v>
      </c>
      <c r="D18" s="227" t="s">
        <v>781</v>
      </c>
      <c r="E18" s="137">
        <v>2.6932847039999999</v>
      </c>
      <c r="F18" s="138" t="s">
        <v>751</v>
      </c>
      <c r="G18" s="137">
        <v>2.8470200000000001E-5</v>
      </c>
      <c r="H18" s="136" t="s">
        <v>778</v>
      </c>
      <c r="I18" s="137">
        <v>4.2705399999999999E-5</v>
      </c>
      <c r="J18" s="136" t="s">
        <v>779</v>
      </c>
      <c r="M18" s="139"/>
      <c r="N18" s="139"/>
      <c r="Q18" s="140"/>
      <c r="R18" s="140"/>
      <c r="S18" s="138" t="s">
        <v>754</v>
      </c>
      <c r="T18" s="136" t="s">
        <v>782</v>
      </c>
      <c r="U18" s="136">
        <v>2022</v>
      </c>
      <c r="V18" s="136">
        <v>6800</v>
      </c>
    </row>
    <row r="19" spans="2:22" customFormat="1" ht="31" customHeight="1">
      <c r="B19" s="597" t="s">
        <v>740</v>
      </c>
      <c r="C19" s="597" t="s">
        <v>0</v>
      </c>
      <c r="D19" s="227" t="s">
        <v>783</v>
      </c>
      <c r="E19" s="137">
        <v>2.4081133823999998</v>
      </c>
      <c r="F19" s="138" t="s">
        <v>751</v>
      </c>
      <c r="G19" s="137">
        <v>2.5455700000000001E-5</v>
      </c>
      <c r="H19" s="136" t="s">
        <v>778</v>
      </c>
      <c r="I19" s="137">
        <v>3.8183599999999998E-5</v>
      </c>
      <c r="J19" s="136" t="s">
        <v>779</v>
      </c>
      <c r="M19" s="139"/>
      <c r="N19" s="139"/>
      <c r="Q19" s="140"/>
      <c r="R19" s="140"/>
      <c r="S19" s="138" t="s">
        <v>754</v>
      </c>
      <c r="T19" s="136" t="s">
        <v>784</v>
      </c>
      <c r="U19" s="136">
        <v>2022</v>
      </c>
      <c r="V19" s="136">
        <v>6080</v>
      </c>
    </row>
    <row r="20" spans="2:22">
      <c r="B20" s="597" t="s">
        <v>740</v>
      </c>
      <c r="C20" s="597" t="s">
        <v>0</v>
      </c>
      <c r="D20" s="227" t="s">
        <v>785</v>
      </c>
      <c r="E20" s="137">
        <v>2.922093324</v>
      </c>
      <c r="F20" s="138" t="s">
        <v>751</v>
      </c>
      <c r="G20" s="137">
        <v>2.97263E-5</v>
      </c>
      <c r="H20" s="136" t="s">
        <v>778</v>
      </c>
      <c r="I20" s="137">
        <v>4.4589399999999997E-5</v>
      </c>
      <c r="J20" s="136" t="s">
        <v>779</v>
      </c>
      <c r="S20" s="138" t="s">
        <v>754</v>
      </c>
      <c r="T20" s="136" t="s">
        <v>786</v>
      </c>
      <c r="U20" s="136">
        <v>2022</v>
      </c>
      <c r="V20" s="136">
        <v>7100</v>
      </c>
    </row>
    <row r="21" spans="2:22">
      <c r="B21" s="597" t="s">
        <v>740</v>
      </c>
      <c r="C21" s="597" t="s">
        <v>0</v>
      </c>
      <c r="D21" s="227" t="s">
        <v>787</v>
      </c>
      <c r="E21" s="137">
        <v>2.6932847039999999</v>
      </c>
      <c r="F21" s="138" t="s">
        <v>751</v>
      </c>
      <c r="G21" s="137">
        <v>2.8470200000000001E-5</v>
      </c>
      <c r="H21" s="136" t="s">
        <v>778</v>
      </c>
      <c r="I21" s="137">
        <v>4.2705399999999999E-5</v>
      </c>
      <c r="J21" s="136" t="s">
        <v>779</v>
      </c>
      <c r="S21" s="138" t="s">
        <v>754</v>
      </c>
      <c r="T21" s="136" t="s">
        <v>788</v>
      </c>
      <c r="U21" s="136">
        <v>2022</v>
      </c>
      <c r="V21" s="136">
        <v>6800</v>
      </c>
    </row>
    <row r="22" spans="2:22" customFormat="1" ht="31" customHeight="1">
      <c r="B22" s="597" t="s">
        <v>740</v>
      </c>
      <c r="C22" s="597" t="s">
        <v>0</v>
      </c>
      <c r="D22" s="227" t="s">
        <v>789</v>
      </c>
      <c r="E22" s="137">
        <v>2.4081133823999998</v>
      </c>
      <c r="F22" s="138" t="s">
        <v>751</v>
      </c>
      <c r="G22" s="137">
        <v>2.5455700000000001E-5</v>
      </c>
      <c r="H22" s="136" t="s">
        <v>778</v>
      </c>
      <c r="I22" s="137">
        <v>3.8183599999999998E-5</v>
      </c>
      <c r="J22" s="136" t="s">
        <v>779</v>
      </c>
      <c r="M22" s="139"/>
      <c r="N22" s="139"/>
      <c r="Q22" s="140"/>
      <c r="R22" s="140"/>
      <c r="S22" s="138" t="s">
        <v>754</v>
      </c>
      <c r="T22" s="136" t="s">
        <v>790</v>
      </c>
      <c r="U22" s="136">
        <v>2022</v>
      </c>
      <c r="V22" s="136">
        <v>6080</v>
      </c>
    </row>
    <row r="23" spans="2:22" customFormat="1" ht="31" customHeight="1">
      <c r="B23" s="597" t="s">
        <v>740</v>
      </c>
      <c r="C23" s="597" t="s">
        <v>0</v>
      </c>
      <c r="D23" s="227" t="s">
        <v>791</v>
      </c>
      <c r="E23" s="137">
        <v>1.971522252</v>
      </c>
      <c r="F23" s="138" t="s">
        <v>751</v>
      </c>
      <c r="G23" s="137">
        <v>2.05153E-5</v>
      </c>
      <c r="H23" s="136" t="s">
        <v>778</v>
      </c>
      <c r="I23" s="137">
        <v>3.0772999999999998E-5</v>
      </c>
      <c r="J23" s="136" t="s">
        <v>779</v>
      </c>
      <c r="M23" s="139"/>
      <c r="N23" s="139"/>
      <c r="Q23" s="140"/>
      <c r="R23" s="140"/>
      <c r="S23" s="138" t="s">
        <v>754</v>
      </c>
      <c r="T23" s="136" t="s">
        <v>792</v>
      </c>
      <c r="U23" s="136">
        <v>2022</v>
      </c>
      <c r="V23" s="136">
        <v>4900</v>
      </c>
    </row>
    <row r="24" spans="2:22" customFormat="1" ht="31" customHeight="1">
      <c r="B24" s="597" t="s">
        <v>740</v>
      </c>
      <c r="C24" s="597" t="s">
        <v>0</v>
      </c>
      <c r="D24" s="227" t="s">
        <v>793</v>
      </c>
      <c r="E24" s="137">
        <v>2.2531682879999999</v>
      </c>
      <c r="F24" s="138" t="s">
        <v>751</v>
      </c>
      <c r="G24" s="137">
        <v>2.3446099999999999E-5</v>
      </c>
      <c r="H24" s="136" t="s">
        <v>778</v>
      </c>
      <c r="I24" s="137">
        <v>3.5169100000000002E-5</v>
      </c>
      <c r="J24" s="136" t="s">
        <v>779</v>
      </c>
      <c r="M24" s="139"/>
      <c r="N24" s="139"/>
      <c r="Q24" s="140"/>
      <c r="R24" s="140"/>
      <c r="S24" s="138" t="s">
        <v>754</v>
      </c>
      <c r="T24" s="136" t="s">
        <v>794</v>
      </c>
      <c r="U24" s="136">
        <v>2022</v>
      </c>
      <c r="V24" s="136">
        <v>5600</v>
      </c>
    </row>
    <row r="25" spans="2:22">
      <c r="B25" s="597" t="s">
        <v>740</v>
      </c>
      <c r="C25" s="597" t="s">
        <v>0</v>
      </c>
      <c r="D25" s="227" t="s">
        <v>795</v>
      </c>
      <c r="E25" s="137">
        <v>1.2026331792</v>
      </c>
      <c r="F25" s="138" t="s">
        <v>751</v>
      </c>
      <c r="G25" s="137">
        <v>1.19073E-5</v>
      </c>
      <c r="H25" s="136" t="s">
        <v>778</v>
      </c>
      <c r="I25" s="137">
        <v>1.78609E-5</v>
      </c>
      <c r="J25" s="136" t="s">
        <v>779</v>
      </c>
      <c r="S25" s="138" t="s">
        <v>754</v>
      </c>
      <c r="T25" s="136" t="s">
        <v>796</v>
      </c>
      <c r="U25" s="136">
        <v>2022</v>
      </c>
      <c r="V25" s="136">
        <v>2844</v>
      </c>
    </row>
    <row r="26" spans="2:22" customFormat="1" ht="31" customHeight="1">
      <c r="B26" s="597" t="s">
        <v>740</v>
      </c>
      <c r="C26" s="597" t="s">
        <v>0</v>
      </c>
      <c r="D26" s="227" t="s">
        <v>797</v>
      </c>
      <c r="E26" s="137">
        <v>0.95286962519999996</v>
      </c>
      <c r="F26" s="138" t="s">
        <v>751</v>
      </c>
      <c r="G26" s="137">
        <v>8.9052999999999993E-6</v>
      </c>
      <c r="H26" s="136" t="s">
        <v>778</v>
      </c>
      <c r="I26" s="137">
        <v>1.3358E-5</v>
      </c>
      <c r="J26" s="136" t="s">
        <v>779</v>
      </c>
      <c r="M26" s="139"/>
      <c r="N26" s="139"/>
      <c r="Q26" s="140"/>
      <c r="R26" s="140"/>
      <c r="S26" s="138" t="s">
        <v>754</v>
      </c>
      <c r="T26" s="136" t="s">
        <v>798</v>
      </c>
      <c r="U26" s="136">
        <v>2022</v>
      </c>
      <c r="V26" s="136">
        <v>2127</v>
      </c>
    </row>
    <row r="27" spans="2:22">
      <c r="B27" s="597" t="s">
        <v>740</v>
      </c>
      <c r="C27" s="597" t="s">
        <v>0</v>
      </c>
      <c r="D27" s="227" t="s">
        <v>799</v>
      </c>
      <c r="E27" s="137">
        <v>1.0353872663999999</v>
      </c>
      <c r="F27" s="138" t="s">
        <v>751</v>
      </c>
      <c r="G27" s="137">
        <v>9.7677999999999999E-6</v>
      </c>
      <c r="H27" s="136" t="s">
        <v>778</v>
      </c>
      <c r="I27" s="137">
        <v>1.4651700000000001E-5</v>
      </c>
      <c r="J27" s="136" t="s">
        <v>779</v>
      </c>
      <c r="S27" s="138" t="s">
        <v>754</v>
      </c>
      <c r="T27" s="136" t="s">
        <v>800</v>
      </c>
      <c r="U27" s="136">
        <v>2022</v>
      </c>
      <c r="V27" s="136">
        <v>2333</v>
      </c>
    </row>
    <row r="28" spans="2:22">
      <c r="B28" s="597" t="s">
        <v>740</v>
      </c>
      <c r="C28" s="597" t="s">
        <v>0</v>
      </c>
      <c r="D28" s="227" t="s">
        <v>801</v>
      </c>
      <c r="E28" s="137">
        <v>1.5512094000000001</v>
      </c>
      <c r="F28" s="138" t="s">
        <v>751</v>
      </c>
      <c r="G28" s="137">
        <v>1.5909800000000001E-5</v>
      </c>
      <c r="H28" s="136" t="s">
        <v>778</v>
      </c>
      <c r="I28" s="137">
        <v>2.3864799999999999E-5</v>
      </c>
      <c r="J28" s="136" t="s">
        <v>779</v>
      </c>
      <c r="S28" s="138" t="s">
        <v>754</v>
      </c>
      <c r="T28" s="136" t="s">
        <v>802</v>
      </c>
      <c r="U28" s="136">
        <v>2022</v>
      </c>
      <c r="V28" s="136">
        <v>3800</v>
      </c>
    </row>
    <row r="29" spans="2:22" customFormat="1" ht="31" customHeight="1">
      <c r="B29" s="597" t="s">
        <v>740</v>
      </c>
      <c r="C29" s="597" t="s">
        <v>0</v>
      </c>
      <c r="D29" s="227" t="s">
        <v>803</v>
      </c>
      <c r="E29" s="137">
        <v>3.1359132000000001</v>
      </c>
      <c r="F29" s="138" t="s">
        <v>751</v>
      </c>
      <c r="G29" s="137">
        <v>2.93076E-5</v>
      </c>
      <c r="H29" s="136" t="s">
        <v>778</v>
      </c>
      <c r="I29" s="137">
        <v>4.3961400000000002E-5</v>
      </c>
      <c r="J29" s="136" t="s">
        <v>779</v>
      </c>
      <c r="M29" s="139"/>
      <c r="N29" s="139"/>
      <c r="Q29" s="140"/>
      <c r="R29" s="140"/>
      <c r="S29" s="138" t="s">
        <v>754</v>
      </c>
      <c r="T29" s="136" t="s">
        <v>804</v>
      </c>
      <c r="U29" s="136">
        <v>2022</v>
      </c>
      <c r="V29" s="136">
        <v>7000</v>
      </c>
    </row>
    <row r="30" spans="2:22">
      <c r="B30" s="597" t="s">
        <v>740</v>
      </c>
      <c r="C30" s="597" t="s">
        <v>0</v>
      </c>
      <c r="D30" s="227" t="s">
        <v>805</v>
      </c>
      <c r="E30" s="137">
        <v>3.3473465999999998</v>
      </c>
      <c r="F30" s="138" t="s">
        <v>751</v>
      </c>
      <c r="G30" s="137">
        <v>1.0299530000000001E-4</v>
      </c>
      <c r="H30" s="136" t="s">
        <v>778</v>
      </c>
      <c r="I30" s="137">
        <v>2.0599100000000001E-5</v>
      </c>
      <c r="J30" s="136" t="s">
        <v>779</v>
      </c>
      <c r="S30" s="138" t="s">
        <v>754</v>
      </c>
      <c r="T30" s="136" t="s">
        <v>806</v>
      </c>
      <c r="U30" s="136">
        <v>2022</v>
      </c>
      <c r="V30" s="136">
        <v>8200</v>
      </c>
    </row>
    <row r="31" spans="2:22" customFormat="1" ht="31" customHeight="1">
      <c r="B31" s="597" t="s">
        <v>740</v>
      </c>
      <c r="C31" s="597" t="s">
        <v>0</v>
      </c>
      <c r="D31" s="227" t="s">
        <v>807</v>
      </c>
      <c r="E31" s="137">
        <v>2.19807</v>
      </c>
      <c r="F31" s="138" t="s">
        <v>742</v>
      </c>
      <c r="G31" s="137">
        <v>9.4203000000000006E-5</v>
      </c>
      <c r="H31" s="136" t="s">
        <v>743</v>
      </c>
      <c r="I31" s="137">
        <v>1.8840600000000001E-5</v>
      </c>
      <c r="J31" s="136" t="s">
        <v>744</v>
      </c>
      <c r="M31" s="139"/>
      <c r="N31" s="139"/>
      <c r="Q31" s="140"/>
      <c r="R31" s="140"/>
      <c r="S31" s="138" t="s">
        <v>83</v>
      </c>
      <c r="T31" s="136" t="s">
        <v>808</v>
      </c>
      <c r="U31" s="136">
        <v>2022</v>
      </c>
      <c r="V31" s="136">
        <v>7500</v>
      </c>
    </row>
    <row r="32" spans="2:22">
      <c r="B32" s="597" t="s">
        <v>740</v>
      </c>
      <c r="C32" s="597" t="s">
        <v>0</v>
      </c>
      <c r="D32" s="227" t="s">
        <v>809</v>
      </c>
      <c r="E32" s="137">
        <v>2.3948496000000001</v>
      </c>
      <c r="F32" s="138" t="s">
        <v>742</v>
      </c>
      <c r="G32" s="137">
        <v>1.0048319999999999E-4</v>
      </c>
      <c r="H32" s="136" t="s">
        <v>743</v>
      </c>
      <c r="I32" s="137">
        <v>2.00966E-5</v>
      </c>
      <c r="J32" s="136" t="s">
        <v>744</v>
      </c>
      <c r="S32" s="138" t="s">
        <v>83</v>
      </c>
      <c r="T32" s="136" t="s">
        <v>810</v>
      </c>
      <c r="U32" s="136">
        <v>2022</v>
      </c>
      <c r="V32" s="136">
        <v>8000</v>
      </c>
    </row>
    <row r="33" spans="2:22" customFormat="1" ht="17" customHeight="1">
      <c r="B33" s="597" t="s">
        <v>740</v>
      </c>
      <c r="C33" s="597" t="s">
        <v>0</v>
      </c>
      <c r="D33" s="227" t="s">
        <v>811</v>
      </c>
      <c r="E33" s="137">
        <v>2.7620319599999998</v>
      </c>
      <c r="F33" s="138" t="s">
        <v>742</v>
      </c>
      <c r="G33" s="137">
        <v>1.130436E-4</v>
      </c>
      <c r="H33" s="136" t="s">
        <v>743</v>
      </c>
      <c r="I33" s="137">
        <v>2.2608699999999999E-5</v>
      </c>
      <c r="J33" s="136" t="s">
        <v>744</v>
      </c>
      <c r="M33" s="136"/>
      <c r="N33" s="136"/>
      <c r="Q33" s="136"/>
      <c r="R33" s="136"/>
      <c r="S33" s="138" t="s">
        <v>83</v>
      </c>
      <c r="T33" s="136" t="s">
        <v>812</v>
      </c>
      <c r="U33" s="136">
        <v>2022</v>
      </c>
      <c r="V33" s="136">
        <v>9000</v>
      </c>
    </row>
    <row r="34" spans="2:22">
      <c r="B34" s="597" t="s">
        <v>740</v>
      </c>
      <c r="C34" s="597" t="s">
        <v>0</v>
      </c>
      <c r="D34" s="227" t="s">
        <v>813</v>
      </c>
      <c r="E34" s="137">
        <v>2.1190274028</v>
      </c>
      <c r="F34" s="138" t="s">
        <v>751</v>
      </c>
      <c r="G34" s="137">
        <v>8.2559500000000001E-5</v>
      </c>
      <c r="H34" s="136" t="s">
        <v>778</v>
      </c>
      <c r="I34" s="137">
        <v>1.65119E-5</v>
      </c>
      <c r="J34" s="136" t="s">
        <v>779</v>
      </c>
      <c r="S34" s="138" t="s">
        <v>754</v>
      </c>
      <c r="T34" s="136" t="s">
        <v>814</v>
      </c>
      <c r="U34" s="136">
        <v>2022</v>
      </c>
      <c r="V34" s="136">
        <v>6573</v>
      </c>
    </row>
    <row r="35" spans="2:22" customFormat="1" ht="31" customHeight="1">
      <c r="B35" s="597" t="s">
        <v>740</v>
      </c>
      <c r="C35" s="597" t="s">
        <v>0</v>
      </c>
      <c r="D35" s="227" t="s">
        <v>815</v>
      </c>
      <c r="E35" s="137">
        <v>2.8395246038000002</v>
      </c>
      <c r="F35" s="138" t="s">
        <v>758</v>
      </c>
      <c r="G35" s="137">
        <v>1.3268810000000001E-4</v>
      </c>
      <c r="H35" s="136" t="s">
        <v>759</v>
      </c>
      <c r="I35" s="137">
        <v>2.6537600000000002E-5</v>
      </c>
      <c r="J35" s="136" t="s">
        <v>760</v>
      </c>
      <c r="M35" s="139"/>
      <c r="N35" s="139"/>
      <c r="Q35" s="140"/>
      <c r="R35" s="140"/>
      <c r="S35" s="138" t="s">
        <v>84</v>
      </c>
      <c r="T35" s="136" t="s">
        <v>816</v>
      </c>
      <c r="U35" s="136">
        <v>2022</v>
      </c>
      <c r="V35" s="136">
        <v>10564</v>
      </c>
    </row>
    <row r="36" spans="2:22">
      <c r="B36" s="597" t="s">
        <v>740</v>
      </c>
      <c r="C36" s="597" t="s">
        <v>0</v>
      </c>
      <c r="D36" s="227" t="s">
        <v>817</v>
      </c>
      <c r="E36" s="137">
        <v>2.5587628200000001</v>
      </c>
      <c r="F36" s="138" t="s">
        <v>742</v>
      </c>
      <c r="G36" s="137">
        <v>1.0676339999999999E-4</v>
      </c>
      <c r="H36" s="136" t="s">
        <v>743</v>
      </c>
      <c r="I36" s="137">
        <v>2.13527E-5</v>
      </c>
      <c r="J36" s="136" t="s">
        <v>744</v>
      </c>
      <c r="S36" s="138" t="s">
        <v>83</v>
      </c>
      <c r="T36" s="136" t="s">
        <v>818</v>
      </c>
      <c r="U36" s="136">
        <v>2022</v>
      </c>
      <c r="V36" s="136">
        <v>8500</v>
      </c>
    </row>
    <row r="37" spans="2:22">
      <c r="B37" s="597" t="s">
        <v>740</v>
      </c>
      <c r="C37" s="597" t="s">
        <v>0</v>
      </c>
      <c r="D37" s="227" t="s">
        <v>819</v>
      </c>
      <c r="E37" s="137">
        <v>2.7945625586</v>
      </c>
      <c r="F37" s="138" t="s">
        <v>751</v>
      </c>
      <c r="G37" s="137">
        <v>1.14375E-4</v>
      </c>
      <c r="H37" s="136" t="s">
        <v>778</v>
      </c>
      <c r="I37" s="137">
        <v>2.2875E-5</v>
      </c>
      <c r="J37" s="136" t="s">
        <v>779</v>
      </c>
      <c r="S37" s="138" t="s">
        <v>754</v>
      </c>
      <c r="T37" s="136" t="s">
        <v>820</v>
      </c>
      <c r="U37" s="136">
        <v>2022</v>
      </c>
      <c r="V37" s="136">
        <v>9106</v>
      </c>
    </row>
    <row r="38" spans="2:22">
      <c r="B38" s="597" t="s">
        <v>740</v>
      </c>
      <c r="C38" s="597" t="s">
        <v>0</v>
      </c>
      <c r="D38" s="227" t="s">
        <v>821</v>
      </c>
      <c r="E38" s="137">
        <v>2.393761032</v>
      </c>
      <c r="F38" s="138" t="s">
        <v>742</v>
      </c>
      <c r="G38" s="137">
        <v>9.7971099999999994E-5</v>
      </c>
      <c r="H38" s="136" t="s">
        <v>743</v>
      </c>
      <c r="I38" s="137">
        <v>1.95942E-5</v>
      </c>
      <c r="J38" s="136" t="s">
        <v>744</v>
      </c>
      <c r="S38" s="138" t="s">
        <v>83</v>
      </c>
      <c r="T38" s="136" t="s">
        <v>822</v>
      </c>
      <c r="U38" s="136">
        <v>2022</v>
      </c>
      <c r="V38" s="136">
        <v>7800</v>
      </c>
    </row>
    <row r="39" spans="2:22">
      <c r="B39" s="597" t="s">
        <v>740</v>
      </c>
      <c r="C39" s="597" t="s">
        <v>0</v>
      </c>
      <c r="D39" s="227" t="s">
        <v>823</v>
      </c>
      <c r="E39" s="137">
        <v>3.3787476000000001</v>
      </c>
      <c r="F39" s="138" t="s">
        <v>742</v>
      </c>
      <c r="G39" s="137">
        <v>1.25604E-4</v>
      </c>
      <c r="H39" s="136" t="s">
        <v>743</v>
      </c>
      <c r="I39" s="137">
        <v>2.5120799999999998E-5</v>
      </c>
      <c r="J39" s="136" t="s">
        <v>744</v>
      </c>
      <c r="S39" s="138" t="s">
        <v>83</v>
      </c>
      <c r="T39" s="136" t="s">
        <v>824</v>
      </c>
      <c r="U39" s="136">
        <v>2022</v>
      </c>
      <c r="V39" s="136">
        <v>10000</v>
      </c>
    </row>
    <row r="40" spans="2:22">
      <c r="B40" s="597" t="s">
        <v>740</v>
      </c>
      <c r="C40" s="597" t="s">
        <v>0</v>
      </c>
      <c r="D40" s="227" t="s">
        <v>825</v>
      </c>
      <c r="E40" s="137">
        <v>2.946167424</v>
      </c>
      <c r="F40" s="138" t="s">
        <v>742</v>
      </c>
      <c r="G40" s="137">
        <v>1.205798E-4</v>
      </c>
      <c r="H40" s="136" t="s">
        <v>743</v>
      </c>
      <c r="I40" s="137">
        <v>2.4116000000000001E-5</v>
      </c>
      <c r="J40" s="136" t="s">
        <v>744</v>
      </c>
      <c r="S40" s="138" t="s">
        <v>83</v>
      </c>
      <c r="T40" s="136" t="s">
        <v>826</v>
      </c>
      <c r="U40" s="136">
        <v>2022</v>
      </c>
      <c r="V40" s="136">
        <v>9600</v>
      </c>
    </row>
    <row r="41" spans="2:22" customFormat="1" ht="31" customHeight="1">
      <c r="B41" s="597" t="s">
        <v>740</v>
      </c>
      <c r="C41" s="597" t="s">
        <v>0</v>
      </c>
      <c r="D41" s="227" t="s">
        <v>827</v>
      </c>
      <c r="E41" s="137">
        <v>2.7620319599999998</v>
      </c>
      <c r="F41" s="138" t="s">
        <v>742</v>
      </c>
      <c r="G41" s="137">
        <v>1.130436E-4</v>
      </c>
      <c r="H41" s="136" t="s">
        <v>743</v>
      </c>
      <c r="I41" s="137">
        <v>2.2608699999999999E-5</v>
      </c>
      <c r="J41" s="136" t="s">
        <v>744</v>
      </c>
      <c r="M41" s="139"/>
      <c r="N41" s="139"/>
      <c r="Q41" s="140"/>
      <c r="R41" s="140"/>
      <c r="S41" s="138" t="s">
        <v>83</v>
      </c>
      <c r="T41" s="136" t="s">
        <v>828</v>
      </c>
      <c r="U41" s="136">
        <v>2022</v>
      </c>
      <c r="V41" s="136">
        <v>9000</v>
      </c>
    </row>
    <row r="42" spans="2:22">
      <c r="B42" s="597" t="s">
        <v>740</v>
      </c>
      <c r="C42" s="597" t="s">
        <v>0</v>
      </c>
      <c r="D42" s="227" t="s">
        <v>829</v>
      </c>
      <c r="E42" s="137">
        <v>2.1704371199999999</v>
      </c>
      <c r="F42" s="138" t="s">
        <v>758</v>
      </c>
      <c r="G42" s="137">
        <v>3.7681200000000001E-5</v>
      </c>
      <c r="H42" s="136" t="s">
        <v>759</v>
      </c>
      <c r="I42" s="137">
        <v>3.7681E-6</v>
      </c>
      <c r="J42" s="136" t="s">
        <v>760</v>
      </c>
      <c r="S42" s="138" t="s">
        <v>84</v>
      </c>
      <c r="T42" s="136" t="s">
        <v>830</v>
      </c>
      <c r="U42" s="136">
        <v>2022</v>
      </c>
      <c r="V42" s="136">
        <v>9000</v>
      </c>
    </row>
    <row r="43" spans="2:22">
      <c r="B43" s="597" t="s">
        <v>740</v>
      </c>
      <c r="C43" s="597" t="s">
        <v>0</v>
      </c>
      <c r="D43" s="227" t="s">
        <v>831</v>
      </c>
      <c r="E43" s="137">
        <v>0.78075446400000004</v>
      </c>
      <c r="F43" s="138" t="s">
        <v>758</v>
      </c>
      <c r="G43" s="137">
        <v>1.7584600000000001E-5</v>
      </c>
      <c r="H43" s="136" t="s">
        <v>759</v>
      </c>
      <c r="I43" s="137">
        <v>1.7585E-6</v>
      </c>
      <c r="J43" s="136" t="s">
        <v>760</v>
      </c>
      <c r="S43" s="138" t="s">
        <v>84</v>
      </c>
      <c r="T43" s="136" t="s">
        <v>832</v>
      </c>
      <c r="U43" s="136">
        <v>2022</v>
      </c>
      <c r="V43" s="136">
        <v>4200</v>
      </c>
    </row>
    <row r="44" spans="2:22">
      <c r="B44" s="597" t="s">
        <v>740</v>
      </c>
      <c r="C44" s="597" t="s">
        <v>0</v>
      </c>
      <c r="D44" s="227" t="s">
        <v>833</v>
      </c>
      <c r="E44" s="137">
        <v>0.84581733599999998</v>
      </c>
      <c r="F44" s="138" t="s">
        <v>758</v>
      </c>
      <c r="G44" s="137">
        <v>3.2530999999999998E-6</v>
      </c>
      <c r="H44" s="136" t="s">
        <v>759</v>
      </c>
      <c r="I44" s="137">
        <v>3.2529999999999998E-7</v>
      </c>
      <c r="J44" s="136" t="s">
        <v>760</v>
      </c>
      <c r="S44" s="138" t="s">
        <v>84</v>
      </c>
      <c r="T44" s="136" t="s">
        <v>834</v>
      </c>
      <c r="U44" s="136">
        <v>2022</v>
      </c>
      <c r="V44" s="136">
        <v>777</v>
      </c>
    </row>
    <row r="45" spans="2:22" customFormat="1" ht="31" customHeight="1">
      <c r="B45" s="597" t="s">
        <v>740</v>
      </c>
      <c r="C45" s="597" t="s">
        <v>0</v>
      </c>
      <c r="D45" s="227" t="s">
        <v>835</v>
      </c>
      <c r="E45" s="137">
        <v>0.77922727430000005</v>
      </c>
      <c r="F45" s="138" t="s">
        <v>751</v>
      </c>
      <c r="G45" s="137">
        <v>2.5492709999999999E-4</v>
      </c>
      <c r="H45" s="136" t="s">
        <v>778</v>
      </c>
      <c r="I45" s="137">
        <v>3.3990299999999999E-5</v>
      </c>
      <c r="J45" s="136" t="s">
        <v>779</v>
      </c>
      <c r="M45" s="139"/>
      <c r="N45" s="139"/>
      <c r="Q45" s="140"/>
      <c r="R45" s="140"/>
      <c r="S45" s="138" t="s">
        <v>754</v>
      </c>
      <c r="T45" s="136" t="s">
        <v>836</v>
      </c>
      <c r="U45" s="136">
        <v>2022</v>
      </c>
      <c r="V45" s="136">
        <v>2029.61</v>
      </c>
    </row>
    <row r="46" spans="2:22" customFormat="1" ht="31" customHeight="1">
      <c r="B46" s="597" t="s">
        <v>740</v>
      </c>
      <c r="C46" s="597" t="s">
        <v>0</v>
      </c>
      <c r="D46" s="227" t="s">
        <v>837</v>
      </c>
      <c r="E46" s="137" t="s">
        <v>718</v>
      </c>
      <c r="F46" s="138" t="s">
        <v>718</v>
      </c>
      <c r="G46" s="137" t="s">
        <v>718</v>
      </c>
      <c r="H46" s="136" t="s">
        <v>718</v>
      </c>
      <c r="I46" s="137" t="s">
        <v>718</v>
      </c>
      <c r="J46" s="136" t="s">
        <v>718</v>
      </c>
      <c r="M46" s="139"/>
      <c r="N46" s="139"/>
      <c r="Q46" s="140"/>
      <c r="R46" s="140"/>
      <c r="S46" s="138" t="s">
        <v>718</v>
      </c>
      <c r="T46" s="136" t="s">
        <v>838</v>
      </c>
      <c r="U46" s="136">
        <v>2022</v>
      </c>
      <c r="V46" s="136" t="s">
        <v>718</v>
      </c>
    </row>
    <row r="47" spans="2:22" customFormat="1" ht="31" customHeight="1">
      <c r="B47" s="597" t="s">
        <v>740</v>
      </c>
      <c r="C47" s="597" t="s">
        <v>0</v>
      </c>
      <c r="D47" s="227" t="s">
        <v>839</v>
      </c>
      <c r="E47" s="137" t="s">
        <v>718</v>
      </c>
      <c r="F47" s="138" t="s">
        <v>718</v>
      </c>
      <c r="G47" s="137" t="s">
        <v>718</v>
      </c>
      <c r="H47" s="136" t="s">
        <v>718</v>
      </c>
      <c r="I47" s="137" t="s">
        <v>718</v>
      </c>
      <c r="J47" s="136" t="s">
        <v>718</v>
      </c>
      <c r="M47" s="139"/>
      <c r="N47" s="139"/>
      <c r="Q47" s="140"/>
      <c r="R47" s="140"/>
      <c r="S47" s="138" t="s">
        <v>718</v>
      </c>
      <c r="T47" s="136" t="s">
        <v>840</v>
      </c>
      <c r="U47" s="136">
        <v>2022</v>
      </c>
      <c r="V47" s="136" t="s">
        <v>718</v>
      </c>
    </row>
    <row r="48" spans="2:22">
      <c r="B48" s="597" t="s">
        <v>740</v>
      </c>
      <c r="C48" s="597" t="s">
        <v>0</v>
      </c>
      <c r="D48" s="227" t="s">
        <v>841</v>
      </c>
      <c r="E48" s="137" t="s">
        <v>718</v>
      </c>
      <c r="F48" s="138" t="s">
        <v>718</v>
      </c>
      <c r="G48" s="137" t="s">
        <v>718</v>
      </c>
      <c r="H48" s="136" t="s">
        <v>718</v>
      </c>
      <c r="I48" s="137" t="s">
        <v>718</v>
      </c>
      <c r="J48" s="136" t="s">
        <v>718</v>
      </c>
      <c r="S48" s="138" t="s">
        <v>718</v>
      </c>
      <c r="T48" s="136" t="s">
        <v>842</v>
      </c>
      <c r="U48" s="136">
        <v>2022</v>
      </c>
      <c r="V48" s="136" t="s">
        <v>718</v>
      </c>
    </row>
    <row r="49" spans="2:22">
      <c r="B49" s="597" t="s">
        <v>740</v>
      </c>
      <c r="C49" s="597" t="s">
        <v>0</v>
      </c>
      <c r="D49" s="227" t="s">
        <v>843</v>
      </c>
      <c r="E49" s="137" t="s">
        <v>718</v>
      </c>
      <c r="F49" s="138" t="s">
        <v>718</v>
      </c>
      <c r="G49" s="137" t="s">
        <v>718</v>
      </c>
      <c r="H49" s="136" t="s">
        <v>718</v>
      </c>
      <c r="I49" s="137" t="s">
        <v>718</v>
      </c>
      <c r="J49" s="136" t="s">
        <v>718</v>
      </c>
      <c r="S49" s="138" t="s">
        <v>718</v>
      </c>
      <c r="T49" s="136" t="s">
        <v>844</v>
      </c>
      <c r="U49" s="136">
        <v>2022</v>
      </c>
      <c r="V49" s="136" t="s">
        <v>718</v>
      </c>
    </row>
    <row r="50" spans="2:22">
      <c r="B50" s="597" t="s">
        <v>740</v>
      </c>
      <c r="C50" s="597" t="s">
        <v>0</v>
      </c>
      <c r="D50" s="227" t="s">
        <v>845</v>
      </c>
      <c r="E50" s="137" t="s">
        <v>718</v>
      </c>
      <c r="F50" s="138" t="s">
        <v>718</v>
      </c>
      <c r="G50" s="137" t="s">
        <v>718</v>
      </c>
      <c r="H50" s="136" t="s">
        <v>718</v>
      </c>
      <c r="I50" s="137" t="s">
        <v>718</v>
      </c>
      <c r="J50" s="136" t="s">
        <v>718</v>
      </c>
      <c r="S50" s="138" t="s">
        <v>718</v>
      </c>
      <c r="T50" s="136" t="s">
        <v>846</v>
      </c>
      <c r="U50" s="136">
        <v>2022</v>
      </c>
      <c r="V50" s="136" t="s">
        <v>718</v>
      </c>
    </row>
    <row r="51" spans="2:22" customFormat="1" ht="31" customHeight="1">
      <c r="B51" s="597" t="s">
        <v>740</v>
      </c>
      <c r="C51" s="597" t="s">
        <v>0</v>
      </c>
      <c r="D51" s="227" t="s">
        <v>847</v>
      </c>
      <c r="E51" s="137" t="s">
        <v>718</v>
      </c>
      <c r="F51" s="138" t="s">
        <v>718</v>
      </c>
      <c r="G51" s="137" t="s">
        <v>718</v>
      </c>
      <c r="H51" s="136" t="s">
        <v>718</v>
      </c>
      <c r="I51" s="137" t="s">
        <v>718</v>
      </c>
      <c r="J51" s="136" t="s">
        <v>718</v>
      </c>
      <c r="M51" s="139"/>
      <c r="N51" s="139"/>
      <c r="Q51" s="140"/>
      <c r="R51" s="140"/>
      <c r="S51" s="138" t="s">
        <v>718</v>
      </c>
      <c r="T51" s="136" t="s">
        <v>848</v>
      </c>
      <c r="U51" s="136">
        <v>2022</v>
      </c>
      <c r="V51" s="136" t="s">
        <v>718</v>
      </c>
    </row>
    <row r="52" spans="2:22" customFormat="1" ht="31" customHeight="1">
      <c r="B52" s="597" t="s">
        <v>740</v>
      </c>
      <c r="C52" s="597" t="s">
        <v>0</v>
      </c>
      <c r="D52" s="227" t="s">
        <v>94</v>
      </c>
      <c r="F52" s="138"/>
      <c r="G52" s="136">
        <v>1.59375E-6</v>
      </c>
      <c r="H52" s="136" t="s">
        <v>849</v>
      </c>
      <c r="M52" s="139"/>
      <c r="N52" s="139"/>
      <c r="Q52" s="140"/>
      <c r="R52" s="140"/>
      <c r="S52" s="138" t="s">
        <v>850</v>
      </c>
      <c r="T52" s="136" t="s">
        <v>851</v>
      </c>
    </row>
    <row r="53" spans="2:22" customFormat="1" ht="31" customHeight="1">
      <c r="B53" s="597" t="s">
        <v>740</v>
      </c>
      <c r="C53" s="597" t="s">
        <v>0</v>
      </c>
      <c r="D53" s="227" t="s">
        <v>96</v>
      </c>
      <c r="E53" s="137"/>
      <c r="F53" s="138"/>
      <c r="M53" s="139"/>
      <c r="N53" s="139"/>
      <c r="O53" s="137">
        <v>1</v>
      </c>
      <c r="P53" s="266" t="s">
        <v>852</v>
      </c>
      <c r="Q53" s="140"/>
      <c r="R53" s="140"/>
      <c r="S53" s="138" t="s">
        <v>853</v>
      </c>
      <c r="T53" s="136" t="s">
        <v>854</v>
      </c>
    </row>
    <row r="54" spans="2:22" customFormat="1" ht="31" customHeight="1">
      <c r="B54" s="597" t="s">
        <v>740</v>
      </c>
      <c r="C54" s="597" t="s">
        <v>0</v>
      </c>
      <c r="D54" s="227" t="s">
        <v>855</v>
      </c>
      <c r="E54" s="137">
        <v>1</v>
      </c>
      <c r="F54" s="138" t="s">
        <v>751</v>
      </c>
      <c r="M54" s="139"/>
      <c r="N54" s="139"/>
      <c r="Q54" s="140"/>
      <c r="R54" s="140"/>
      <c r="S54" s="138" t="s">
        <v>754</v>
      </c>
      <c r="T54" s="136" t="s">
        <v>856</v>
      </c>
    </row>
    <row r="55" spans="2:22">
      <c r="B55" s="597" t="s">
        <v>740</v>
      </c>
      <c r="C55" s="597" t="s">
        <v>0</v>
      </c>
      <c r="D55" s="267" t="s">
        <v>87</v>
      </c>
      <c r="E55" s="268">
        <v>3.3849999999999998</v>
      </c>
      <c r="F55" s="269" t="s">
        <v>751</v>
      </c>
      <c r="G55" s="270"/>
      <c r="H55" s="169"/>
      <c r="I55" s="270"/>
      <c r="J55" s="169"/>
      <c r="K55" s="169"/>
      <c r="L55" s="169"/>
      <c r="M55" s="171"/>
      <c r="N55" s="171"/>
      <c r="O55" s="169"/>
      <c r="P55" s="169"/>
      <c r="Q55" s="172"/>
      <c r="R55" s="172"/>
      <c r="S55" s="169" t="s">
        <v>754</v>
      </c>
      <c r="T55" s="598" t="s">
        <v>857</v>
      </c>
      <c r="U55" s="169"/>
      <c r="V55" s="169"/>
    </row>
    <row r="56" spans="2:22" customFormat="1" ht="31" customHeight="1">
      <c r="B56" s="597" t="s">
        <v>740</v>
      </c>
      <c r="C56" s="597" t="s">
        <v>0</v>
      </c>
      <c r="D56" s="267" t="s">
        <v>95</v>
      </c>
      <c r="E56" s="271"/>
      <c r="F56" s="272"/>
      <c r="G56" s="169"/>
      <c r="H56" s="169"/>
      <c r="I56" s="169"/>
      <c r="J56" s="169"/>
      <c r="K56" s="268">
        <v>1</v>
      </c>
      <c r="L56" s="271" t="s">
        <v>858</v>
      </c>
      <c r="M56" s="171"/>
      <c r="N56" s="171"/>
      <c r="O56" s="169"/>
      <c r="P56" s="169"/>
      <c r="Q56" s="172"/>
      <c r="R56" s="172"/>
      <c r="S56" s="169" t="s">
        <v>859</v>
      </c>
      <c r="T56" s="598" t="s">
        <v>860</v>
      </c>
      <c r="U56" s="169"/>
      <c r="V56" s="169"/>
    </row>
    <row r="57" spans="2:22">
      <c r="B57" s="597" t="s">
        <v>740</v>
      </c>
      <c r="C57" s="597" t="s">
        <v>0</v>
      </c>
      <c r="D57" s="227" t="s">
        <v>85</v>
      </c>
      <c r="E57" s="137" t="s">
        <v>718</v>
      </c>
      <c r="F57" s="138" t="s">
        <v>718</v>
      </c>
      <c r="G57" s="137" t="s">
        <v>718</v>
      </c>
      <c r="H57" s="136" t="s">
        <v>718</v>
      </c>
      <c r="I57" s="137" t="s">
        <v>718</v>
      </c>
      <c r="J57" s="136" t="s">
        <v>718</v>
      </c>
      <c r="S57" s="138" t="s">
        <v>83</v>
      </c>
      <c r="V57" s="136">
        <v>7800</v>
      </c>
    </row>
    <row r="58" spans="2:22" customFormat="1" ht="31" customHeight="1">
      <c r="B58" s="597" t="s">
        <v>740</v>
      </c>
      <c r="C58" s="597" t="s">
        <v>0</v>
      </c>
      <c r="D58" s="227" t="s">
        <v>86</v>
      </c>
      <c r="E58" s="137"/>
      <c r="F58" s="138" t="s">
        <v>742</v>
      </c>
      <c r="G58" s="137"/>
      <c r="H58" s="136" t="s">
        <v>743</v>
      </c>
      <c r="I58" s="137">
        <v>1.95942E-5</v>
      </c>
      <c r="J58" s="136" t="s">
        <v>744</v>
      </c>
      <c r="M58" s="139"/>
      <c r="N58" s="139"/>
      <c r="Q58" s="140"/>
      <c r="R58" s="140"/>
      <c r="S58" s="138" t="s">
        <v>83</v>
      </c>
      <c r="V58" s="136">
        <v>7800</v>
      </c>
    </row>
    <row r="59" spans="2:22" customFormat="1" ht="46.5" customHeight="1">
      <c r="B59" s="597" t="s">
        <v>740</v>
      </c>
      <c r="C59" s="597" t="s">
        <v>0</v>
      </c>
      <c r="D59" s="228" t="s">
        <v>98</v>
      </c>
      <c r="E59" s="169"/>
      <c r="F59" s="170"/>
      <c r="G59" s="169"/>
      <c r="H59" s="169"/>
      <c r="I59" s="169"/>
      <c r="J59" s="169"/>
      <c r="K59" s="169">
        <v>3.0000000000000001E-3</v>
      </c>
      <c r="L59" s="169" t="s">
        <v>861</v>
      </c>
      <c r="M59" s="171"/>
      <c r="N59" s="171"/>
      <c r="O59" s="169"/>
      <c r="P59" s="169"/>
      <c r="Q59" s="172"/>
      <c r="R59" s="172"/>
      <c r="S59" s="169" t="s">
        <v>754</v>
      </c>
      <c r="T59" s="169"/>
      <c r="U59" s="169"/>
      <c r="V59" s="169"/>
    </row>
    <row r="60" spans="2:22" customFormat="1" ht="46.5" customHeight="1">
      <c r="B60" s="597" t="s">
        <v>740</v>
      </c>
      <c r="C60" s="597" t="s">
        <v>0</v>
      </c>
      <c r="D60" s="228" t="s">
        <v>232</v>
      </c>
      <c r="E60" s="169"/>
      <c r="F60" s="170"/>
      <c r="G60" s="169"/>
      <c r="H60" s="169"/>
      <c r="I60" s="169"/>
      <c r="J60" s="169"/>
      <c r="K60" s="169">
        <v>0.32500000000000001</v>
      </c>
      <c r="L60" s="169" t="s">
        <v>861</v>
      </c>
      <c r="M60" s="171"/>
      <c r="N60" s="171"/>
      <c r="O60" s="169"/>
      <c r="P60" s="169"/>
      <c r="Q60" s="172"/>
      <c r="R60" s="172"/>
      <c r="S60" s="169" t="s">
        <v>754</v>
      </c>
      <c r="T60" s="169"/>
      <c r="U60" s="169"/>
      <c r="V60" s="169"/>
    </row>
    <row r="61" spans="2:22" customFormat="1" ht="77.5" customHeight="1">
      <c r="B61" s="597" t="s">
        <v>740</v>
      </c>
      <c r="C61" s="597" t="s">
        <v>0</v>
      </c>
      <c r="D61" s="228" t="s">
        <v>238</v>
      </c>
      <c r="E61" s="169"/>
      <c r="F61" s="170"/>
      <c r="G61" s="169"/>
      <c r="H61" s="169"/>
      <c r="I61" s="169"/>
      <c r="J61" s="169"/>
      <c r="K61" s="169">
        <v>0.16</v>
      </c>
      <c r="L61" s="169" t="s">
        <v>861</v>
      </c>
      <c r="M61" s="171"/>
      <c r="N61" s="171"/>
      <c r="O61" s="169"/>
      <c r="P61" s="169"/>
      <c r="Q61" s="172"/>
      <c r="R61" s="172"/>
      <c r="S61" s="169" t="s">
        <v>754</v>
      </c>
      <c r="T61" s="169"/>
      <c r="U61" s="169"/>
      <c r="V61" s="169"/>
    </row>
    <row r="62" spans="2:22">
      <c r="B62" s="597" t="s">
        <v>740</v>
      </c>
      <c r="C62" s="597" t="s">
        <v>0</v>
      </c>
      <c r="D62" s="228" t="s">
        <v>233</v>
      </c>
      <c r="E62" s="169"/>
      <c r="F62" s="170"/>
      <c r="G62" s="169"/>
      <c r="H62" s="169"/>
      <c r="I62" s="169"/>
      <c r="J62" s="169"/>
      <c r="K62" s="169">
        <v>8.5000000000000006E-2</v>
      </c>
      <c r="L62" s="169" t="s">
        <v>861</v>
      </c>
      <c r="M62" s="171"/>
      <c r="N62" s="171"/>
      <c r="O62" s="169"/>
      <c r="P62" s="169"/>
      <c r="Q62" s="172"/>
      <c r="R62" s="172"/>
      <c r="S62" s="169" t="s">
        <v>754</v>
      </c>
      <c r="T62" s="169"/>
      <c r="U62" s="169"/>
      <c r="V62" s="169"/>
    </row>
    <row r="63" spans="2:22" customFormat="1" ht="77.5" customHeight="1">
      <c r="B63" s="597" t="s">
        <v>740</v>
      </c>
      <c r="C63" s="597" t="s">
        <v>0</v>
      </c>
      <c r="D63" s="228" t="s">
        <v>234</v>
      </c>
      <c r="E63" s="169"/>
      <c r="F63" s="170"/>
      <c r="G63" s="169"/>
      <c r="H63" s="169"/>
      <c r="I63" s="169"/>
      <c r="J63" s="169"/>
      <c r="K63" s="169">
        <v>5.5E-2</v>
      </c>
      <c r="L63" s="169" t="s">
        <v>861</v>
      </c>
      <c r="M63" s="171"/>
      <c r="N63" s="171"/>
      <c r="O63" s="169"/>
      <c r="P63" s="169"/>
      <c r="Q63" s="172"/>
      <c r="R63" s="172"/>
      <c r="S63" s="169" t="s">
        <v>754</v>
      </c>
      <c r="T63" s="169"/>
      <c r="U63" s="169"/>
      <c r="V63" s="169"/>
    </row>
    <row r="64" spans="2:22" customFormat="1" ht="31" customHeight="1">
      <c r="B64" s="597" t="s">
        <v>740</v>
      </c>
      <c r="C64" s="597" t="s">
        <v>0</v>
      </c>
      <c r="D64" s="228" t="s">
        <v>235</v>
      </c>
      <c r="E64" s="169"/>
      <c r="F64" s="170"/>
      <c r="G64" s="169"/>
      <c r="H64" s="169"/>
      <c r="I64" s="169"/>
      <c r="J64" s="169"/>
      <c r="K64" s="169">
        <v>0.15</v>
      </c>
      <c r="L64" s="169" t="s">
        <v>861</v>
      </c>
      <c r="M64" s="171"/>
      <c r="N64" s="171"/>
      <c r="O64" s="169"/>
      <c r="P64" s="169"/>
      <c r="Q64" s="172"/>
      <c r="R64" s="172"/>
      <c r="S64" s="169" t="s">
        <v>754</v>
      </c>
      <c r="T64" s="169"/>
      <c r="U64" s="169"/>
      <c r="V64" s="169"/>
    </row>
    <row r="65" spans="2:22" customFormat="1" ht="46.5" customHeight="1">
      <c r="B65" s="597" t="s">
        <v>740</v>
      </c>
      <c r="C65" s="597" t="s">
        <v>0</v>
      </c>
      <c r="D65" s="228" t="s">
        <v>236</v>
      </c>
      <c r="E65" s="169"/>
      <c r="F65" s="170"/>
      <c r="G65" s="169"/>
      <c r="H65" s="169"/>
      <c r="I65" s="169"/>
      <c r="J65" s="169"/>
      <c r="K65" s="169">
        <v>0.08</v>
      </c>
      <c r="L65" s="169" t="s">
        <v>861</v>
      </c>
      <c r="M65" s="171"/>
      <c r="N65" s="171"/>
      <c r="O65" s="169"/>
      <c r="P65" s="169"/>
      <c r="Q65" s="172"/>
      <c r="R65" s="172"/>
      <c r="S65" s="169" t="s">
        <v>754</v>
      </c>
      <c r="T65" s="169"/>
      <c r="U65" s="169"/>
      <c r="V65" s="169"/>
    </row>
    <row r="66" spans="2:22" customFormat="1" ht="46.5" customHeight="1">
      <c r="B66" s="597" t="s">
        <v>740</v>
      </c>
      <c r="C66" s="597" t="s">
        <v>0</v>
      </c>
      <c r="D66" s="228" t="s">
        <v>237</v>
      </c>
      <c r="E66" s="169"/>
      <c r="F66" s="170"/>
      <c r="G66" s="169"/>
      <c r="H66" s="169"/>
      <c r="I66" s="169"/>
      <c r="J66" s="169"/>
      <c r="K66" s="169">
        <v>0.22500000000000001</v>
      </c>
      <c r="L66" s="169" t="s">
        <v>861</v>
      </c>
      <c r="M66" s="171"/>
      <c r="N66" s="171"/>
      <c r="O66" s="169"/>
      <c r="P66" s="169"/>
      <c r="Q66" s="172"/>
      <c r="R66" s="172"/>
      <c r="S66" s="169" t="s">
        <v>754</v>
      </c>
      <c r="T66" s="169"/>
      <c r="U66" s="169"/>
      <c r="V66" s="169"/>
    </row>
    <row r="67" spans="2:22">
      <c r="B67" s="597" t="s">
        <v>740</v>
      </c>
      <c r="C67" s="597" t="s">
        <v>0</v>
      </c>
      <c r="D67" s="228" t="s">
        <v>24</v>
      </c>
      <c r="E67" s="169"/>
      <c r="F67" s="170"/>
      <c r="G67" s="169"/>
      <c r="H67" s="169"/>
      <c r="I67" s="169"/>
      <c r="J67" s="169"/>
      <c r="K67" s="169">
        <v>0.08</v>
      </c>
      <c r="L67" s="169" t="s">
        <v>861</v>
      </c>
      <c r="M67" s="171"/>
      <c r="N67" s="171"/>
      <c r="O67" s="169"/>
      <c r="P67" s="169"/>
      <c r="Q67" s="172"/>
      <c r="R67" s="172"/>
      <c r="S67" s="169" t="s">
        <v>754</v>
      </c>
      <c r="T67" s="169"/>
      <c r="U67" s="169"/>
      <c r="V67" s="169"/>
    </row>
    <row r="68" spans="2:22" customFormat="1" ht="17" customHeight="1">
      <c r="B68" s="169"/>
      <c r="C68" s="169"/>
      <c r="D68" s="228"/>
      <c r="E68" s="169"/>
      <c r="F68" s="170"/>
      <c r="G68" s="169"/>
      <c r="H68" s="169"/>
      <c r="I68" s="169"/>
      <c r="J68" s="169"/>
      <c r="K68" s="169"/>
      <c r="L68" s="169"/>
      <c r="M68" s="171"/>
      <c r="N68" s="171"/>
      <c r="O68" s="169"/>
      <c r="P68" s="169"/>
      <c r="Q68" s="172"/>
      <c r="R68" s="172"/>
      <c r="S68" s="169"/>
      <c r="T68" s="169"/>
      <c r="U68" s="169"/>
      <c r="V68" s="169"/>
    </row>
    <row r="69" spans="2:22">
      <c r="B69" s="169"/>
      <c r="C69" s="169"/>
      <c r="D69" s="228"/>
      <c r="E69" s="169"/>
      <c r="F69" s="170"/>
      <c r="G69" s="169"/>
      <c r="H69" s="169"/>
      <c r="I69" s="169"/>
      <c r="J69" s="169"/>
      <c r="K69" s="169"/>
      <c r="L69" s="169"/>
      <c r="M69" s="171"/>
      <c r="N69" s="171"/>
      <c r="O69" s="169"/>
      <c r="P69" s="169"/>
      <c r="Q69" s="172"/>
      <c r="R69" s="172"/>
      <c r="S69" s="169"/>
      <c r="T69" s="169"/>
      <c r="U69" s="169"/>
      <c r="V69" s="169"/>
    </row>
    <row r="70" spans="2:22">
      <c r="B70" s="169"/>
      <c r="C70" s="169"/>
      <c r="D70" s="228"/>
      <c r="E70" s="169"/>
      <c r="F70" s="170"/>
      <c r="G70" s="169"/>
      <c r="H70" s="169"/>
      <c r="I70" s="169"/>
      <c r="J70" s="169"/>
      <c r="K70" s="169"/>
      <c r="L70" s="169"/>
      <c r="M70" s="171"/>
      <c r="N70" s="171"/>
      <c r="O70" s="169"/>
      <c r="P70" s="169"/>
      <c r="Q70" s="172"/>
      <c r="R70" s="172"/>
      <c r="S70" s="169"/>
      <c r="T70" s="169"/>
      <c r="U70" s="169"/>
      <c r="V70" s="169"/>
    </row>
    <row r="71" spans="2:22">
      <c r="B71" s="169"/>
      <c r="C71" s="169"/>
      <c r="D71" s="228"/>
      <c r="E71" s="169"/>
      <c r="F71" s="170"/>
      <c r="G71" s="169"/>
      <c r="H71" s="169"/>
      <c r="I71" s="169"/>
      <c r="J71" s="169"/>
      <c r="K71" s="169"/>
      <c r="L71" s="169"/>
      <c r="M71" s="171"/>
      <c r="N71" s="171"/>
      <c r="O71" s="169"/>
      <c r="P71" s="169"/>
      <c r="Q71" s="172"/>
      <c r="R71" s="172"/>
      <c r="S71" s="169"/>
      <c r="T71" s="169"/>
      <c r="U71" s="169"/>
      <c r="V71" s="169"/>
    </row>
    <row r="72" spans="2:22">
      <c r="B72" s="169"/>
      <c r="C72" s="169"/>
      <c r="D72" s="228"/>
      <c r="E72" s="169"/>
      <c r="F72" s="170"/>
      <c r="G72" s="169"/>
      <c r="H72" s="169"/>
      <c r="I72" s="169"/>
      <c r="J72" s="169"/>
      <c r="K72" s="169"/>
      <c r="L72" s="169"/>
      <c r="M72" s="171"/>
      <c r="N72" s="171"/>
      <c r="O72" s="169"/>
      <c r="P72" s="169"/>
      <c r="Q72" s="172"/>
      <c r="R72" s="172"/>
      <c r="S72" s="169"/>
      <c r="T72" s="169"/>
      <c r="U72" s="169"/>
      <c r="V72" s="169"/>
    </row>
    <row r="73" spans="2:22">
      <c r="B73" s="169"/>
      <c r="C73" s="169"/>
      <c r="D73" s="228"/>
      <c r="E73" s="169"/>
      <c r="F73" s="170"/>
      <c r="G73" s="169"/>
      <c r="H73" s="169"/>
      <c r="I73" s="169"/>
      <c r="J73" s="169"/>
      <c r="K73" s="169"/>
      <c r="L73" s="169"/>
      <c r="M73" s="171"/>
      <c r="N73" s="171"/>
      <c r="O73" s="169"/>
      <c r="P73" s="169"/>
      <c r="Q73" s="172"/>
      <c r="R73" s="172"/>
      <c r="S73" s="169"/>
      <c r="T73" s="169"/>
      <c r="U73" s="169"/>
      <c r="V73" s="169"/>
    </row>
    <row r="74" spans="2:22">
      <c r="B74" s="169"/>
      <c r="C74" s="169"/>
      <c r="D74" s="228"/>
      <c r="E74" s="169"/>
      <c r="F74" s="170"/>
      <c r="G74" s="169"/>
      <c r="H74" s="169"/>
      <c r="I74" s="169"/>
      <c r="J74" s="169"/>
      <c r="K74" s="169"/>
      <c r="L74" s="169"/>
      <c r="M74" s="171"/>
      <c r="N74" s="171"/>
      <c r="O74" s="169"/>
      <c r="P74" s="169"/>
      <c r="Q74" s="172"/>
      <c r="R74" s="172"/>
      <c r="S74" s="169"/>
      <c r="T74" s="169"/>
      <c r="U74" s="169"/>
      <c r="V74" s="169"/>
    </row>
    <row r="75" spans="2:22">
      <c r="B75" s="169"/>
      <c r="C75" s="169"/>
      <c r="D75" s="228"/>
      <c r="E75" s="169"/>
      <c r="F75" s="170"/>
      <c r="G75" s="169"/>
      <c r="H75" s="169"/>
      <c r="I75" s="169"/>
      <c r="J75" s="169"/>
      <c r="K75" s="169"/>
      <c r="L75" s="169"/>
      <c r="M75" s="171"/>
      <c r="N75" s="171"/>
      <c r="O75" s="169"/>
      <c r="P75" s="169"/>
      <c r="Q75" s="172"/>
      <c r="R75" s="172"/>
      <c r="S75" s="169"/>
      <c r="T75" s="169"/>
      <c r="U75" s="169"/>
      <c r="V75" s="169"/>
    </row>
    <row r="76" spans="2:22" customFormat="1" ht="17" customHeight="1">
      <c r="B76" s="169"/>
      <c r="C76" s="169"/>
      <c r="D76" s="228"/>
      <c r="E76" s="169"/>
      <c r="F76" s="170"/>
      <c r="G76" s="169"/>
      <c r="H76" s="169"/>
      <c r="I76" s="169"/>
      <c r="J76" s="169"/>
      <c r="K76" s="169"/>
      <c r="L76" s="169"/>
      <c r="M76" s="171"/>
      <c r="N76" s="171"/>
      <c r="O76" s="169"/>
      <c r="P76" s="169"/>
      <c r="Q76" s="172"/>
      <c r="R76" s="172"/>
      <c r="S76" s="169"/>
      <c r="T76" s="169"/>
      <c r="U76" s="169"/>
      <c r="V76" s="169"/>
    </row>
    <row r="77" spans="2:22">
      <c r="B77" s="169"/>
      <c r="C77" s="169"/>
      <c r="D77" s="228"/>
      <c r="E77" s="169"/>
      <c r="F77" s="170"/>
      <c r="G77" s="169"/>
      <c r="H77" s="169"/>
      <c r="I77" s="169"/>
      <c r="J77" s="169"/>
      <c r="K77" s="169"/>
      <c r="L77" s="169"/>
      <c r="M77" s="171"/>
      <c r="N77" s="171"/>
      <c r="O77" s="169"/>
      <c r="P77" s="169"/>
      <c r="Q77" s="172"/>
      <c r="R77" s="172"/>
      <c r="S77" s="169"/>
      <c r="T77" s="169"/>
      <c r="U77" s="169"/>
      <c r="V77" s="169"/>
    </row>
    <row r="78" spans="2:22">
      <c r="B78" s="169"/>
      <c r="C78" s="169"/>
      <c r="D78" s="228"/>
      <c r="E78" s="169"/>
      <c r="F78" s="170"/>
      <c r="G78" s="169"/>
      <c r="H78" s="169"/>
      <c r="I78" s="169"/>
      <c r="J78" s="169"/>
      <c r="K78" s="169"/>
      <c r="L78" s="169"/>
      <c r="M78" s="171"/>
      <c r="N78" s="171"/>
      <c r="O78" s="169"/>
      <c r="P78" s="169"/>
      <c r="Q78" s="172"/>
      <c r="R78" s="172"/>
      <c r="S78" s="169"/>
      <c r="T78" s="169"/>
      <c r="U78" s="169"/>
      <c r="V78" s="169"/>
    </row>
    <row r="79" spans="2:22">
      <c r="B79" s="169"/>
      <c r="C79" s="169"/>
      <c r="D79" s="228"/>
      <c r="E79" s="169"/>
      <c r="F79" s="170"/>
      <c r="G79" s="169"/>
      <c r="H79" s="169"/>
      <c r="I79" s="169"/>
      <c r="J79" s="169"/>
      <c r="K79" s="169"/>
      <c r="L79" s="169"/>
      <c r="M79" s="171"/>
      <c r="N79" s="171"/>
      <c r="O79" s="169"/>
      <c r="P79" s="169"/>
      <c r="Q79" s="172"/>
      <c r="R79" s="172"/>
      <c r="S79" s="169"/>
      <c r="T79" s="169"/>
      <c r="U79" s="169"/>
      <c r="V79" s="169"/>
    </row>
    <row r="80" spans="2:22">
      <c r="B80" s="169"/>
      <c r="C80" s="169"/>
      <c r="D80" s="228"/>
      <c r="E80" s="169"/>
      <c r="F80" s="170"/>
      <c r="G80" s="169"/>
      <c r="H80" s="169"/>
      <c r="I80" s="169"/>
      <c r="J80" s="169"/>
      <c r="K80" s="169"/>
      <c r="L80" s="169"/>
      <c r="M80" s="171"/>
      <c r="N80" s="171"/>
      <c r="O80" s="169"/>
      <c r="P80" s="169"/>
      <c r="Q80" s="172"/>
      <c r="R80" s="172"/>
      <c r="S80" s="169"/>
      <c r="T80" s="169"/>
      <c r="U80" s="169"/>
      <c r="V80" s="169"/>
    </row>
    <row r="81" spans="2:22">
      <c r="B81" s="169"/>
      <c r="C81" s="169"/>
      <c r="D81" s="228"/>
      <c r="E81" s="169"/>
      <c r="F81" s="170"/>
      <c r="G81" s="169"/>
      <c r="H81" s="169"/>
      <c r="I81" s="169"/>
      <c r="J81" s="169"/>
      <c r="K81" s="169"/>
      <c r="L81" s="169"/>
      <c r="M81" s="171"/>
      <c r="N81" s="171"/>
      <c r="O81" s="169"/>
      <c r="P81" s="169"/>
      <c r="Q81" s="172"/>
      <c r="R81" s="172"/>
      <c r="S81" s="169"/>
      <c r="T81" s="169"/>
      <c r="U81" s="169"/>
      <c r="V81" s="169"/>
    </row>
    <row r="82" spans="2:22">
      <c r="B82" s="169"/>
      <c r="C82" s="169"/>
      <c r="D82" s="228"/>
      <c r="E82" s="169"/>
      <c r="F82" s="170"/>
      <c r="G82" s="169"/>
      <c r="H82" s="169"/>
      <c r="I82" s="169"/>
      <c r="J82" s="169"/>
      <c r="K82" s="169"/>
      <c r="L82" s="169"/>
      <c r="M82" s="171"/>
      <c r="N82" s="171"/>
      <c r="O82" s="169"/>
      <c r="P82" s="169"/>
      <c r="Q82" s="172"/>
      <c r="R82" s="172"/>
      <c r="S82" s="169"/>
      <c r="T82" s="169"/>
      <c r="U82" s="169"/>
      <c r="V82" s="169"/>
    </row>
    <row r="83" spans="2:22">
      <c r="B83" s="169"/>
      <c r="C83" s="169"/>
      <c r="D83" s="228"/>
      <c r="E83" s="169"/>
      <c r="F83" s="170"/>
      <c r="G83" s="169"/>
      <c r="H83" s="169"/>
      <c r="I83" s="169"/>
      <c r="J83" s="169"/>
      <c r="K83" s="169"/>
      <c r="L83" s="169"/>
      <c r="M83" s="171"/>
      <c r="N83" s="171"/>
      <c r="O83" s="169"/>
      <c r="P83" s="169"/>
      <c r="Q83" s="172"/>
      <c r="R83" s="172"/>
      <c r="S83" s="169"/>
      <c r="T83" s="169"/>
      <c r="U83" s="169"/>
      <c r="V83" s="169"/>
    </row>
    <row r="84" spans="2:22">
      <c r="B84" s="169"/>
      <c r="C84" s="169"/>
      <c r="D84" s="228"/>
      <c r="E84" s="169"/>
      <c r="F84" s="170"/>
      <c r="G84" s="169"/>
      <c r="H84" s="169"/>
      <c r="I84" s="169"/>
      <c r="J84" s="169"/>
      <c r="K84" s="169"/>
      <c r="L84" s="169"/>
      <c r="M84" s="171"/>
      <c r="N84" s="171"/>
      <c r="O84" s="169"/>
      <c r="P84" s="169"/>
      <c r="Q84" s="172"/>
      <c r="R84" s="172"/>
      <c r="S84" s="169"/>
      <c r="T84" s="169"/>
      <c r="U84" s="169"/>
      <c r="V84" s="169"/>
    </row>
    <row r="85" spans="2:22">
      <c r="B85" s="169"/>
      <c r="C85" s="169"/>
      <c r="D85" s="228"/>
      <c r="E85" s="169"/>
      <c r="F85" s="170"/>
      <c r="G85" s="169"/>
      <c r="H85" s="169"/>
      <c r="I85" s="169"/>
      <c r="J85" s="169"/>
      <c r="K85" s="169"/>
      <c r="L85" s="169"/>
      <c r="M85" s="171"/>
      <c r="N85" s="171"/>
      <c r="O85" s="169"/>
      <c r="P85" s="169"/>
      <c r="Q85" s="172"/>
      <c r="R85" s="172"/>
      <c r="S85" s="169"/>
      <c r="T85" s="169"/>
      <c r="U85" s="169"/>
      <c r="V85" s="169"/>
    </row>
    <row r="86" spans="2:22">
      <c r="B86" s="169"/>
      <c r="C86" s="169"/>
      <c r="D86" s="228"/>
      <c r="E86" s="169"/>
      <c r="F86" s="170"/>
      <c r="G86" s="169"/>
      <c r="H86" s="169"/>
      <c r="I86" s="169"/>
      <c r="J86" s="169"/>
      <c r="K86" s="169"/>
      <c r="L86" s="169"/>
      <c r="M86" s="171"/>
      <c r="N86" s="171"/>
      <c r="O86" s="169"/>
      <c r="P86" s="169"/>
      <c r="Q86" s="172"/>
      <c r="R86" s="172"/>
      <c r="S86" s="169"/>
      <c r="T86" s="169"/>
      <c r="U86" s="169"/>
      <c r="V86" s="169"/>
    </row>
    <row r="87" spans="2:22">
      <c r="B87" s="169"/>
      <c r="C87" s="169"/>
      <c r="D87" s="228"/>
      <c r="E87" s="169"/>
      <c r="F87" s="170"/>
      <c r="G87" s="169"/>
      <c r="H87" s="169"/>
      <c r="I87" s="169"/>
      <c r="J87" s="169"/>
      <c r="K87" s="169"/>
      <c r="L87" s="169"/>
      <c r="M87" s="171"/>
      <c r="N87" s="171"/>
      <c r="O87" s="169"/>
      <c r="P87" s="169"/>
      <c r="Q87" s="172"/>
      <c r="R87" s="172"/>
      <c r="S87" s="169"/>
      <c r="T87" s="169"/>
      <c r="U87" s="169"/>
      <c r="V87" s="169"/>
    </row>
    <row r="88" spans="2:22">
      <c r="B88" s="169"/>
      <c r="C88" s="169"/>
      <c r="D88" s="228"/>
      <c r="E88" s="169"/>
      <c r="F88" s="170"/>
      <c r="G88" s="169"/>
      <c r="H88" s="169"/>
      <c r="I88" s="169"/>
      <c r="J88" s="169"/>
      <c r="K88" s="169"/>
      <c r="L88" s="169"/>
      <c r="M88" s="171"/>
      <c r="N88" s="171"/>
      <c r="O88" s="169"/>
      <c r="P88" s="169"/>
      <c r="Q88" s="172"/>
      <c r="R88" s="172"/>
      <c r="S88" s="169"/>
      <c r="T88" s="169"/>
      <c r="U88" s="169"/>
      <c r="V88" s="169"/>
    </row>
    <row r="89" spans="2:22">
      <c r="B89" s="169"/>
      <c r="C89" s="169"/>
      <c r="D89" s="228"/>
      <c r="E89" s="169"/>
      <c r="F89" s="170"/>
      <c r="G89" s="169"/>
      <c r="H89" s="169"/>
      <c r="I89" s="169"/>
      <c r="J89" s="169"/>
      <c r="K89" s="169"/>
      <c r="L89" s="169"/>
      <c r="M89" s="171"/>
      <c r="N89" s="171"/>
      <c r="O89" s="169"/>
      <c r="P89" s="169"/>
      <c r="Q89" s="172"/>
      <c r="R89" s="172"/>
      <c r="S89" s="169"/>
      <c r="T89" s="169"/>
      <c r="U89" s="169"/>
      <c r="V89" s="169"/>
    </row>
    <row r="90" spans="2:22">
      <c r="B90" s="169"/>
      <c r="C90" s="169"/>
      <c r="D90" s="228"/>
      <c r="E90" s="169"/>
      <c r="F90" s="170"/>
      <c r="G90" s="169"/>
      <c r="H90" s="169"/>
      <c r="I90" s="169"/>
      <c r="J90" s="169"/>
      <c r="K90" s="169"/>
      <c r="L90" s="169"/>
      <c r="M90" s="171"/>
      <c r="N90" s="171"/>
      <c r="O90" s="169"/>
      <c r="P90" s="169"/>
      <c r="Q90" s="172"/>
      <c r="R90" s="172"/>
      <c r="S90" s="169"/>
      <c r="T90" s="169"/>
      <c r="U90" s="169"/>
      <c r="V90" s="169"/>
    </row>
    <row r="91" spans="2:22">
      <c r="B91" s="169"/>
      <c r="C91" s="169"/>
      <c r="D91" s="228"/>
      <c r="E91" s="169"/>
      <c r="F91" s="170"/>
      <c r="G91" s="169"/>
      <c r="H91" s="169"/>
      <c r="I91" s="169"/>
      <c r="J91" s="169"/>
      <c r="K91" s="169"/>
      <c r="L91" s="169"/>
      <c r="M91" s="171"/>
      <c r="N91" s="171"/>
      <c r="O91" s="169"/>
      <c r="P91" s="169"/>
      <c r="Q91" s="172"/>
      <c r="R91" s="172"/>
      <c r="S91" s="169"/>
      <c r="T91" s="169"/>
      <c r="U91" s="169"/>
      <c r="V91" s="169"/>
    </row>
    <row r="92" spans="2:22">
      <c r="B92" s="169"/>
      <c r="C92" s="169"/>
      <c r="D92" s="228"/>
      <c r="E92" s="169"/>
      <c r="F92" s="170"/>
      <c r="G92" s="169"/>
      <c r="H92" s="169"/>
      <c r="I92" s="169"/>
      <c r="J92" s="169"/>
      <c r="K92" s="169"/>
      <c r="L92" s="169"/>
      <c r="M92" s="171"/>
      <c r="N92" s="171"/>
      <c r="O92" s="169"/>
      <c r="P92" s="169"/>
      <c r="Q92" s="172"/>
      <c r="R92" s="172"/>
      <c r="S92" s="169"/>
      <c r="T92" s="169"/>
      <c r="U92" s="169"/>
      <c r="V92" s="169"/>
    </row>
    <row r="93" spans="2:22">
      <c r="B93" s="169"/>
      <c r="C93" s="169"/>
      <c r="D93" s="228"/>
      <c r="E93" s="169"/>
      <c r="F93" s="170"/>
      <c r="G93" s="169"/>
      <c r="H93" s="169"/>
      <c r="I93" s="169"/>
      <c r="J93" s="169"/>
      <c r="K93" s="169"/>
      <c r="L93" s="169"/>
      <c r="M93" s="171"/>
      <c r="N93" s="171"/>
      <c r="O93" s="169"/>
      <c r="P93" s="169"/>
      <c r="Q93" s="172"/>
      <c r="R93" s="172"/>
      <c r="S93" s="169"/>
      <c r="T93" s="169"/>
      <c r="U93" s="169"/>
      <c r="V93" s="169"/>
    </row>
    <row r="94" spans="2:22">
      <c r="B94" s="169"/>
      <c r="C94" s="169"/>
      <c r="D94" s="228"/>
      <c r="E94" s="169"/>
      <c r="F94" s="170"/>
      <c r="G94" s="169"/>
      <c r="H94" s="169"/>
      <c r="I94" s="169"/>
      <c r="J94" s="169"/>
      <c r="K94" s="169"/>
      <c r="L94" s="169"/>
      <c r="M94" s="171"/>
      <c r="N94" s="171"/>
      <c r="O94" s="169"/>
      <c r="P94" s="169"/>
      <c r="Q94" s="172"/>
      <c r="R94" s="172"/>
      <c r="S94" s="169"/>
      <c r="T94" s="169"/>
      <c r="U94" s="169"/>
      <c r="V94" s="169"/>
    </row>
    <row r="95" spans="2:22">
      <c r="B95" s="169"/>
      <c r="C95" s="169"/>
      <c r="D95" s="228"/>
      <c r="E95" s="169"/>
      <c r="F95" s="170"/>
      <c r="G95" s="169"/>
      <c r="H95" s="169"/>
      <c r="I95" s="169"/>
      <c r="J95" s="169"/>
      <c r="K95" s="169"/>
      <c r="L95" s="169"/>
      <c r="M95" s="171"/>
      <c r="N95" s="171"/>
      <c r="O95" s="169"/>
      <c r="P95" s="169"/>
      <c r="Q95" s="172"/>
      <c r="R95" s="172"/>
      <c r="S95" s="169"/>
      <c r="T95" s="169"/>
      <c r="U95" s="169"/>
      <c r="V95" s="169"/>
    </row>
    <row r="96" spans="2:22">
      <c r="B96" s="169"/>
      <c r="C96" s="169"/>
      <c r="D96" s="228"/>
      <c r="E96" s="169"/>
      <c r="F96" s="170"/>
      <c r="G96" s="169"/>
      <c r="H96" s="169"/>
      <c r="I96" s="169"/>
      <c r="J96" s="169"/>
      <c r="K96" s="169"/>
      <c r="L96" s="169"/>
      <c r="M96" s="171"/>
      <c r="N96" s="171"/>
      <c r="O96" s="169"/>
      <c r="P96" s="169"/>
      <c r="Q96" s="172"/>
      <c r="R96" s="172"/>
      <c r="S96" s="169"/>
      <c r="T96" s="169"/>
      <c r="U96" s="169"/>
      <c r="V96" s="169"/>
    </row>
    <row r="97" spans="2:22">
      <c r="B97" s="169"/>
      <c r="C97" s="169"/>
      <c r="D97" s="228"/>
      <c r="E97" s="169"/>
      <c r="F97" s="170"/>
      <c r="G97" s="169"/>
      <c r="H97" s="169"/>
      <c r="I97" s="169"/>
      <c r="J97" s="169"/>
      <c r="K97" s="169"/>
      <c r="L97" s="169"/>
      <c r="M97" s="171"/>
      <c r="N97" s="171"/>
      <c r="O97" s="169"/>
      <c r="P97" s="169"/>
      <c r="Q97" s="172"/>
      <c r="R97" s="172"/>
      <c r="S97" s="169"/>
      <c r="T97" s="169"/>
      <c r="U97" s="169"/>
      <c r="V97" s="169"/>
    </row>
    <row r="98" spans="2:22">
      <c r="B98" s="169"/>
      <c r="C98" s="169"/>
      <c r="D98" s="228"/>
      <c r="E98" s="169"/>
      <c r="F98" s="170"/>
      <c r="G98" s="169"/>
      <c r="H98" s="169"/>
      <c r="I98" s="169"/>
      <c r="J98" s="169"/>
      <c r="K98" s="169"/>
      <c r="L98" s="169"/>
      <c r="M98" s="171"/>
      <c r="N98" s="171"/>
      <c r="O98" s="169"/>
      <c r="P98" s="169"/>
      <c r="Q98" s="172"/>
      <c r="R98" s="172"/>
      <c r="S98" s="169"/>
      <c r="T98" s="169"/>
      <c r="U98" s="169"/>
      <c r="V98" s="169"/>
    </row>
    <row r="99" spans="2:22">
      <c r="B99" s="169"/>
      <c r="C99" s="169"/>
      <c r="D99" s="228"/>
      <c r="E99" s="169"/>
      <c r="F99" s="170"/>
      <c r="G99" s="169"/>
      <c r="H99" s="169"/>
      <c r="I99" s="169"/>
      <c r="J99" s="169"/>
      <c r="K99" s="169"/>
      <c r="L99" s="169"/>
      <c r="M99" s="171"/>
      <c r="N99" s="171"/>
      <c r="O99" s="169"/>
      <c r="P99" s="169"/>
      <c r="Q99" s="172"/>
      <c r="R99" s="172"/>
      <c r="S99" s="169"/>
      <c r="T99" s="169"/>
      <c r="U99" s="169"/>
      <c r="V99" s="169"/>
    </row>
    <row r="100" spans="2:22">
      <c r="B100" s="169"/>
      <c r="C100" s="169"/>
      <c r="D100" s="228"/>
      <c r="E100" s="169"/>
      <c r="F100" s="170"/>
      <c r="G100" s="169"/>
      <c r="H100" s="169"/>
      <c r="I100" s="169"/>
      <c r="J100" s="169"/>
      <c r="K100" s="169"/>
      <c r="L100" s="169"/>
      <c r="M100" s="171"/>
      <c r="N100" s="171"/>
      <c r="O100" s="169"/>
      <c r="P100" s="169"/>
      <c r="Q100" s="172"/>
      <c r="R100" s="172"/>
      <c r="S100" s="169"/>
      <c r="T100" s="169"/>
      <c r="U100" s="169"/>
      <c r="V100" s="169"/>
    </row>
    <row r="101" spans="2:22">
      <c r="B101" s="169"/>
      <c r="C101" s="169"/>
      <c r="D101" s="228"/>
      <c r="E101" s="169"/>
      <c r="F101" s="170"/>
      <c r="G101" s="169"/>
      <c r="H101" s="169"/>
      <c r="I101" s="169"/>
      <c r="J101" s="169"/>
      <c r="K101" s="169"/>
      <c r="L101" s="169"/>
      <c r="M101" s="171"/>
      <c r="N101" s="171"/>
      <c r="O101" s="169"/>
      <c r="P101" s="169"/>
      <c r="Q101" s="172"/>
      <c r="R101" s="172"/>
      <c r="S101" s="169"/>
      <c r="T101" s="169"/>
      <c r="U101" s="169"/>
      <c r="V101" s="169"/>
    </row>
    <row r="102" spans="2:22">
      <c r="B102" s="169"/>
      <c r="C102" s="169"/>
      <c r="D102" s="228"/>
      <c r="E102" s="169"/>
      <c r="F102" s="170"/>
      <c r="G102" s="169"/>
      <c r="H102" s="169"/>
      <c r="I102" s="169"/>
      <c r="J102" s="169"/>
      <c r="K102" s="169"/>
      <c r="L102" s="169"/>
      <c r="M102" s="171"/>
      <c r="N102" s="171"/>
      <c r="O102" s="169"/>
      <c r="P102" s="169"/>
      <c r="Q102" s="172"/>
      <c r="R102" s="172"/>
      <c r="S102" s="169"/>
      <c r="T102" s="169"/>
      <c r="U102" s="169"/>
      <c r="V102" s="169"/>
    </row>
    <row r="103" spans="2:22">
      <c r="B103" s="169"/>
      <c r="C103" s="169"/>
      <c r="D103" s="228"/>
      <c r="E103" s="169"/>
      <c r="F103" s="170"/>
      <c r="G103" s="169"/>
      <c r="H103" s="169"/>
      <c r="I103" s="169"/>
      <c r="J103" s="169"/>
      <c r="K103" s="169"/>
      <c r="L103" s="169"/>
      <c r="M103" s="171"/>
      <c r="N103" s="171"/>
      <c r="O103" s="169"/>
      <c r="P103" s="169"/>
      <c r="Q103" s="172"/>
      <c r="R103" s="172"/>
      <c r="S103" s="169"/>
      <c r="T103" s="169"/>
      <c r="U103" s="169"/>
      <c r="V103" s="169"/>
    </row>
    <row r="104" spans="2:22">
      <c r="B104" s="169"/>
      <c r="C104" s="169"/>
      <c r="D104" s="228"/>
      <c r="E104" s="169"/>
      <c r="F104" s="170"/>
      <c r="G104" s="169"/>
      <c r="H104" s="169"/>
      <c r="I104" s="169"/>
      <c r="J104" s="169"/>
      <c r="K104" s="169"/>
      <c r="L104" s="169"/>
      <c r="M104" s="171"/>
      <c r="N104" s="171"/>
      <c r="O104" s="169"/>
      <c r="P104" s="169"/>
      <c r="Q104" s="172"/>
      <c r="R104" s="172"/>
      <c r="S104" s="169"/>
      <c r="T104" s="169"/>
      <c r="U104" s="169"/>
      <c r="V104" s="169"/>
    </row>
    <row r="105" spans="2:22">
      <c r="B105" s="169"/>
      <c r="C105" s="169"/>
      <c r="D105" s="228"/>
      <c r="E105" s="169"/>
      <c r="F105" s="170"/>
      <c r="G105" s="169"/>
      <c r="H105" s="169"/>
      <c r="I105" s="169"/>
      <c r="J105" s="169"/>
      <c r="K105" s="169"/>
      <c r="L105" s="169"/>
      <c r="M105" s="171"/>
      <c r="N105" s="171"/>
      <c r="O105" s="169"/>
      <c r="P105" s="169"/>
      <c r="Q105" s="172"/>
      <c r="R105" s="172"/>
      <c r="S105" s="169"/>
      <c r="T105" s="169"/>
      <c r="U105" s="169"/>
      <c r="V105" s="169"/>
    </row>
    <row r="106" spans="2:22">
      <c r="B106" s="169"/>
      <c r="C106" s="169"/>
      <c r="D106" s="228"/>
      <c r="E106" s="169"/>
      <c r="F106" s="170"/>
      <c r="G106" s="169"/>
      <c r="H106" s="169"/>
      <c r="I106" s="169"/>
      <c r="J106" s="169"/>
      <c r="K106" s="169"/>
      <c r="L106" s="169"/>
      <c r="M106" s="171"/>
      <c r="N106" s="171"/>
      <c r="O106" s="169"/>
      <c r="P106" s="169"/>
      <c r="Q106" s="172"/>
      <c r="R106" s="172"/>
      <c r="S106" s="169"/>
      <c r="T106" s="169"/>
      <c r="U106" s="169"/>
      <c r="V106" s="169"/>
    </row>
    <row r="107" spans="2:22">
      <c r="B107" s="169"/>
      <c r="C107" s="169"/>
      <c r="D107" s="228"/>
      <c r="E107" s="169"/>
      <c r="F107" s="170"/>
      <c r="G107" s="169"/>
      <c r="H107" s="169"/>
      <c r="I107" s="169"/>
      <c r="J107" s="169"/>
      <c r="K107" s="169"/>
      <c r="L107" s="169"/>
      <c r="M107" s="171"/>
      <c r="N107" s="171"/>
      <c r="O107" s="169"/>
      <c r="P107" s="169"/>
      <c r="Q107" s="172"/>
      <c r="R107" s="172"/>
      <c r="S107" s="169"/>
      <c r="T107" s="169"/>
      <c r="U107" s="169"/>
      <c r="V107" s="169"/>
    </row>
    <row r="108" spans="2:22">
      <c r="B108" s="169"/>
      <c r="C108" s="169"/>
      <c r="D108" s="228"/>
      <c r="E108" s="169"/>
      <c r="F108" s="170"/>
      <c r="G108" s="169"/>
      <c r="H108" s="169"/>
      <c r="I108" s="169"/>
      <c r="J108" s="169"/>
      <c r="K108" s="169"/>
      <c r="L108" s="169"/>
      <c r="M108" s="171"/>
      <c r="N108" s="171"/>
      <c r="O108" s="169"/>
      <c r="P108" s="169"/>
      <c r="Q108" s="172"/>
      <c r="R108" s="172"/>
      <c r="S108" s="169"/>
      <c r="T108" s="169"/>
      <c r="U108" s="169"/>
      <c r="V108" s="169"/>
    </row>
    <row r="109" spans="2:22">
      <c r="B109" s="169"/>
      <c r="C109" s="169"/>
      <c r="D109" s="228"/>
      <c r="E109" s="169"/>
      <c r="F109" s="170"/>
      <c r="G109" s="169"/>
      <c r="H109" s="169"/>
      <c r="I109" s="169"/>
      <c r="J109" s="169"/>
      <c r="K109" s="169"/>
      <c r="L109" s="169"/>
      <c r="M109" s="171"/>
      <c r="N109" s="171"/>
      <c r="O109" s="169"/>
      <c r="P109" s="169"/>
      <c r="Q109" s="172"/>
      <c r="R109" s="172"/>
      <c r="S109" s="169"/>
      <c r="T109" s="169"/>
      <c r="U109" s="169"/>
      <c r="V109" s="169"/>
    </row>
    <row r="110" spans="2:22">
      <c r="B110" s="169"/>
      <c r="C110" s="169"/>
      <c r="D110" s="228"/>
      <c r="E110" s="169"/>
      <c r="F110" s="170"/>
      <c r="G110" s="169"/>
      <c r="H110" s="169"/>
      <c r="I110" s="169"/>
      <c r="J110" s="169"/>
      <c r="K110" s="169"/>
      <c r="L110" s="169"/>
      <c r="M110" s="171"/>
      <c r="N110" s="171"/>
      <c r="O110" s="169"/>
      <c r="P110" s="169"/>
      <c r="Q110" s="172"/>
      <c r="R110" s="172"/>
      <c r="S110" s="169"/>
      <c r="T110" s="169"/>
      <c r="U110" s="169"/>
      <c r="V110" s="169"/>
    </row>
    <row r="111" spans="2:22">
      <c r="B111" s="169"/>
      <c r="C111" s="169"/>
      <c r="D111" s="228"/>
      <c r="E111" s="169"/>
      <c r="F111" s="170"/>
      <c r="G111" s="169"/>
      <c r="H111" s="169"/>
      <c r="I111" s="169"/>
      <c r="J111" s="169"/>
      <c r="K111" s="169"/>
      <c r="L111" s="169"/>
      <c r="M111" s="171"/>
      <c r="N111" s="171"/>
      <c r="O111" s="169"/>
      <c r="P111" s="169"/>
      <c r="Q111" s="172"/>
      <c r="R111" s="172"/>
      <c r="S111" s="169"/>
      <c r="T111" s="169"/>
      <c r="U111" s="169"/>
      <c r="V111" s="169"/>
    </row>
    <row r="112" spans="2:22">
      <c r="B112" s="169"/>
      <c r="C112" s="169"/>
      <c r="D112" s="228"/>
      <c r="E112" s="169"/>
      <c r="F112" s="170"/>
      <c r="G112" s="169"/>
      <c r="H112" s="169"/>
      <c r="I112" s="169"/>
      <c r="J112" s="169"/>
      <c r="K112" s="169"/>
      <c r="L112" s="169"/>
      <c r="M112" s="171"/>
      <c r="N112" s="171"/>
      <c r="O112" s="169"/>
      <c r="P112" s="169"/>
      <c r="Q112" s="172"/>
      <c r="R112" s="172"/>
      <c r="S112" s="169"/>
      <c r="T112" s="169"/>
      <c r="U112" s="169"/>
      <c r="V112" s="169"/>
    </row>
    <row r="113" spans="2:22">
      <c r="B113" s="169"/>
      <c r="C113" s="169"/>
      <c r="D113" s="228"/>
      <c r="E113" s="169"/>
      <c r="F113" s="170"/>
      <c r="G113" s="169"/>
      <c r="H113" s="169"/>
      <c r="I113" s="169"/>
      <c r="J113" s="169"/>
      <c r="K113" s="169"/>
      <c r="L113" s="169"/>
      <c r="M113" s="171"/>
      <c r="N113" s="171"/>
      <c r="O113" s="169"/>
      <c r="P113" s="169"/>
      <c r="Q113" s="172"/>
      <c r="R113" s="172"/>
      <c r="S113" s="169"/>
      <c r="T113" s="169"/>
      <c r="U113" s="169"/>
      <c r="V113" s="169"/>
    </row>
    <row r="114" spans="2:22">
      <c r="B114" s="169"/>
      <c r="C114" s="169"/>
      <c r="D114" s="228"/>
      <c r="E114" s="169"/>
      <c r="F114" s="170"/>
      <c r="G114" s="169"/>
      <c r="H114" s="169"/>
      <c r="I114" s="169"/>
      <c r="J114" s="169"/>
      <c r="K114" s="169"/>
      <c r="L114" s="169"/>
      <c r="M114" s="171"/>
      <c r="N114" s="171"/>
      <c r="O114" s="169"/>
      <c r="P114" s="169"/>
      <c r="Q114" s="172"/>
      <c r="R114" s="172"/>
      <c r="S114" s="169"/>
      <c r="T114" s="169"/>
      <c r="U114" s="169"/>
      <c r="V114" s="169"/>
    </row>
    <row r="115" spans="2:22">
      <c r="B115" s="169"/>
      <c r="C115" s="169"/>
      <c r="D115" s="228"/>
      <c r="E115" s="169"/>
      <c r="F115" s="170"/>
      <c r="G115" s="169"/>
      <c r="H115" s="169"/>
      <c r="I115" s="169"/>
      <c r="J115" s="169"/>
      <c r="K115" s="169"/>
      <c r="L115" s="169"/>
      <c r="M115" s="171"/>
      <c r="N115" s="171"/>
      <c r="O115" s="169"/>
      <c r="P115" s="169"/>
      <c r="Q115" s="172"/>
      <c r="R115" s="172"/>
      <c r="S115" s="169"/>
      <c r="T115" s="169"/>
      <c r="U115" s="169"/>
      <c r="V115" s="169"/>
    </row>
    <row r="116" spans="2:22">
      <c r="B116" s="169"/>
      <c r="C116" s="169"/>
      <c r="D116" s="228"/>
      <c r="E116" s="169"/>
      <c r="F116" s="170"/>
      <c r="G116" s="169"/>
      <c r="H116" s="169"/>
      <c r="I116" s="169"/>
      <c r="J116" s="169"/>
      <c r="K116" s="169"/>
      <c r="L116" s="169"/>
      <c r="M116" s="171"/>
      <c r="N116" s="171"/>
      <c r="O116" s="169"/>
      <c r="P116" s="169"/>
      <c r="Q116" s="172"/>
      <c r="R116" s="172"/>
      <c r="S116" s="169"/>
      <c r="T116" s="169"/>
      <c r="U116" s="169"/>
      <c r="V116" s="169"/>
    </row>
    <row r="117" spans="2:22">
      <c r="B117" s="169"/>
      <c r="C117" s="169"/>
      <c r="D117" s="228"/>
      <c r="E117" s="169"/>
      <c r="F117" s="170"/>
      <c r="G117" s="169"/>
      <c r="H117" s="169"/>
      <c r="I117" s="169"/>
      <c r="J117" s="169"/>
      <c r="K117" s="169"/>
      <c r="L117" s="169"/>
      <c r="M117" s="171"/>
      <c r="N117" s="171"/>
      <c r="O117" s="169"/>
      <c r="P117" s="169"/>
      <c r="Q117" s="172"/>
      <c r="R117" s="172"/>
      <c r="S117" s="169"/>
      <c r="T117" s="169"/>
      <c r="U117" s="169"/>
      <c r="V117" s="169"/>
    </row>
    <row r="118" spans="2:22">
      <c r="B118" s="169"/>
      <c r="C118" s="169"/>
      <c r="D118" s="228"/>
      <c r="E118" s="169"/>
      <c r="F118" s="170"/>
      <c r="G118" s="169"/>
      <c r="H118" s="169"/>
      <c r="I118" s="169"/>
      <c r="J118" s="169"/>
      <c r="K118" s="169"/>
      <c r="L118" s="169"/>
      <c r="M118" s="171"/>
      <c r="N118" s="171"/>
      <c r="O118" s="169"/>
      <c r="P118" s="169"/>
      <c r="Q118" s="172"/>
      <c r="R118" s="172"/>
      <c r="S118" s="169"/>
      <c r="T118" s="169"/>
      <c r="U118" s="169"/>
      <c r="V118" s="169"/>
    </row>
    <row r="119" spans="2:22">
      <c r="B119" s="169"/>
      <c r="C119" s="169"/>
      <c r="D119" s="228"/>
      <c r="E119" s="169"/>
      <c r="F119" s="170"/>
      <c r="G119" s="169"/>
      <c r="H119" s="169"/>
      <c r="I119" s="169"/>
      <c r="J119" s="169"/>
      <c r="K119" s="169"/>
      <c r="L119" s="169"/>
      <c r="M119" s="171"/>
      <c r="N119" s="171"/>
      <c r="O119" s="169"/>
      <c r="P119" s="169"/>
      <c r="Q119" s="172"/>
      <c r="R119" s="172"/>
      <c r="S119" s="169"/>
      <c r="T119" s="169"/>
      <c r="U119" s="169"/>
      <c r="V119" s="169"/>
    </row>
    <row r="120" spans="2:22">
      <c r="B120" s="169"/>
      <c r="C120" s="169"/>
      <c r="D120" s="228"/>
      <c r="E120" s="169"/>
      <c r="F120" s="170"/>
      <c r="G120" s="169"/>
      <c r="H120" s="169"/>
      <c r="I120" s="169"/>
      <c r="J120" s="169"/>
      <c r="K120" s="169"/>
      <c r="L120" s="169"/>
      <c r="M120" s="171"/>
      <c r="N120" s="171"/>
      <c r="O120" s="169"/>
      <c r="P120" s="169"/>
      <c r="Q120" s="172"/>
      <c r="R120" s="172"/>
      <c r="S120" s="169"/>
      <c r="T120" s="169"/>
      <c r="U120" s="169"/>
      <c r="V120" s="169"/>
    </row>
    <row r="121" spans="2:22">
      <c r="B121" s="169"/>
      <c r="C121" s="169"/>
      <c r="D121" s="228"/>
      <c r="E121" s="169"/>
      <c r="F121" s="170"/>
      <c r="G121" s="169"/>
      <c r="H121" s="169"/>
      <c r="I121" s="169"/>
      <c r="J121" s="169"/>
      <c r="K121" s="169"/>
      <c r="L121" s="169"/>
      <c r="M121" s="171"/>
      <c r="N121" s="171"/>
      <c r="O121" s="169"/>
      <c r="P121" s="169"/>
      <c r="Q121" s="172"/>
      <c r="R121" s="172"/>
      <c r="S121" s="169"/>
      <c r="T121" s="169"/>
      <c r="U121" s="169"/>
      <c r="V121" s="169"/>
    </row>
    <row r="122" spans="2:22">
      <c r="B122" s="169"/>
      <c r="C122" s="169"/>
      <c r="D122" s="228"/>
      <c r="E122" s="169"/>
      <c r="F122" s="170"/>
      <c r="G122" s="169"/>
      <c r="H122" s="169"/>
      <c r="I122" s="169"/>
      <c r="J122" s="169"/>
      <c r="K122" s="169"/>
      <c r="L122" s="169"/>
      <c r="M122" s="171"/>
      <c r="N122" s="171"/>
      <c r="O122" s="169"/>
      <c r="P122" s="169"/>
      <c r="Q122" s="172"/>
      <c r="R122" s="172"/>
      <c r="S122" s="169"/>
      <c r="T122" s="169"/>
      <c r="U122" s="169"/>
      <c r="V122" s="169"/>
    </row>
    <row r="123" spans="2:22">
      <c r="B123" s="169"/>
      <c r="C123" s="169"/>
      <c r="D123" s="228"/>
      <c r="E123" s="169"/>
      <c r="F123" s="170"/>
      <c r="G123" s="169"/>
      <c r="H123" s="169"/>
      <c r="I123" s="169"/>
      <c r="J123" s="169"/>
      <c r="K123" s="169"/>
      <c r="L123" s="169"/>
      <c r="M123" s="171"/>
      <c r="N123" s="171"/>
      <c r="O123" s="169"/>
      <c r="P123" s="169"/>
      <c r="Q123" s="172"/>
      <c r="R123" s="172"/>
      <c r="S123" s="169"/>
      <c r="T123" s="169"/>
      <c r="U123" s="169"/>
      <c r="V123" s="169"/>
    </row>
    <row r="124" spans="2:22">
      <c r="B124" s="169"/>
      <c r="C124" s="169"/>
      <c r="D124" s="228"/>
      <c r="E124" s="169"/>
      <c r="F124" s="170"/>
      <c r="G124" s="169"/>
      <c r="H124" s="169"/>
      <c r="I124" s="169"/>
      <c r="J124" s="169"/>
      <c r="K124" s="169"/>
      <c r="L124" s="169"/>
      <c r="M124" s="171"/>
      <c r="N124" s="171"/>
      <c r="O124" s="169"/>
      <c r="P124" s="169"/>
      <c r="Q124" s="172"/>
      <c r="R124" s="172"/>
      <c r="S124" s="169"/>
      <c r="T124" s="169"/>
      <c r="U124" s="169"/>
      <c r="V124" s="169"/>
    </row>
    <row r="125" spans="2:22">
      <c r="B125" s="169"/>
      <c r="C125" s="169"/>
      <c r="D125" s="228"/>
      <c r="E125" s="169"/>
      <c r="F125" s="170"/>
      <c r="G125" s="169"/>
      <c r="H125" s="169"/>
      <c r="I125" s="169"/>
      <c r="J125" s="169"/>
      <c r="K125" s="169"/>
      <c r="L125" s="169"/>
      <c r="M125" s="171"/>
      <c r="N125" s="171"/>
      <c r="O125" s="169"/>
      <c r="P125" s="169"/>
      <c r="Q125" s="172"/>
      <c r="R125" s="172"/>
      <c r="S125" s="169"/>
      <c r="T125" s="169"/>
      <c r="U125" s="169"/>
      <c r="V125" s="169"/>
    </row>
    <row r="126" spans="2:22">
      <c r="B126" s="169"/>
      <c r="C126" s="169"/>
      <c r="D126" s="228"/>
      <c r="E126" s="169"/>
      <c r="F126" s="170"/>
      <c r="G126" s="169"/>
      <c r="H126" s="169"/>
      <c r="I126" s="169"/>
      <c r="J126" s="169"/>
      <c r="K126" s="169"/>
      <c r="L126" s="169"/>
      <c r="M126" s="171"/>
      <c r="N126" s="171"/>
      <c r="O126" s="169"/>
      <c r="P126" s="169"/>
      <c r="Q126" s="172"/>
      <c r="R126" s="172"/>
      <c r="S126" s="169"/>
      <c r="T126" s="169"/>
      <c r="U126" s="169"/>
      <c r="V126" s="169"/>
    </row>
    <row r="127" spans="2:22">
      <c r="B127" s="169"/>
      <c r="C127" s="169"/>
      <c r="D127" s="228"/>
      <c r="E127" s="169"/>
      <c r="F127" s="170"/>
      <c r="G127" s="169"/>
      <c r="H127" s="169"/>
      <c r="I127" s="169"/>
      <c r="J127" s="169"/>
      <c r="K127" s="169"/>
      <c r="L127" s="169"/>
      <c r="M127" s="171"/>
      <c r="N127" s="171"/>
      <c r="O127" s="169"/>
      <c r="P127" s="169"/>
      <c r="Q127" s="172"/>
      <c r="R127" s="172"/>
      <c r="S127" s="169"/>
      <c r="T127" s="169"/>
      <c r="U127" s="169"/>
      <c r="V127" s="169"/>
    </row>
    <row r="128" spans="2:22">
      <c r="B128" s="169"/>
      <c r="C128" s="169"/>
      <c r="D128" s="228"/>
      <c r="E128" s="169"/>
      <c r="F128" s="170"/>
      <c r="G128" s="169"/>
      <c r="H128" s="169"/>
      <c r="I128" s="169"/>
      <c r="J128" s="169"/>
      <c r="K128" s="169"/>
      <c r="L128" s="169"/>
      <c r="M128" s="171"/>
      <c r="N128" s="171"/>
      <c r="O128" s="169"/>
      <c r="P128" s="169"/>
      <c r="Q128" s="172"/>
      <c r="R128" s="172"/>
      <c r="S128" s="169"/>
      <c r="T128" s="169"/>
      <c r="U128" s="169"/>
      <c r="V128" s="169"/>
    </row>
    <row r="129" spans="2:22">
      <c r="B129" s="169"/>
      <c r="C129" s="169"/>
      <c r="D129" s="228"/>
      <c r="E129" s="169"/>
      <c r="F129" s="170"/>
      <c r="G129" s="169"/>
      <c r="H129" s="169"/>
      <c r="I129" s="169"/>
      <c r="J129" s="169"/>
      <c r="K129" s="169"/>
      <c r="L129" s="169"/>
      <c r="M129" s="171"/>
      <c r="N129" s="171"/>
      <c r="O129" s="169"/>
      <c r="P129" s="169"/>
      <c r="Q129" s="172"/>
      <c r="R129" s="172"/>
      <c r="S129" s="169"/>
      <c r="T129" s="169"/>
      <c r="U129" s="169"/>
      <c r="V129" s="169"/>
    </row>
    <row r="130" spans="2:22">
      <c r="B130" s="169"/>
      <c r="C130" s="169"/>
      <c r="D130" s="228"/>
      <c r="E130" s="169"/>
      <c r="F130" s="170"/>
      <c r="G130" s="169"/>
      <c r="H130" s="169"/>
      <c r="I130" s="169"/>
      <c r="J130" s="169"/>
      <c r="K130" s="169"/>
      <c r="L130" s="169"/>
      <c r="M130" s="171"/>
      <c r="N130" s="171"/>
      <c r="O130" s="169"/>
      <c r="P130" s="169"/>
      <c r="Q130" s="172"/>
      <c r="R130" s="172"/>
      <c r="S130" s="169"/>
      <c r="T130" s="169"/>
      <c r="U130" s="169"/>
      <c r="V130" s="169"/>
    </row>
    <row r="131" spans="2:22">
      <c r="B131" s="169"/>
      <c r="C131" s="169"/>
      <c r="D131" s="228"/>
      <c r="E131" s="169"/>
      <c r="F131" s="170"/>
      <c r="G131" s="169"/>
      <c r="H131" s="169"/>
      <c r="I131" s="169"/>
      <c r="J131" s="169"/>
      <c r="K131" s="169"/>
      <c r="L131" s="169"/>
      <c r="M131" s="171"/>
      <c r="N131" s="171"/>
      <c r="O131" s="169"/>
      <c r="P131" s="169"/>
      <c r="Q131" s="172"/>
      <c r="R131" s="172"/>
      <c r="S131" s="169"/>
      <c r="T131" s="169"/>
      <c r="U131" s="169"/>
      <c r="V131" s="169"/>
    </row>
    <row r="132" spans="2:22">
      <c r="B132" s="169"/>
      <c r="C132" s="169"/>
      <c r="D132" s="228"/>
      <c r="E132" s="169"/>
      <c r="F132" s="170"/>
      <c r="G132" s="169"/>
      <c r="H132" s="169"/>
      <c r="I132" s="169"/>
      <c r="J132" s="169"/>
      <c r="K132" s="169"/>
      <c r="L132" s="169"/>
      <c r="M132" s="171"/>
      <c r="N132" s="171"/>
      <c r="O132" s="169"/>
      <c r="P132" s="169"/>
      <c r="Q132" s="172"/>
      <c r="R132" s="172"/>
      <c r="S132" s="169"/>
      <c r="T132" s="169"/>
      <c r="U132" s="169"/>
      <c r="V132" s="169"/>
    </row>
    <row r="133" spans="2:22">
      <c r="B133" s="169"/>
      <c r="C133" s="169"/>
      <c r="D133" s="228"/>
      <c r="E133" s="169"/>
      <c r="F133" s="170"/>
      <c r="G133" s="169"/>
      <c r="H133" s="169"/>
      <c r="I133" s="169"/>
      <c r="J133" s="169"/>
      <c r="K133" s="169"/>
      <c r="L133" s="169"/>
      <c r="M133" s="171"/>
      <c r="N133" s="171"/>
      <c r="O133" s="169"/>
      <c r="P133" s="169"/>
      <c r="Q133" s="172"/>
      <c r="R133" s="172"/>
      <c r="S133" s="169"/>
      <c r="T133" s="169"/>
      <c r="U133" s="169"/>
      <c r="V133" s="169"/>
    </row>
    <row r="134" spans="2:22">
      <c r="B134" s="169"/>
      <c r="C134" s="169"/>
      <c r="D134" s="228"/>
      <c r="E134" s="169"/>
      <c r="F134" s="170"/>
      <c r="G134" s="169"/>
      <c r="H134" s="169"/>
      <c r="I134" s="169"/>
      <c r="J134" s="169"/>
      <c r="K134" s="169"/>
      <c r="L134" s="169"/>
      <c r="M134" s="171"/>
      <c r="N134" s="171"/>
      <c r="O134" s="169"/>
      <c r="P134" s="169"/>
      <c r="Q134" s="172"/>
      <c r="R134" s="172"/>
      <c r="S134" s="169"/>
      <c r="T134" s="169"/>
      <c r="U134" s="169"/>
      <c r="V134" s="169"/>
    </row>
    <row r="135" spans="2:22">
      <c r="B135" s="169"/>
      <c r="C135" s="169"/>
      <c r="D135" s="228"/>
      <c r="E135" s="169"/>
      <c r="F135" s="170"/>
      <c r="G135" s="169"/>
      <c r="H135" s="169"/>
      <c r="I135" s="169"/>
      <c r="J135" s="169"/>
      <c r="K135" s="169"/>
      <c r="L135" s="169"/>
      <c r="M135" s="171"/>
      <c r="N135" s="171"/>
      <c r="O135" s="169"/>
      <c r="P135" s="169"/>
      <c r="Q135" s="172"/>
      <c r="R135" s="172"/>
      <c r="S135" s="169"/>
      <c r="T135" s="169"/>
      <c r="U135" s="169"/>
      <c r="V135" s="169"/>
    </row>
    <row r="136" spans="2:22">
      <c r="B136" s="169"/>
      <c r="C136" s="169"/>
      <c r="D136" s="228"/>
      <c r="E136" s="169"/>
      <c r="F136" s="170"/>
      <c r="G136" s="169"/>
      <c r="H136" s="169"/>
      <c r="I136" s="169"/>
      <c r="J136" s="169"/>
      <c r="K136" s="169"/>
      <c r="L136" s="169"/>
      <c r="M136" s="171"/>
      <c r="N136" s="171"/>
      <c r="O136" s="169"/>
      <c r="P136" s="169"/>
      <c r="Q136" s="172"/>
      <c r="R136" s="172"/>
      <c r="S136" s="169"/>
      <c r="T136" s="169"/>
      <c r="U136" s="169"/>
      <c r="V136" s="169"/>
    </row>
    <row r="137" spans="2:22">
      <c r="B137" s="169"/>
      <c r="C137" s="169"/>
      <c r="D137" s="228"/>
      <c r="E137" s="169"/>
      <c r="F137" s="170"/>
      <c r="G137" s="169"/>
      <c r="H137" s="169"/>
      <c r="I137" s="169"/>
      <c r="J137" s="169"/>
      <c r="K137" s="169"/>
      <c r="L137" s="169"/>
      <c r="M137" s="171"/>
      <c r="N137" s="171"/>
      <c r="O137" s="169"/>
      <c r="P137" s="169"/>
      <c r="Q137" s="172"/>
      <c r="R137" s="172"/>
      <c r="S137" s="169"/>
      <c r="T137" s="169"/>
      <c r="U137" s="169"/>
      <c r="V137" s="169"/>
    </row>
    <row r="138" spans="2:22">
      <c r="B138" s="169"/>
      <c r="C138" s="169"/>
      <c r="D138" s="228"/>
      <c r="E138" s="169"/>
      <c r="F138" s="170"/>
      <c r="G138" s="169"/>
      <c r="H138" s="169"/>
      <c r="I138" s="169"/>
      <c r="J138" s="169"/>
      <c r="K138" s="169"/>
      <c r="L138" s="169"/>
      <c r="M138" s="171"/>
      <c r="N138" s="171"/>
      <c r="O138" s="169"/>
      <c r="P138" s="169"/>
      <c r="Q138" s="172"/>
      <c r="R138" s="172"/>
      <c r="S138" s="169"/>
      <c r="T138" s="169"/>
      <c r="U138" s="169"/>
      <c r="V138" s="169"/>
    </row>
    <row r="139" spans="2:22">
      <c r="B139" s="169"/>
      <c r="C139" s="169"/>
      <c r="D139" s="228"/>
      <c r="E139" s="169"/>
      <c r="F139" s="170"/>
      <c r="G139" s="169"/>
      <c r="H139" s="169"/>
      <c r="I139" s="169"/>
      <c r="J139" s="169"/>
      <c r="K139" s="169"/>
      <c r="L139" s="169"/>
      <c r="M139" s="171"/>
      <c r="N139" s="171"/>
      <c r="O139" s="169"/>
      <c r="P139" s="169"/>
      <c r="Q139" s="172"/>
      <c r="R139" s="172"/>
      <c r="S139" s="169"/>
      <c r="T139" s="169"/>
      <c r="U139" s="169"/>
      <c r="V139" s="169"/>
    </row>
    <row r="140" spans="2:22">
      <c r="B140" s="169"/>
      <c r="C140" s="169"/>
      <c r="D140" s="228"/>
      <c r="E140" s="169"/>
      <c r="F140" s="170"/>
      <c r="G140" s="169"/>
      <c r="H140" s="169"/>
      <c r="I140" s="169"/>
      <c r="J140" s="169"/>
      <c r="K140" s="169"/>
      <c r="L140" s="169"/>
      <c r="M140" s="171"/>
      <c r="N140" s="171"/>
      <c r="O140" s="169"/>
      <c r="P140" s="169"/>
      <c r="Q140" s="172"/>
      <c r="R140" s="172"/>
      <c r="S140" s="169"/>
      <c r="T140" s="169"/>
      <c r="U140" s="169"/>
      <c r="V140" s="169"/>
    </row>
    <row r="141" spans="2:22">
      <c r="B141" s="169"/>
      <c r="C141" s="169"/>
      <c r="D141" s="228"/>
      <c r="E141" s="169"/>
      <c r="F141" s="170"/>
      <c r="G141" s="169"/>
      <c r="H141" s="169"/>
      <c r="I141" s="169"/>
      <c r="J141" s="169"/>
      <c r="K141" s="169"/>
      <c r="L141" s="169"/>
      <c r="M141" s="171"/>
      <c r="N141" s="171"/>
      <c r="O141" s="169"/>
      <c r="P141" s="169"/>
      <c r="Q141" s="172"/>
      <c r="R141" s="172"/>
      <c r="S141" s="169"/>
      <c r="T141" s="169"/>
      <c r="U141" s="169"/>
      <c r="V141" s="169"/>
    </row>
    <row r="142" spans="2:22">
      <c r="B142" s="169"/>
      <c r="C142" s="169"/>
      <c r="D142" s="228"/>
      <c r="E142" s="169"/>
      <c r="F142" s="170"/>
      <c r="G142" s="169"/>
      <c r="H142" s="169"/>
      <c r="I142" s="169"/>
      <c r="J142" s="169"/>
      <c r="K142" s="169"/>
      <c r="L142" s="169"/>
      <c r="M142" s="171"/>
      <c r="N142" s="171"/>
      <c r="O142" s="169"/>
      <c r="P142" s="169"/>
      <c r="Q142" s="172"/>
      <c r="R142" s="172"/>
      <c r="S142" s="169"/>
      <c r="T142" s="169"/>
      <c r="U142" s="169"/>
      <c r="V142" s="169"/>
    </row>
    <row r="143" spans="2:22">
      <c r="B143" s="169"/>
      <c r="C143" s="169"/>
      <c r="D143" s="228"/>
      <c r="E143" s="169"/>
      <c r="F143" s="170"/>
      <c r="G143" s="169"/>
      <c r="H143" s="169"/>
      <c r="I143" s="169"/>
      <c r="J143" s="169"/>
      <c r="K143" s="169"/>
      <c r="L143" s="169"/>
      <c r="M143" s="171"/>
      <c r="N143" s="171"/>
      <c r="O143" s="169"/>
      <c r="P143" s="169"/>
      <c r="Q143" s="172"/>
      <c r="R143" s="172"/>
      <c r="S143" s="169"/>
      <c r="T143" s="169"/>
      <c r="U143" s="169"/>
      <c r="V143" s="169"/>
    </row>
    <row r="144" spans="2:22">
      <c r="B144" s="169"/>
      <c r="C144" s="169"/>
      <c r="D144" s="228"/>
      <c r="E144" s="169"/>
      <c r="F144" s="170"/>
      <c r="G144" s="169"/>
      <c r="H144" s="169"/>
      <c r="I144" s="169"/>
      <c r="J144" s="169"/>
      <c r="K144" s="169"/>
      <c r="L144" s="169"/>
      <c r="M144" s="171"/>
      <c r="N144" s="171"/>
      <c r="O144" s="169"/>
      <c r="P144" s="169"/>
      <c r="Q144" s="172"/>
      <c r="R144" s="172"/>
      <c r="S144" s="169"/>
      <c r="T144" s="169"/>
      <c r="U144" s="169"/>
      <c r="V144" s="169"/>
    </row>
    <row r="145" spans="2:22">
      <c r="B145" s="169"/>
      <c r="C145" s="169"/>
      <c r="D145" s="228"/>
      <c r="E145" s="169"/>
      <c r="F145" s="170"/>
      <c r="G145" s="169"/>
      <c r="H145" s="169"/>
      <c r="I145" s="169"/>
      <c r="J145" s="169"/>
      <c r="K145" s="169"/>
      <c r="L145" s="169"/>
      <c r="M145" s="171"/>
      <c r="N145" s="171"/>
      <c r="O145" s="169"/>
      <c r="P145" s="169"/>
      <c r="Q145" s="172"/>
      <c r="R145" s="172"/>
      <c r="S145" s="169"/>
      <c r="T145" s="169"/>
      <c r="U145" s="169"/>
      <c r="V145" s="169"/>
    </row>
    <row r="146" spans="2:22">
      <c r="B146" s="169"/>
      <c r="C146" s="169"/>
      <c r="D146" s="228"/>
      <c r="E146" s="169"/>
      <c r="F146" s="170"/>
      <c r="G146" s="169"/>
      <c r="H146" s="169"/>
      <c r="I146" s="169"/>
      <c r="J146" s="169"/>
      <c r="K146" s="169"/>
      <c r="L146" s="169"/>
      <c r="M146" s="171"/>
      <c r="N146" s="171"/>
      <c r="O146" s="169"/>
      <c r="P146" s="169"/>
      <c r="Q146" s="172"/>
      <c r="R146" s="172"/>
      <c r="S146" s="169"/>
      <c r="T146" s="169"/>
      <c r="U146" s="169"/>
      <c r="V146" s="169"/>
    </row>
    <row r="147" spans="2:22">
      <c r="B147" s="169"/>
      <c r="C147" s="169"/>
      <c r="D147" s="228"/>
      <c r="E147" s="169"/>
      <c r="F147" s="170"/>
      <c r="G147" s="169"/>
      <c r="H147" s="169"/>
      <c r="I147" s="169"/>
      <c r="J147" s="169"/>
      <c r="K147" s="169"/>
      <c r="L147" s="169"/>
      <c r="M147" s="171"/>
      <c r="N147" s="171"/>
      <c r="O147" s="169"/>
      <c r="P147" s="169"/>
      <c r="Q147" s="172"/>
      <c r="R147" s="172"/>
      <c r="S147" s="169"/>
      <c r="T147" s="169"/>
      <c r="U147" s="169"/>
      <c r="V147" s="169"/>
    </row>
    <row r="148" spans="2:22">
      <c r="B148" s="169"/>
      <c r="C148" s="169"/>
      <c r="D148" s="228"/>
      <c r="E148" s="169"/>
      <c r="F148" s="170"/>
      <c r="G148" s="169"/>
      <c r="H148" s="169"/>
      <c r="I148" s="169"/>
      <c r="J148" s="169"/>
      <c r="K148" s="169"/>
      <c r="L148" s="169"/>
      <c r="M148" s="171"/>
      <c r="N148" s="171"/>
      <c r="O148" s="169"/>
      <c r="P148" s="169"/>
      <c r="Q148" s="172"/>
      <c r="R148" s="172"/>
      <c r="S148" s="169"/>
      <c r="T148" s="169"/>
      <c r="U148" s="169"/>
      <c r="V148" s="169"/>
    </row>
    <row r="149" spans="2:22">
      <c r="B149" s="169"/>
      <c r="C149" s="169"/>
      <c r="D149" s="228"/>
      <c r="E149" s="169"/>
      <c r="F149" s="170"/>
      <c r="G149" s="169"/>
      <c r="H149" s="169"/>
      <c r="I149" s="169"/>
      <c r="J149" s="169"/>
      <c r="K149" s="169"/>
      <c r="L149" s="169"/>
      <c r="M149" s="171"/>
      <c r="N149" s="171"/>
      <c r="O149" s="169"/>
      <c r="P149" s="169"/>
      <c r="Q149" s="172"/>
      <c r="R149" s="172"/>
      <c r="S149" s="169"/>
      <c r="T149" s="169"/>
      <c r="U149" s="169"/>
      <c r="V149" s="169"/>
    </row>
    <row r="150" spans="2:22">
      <c r="B150" s="169"/>
      <c r="C150" s="169"/>
      <c r="D150" s="228"/>
      <c r="E150" s="169"/>
      <c r="F150" s="170"/>
      <c r="G150" s="169"/>
      <c r="H150" s="169"/>
      <c r="I150" s="169"/>
      <c r="J150" s="169"/>
      <c r="K150" s="169"/>
      <c r="L150" s="169"/>
      <c r="M150" s="171"/>
      <c r="N150" s="171"/>
      <c r="O150" s="169"/>
      <c r="P150" s="169"/>
      <c r="Q150" s="172"/>
      <c r="R150" s="172"/>
      <c r="S150" s="169"/>
      <c r="T150" s="169"/>
      <c r="U150" s="169"/>
      <c r="V150" s="169"/>
    </row>
    <row r="151" spans="2:22">
      <c r="B151" s="169"/>
      <c r="C151" s="169"/>
      <c r="D151" s="228"/>
      <c r="E151" s="169"/>
      <c r="F151" s="170"/>
      <c r="G151" s="169"/>
      <c r="H151" s="169"/>
      <c r="I151" s="169"/>
      <c r="J151" s="169"/>
      <c r="K151" s="169"/>
      <c r="L151" s="169"/>
      <c r="M151" s="171"/>
      <c r="N151" s="171"/>
      <c r="O151" s="169"/>
      <c r="P151" s="169"/>
      <c r="Q151" s="172"/>
      <c r="R151" s="172"/>
      <c r="S151" s="169"/>
      <c r="T151" s="169"/>
      <c r="U151" s="169"/>
      <c r="V151" s="169"/>
    </row>
    <row r="152" spans="2:22">
      <c r="B152" s="169"/>
      <c r="C152" s="169"/>
      <c r="D152" s="228"/>
      <c r="E152" s="169"/>
      <c r="F152" s="170"/>
      <c r="G152" s="169"/>
      <c r="H152" s="169"/>
      <c r="I152" s="169"/>
      <c r="J152" s="169"/>
      <c r="K152" s="169"/>
      <c r="L152" s="169"/>
      <c r="M152" s="171"/>
      <c r="N152" s="171"/>
      <c r="O152" s="169"/>
      <c r="P152" s="169"/>
      <c r="Q152" s="172"/>
      <c r="R152" s="172"/>
      <c r="S152" s="169"/>
      <c r="T152" s="169"/>
      <c r="U152" s="169"/>
      <c r="V152" s="169"/>
    </row>
    <row r="153" spans="2:22">
      <c r="B153" s="169"/>
      <c r="C153" s="169"/>
      <c r="D153" s="228"/>
      <c r="E153" s="169"/>
      <c r="F153" s="170"/>
      <c r="G153" s="169"/>
      <c r="H153" s="169"/>
      <c r="I153" s="169"/>
      <c r="J153" s="169"/>
      <c r="K153" s="169"/>
      <c r="L153" s="169"/>
      <c r="M153" s="171"/>
      <c r="N153" s="171"/>
      <c r="O153" s="169"/>
      <c r="P153" s="169"/>
      <c r="Q153" s="172"/>
      <c r="R153" s="172"/>
      <c r="S153" s="169"/>
      <c r="T153" s="169"/>
      <c r="U153" s="169"/>
      <c r="V153" s="169"/>
    </row>
    <row r="154" spans="2:22">
      <c r="B154" s="169"/>
      <c r="C154" s="169"/>
      <c r="D154" s="228"/>
      <c r="E154" s="169"/>
      <c r="F154" s="170"/>
      <c r="G154" s="169"/>
      <c r="H154" s="169"/>
      <c r="I154" s="169"/>
      <c r="J154" s="169"/>
      <c r="K154" s="169"/>
      <c r="L154" s="169"/>
      <c r="M154" s="171"/>
      <c r="N154" s="171"/>
      <c r="O154" s="169"/>
      <c r="P154" s="169"/>
      <c r="Q154" s="172"/>
      <c r="R154" s="172"/>
      <c r="S154" s="169"/>
      <c r="T154" s="169"/>
      <c r="U154" s="169"/>
      <c r="V154" s="169"/>
    </row>
    <row r="155" spans="2:22">
      <c r="B155" s="169"/>
      <c r="C155" s="169"/>
      <c r="D155" s="228"/>
      <c r="E155" s="169"/>
      <c r="F155" s="170"/>
      <c r="G155" s="169"/>
      <c r="H155" s="169"/>
      <c r="I155" s="169"/>
      <c r="J155" s="169"/>
      <c r="K155" s="169"/>
      <c r="L155" s="169"/>
      <c r="M155" s="171"/>
      <c r="N155" s="171"/>
      <c r="O155" s="169"/>
      <c r="P155" s="169"/>
      <c r="Q155" s="172"/>
      <c r="R155" s="172"/>
      <c r="S155" s="169"/>
      <c r="T155" s="169"/>
      <c r="U155" s="169"/>
      <c r="V155" s="169"/>
    </row>
    <row r="156" spans="2:22">
      <c r="B156" s="169"/>
      <c r="C156" s="169"/>
      <c r="D156" s="228"/>
      <c r="E156" s="169"/>
      <c r="F156" s="170"/>
      <c r="G156" s="169"/>
      <c r="H156" s="169"/>
      <c r="I156" s="169"/>
      <c r="J156" s="169"/>
      <c r="K156" s="169"/>
      <c r="L156" s="169"/>
      <c r="M156" s="171"/>
      <c r="N156" s="171"/>
      <c r="O156" s="169"/>
      <c r="P156" s="169"/>
      <c r="Q156" s="172"/>
      <c r="R156" s="172"/>
      <c r="S156" s="169"/>
      <c r="T156" s="169"/>
      <c r="U156" s="169"/>
      <c r="V156" s="169"/>
    </row>
    <row r="157" spans="2:22">
      <c r="B157" s="169"/>
      <c r="C157" s="169"/>
      <c r="D157" s="228"/>
      <c r="E157" s="169"/>
      <c r="F157" s="170"/>
      <c r="G157" s="169"/>
      <c r="H157" s="169"/>
      <c r="I157" s="169"/>
      <c r="J157" s="169"/>
      <c r="K157" s="169"/>
      <c r="L157" s="169"/>
      <c r="M157" s="171"/>
      <c r="N157" s="171"/>
      <c r="O157" s="169"/>
      <c r="P157" s="169"/>
      <c r="Q157" s="172"/>
      <c r="R157" s="172"/>
      <c r="S157" s="169"/>
      <c r="T157" s="169"/>
      <c r="U157" s="169"/>
      <c r="V157" s="169"/>
    </row>
    <row r="158" spans="2:22">
      <c r="B158" s="169"/>
      <c r="C158" s="169"/>
      <c r="D158" s="228"/>
      <c r="E158" s="169"/>
      <c r="F158" s="170"/>
      <c r="G158" s="169"/>
      <c r="H158" s="169"/>
      <c r="I158" s="169"/>
      <c r="J158" s="169"/>
      <c r="K158" s="169"/>
      <c r="L158" s="169"/>
      <c r="M158" s="171"/>
      <c r="N158" s="171"/>
      <c r="O158" s="169"/>
      <c r="P158" s="169"/>
      <c r="Q158" s="172"/>
      <c r="R158" s="172"/>
      <c r="S158" s="169"/>
      <c r="T158" s="169"/>
      <c r="U158" s="169"/>
      <c r="V158" s="169"/>
    </row>
    <row r="159" spans="2:22">
      <c r="B159" s="169"/>
      <c r="C159" s="169"/>
      <c r="D159" s="228"/>
      <c r="E159" s="169"/>
      <c r="F159" s="170"/>
      <c r="G159" s="169"/>
      <c r="H159" s="169"/>
      <c r="I159" s="169"/>
      <c r="J159" s="169"/>
      <c r="K159" s="169"/>
      <c r="L159" s="169"/>
      <c r="M159" s="171"/>
      <c r="N159" s="171"/>
      <c r="O159" s="169"/>
      <c r="P159" s="169"/>
      <c r="Q159" s="172"/>
      <c r="R159" s="172"/>
      <c r="S159" s="169"/>
      <c r="T159" s="169"/>
      <c r="U159" s="169"/>
      <c r="V159" s="169"/>
    </row>
    <row r="160" spans="2:22">
      <c r="B160" s="169"/>
      <c r="C160" s="169"/>
      <c r="D160" s="228"/>
      <c r="E160" s="169"/>
      <c r="F160" s="170"/>
      <c r="G160" s="169"/>
      <c r="H160" s="169"/>
      <c r="I160" s="169"/>
      <c r="J160" s="169"/>
      <c r="K160" s="169"/>
      <c r="L160" s="169"/>
      <c r="M160" s="171"/>
      <c r="N160" s="171"/>
      <c r="O160" s="169"/>
      <c r="P160" s="169"/>
      <c r="Q160" s="172"/>
      <c r="R160" s="172"/>
      <c r="S160" s="169"/>
      <c r="T160" s="169"/>
      <c r="U160" s="169"/>
      <c r="V160" s="169"/>
    </row>
    <row r="161" spans="2:22">
      <c r="B161" s="169"/>
      <c r="C161" s="169"/>
      <c r="D161" s="228"/>
      <c r="E161" s="169"/>
      <c r="F161" s="170"/>
      <c r="G161" s="169"/>
      <c r="H161" s="169"/>
      <c r="I161" s="169"/>
      <c r="J161" s="169"/>
      <c r="K161" s="169"/>
      <c r="L161" s="169"/>
      <c r="M161" s="171"/>
      <c r="N161" s="171"/>
      <c r="O161" s="169"/>
      <c r="P161" s="169"/>
      <c r="Q161" s="172"/>
      <c r="R161" s="172"/>
      <c r="S161" s="169"/>
      <c r="T161" s="169"/>
      <c r="U161" s="169"/>
      <c r="V161" s="169"/>
    </row>
    <row r="162" spans="2:22">
      <c r="B162" s="169"/>
      <c r="C162" s="169"/>
      <c r="D162" s="228"/>
      <c r="E162" s="169"/>
      <c r="F162" s="170"/>
      <c r="G162" s="169"/>
      <c r="H162" s="169"/>
      <c r="I162" s="169"/>
      <c r="J162" s="169"/>
      <c r="K162" s="169"/>
      <c r="L162" s="169"/>
      <c r="M162" s="171"/>
      <c r="N162" s="171"/>
      <c r="O162" s="169"/>
      <c r="P162" s="169"/>
      <c r="Q162" s="172"/>
      <c r="R162" s="172"/>
      <c r="S162" s="169"/>
      <c r="T162" s="169"/>
      <c r="U162" s="169"/>
      <c r="V162" s="169"/>
    </row>
    <row r="163" spans="2:22">
      <c r="B163" s="169"/>
      <c r="C163" s="169"/>
      <c r="D163" s="228"/>
      <c r="E163" s="169"/>
      <c r="F163" s="170"/>
      <c r="G163" s="169"/>
      <c r="H163" s="169"/>
      <c r="I163" s="169"/>
      <c r="J163" s="169"/>
      <c r="K163" s="169"/>
      <c r="L163" s="169"/>
      <c r="M163" s="171"/>
      <c r="N163" s="171"/>
      <c r="O163" s="169"/>
      <c r="P163" s="169"/>
      <c r="Q163" s="172"/>
      <c r="R163" s="172"/>
      <c r="S163" s="169"/>
      <c r="T163" s="169"/>
      <c r="U163" s="169"/>
      <c r="V163" s="169"/>
    </row>
    <row r="164" spans="2:22">
      <c r="B164" s="169"/>
      <c r="C164" s="169"/>
      <c r="D164" s="228"/>
      <c r="E164" s="169"/>
      <c r="F164" s="170"/>
      <c r="G164" s="169"/>
      <c r="H164" s="169"/>
      <c r="I164" s="169"/>
      <c r="J164" s="169"/>
      <c r="K164" s="169"/>
      <c r="L164" s="169"/>
      <c r="M164" s="171"/>
      <c r="N164" s="171"/>
      <c r="O164" s="169"/>
      <c r="P164" s="169"/>
      <c r="Q164" s="172"/>
      <c r="R164" s="172"/>
      <c r="S164" s="169"/>
      <c r="T164" s="169"/>
      <c r="U164" s="169"/>
      <c r="V164" s="169"/>
    </row>
    <row r="165" spans="2:22">
      <c r="B165" s="169"/>
      <c r="C165" s="169"/>
      <c r="D165" s="228"/>
      <c r="E165" s="169"/>
      <c r="F165" s="170"/>
      <c r="G165" s="169"/>
      <c r="H165" s="169"/>
      <c r="I165" s="169"/>
      <c r="J165" s="169"/>
      <c r="K165" s="169"/>
      <c r="L165" s="169"/>
      <c r="M165" s="171"/>
      <c r="N165" s="171"/>
      <c r="O165" s="169"/>
      <c r="P165" s="169"/>
      <c r="Q165" s="172"/>
      <c r="R165" s="172"/>
      <c r="S165" s="169"/>
      <c r="T165" s="169"/>
      <c r="U165" s="169"/>
      <c r="V165" s="169"/>
    </row>
    <row r="166" spans="2:22">
      <c r="B166" s="169"/>
      <c r="C166" s="169"/>
      <c r="D166" s="228"/>
      <c r="E166" s="169"/>
      <c r="F166" s="170"/>
      <c r="G166" s="169"/>
      <c r="H166" s="169"/>
      <c r="I166" s="169"/>
      <c r="J166" s="169"/>
      <c r="K166" s="169"/>
      <c r="L166" s="169"/>
      <c r="M166" s="171"/>
      <c r="N166" s="171"/>
      <c r="O166" s="169"/>
      <c r="P166" s="169"/>
      <c r="Q166" s="172"/>
      <c r="R166" s="172"/>
      <c r="S166" s="169"/>
      <c r="T166" s="169"/>
      <c r="U166" s="169"/>
      <c r="V166" s="169"/>
    </row>
    <row r="167" spans="2:22">
      <c r="B167" s="169"/>
      <c r="C167" s="169"/>
      <c r="D167" s="228"/>
      <c r="E167" s="169"/>
      <c r="F167" s="170"/>
      <c r="G167" s="169"/>
      <c r="H167" s="169"/>
      <c r="I167" s="169"/>
      <c r="J167" s="169"/>
      <c r="K167" s="169"/>
      <c r="L167" s="169"/>
      <c r="M167" s="171"/>
      <c r="N167" s="171"/>
      <c r="O167" s="169"/>
      <c r="P167" s="169"/>
      <c r="Q167" s="172"/>
      <c r="R167" s="172"/>
      <c r="S167" s="169"/>
      <c r="T167" s="169"/>
      <c r="U167" s="169"/>
      <c r="V167" s="169"/>
    </row>
    <row r="168" spans="2:22">
      <c r="B168" s="169"/>
      <c r="C168" s="169"/>
      <c r="D168" s="228"/>
      <c r="E168" s="169"/>
      <c r="F168" s="170"/>
      <c r="G168" s="169"/>
      <c r="H168" s="169"/>
      <c r="I168" s="169"/>
      <c r="J168" s="169"/>
      <c r="K168" s="169"/>
      <c r="L168" s="169"/>
      <c r="M168" s="171"/>
      <c r="N168" s="171"/>
      <c r="O168" s="169"/>
      <c r="P168" s="169"/>
      <c r="Q168" s="172"/>
      <c r="R168" s="172"/>
      <c r="S168" s="169"/>
      <c r="T168" s="169"/>
      <c r="U168" s="169"/>
      <c r="V168" s="169"/>
    </row>
    <row r="169" spans="2:22">
      <c r="B169" s="169"/>
      <c r="C169" s="169"/>
      <c r="D169" s="228"/>
      <c r="E169" s="169"/>
      <c r="F169" s="170"/>
      <c r="G169" s="169"/>
      <c r="H169" s="169"/>
      <c r="I169" s="169"/>
      <c r="J169" s="169"/>
      <c r="K169" s="169"/>
      <c r="L169" s="169"/>
      <c r="M169" s="171"/>
      <c r="N169" s="171"/>
      <c r="O169" s="169"/>
      <c r="P169" s="169"/>
      <c r="Q169" s="172"/>
      <c r="R169" s="172"/>
      <c r="S169" s="169"/>
      <c r="T169" s="169"/>
      <c r="U169" s="169"/>
      <c r="V169" s="169"/>
    </row>
    <row r="170" spans="2:22">
      <c r="B170" s="169"/>
      <c r="C170" s="169"/>
      <c r="D170" s="228"/>
      <c r="E170" s="169"/>
      <c r="F170" s="170"/>
      <c r="G170" s="169"/>
      <c r="H170" s="169"/>
      <c r="I170" s="169"/>
      <c r="J170" s="169"/>
      <c r="K170" s="169"/>
      <c r="L170" s="169"/>
      <c r="M170" s="171"/>
      <c r="N170" s="171"/>
      <c r="O170" s="169"/>
      <c r="P170" s="169"/>
      <c r="Q170" s="172"/>
      <c r="R170" s="172"/>
      <c r="S170" s="169"/>
      <c r="T170" s="169"/>
      <c r="U170" s="169"/>
      <c r="V170" s="169"/>
    </row>
    <row r="171" spans="2:22">
      <c r="B171" s="169"/>
      <c r="C171" s="169"/>
      <c r="D171" s="228"/>
      <c r="E171" s="169"/>
      <c r="F171" s="170"/>
      <c r="G171" s="169"/>
      <c r="H171" s="169"/>
      <c r="I171" s="169"/>
      <c r="J171" s="169"/>
      <c r="K171" s="169"/>
      <c r="L171" s="169"/>
      <c r="M171" s="171"/>
      <c r="N171" s="171"/>
      <c r="O171" s="169"/>
      <c r="P171" s="169"/>
      <c r="Q171" s="172"/>
      <c r="R171" s="172"/>
      <c r="S171" s="169"/>
      <c r="T171" s="169"/>
      <c r="U171" s="169"/>
      <c r="V171" s="169"/>
    </row>
    <row r="172" spans="2:22">
      <c r="B172" s="169"/>
      <c r="C172" s="169"/>
      <c r="D172" s="228"/>
      <c r="E172" s="169"/>
      <c r="F172" s="170"/>
      <c r="G172" s="169"/>
      <c r="H172" s="169"/>
      <c r="I172" s="169"/>
      <c r="J172" s="169"/>
      <c r="K172" s="169"/>
      <c r="L172" s="169"/>
      <c r="M172" s="171"/>
      <c r="N172" s="171"/>
      <c r="O172" s="169"/>
      <c r="P172" s="169"/>
      <c r="Q172" s="172"/>
      <c r="R172" s="172"/>
      <c r="S172" s="169"/>
      <c r="T172" s="169"/>
      <c r="U172" s="169"/>
      <c r="V172" s="169"/>
    </row>
    <row r="173" spans="2:22">
      <c r="B173" s="169"/>
      <c r="C173" s="169"/>
      <c r="D173" s="228"/>
      <c r="E173" s="169"/>
      <c r="F173" s="170"/>
      <c r="G173" s="169"/>
      <c r="H173" s="169"/>
      <c r="I173" s="169"/>
      <c r="J173" s="169"/>
      <c r="K173" s="169"/>
      <c r="L173" s="169"/>
      <c r="M173" s="171"/>
      <c r="N173" s="171"/>
      <c r="O173" s="169"/>
      <c r="P173" s="169"/>
      <c r="Q173" s="172"/>
      <c r="R173" s="172"/>
      <c r="S173" s="169"/>
      <c r="T173" s="169"/>
      <c r="U173" s="169"/>
      <c r="V173" s="169"/>
    </row>
    <row r="174" spans="2:22">
      <c r="B174" s="169"/>
      <c r="C174" s="169"/>
      <c r="D174" s="228"/>
      <c r="E174" s="169"/>
      <c r="F174" s="170"/>
      <c r="G174" s="169"/>
      <c r="H174" s="169"/>
      <c r="I174" s="169"/>
      <c r="J174" s="169"/>
      <c r="K174" s="169"/>
      <c r="L174" s="169"/>
      <c r="M174" s="171"/>
      <c r="N174" s="171"/>
      <c r="O174" s="169"/>
      <c r="P174" s="169"/>
      <c r="Q174" s="172"/>
      <c r="R174" s="172"/>
      <c r="S174" s="169"/>
      <c r="T174" s="169"/>
      <c r="U174" s="169"/>
      <c r="V174" s="169"/>
    </row>
    <row r="175" spans="2:22">
      <c r="B175" s="169"/>
      <c r="C175" s="169"/>
      <c r="D175" s="228"/>
      <c r="E175" s="169"/>
      <c r="F175" s="170"/>
      <c r="G175" s="169"/>
      <c r="H175" s="169"/>
      <c r="I175" s="169"/>
      <c r="J175" s="169"/>
      <c r="K175" s="169"/>
      <c r="L175" s="169"/>
      <c r="M175" s="171"/>
      <c r="N175" s="171"/>
      <c r="O175" s="169"/>
      <c r="P175" s="169"/>
      <c r="Q175" s="172"/>
      <c r="R175" s="172"/>
      <c r="S175" s="169"/>
      <c r="T175" s="169"/>
      <c r="U175" s="169"/>
      <c r="V175" s="169"/>
    </row>
    <row r="176" spans="2:22">
      <c r="B176" s="169"/>
      <c r="C176" s="169"/>
      <c r="D176" s="228"/>
      <c r="E176" s="169"/>
      <c r="F176" s="170"/>
      <c r="G176" s="169"/>
      <c r="H176" s="169"/>
      <c r="I176" s="169"/>
      <c r="J176" s="169"/>
      <c r="K176" s="169"/>
      <c r="L176" s="169"/>
      <c r="M176" s="171"/>
      <c r="N176" s="171"/>
      <c r="O176" s="169"/>
      <c r="P176" s="169"/>
      <c r="Q176" s="172"/>
      <c r="R176" s="172"/>
      <c r="S176" s="169"/>
      <c r="T176" s="169"/>
      <c r="U176" s="169"/>
      <c r="V176" s="169"/>
    </row>
    <row r="177" spans="2:22">
      <c r="B177" s="169"/>
      <c r="C177" s="169"/>
      <c r="D177" s="228"/>
      <c r="E177" s="169"/>
      <c r="F177" s="170"/>
      <c r="G177" s="169"/>
      <c r="H177" s="169"/>
      <c r="I177" s="169"/>
      <c r="J177" s="169"/>
      <c r="K177" s="169"/>
      <c r="L177" s="169"/>
      <c r="M177" s="171"/>
      <c r="N177" s="171"/>
      <c r="O177" s="169"/>
      <c r="P177" s="169"/>
      <c r="Q177" s="172"/>
      <c r="R177" s="172"/>
      <c r="S177" s="169"/>
      <c r="T177" s="169"/>
      <c r="U177" s="169"/>
      <c r="V177" s="169"/>
    </row>
    <row r="178" spans="2:22">
      <c r="B178" s="169"/>
      <c r="C178" s="169"/>
      <c r="D178" s="228"/>
      <c r="E178" s="169"/>
      <c r="F178" s="170"/>
      <c r="G178" s="169"/>
      <c r="H178" s="169"/>
      <c r="I178" s="169"/>
      <c r="J178" s="169"/>
      <c r="K178" s="169"/>
      <c r="L178" s="169"/>
      <c r="M178" s="171"/>
      <c r="N178" s="171"/>
      <c r="O178" s="169"/>
      <c r="P178" s="169"/>
      <c r="Q178" s="172"/>
      <c r="R178" s="172"/>
      <c r="S178" s="169"/>
      <c r="T178" s="169"/>
      <c r="U178" s="169"/>
      <c r="V178" s="169"/>
    </row>
    <row r="179" spans="2:22">
      <c r="B179" s="169"/>
      <c r="C179" s="169"/>
      <c r="D179" s="228"/>
      <c r="E179" s="169"/>
      <c r="F179" s="170"/>
      <c r="G179" s="169"/>
      <c r="H179" s="169"/>
      <c r="I179" s="169"/>
      <c r="J179" s="169"/>
      <c r="K179" s="169"/>
      <c r="L179" s="169"/>
      <c r="M179" s="171"/>
      <c r="N179" s="171"/>
      <c r="O179" s="169"/>
      <c r="P179" s="169"/>
      <c r="Q179" s="172"/>
      <c r="R179" s="172"/>
      <c r="S179" s="169"/>
      <c r="T179" s="169"/>
      <c r="U179" s="169"/>
      <c r="V179" s="169"/>
    </row>
    <row r="180" spans="2:22">
      <c r="B180" s="169"/>
      <c r="C180" s="169"/>
      <c r="D180" s="228"/>
      <c r="E180" s="169"/>
      <c r="F180" s="170"/>
      <c r="G180" s="169"/>
      <c r="H180" s="169"/>
      <c r="I180" s="169"/>
      <c r="J180" s="169"/>
      <c r="K180" s="169"/>
      <c r="L180" s="169"/>
      <c r="M180" s="171"/>
      <c r="N180" s="171"/>
      <c r="O180" s="169"/>
      <c r="P180" s="169"/>
      <c r="Q180" s="172"/>
      <c r="R180" s="172"/>
      <c r="S180" s="169"/>
      <c r="T180" s="169"/>
      <c r="U180" s="169"/>
      <c r="V180" s="169"/>
    </row>
    <row r="181" spans="2:22">
      <c r="B181" s="169"/>
      <c r="C181" s="169"/>
      <c r="D181" s="228"/>
      <c r="E181" s="169"/>
      <c r="F181" s="170"/>
      <c r="G181" s="169"/>
      <c r="H181" s="169"/>
      <c r="I181" s="169"/>
      <c r="J181" s="169"/>
      <c r="K181" s="169"/>
      <c r="L181" s="169"/>
      <c r="M181" s="171"/>
      <c r="N181" s="171"/>
      <c r="O181" s="169"/>
      <c r="P181" s="169"/>
      <c r="Q181" s="172"/>
      <c r="R181" s="172"/>
      <c r="S181" s="169"/>
      <c r="T181" s="169"/>
      <c r="U181" s="169"/>
      <c r="V181" s="169"/>
    </row>
    <row r="182" spans="2:22">
      <c r="B182" s="169"/>
      <c r="C182" s="169"/>
      <c r="D182" s="228"/>
      <c r="E182" s="169"/>
      <c r="F182" s="170"/>
      <c r="G182" s="169"/>
      <c r="H182" s="169"/>
      <c r="I182" s="169"/>
      <c r="J182" s="169"/>
      <c r="K182" s="169"/>
      <c r="L182" s="169"/>
      <c r="M182" s="171"/>
      <c r="N182" s="171"/>
      <c r="O182" s="169"/>
      <c r="P182" s="169"/>
      <c r="Q182" s="172"/>
      <c r="R182" s="172"/>
      <c r="S182" s="169"/>
      <c r="T182" s="169"/>
      <c r="U182" s="169"/>
      <c r="V182" s="169"/>
    </row>
    <row r="183" spans="2:22">
      <c r="B183" s="169"/>
      <c r="C183" s="169"/>
      <c r="D183" s="228"/>
      <c r="E183" s="169"/>
      <c r="F183" s="170"/>
      <c r="G183" s="169"/>
      <c r="H183" s="169"/>
      <c r="I183" s="169"/>
      <c r="J183" s="169"/>
      <c r="K183" s="169"/>
      <c r="L183" s="169"/>
      <c r="M183" s="171"/>
      <c r="N183" s="171"/>
      <c r="O183" s="169"/>
      <c r="P183" s="169"/>
      <c r="Q183" s="172"/>
      <c r="R183" s="172"/>
      <c r="S183" s="169"/>
      <c r="T183" s="169"/>
      <c r="U183" s="169"/>
      <c r="V183" s="169"/>
    </row>
    <row r="184" spans="2:22">
      <c r="B184" s="169"/>
      <c r="C184" s="169"/>
      <c r="D184" s="228"/>
      <c r="E184" s="169"/>
      <c r="F184" s="170"/>
      <c r="G184" s="169"/>
      <c r="H184" s="169"/>
      <c r="I184" s="169"/>
      <c r="J184" s="169"/>
      <c r="K184" s="169"/>
      <c r="L184" s="169"/>
      <c r="M184" s="171"/>
      <c r="N184" s="171"/>
      <c r="O184" s="169"/>
      <c r="P184" s="169"/>
      <c r="Q184" s="172"/>
      <c r="R184" s="172"/>
      <c r="S184" s="169"/>
      <c r="T184" s="169"/>
      <c r="U184" s="169"/>
      <c r="V184" s="169"/>
    </row>
    <row r="185" spans="2:22">
      <c r="B185" s="169"/>
      <c r="C185" s="169"/>
      <c r="D185" s="228"/>
      <c r="E185" s="169"/>
      <c r="F185" s="170"/>
      <c r="G185" s="169"/>
      <c r="H185" s="169"/>
      <c r="I185" s="169"/>
      <c r="J185" s="169"/>
      <c r="K185" s="169"/>
      <c r="L185" s="169"/>
      <c r="M185" s="171"/>
      <c r="N185" s="171"/>
      <c r="O185" s="169"/>
      <c r="P185" s="169"/>
      <c r="Q185" s="172"/>
      <c r="R185" s="172"/>
      <c r="S185" s="169"/>
      <c r="T185" s="169"/>
      <c r="U185" s="169"/>
      <c r="V185" s="169"/>
    </row>
    <row r="186" spans="2:22">
      <c r="B186" s="169"/>
      <c r="C186" s="169"/>
      <c r="D186" s="228"/>
      <c r="E186" s="169"/>
      <c r="F186" s="170"/>
      <c r="G186" s="169"/>
      <c r="H186" s="169"/>
      <c r="I186" s="169"/>
      <c r="J186" s="169"/>
      <c r="K186" s="169"/>
      <c r="L186" s="169"/>
      <c r="M186" s="171"/>
      <c r="N186" s="171"/>
      <c r="O186" s="169"/>
      <c r="P186" s="169"/>
      <c r="Q186" s="172"/>
      <c r="R186" s="172"/>
      <c r="S186" s="169"/>
      <c r="T186" s="169"/>
      <c r="U186" s="169"/>
      <c r="V186" s="169"/>
    </row>
    <row r="187" spans="2:22">
      <c r="B187" s="169"/>
      <c r="C187" s="169"/>
      <c r="D187" s="228"/>
      <c r="E187" s="169"/>
      <c r="F187" s="170"/>
      <c r="G187" s="169"/>
      <c r="H187" s="169"/>
      <c r="I187" s="169"/>
      <c r="J187" s="169"/>
      <c r="K187" s="169"/>
      <c r="L187" s="169"/>
      <c r="M187" s="171"/>
      <c r="N187" s="171"/>
      <c r="O187" s="169"/>
      <c r="P187" s="169"/>
      <c r="Q187" s="172"/>
      <c r="R187" s="172"/>
      <c r="S187" s="169"/>
      <c r="T187" s="169"/>
      <c r="U187" s="169"/>
      <c r="V187" s="169"/>
    </row>
    <row r="188" spans="2:22">
      <c r="B188" s="169"/>
      <c r="C188" s="169"/>
      <c r="D188" s="228"/>
      <c r="E188" s="169"/>
      <c r="F188" s="170"/>
      <c r="G188" s="169"/>
      <c r="H188" s="169"/>
      <c r="I188" s="169"/>
      <c r="J188" s="169"/>
      <c r="K188" s="169"/>
      <c r="L188" s="169"/>
      <c r="M188" s="171"/>
      <c r="N188" s="171"/>
      <c r="O188" s="169"/>
      <c r="P188" s="169"/>
      <c r="Q188" s="172"/>
      <c r="R188" s="172"/>
      <c r="S188" s="169"/>
      <c r="T188" s="169"/>
      <c r="U188" s="169"/>
      <c r="V188" s="169"/>
    </row>
    <row r="189" spans="2:22">
      <c r="B189" s="169"/>
      <c r="C189" s="169"/>
      <c r="D189" s="228"/>
      <c r="E189" s="169"/>
      <c r="F189" s="170"/>
      <c r="G189" s="169"/>
      <c r="H189" s="169"/>
      <c r="I189" s="169"/>
      <c r="J189" s="169"/>
      <c r="K189" s="169"/>
      <c r="L189" s="169"/>
      <c r="M189" s="171"/>
      <c r="N189" s="171"/>
      <c r="O189" s="169"/>
      <c r="P189" s="169"/>
      <c r="Q189" s="172"/>
      <c r="R189" s="172"/>
      <c r="S189" s="169"/>
      <c r="T189" s="169"/>
      <c r="U189" s="169"/>
      <c r="V189" s="169"/>
    </row>
    <row r="190" spans="2:22">
      <c r="B190" s="169"/>
      <c r="C190" s="169"/>
      <c r="D190" s="228"/>
      <c r="E190" s="169"/>
      <c r="F190" s="170"/>
      <c r="G190" s="169"/>
      <c r="H190" s="169"/>
      <c r="I190" s="169"/>
      <c r="J190" s="169"/>
      <c r="K190" s="169"/>
      <c r="L190" s="169"/>
      <c r="M190" s="171"/>
      <c r="N190" s="171"/>
      <c r="O190" s="169"/>
      <c r="P190" s="169"/>
      <c r="Q190" s="172"/>
      <c r="R190" s="172"/>
      <c r="S190" s="169"/>
      <c r="T190" s="169"/>
      <c r="U190" s="169"/>
      <c r="V190" s="169"/>
    </row>
    <row r="191" spans="2:22">
      <c r="B191" s="169"/>
      <c r="C191" s="169"/>
      <c r="D191" s="228"/>
      <c r="E191" s="169"/>
      <c r="F191" s="170"/>
      <c r="G191" s="169"/>
      <c r="H191" s="169"/>
      <c r="I191" s="169"/>
      <c r="J191" s="169"/>
      <c r="K191" s="169"/>
      <c r="L191" s="169"/>
      <c r="M191" s="171"/>
      <c r="N191" s="171"/>
      <c r="O191" s="169"/>
      <c r="P191" s="169"/>
      <c r="Q191" s="172"/>
      <c r="R191" s="172"/>
      <c r="S191" s="169"/>
      <c r="T191" s="169"/>
      <c r="U191" s="169"/>
      <c r="V191" s="169"/>
    </row>
    <row r="192" spans="2:22">
      <c r="B192" s="169"/>
      <c r="C192" s="169"/>
      <c r="D192" s="228"/>
      <c r="E192" s="169"/>
      <c r="F192" s="170"/>
      <c r="G192" s="169"/>
      <c r="H192" s="169"/>
      <c r="I192" s="169"/>
      <c r="J192" s="169"/>
      <c r="K192" s="169"/>
      <c r="L192" s="169"/>
      <c r="M192" s="171"/>
      <c r="N192" s="171"/>
      <c r="O192" s="169"/>
      <c r="P192" s="169"/>
      <c r="Q192" s="172"/>
      <c r="R192" s="172"/>
      <c r="S192" s="169"/>
      <c r="T192" s="169"/>
      <c r="U192" s="169"/>
      <c r="V192" s="169"/>
    </row>
    <row r="193" spans="2:22">
      <c r="B193" s="169"/>
      <c r="C193" s="169"/>
      <c r="D193" s="228"/>
      <c r="E193" s="169"/>
      <c r="F193" s="170"/>
      <c r="G193" s="169"/>
      <c r="H193" s="169"/>
      <c r="I193" s="169"/>
      <c r="J193" s="169"/>
      <c r="K193" s="169"/>
      <c r="L193" s="169"/>
      <c r="M193" s="171"/>
      <c r="N193" s="171"/>
      <c r="O193" s="169"/>
      <c r="P193" s="169"/>
      <c r="Q193" s="172"/>
      <c r="R193" s="172"/>
      <c r="S193" s="169"/>
      <c r="T193" s="169"/>
      <c r="U193" s="169"/>
      <c r="V193" s="169"/>
    </row>
    <row r="194" spans="2:22">
      <c r="B194" s="169"/>
      <c r="C194" s="169"/>
      <c r="D194" s="228"/>
      <c r="E194" s="169"/>
      <c r="F194" s="170"/>
      <c r="G194" s="169"/>
      <c r="H194" s="169"/>
      <c r="I194" s="169"/>
      <c r="J194" s="169"/>
      <c r="K194" s="169"/>
      <c r="L194" s="169"/>
      <c r="M194" s="171"/>
      <c r="N194" s="171"/>
      <c r="O194" s="169"/>
      <c r="P194" s="169"/>
      <c r="Q194" s="172"/>
      <c r="R194" s="172"/>
      <c r="S194" s="169"/>
      <c r="T194" s="169"/>
      <c r="U194" s="169"/>
      <c r="V194" s="169"/>
    </row>
    <row r="195" spans="2:22">
      <c r="B195" s="169"/>
      <c r="C195" s="169"/>
      <c r="D195" s="228"/>
      <c r="E195" s="169"/>
      <c r="F195" s="170"/>
      <c r="G195" s="169"/>
      <c r="H195" s="169"/>
      <c r="I195" s="169"/>
      <c r="J195" s="169"/>
      <c r="K195" s="169"/>
      <c r="L195" s="169"/>
      <c r="M195" s="171"/>
      <c r="N195" s="171"/>
      <c r="O195" s="169"/>
      <c r="P195" s="169"/>
      <c r="Q195" s="172"/>
      <c r="R195" s="172"/>
      <c r="S195" s="169"/>
      <c r="T195" s="169"/>
      <c r="U195" s="169"/>
      <c r="V195" s="169"/>
    </row>
    <row r="196" spans="2:22">
      <c r="B196" s="169"/>
      <c r="C196" s="169"/>
      <c r="D196" s="228"/>
      <c r="E196" s="169"/>
      <c r="F196" s="170"/>
      <c r="G196" s="169"/>
      <c r="H196" s="169"/>
      <c r="I196" s="169"/>
      <c r="J196" s="169"/>
      <c r="K196" s="169"/>
      <c r="L196" s="169"/>
      <c r="M196" s="171"/>
      <c r="N196" s="171"/>
      <c r="O196" s="169"/>
      <c r="P196" s="169"/>
      <c r="Q196" s="172"/>
      <c r="R196" s="172"/>
      <c r="S196" s="169"/>
      <c r="T196" s="169"/>
      <c r="U196" s="169"/>
      <c r="V196" s="169"/>
    </row>
    <row r="197" spans="2:22">
      <c r="B197" s="169"/>
      <c r="C197" s="169"/>
      <c r="D197" s="228"/>
      <c r="E197" s="169"/>
      <c r="F197" s="170"/>
      <c r="G197" s="169"/>
      <c r="H197" s="169"/>
      <c r="I197" s="169"/>
      <c r="J197" s="169"/>
      <c r="K197" s="169"/>
      <c r="L197" s="169"/>
      <c r="M197" s="171"/>
      <c r="N197" s="171"/>
      <c r="O197" s="169"/>
      <c r="P197" s="169"/>
      <c r="Q197" s="172"/>
      <c r="R197" s="172"/>
      <c r="S197" s="169"/>
      <c r="T197" s="169"/>
      <c r="U197" s="169"/>
      <c r="V197" s="169"/>
    </row>
    <row r="198" spans="2:22">
      <c r="B198" s="169"/>
      <c r="C198" s="169"/>
      <c r="D198" s="228"/>
      <c r="E198" s="169"/>
      <c r="F198" s="170"/>
      <c r="G198" s="169"/>
      <c r="H198" s="169"/>
      <c r="I198" s="169"/>
      <c r="J198" s="169"/>
      <c r="K198" s="169"/>
      <c r="L198" s="169"/>
      <c r="M198" s="171"/>
      <c r="N198" s="171"/>
      <c r="O198" s="169"/>
      <c r="P198" s="169"/>
      <c r="Q198" s="172"/>
      <c r="R198" s="172"/>
      <c r="S198" s="169"/>
      <c r="T198" s="169"/>
      <c r="U198" s="169"/>
      <c r="V198" s="169"/>
    </row>
    <row r="199" spans="2:22">
      <c r="B199" s="169"/>
      <c r="C199" s="169"/>
      <c r="D199" s="228"/>
      <c r="E199" s="169"/>
      <c r="F199" s="170"/>
      <c r="G199" s="169"/>
      <c r="H199" s="169"/>
      <c r="I199" s="169"/>
      <c r="J199" s="169"/>
      <c r="K199" s="169"/>
      <c r="L199" s="169"/>
      <c r="M199" s="171"/>
      <c r="N199" s="171"/>
      <c r="O199" s="169"/>
      <c r="P199" s="169"/>
      <c r="Q199" s="172"/>
      <c r="R199" s="172"/>
      <c r="S199" s="169"/>
      <c r="T199" s="169"/>
      <c r="U199" s="169"/>
      <c r="V199" s="169"/>
    </row>
    <row r="200" spans="2:22">
      <c r="B200" s="169"/>
      <c r="C200" s="169"/>
      <c r="D200" s="228"/>
      <c r="E200" s="169"/>
      <c r="F200" s="170"/>
      <c r="G200" s="169"/>
      <c r="H200" s="169"/>
      <c r="I200" s="169"/>
      <c r="J200" s="169"/>
      <c r="K200" s="169"/>
      <c r="L200" s="169"/>
      <c r="M200" s="171"/>
      <c r="N200" s="171"/>
      <c r="O200" s="169"/>
      <c r="P200" s="169"/>
      <c r="Q200" s="172"/>
      <c r="R200" s="172"/>
      <c r="S200" s="169"/>
      <c r="T200" s="169"/>
      <c r="U200" s="169"/>
      <c r="V200" s="169"/>
    </row>
    <row r="201" spans="2:22">
      <c r="B201" s="169"/>
      <c r="C201" s="169"/>
      <c r="D201" s="228"/>
      <c r="E201" s="169"/>
      <c r="F201" s="170"/>
      <c r="G201" s="169"/>
      <c r="H201" s="169"/>
      <c r="I201" s="169"/>
      <c r="J201" s="169"/>
      <c r="K201" s="169"/>
      <c r="L201" s="169"/>
      <c r="M201" s="171"/>
      <c r="N201" s="171"/>
      <c r="O201" s="169"/>
      <c r="P201" s="169"/>
      <c r="Q201" s="172"/>
      <c r="R201" s="172"/>
      <c r="S201" s="169"/>
      <c r="T201" s="169"/>
      <c r="U201" s="169"/>
      <c r="V201" s="169"/>
    </row>
    <row r="202" spans="2:22">
      <c r="B202" s="169"/>
      <c r="C202" s="169"/>
      <c r="D202" s="228"/>
      <c r="E202" s="169"/>
      <c r="F202" s="170"/>
      <c r="G202" s="169"/>
      <c r="H202" s="169"/>
      <c r="I202" s="169"/>
      <c r="J202" s="169"/>
      <c r="K202" s="169"/>
      <c r="L202" s="169"/>
      <c r="M202" s="171"/>
      <c r="N202" s="171"/>
      <c r="O202" s="169"/>
      <c r="P202" s="169"/>
      <c r="Q202" s="172"/>
      <c r="R202" s="172"/>
      <c r="S202" s="169"/>
      <c r="T202" s="169"/>
      <c r="U202" s="169"/>
      <c r="V202" s="169"/>
    </row>
    <row r="203" spans="2:22">
      <c r="B203" s="169"/>
      <c r="C203" s="169"/>
      <c r="D203" s="228"/>
      <c r="E203" s="169"/>
      <c r="F203" s="170"/>
      <c r="G203" s="169"/>
      <c r="H203" s="169"/>
      <c r="I203" s="169"/>
      <c r="J203" s="169"/>
      <c r="K203" s="169"/>
      <c r="L203" s="169"/>
      <c r="M203" s="171"/>
      <c r="N203" s="171"/>
      <c r="O203" s="169"/>
      <c r="P203" s="169"/>
      <c r="Q203" s="172"/>
      <c r="R203" s="172"/>
      <c r="S203" s="169"/>
      <c r="T203" s="169"/>
      <c r="U203" s="169"/>
      <c r="V203" s="169"/>
    </row>
    <row r="204" spans="2:22">
      <c r="B204" s="169"/>
      <c r="C204" s="169"/>
      <c r="D204" s="228"/>
      <c r="E204" s="169"/>
      <c r="F204" s="170"/>
      <c r="G204" s="169"/>
      <c r="H204" s="169"/>
      <c r="I204" s="169"/>
      <c r="J204" s="169"/>
      <c r="K204" s="169"/>
      <c r="L204" s="169"/>
      <c r="M204" s="171"/>
      <c r="N204" s="171"/>
      <c r="O204" s="169"/>
      <c r="P204" s="169"/>
      <c r="Q204" s="172"/>
      <c r="R204" s="172"/>
      <c r="S204" s="169"/>
      <c r="T204" s="169"/>
      <c r="U204" s="169"/>
      <c r="V204" s="169"/>
    </row>
    <row r="205" spans="2:22">
      <c r="B205" s="169"/>
      <c r="C205" s="169"/>
      <c r="D205" s="228"/>
      <c r="E205" s="169"/>
      <c r="F205" s="170"/>
      <c r="G205" s="169"/>
      <c r="H205" s="169"/>
      <c r="I205" s="169"/>
      <c r="J205" s="169"/>
      <c r="K205" s="169"/>
      <c r="L205" s="169"/>
      <c r="M205" s="171"/>
      <c r="N205" s="171"/>
      <c r="O205" s="169"/>
      <c r="P205" s="169"/>
      <c r="Q205" s="172"/>
      <c r="R205" s="172"/>
      <c r="S205" s="169"/>
      <c r="T205" s="169"/>
      <c r="U205" s="169"/>
      <c r="V205" s="169"/>
    </row>
    <row r="206" spans="2:22">
      <c r="B206" s="169"/>
      <c r="C206" s="169"/>
      <c r="D206" s="228"/>
      <c r="E206" s="169"/>
      <c r="F206" s="170"/>
      <c r="G206" s="169"/>
      <c r="H206" s="169"/>
      <c r="I206" s="169"/>
      <c r="J206" s="169"/>
      <c r="K206" s="169"/>
      <c r="L206" s="169"/>
      <c r="M206" s="171"/>
      <c r="N206" s="171"/>
      <c r="O206" s="169"/>
      <c r="P206" s="169"/>
      <c r="Q206" s="172"/>
      <c r="R206" s="172"/>
      <c r="S206" s="169"/>
      <c r="T206" s="169"/>
      <c r="U206" s="169"/>
      <c r="V206" s="169"/>
    </row>
    <row r="207" spans="2:22">
      <c r="B207" s="169"/>
      <c r="C207" s="169"/>
      <c r="D207" s="228"/>
      <c r="E207" s="169"/>
      <c r="F207" s="170"/>
      <c r="G207" s="169"/>
      <c r="H207" s="169"/>
      <c r="I207" s="169"/>
      <c r="J207" s="169"/>
      <c r="K207" s="169"/>
      <c r="L207" s="169"/>
      <c r="M207" s="171"/>
      <c r="N207" s="171"/>
      <c r="O207" s="169"/>
      <c r="P207" s="169"/>
      <c r="Q207" s="172"/>
      <c r="R207" s="172"/>
      <c r="S207" s="169"/>
      <c r="T207" s="169"/>
      <c r="U207" s="169"/>
      <c r="V207" s="169"/>
    </row>
    <row r="208" spans="2:22">
      <c r="B208" s="169"/>
      <c r="C208" s="169"/>
      <c r="D208" s="228"/>
      <c r="E208" s="169"/>
      <c r="F208" s="170"/>
      <c r="G208" s="169"/>
      <c r="H208" s="169"/>
      <c r="I208" s="169"/>
      <c r="J208" s="169"/>
      <c r="K208" s="169"/>
      <c r="L208" s="169"/>
      <c r="M208" s="171"/>
      <c r="N208" s="171"/>
      <c r="O208" s="169"/>
      <c r="P208" s="169"/>
      <c r="Q208" s="172"/>
      <c r="R208" s="172"/>
      <c r="S208" s="169"/>
      <c r="T208" s="169"/>
      <c r="U208" s="169"/>
      <c r="V208" s="169"/>
    </row>
    <row r="209" spans="2:22">
      <c r="B209" s="169"/>
      <c r="C209" s="169"/>
      <c r="D209" s="228"/>
      <c r="E209" s="169"/>
      <c r="F209" s="170"/>
      <c r="G209" s="169"/>
      <c r="H209" s="169"/>
      <c r="I209" s="169"/>
      <c r="J209" s="169"/>
      <c r="K209" s="169"/>
      <c r="L209" s="169"/>
      <c r="M209" s="171"/>
      <c r="N209" s="171"/>
      <c r="O209" s="169"/>
      <c r="P209" s="169"/>
      <c r="Q209" s="172"/>
      <c r="R209" s="172"/>
      <c r="S209" s="169"/>
      <c r="T209" s="169"/>
      <c r="U209" s="169"/>
      <c r="V209" s="169"/>
    </row>
    <row r="210" spans="2:22">
      <c r="B210" s="169"/>
      <c r="C210" s="169"/>
      <c r="D210" s="228"/>
      <c r="E210" s="169"/>
      <c r="F210" s="170"/>
      <c r="G210" s="169"/>
      <c r="H210" s="169"/>
      <c r="I210" s="169"/>
      <c r="J210" s="169"/>
      <c r="K210" s="169"/>
      <c r="L210" s="169"/>
      <c r="M210" s="171"/>
      <c r="N210" s="171"/>
      <c r="O210" s="169"/>
      <c r="P210" s="169"/>
      <c r="Q210" s="172"/>
      <c r="R210" s="172"/>
      <c r="S210" s="169"/>
      <c r="T210" s="169"/>
      <c r="U210" s="169"/>
      <c r="V210" s="169"/>
    </row>
    <row r="211" spans="2:22">
      <c r="B211" s="169"/>
      <c r="C211" s="169"/>
      <c r="D211" s="228"/>
      <c r="E211" s="169"/>
      <c r="F211" s="170"/>
      <c r="G211" s="169"/>
      <c r="H211" s="169"/>
      <c r="I211" s="169"/>
      <c r="J211" s="169"/>
      <c r="K211" s="169"/>
      <c r="L211" s="169"/>
      <c r="M211" s="171"/>
      <c r="N211" s="171"/>
      <c r="O211" s="169"/>
      <c r="P211" s="169"/>
      <c r="Q211" s="172"/>
      <c r="R211" s="172"/>
      <c r="S211" s="169"/>
      <c r="T211" s="169"/>
      <c r="U211" s="169"/>
      <c r="V211" s="169"/>
    </row>
    <row r="212" spans="2:22">
      <c r="B212" s="169"/>
      <c r="C212" s="169"/>
      <c r="D212" s="228"/>
      <c r="E212" s="169"/>
      <c r="F212" s="170"/>
      <c r="G212" s="169"/>
      <c r="H212" s="169"/>
      <c r="I212" s="169"/>
      <c r="J212" s="169"/>
      <c r="K212" s="169"/>
      <c r="L212" s="169"/>
      <c r="M212" s="171"/>
      <c r="N212" s="171"/>
      <c r="O212" s="169"/>
      <c r="P212" s="169"/>
      <c r="Q212" s="172"/>
      <c r="R212" s="172"/>
      <c r="S212" s="169"/>
      <c r="T212" s="169"/>
      <c r="U212" s="169"/>
      <c r="V212" s="169"/>
    </row>
    <row r="213" spans="2:22">
      <c r="B213" s="169"/>
      <c r="C213" s="169"/>
      <c r="D213" s="228"/>
      <c r="E213" s="169"/>
      <c r="F213" s="170"/>
      <c r="G213" s="169"/>
      <c r="H213" s="169"/>
      <c r="I213" s="169"/>
      <c r="J213" s="169"/>
      <c r="K213" s="169"/>
      <c r="L213" s="169"/>
      <c r="M213" s="171"/>
      <c r="N213" s="171"/>
      <c r="O213" s="169"/>
      <c r="P213" s="169"/>
      <c r="Q213" s="172"/>
      <c r="R213" s="172"/>
      <c r="S213" s="169"/>
      <c r="T213" s="169"/>
      <c r="U213" s="169"/>
      <c r="V213" s="169"/>
    </row>
    <row r="214" spans="2:22">
      <c r="B214" s="169"/>
      <c r="C214" s="169"/>
      <c r="D214" s="228"/>
      <c r="E214" s="169"/>
      <c r="F214" s="170"/>
      <c r="G214" s="169"/>
      <c r="H214" s="169"/>
      <c r="I214" s="169"/>
      <c r="J214" s="169"/>
      <c r="K214" s="169"/>
      <c r="L214" s="169"/>
      <c r="M214" s="171"/>
      <c r="N214" s="171"/>
      <c r="O214" s="169"/>
      <c r="P214" s="169"/>
      <c r="Q214" s="172"/>
      <c r="R214" s="172"/>
      <c r="S214" s="169"/>
      <c r="T214" s="169"/>
      <c r="U214" s="169"/>
      <c r="V214" s="169"/>
    </row>
    <row r="215" spans="2:22">
      <c r="B215" s="169"/>
      <c r="C215" s="169"/>
      <c r="D215" s="228"/>
      <c r="E215" s="169"/>
      <c r="F215" s="170"/>
      <c r="G215" s="169"/>
      <c r="H215" s="169"/>
      <c r="I215" s="169"/>
      <c r="J215" s="169"/>
      <c r="K215" s="169"/>
      <c r="L215" s="169"/>
      <c r="M215" s="171"/>
      <c r="N215" s="171"/>
      <c r="O215" s="169"/>
      <c r="P215" s="169"/>
      <c r="Q215" s="172"/>
      <c r="R215" s="172"/>
      <c r="S215" s="169"/>
      <c r="T215" s="169"/>
      <c r="U215" s="169"/>
      <c r="V215" s="169"/>
    </row>
    <row r="216" spans="2:22">
      <c r="B216" s="169"/>
      <c r="C216" s="169"/>
      <c r="D216" s="228"/>
      <c r="E216" s="169"/>
      <c r="F216" s="170"/>
      <c r="G216" s="169"/>
      <c r="H216" s="169"/>
      <c r="I216" s="169"/>
      <c r="J216" s="169"/>
      <c r="K216" s="169"/>
      <c r="L216" s="169"/>
      <c r="M216" s="171"/>
      <c r="N216" s="171"/>
      <c r="O216" s="169"/>
      <c r="P216" s="169"/>
      <c r="Q216" s="172"/>
      <c r="R216" s="172"/>
      <c r="S216" s="169"/>
      <c r="T216" s="169"/>
      <c r="U216" s="169"/>
      <c r="V216" s="169"/>
    </row>
    <row r="217" spans="2:22">
      <c r="B217" s="169"/>
      <c r="C217" s="169"/>
      <c r="D217" s="228"/>
      <c r="E217" s="169"/>
      <c r="F217" s="170"/>
      <c r="G217" s="169"/>
      <c r="H217" s="169"/>
      <c r="I217" s="169"/>
      <c r="J217" s="169"/>
      <c r="K217" s="169"/>
      <c r="L217" s="169"/>
      <c r="M217" s="171"/>
      <c r="N217" s="171"/>
      <c r="O217" s="169"/>
      <c r="P217" s="169"/>
      <c r="Q217" s="172"/>
      <c r="R217" s="172"/>
      <c r="S217" s="169"/>
      <c r="T217" s="169"/>
      <c r="U217" s="169"/>
      <c r="V217" s="169"/>
    </row>
    <row r="218" spans="2:22">
      <c r="B218" s="169"/>
      <c r="C218" s="169"/>
      <c r="D218" s="228"/>
      <c r="E218" s="169"/>
      <c r="F218" s="170"/>
      <c r="G218" s="169"/>
      <c r="H218" s="169"/>
      <c r="I218" s="169"/>
      <c r="J218" s="169"/>
      <c r="K218" s="169"/>
      <c r="L218" s="169"/>
      <c r="M218" s="171"/>
      <c r="N218" s="171"/>
      <c r="O218" s="169"/>
      <c r="P218" s="169"/>
      <c r="Q218" s="172"/>
      <c r="R218" s="172"/>
      <c r="S218" s="169"/>
      <c r="T218" s="169"/>
      <c r="U218" s="169"/>
      <c r="V218" s="169"/>
    </row>
    <row r="219" spans="2:22">
      <c r="B219" s="169"/>
      <c r="C219" s="169"/>
      <c r="D219" s="228"/>
      <c r="E219" s="169"/>
      <c r="F219" s="170"/>
      <c r="G219" s="169"/>
      <c r="H219" s="169"/>
      <c r="I219" s="169"/>
      <c r="J219" s="169"/>
      <c r="K219" s="169"/>
      <c r="L219" s="169"/>
      <c r="M219" s="171"/>
      <c r="N219" s="171"/>
      <c r="O219" s="169"/>
      <c r="P219" s="169"/>
      <c r="Q219" s="172"/>
      <c r="R219" s="172"/>
      <c r="S219" s="169"/>
      <c r="T219" s="169"/>
      <c r="U219" s="169"/>
      <c r="V219" s="169"/>
    </row>
    <row r="220" spans="2:22">
      <c r="B220" s="169"/>
      <c r="C220" s="169"/>
      <c r="D220" s="228"/>
      <c r="E220" s="169"/>
      <c r="F220" s="170"/>
      <c r="G220" s="169"/>
      <c r="H220" s="169"/>
      <c r="I220" s="169"/>
      <c r="J220" s="169"/>
      <c r="K220" s="169"/>
      <c r="L220" s="169"/>
      <c r="M220" s="171"/>
      <c r="N220" s="171"/>
      <c r="O220" s="169"/>
      <c r="P220" s="169"/>
      <c r="Q220" s="172"/>
      <c r="R220" s="172"/>
      <c r="S220" s="169"/>
      <c r="T220" s="169"/>
      <c r="U220" s="169"/>
      <c r="V220" s="169"/>
    </row>
    <row r="221" spans="2:22">
      <c r="B221" s="169"/>
      <c r="C221" s="169"/>
      <c r="D221" s="228"/>
      <c r="E221" s="169"/>
      <c r="F221" s="170"/>
      <c r="G221" s="169"/>
      <c r="H221" s="169"/>
      <c r="I221" s="169"/>
      <c r="J221" s="169"/>
      <c r="K221" s="169"/>
      <c r="L221" s="169"/>
      <c r="M221" s="171"/>
      <c r="N221" s="171"/>
      <c r="O221" s="169"/>
      <c r="P221" s="169"/>
      <c r="Q221" s="172"/>
      <c r="R221" s="172"/>
      <c r="S221" s="169"/>
      <c r="T221" s="169"/>
      <c r="U221" s="169"/>
      <c r="V221" s="169"/>
    </row>
    <row r="222" spans="2:22">
      <c r="B222" s="169"/>
      <c r="C222" s="169"/>
      <c r="D222" s="228"/>
      <c r="E222" s="169"/>
      <c r="F222" s="170"/>
      <c r="G222" s="169"/>
      <c r="H222" s="169"/>
      <c r="I222" s="169"/>
      <c r="J222" s="169"/>
      <c r="K222" s="169"/>
      <c r="L222" s="169"/>
      <c r="M222" s="171"/>
      <c r="N222" s="171"/>
      <c r="O222" s="169"/>
      <c r="P222" s="169"/>
      <c r="Q222" s="172"/>
      <c r="R222" s="172"/>
      <c r="S222" s="169"/>
      <c r="T222" s="169"/>
      <c r="U222" s="169"/>
      <c r="V222" s="169"/>
    </row>
    <row r="223" spans="2:22">
      <c r="B223" s="169"/>
      <c r="C223" s="169"/>
      <c r="D223" s="228"/>
      <c r="E223" s="169"/>
      <c r="F223" s="170"/>
      <c r="G223" s="169"/>
      <c r="H223" s="169"/>
      <c r="I223" s="169"/>
      <c r="J223" s="169"/>
      <c r="K223" s="169"/>
      <c r="L223" s="169"/>
      <c r="M223" s="171"/>
      <c r="N223" s="171"/>
      <c r="O223" s="169"/>
      <c r="P223" s="169"/>
      <c r="Q223" s="172"/>
      <c r="R223" s="172"/>
      <c r="S223" s="169"/>
      <c r="T223" s="169"/>
      <c r="U223" s="169"/>
      <c r="V223" s="169"/>
    </row>
    <row r="224" spans="2:22">
      <c r="B224" s="169"/>
      <c r="C224" s="169"/>
      <c r="D224" s="228"/>
      <c r="E224" s="169"/>
      <c r="F224" s="170"/>
      <c r="G224" s="169"/>
      <c r="H224" s="169"/>
      <c r="I224" s="169"/>
      <c r="J224" s="169"/>
      <c r="K224" s="169"/>
      <c r="L224" s="169"/>
      <c r="M224" s="171"/>
      <c r="N224" s="171"/>
      <c r="O224" s="169"/>
      <c r="P224" s="169"/>
      <c r="Q224" s="172"/>
      <c r="R224" s="172"/>
      <c r="S224" s="169"/>
      <c r="T224" s="169"/>
      <c r="U224" s="169"/>
      <c r="V224" s="169"/>
    </row>
    <row r="225" spans="2:22">
      <c r="B225" s="169"/>
      <c r="C225" s="169"/>
      <c r="D225" s="228"/>
      <c r="E225" s="169"/>
      <c r="F225" s="170"/>
      <c r="G225" s="169"/>
      <c r="H225" s="169"/>
      <c r="I225" s="169"/>
      <c r="J225" s="169"/>
      <c r="K225" s="169"/>
      <c r="L225" s="169"/>
      <c r="M225" s="171"/>
      <c r="N225" s="171"/>
      <c r="O225" s="169"/>
      <c r="P225" s="169"/>
      <c r="Q225" s="172"/>
      <c r="R225" s="172"/>
      <c r="S225" s="169"/>
      <c r="T225" s="169"/>
      <c r="U225" s="169"/>
      <c r="V225" s="169"/>
    </row>
    <row r="226" spans="2:22">
      <c r="B226" s="169"/>
      <c r="C226" s="169"/>
      <c r="D226" s="228"/>
      <c r="E226" s="169"/>
      <c r="F226" s="170"/>
      <c r="G226" s="169"/>
      <c r="H226" s="169"/>
      <c r="I226" s="169"/>
      <c r="J226" s="169"/>
      <c r="K226" s="169"/>
      <c r="L226" s="169"/>
      <c r="M226" s="171"/>
      <c r="N226" s="171"/>
      <c r="O226" s="169"/>
      <c r="P226" s="169"/>
      <c r="Q226" s="172"/>
      <c r="R226" s="172"/>
      <c r="S226" s="169"/>
      <c r="T226" s="169"/>
      <c r="U226" s="169"/>
      <c r="V226" s="169"/>
    </row>
    <row r="227" spans="2:22">
      <c r="B227" s="169"/>
      <c r="C227" s="169"/>
      <c r="D227" s="228"/>
      <c r="E227" s="169"/>
      <c r="F227" s="170"/>
      <c r="G227" s="169"/>
      <c r="H227" s="169"/>
      <c r="I227" s="169"/>
      <c r="J227" s="169"/>
      <c r="K227" s="169"/>
      <c r="L227" s="169"/>
      <c r="M227" s="171"/>
      <c r="N227" s="171"/>
      <c r="O227" s="169"/>
      <c r="P227" s="169"/>
      <c r="Q227" s="172"/>
      <c r="R227" s="172"/>
      <c r="S227" s="169"/>
      <c r="T227" s="169"/>
      <c r="U227" s="169"/>
      <c r="V227" s="169"/>
    </row>
    <row r="228" spans="2:22">
      <c r="B228" s="169"/>
      <c r="C228" s="169"/>
      <c r="D228" s="228"/>
      <c r="E228" s="169"/>
      <c r="F228" s="170"/>
      <c r="G228" s="169"/>
      <c r="H228" s="169"/>
      <c r="I228" s="169"/>
      <c r="J228" s="169"/>
      <c r="K228" s="169"/>
      <c r="L228" s="169"/>
      <c r="M228" s="171"/>
      <c r="N228" s="171"/>
      <c r="O228" s="169"/>
      <c r="P228" s="169"/>
      <c r="Q228" s="172"/>
      <c r="R228" s="172"/>
      <c r="S228" s="169"/>
      <c r="T228" s="169"/>
      <c r="U228" s="169"/>
      <c r="V228" s="169"/>
    </row>
    <row r="229" spans="2:22">
      <c r="B229" s="169"/>
      <c r="C229" s="169"/>
      <c r="D229" s="228"/>
      <c r="E229" s="169"/>
      <c r="F229" s="170"/>
      <c r="G229" s="169"/>
      <c r="H229" s="169"/>
      <c r="I229" s="169"/>
      <c r="J229" s="169"/>
      <c r="K229" s="169"/>
      <c r="L229" s="169"/>
      <c r="M229" s="171"/>
      <c r="N229" s="171"/>
      <c r="O229" s="169"/>
      <c r="P229" s="169"/>
      <c r="Q229" s="172"/>
      <c r="R229" s="172"/>
      <c r="S229" s="169"/>
      <c r="T229" s="169"/>
      <c r="U229" s="169"/>
      <c r="V229" s="169"/>
    </row>
    <row r="230" spans="2:22">
      <c r="B230" s="169"/>
      <c r="C230" s="169"/>
      <c r="D230" s="228"/>
      <c r="E230" s="169"/>
      <c r="F230" s="170"/>
      <c r="G230" s="169"/>
      <c r="H230" s="169"/>
      <c r="I230" s="169"/>
      <c r="J230" s="169"/>
      <c r="K230" s="169"/>
      <c r="L230" s="169"/>
      <c r="M230" s="171"/>
      <c r="N230" s="171"/>
      <c r="O230" s="169"/>
      <c r="P230" s="169"/>
      <c r="Q230" s="172"/>
      <c r="R230" s="172"/>
      <c r="S230" s="169"/>
      <c r="T230" s="169"/>
      <c r="U230" s="169"/>
      <c r="V230" s="169"/>
    </row>
    <row r="231" spans="2:22">
      <c r="B231" s="169"/>
      <c r="C231" s="169"/>
      <c r="D231" s="228"/>
      <c r="E231" s="169"/>
      <c r="F231" s="170"/>
      <c r="G231" s="169"/>
      <c r="H231" s="169"/>
      <c r="I231" s="169"/>
      <c r="J231" s="169"/>
      <c r="K231" s="169"/>
      <c r="L231" s="169"/>
      <c r="M231" s="171"/>
      <c r="N231" s="171"/>
      <c r="O231" s="169"/>
      <c r="P231" s="169"/>
      <c r="Q231" s="172"/>
      <c r="R231" s="172"/>
      <c r="S231" s="169"/>
      <c r="T231" s="169"/>
      <c r="U231" s="169"/>
      <c r="V231" s="169"/>
    </row>
    <row r="232" spans="2:22">
      <c r="B232" s="169"/>
      <c r="C232" s="169"/>
      <c r="D232" s="228"/>
      <c r="E232" s="169"/>
      <c r="F232" s="170"/>
      <c r="G232" s="169"/>
      <c r="H232" s="169"/>
      <c r="I232" s="169"/>
      <c r="J232" s="169"/>
      <c r="K232" s="169"/>
      <c r="L232" s="169"/>
      <c r="M232" s="171"/>
      <c r="N232" s="171"/>
      <c r="O232" s="169"/>
      <c r="P232" s="169"/>
      <c r="Q232" s="172"/>
      <c r="R232" s="172"/>
      <c r="S232" s="169"/>
      <c r="T232" s="169"/>
      <c r="U232" s="169"/>
      <c r="V232" s="169"/>
    </row>
    <row r="233" spans="2:22">
      <c r="B233" s="169"/>
      <c r="C233" s="169"/>
      <c r="D233" s="228"/>
      <c r="E233" s="169"/>
      <c r="F233" s="170"/>
      <c r="G233" s="169"/>
      <c r="H233" s="169"/>
      <c r="I233" s="169"/>
      <c r="J233" s="169"/>
      <c r="K233" s="169"/>
      <c r="L233" s="169"/>
      <c r="M233" s="171"/>
      <c r="N233" s="171"/>
      <c r="O233" s="169"/>
      <c r="P233" s="169"/>
      <c r="Q233" s="172"/>
      <c r="R233" s="172"/>
      <c r="S233" s="169"/>
      <c r="T233" s="169"/>
      <c r="U233" s="169"/>
      <c r="V233" s="169"/>
    </row>
    <row r="234" spans="2:22">
      <c r="B234" s="169"/>
      <c r="C234" s="169"/>
      <c r="D234" s="228"/>
      <c r="E234" s="169"/>
      <c r="F234" s="170"/>
      <c r="G234" s="169"/>
      <c r="H234" s="169"/>
      <c r="I234" s="169"/>
      <c r="J234" s="169"/>
      <c r="K234" s="169"/>
      <c r="L234" s="169"/>
      <c r="M234" s="171"/>
      <c r="N234" s="171"/>
      <c r="O234" s="169"/>
      <c r="P234" s="169"/>
      <c r="Q234" s="172"/>
      <c r="R234" s="172"/>
      <c r="S234" s="169"/>
      <c r="T234" s="169"/>
      <c r="U234" s="169"/>
      <c r="V234" s="169"/>
    </row>
    <row r="235" spans="2:22">
      <c r="B235" s="169"/>
      <c r="C235" s="169"/>
      <c r="D235" s="228"/>
      <c r="E235" s="169"/>
      <c r="F235" s="170"/>
      <c r="G235" s="169"/>
      <c r="H235" s="169"/>
      <c r="I235" s="169"/>
      <c r="J235" s="169"/>
      <c r="K235" s="169"/>
      <c r="L235" s="169"/>
      <c r="M235" s="171"/>
      <c r="N235" s="171"/>
      <c r="O235" s="169"/>
      <c r="P235" s="169"/>
      <c r="Q235" s="172"/>
      <c r="R235" s="172"/>
      <c r="S235" s="169"/>
      <c r="T235" s="169"/>
      <c r="U235" s="169"/>
      <c r="V235" s="169"/>
    </row>
    <row r="236" spans="2:22">
      <c r="B236" s="169"/>
      <c r="C236" s="169"/>
      <c r="D236" s="228"/>
      <c r="E236" s="169"/>
      <c r="F236" s="170"/>
      <c r="G236" s="169"/>
      <c r="H236" s="169"/>
      <c r="I236" s="169"/>
      <c r="J236" s="169"/>
      <c r="K236" s="169"/>
      <c r="L236" s="169"/>
      <c r="M236" s="171"/>
      <c r="N236" s="171"/>
      <c r="O236" s="169"/>
      <c r="P236" s="169"/>
      <c r="Q236" s="172"/>
      <c r="R236" s="172"/>
      <c r="S236" s="169"/>
      <c r="T236" s="169"/>
      <c r="U236" s="169"/>
      <c r="V236" s="169"/>
    </row>
    <row r="237" spans="2:22">
      <c r="B237" s="169"/>
      <c r="C237" s="169"/>
      <c r="D237" s="228"/>
      <c r="E237" s="169"/>
      <c r="F237" s="170"/>
      <c r="G237" s="169"/>
      <c r="H237" s="169"/>
      <c r="I237" s="169"/>
      <c r="J237" s="169"/>
      <c r="K237" s="169"/>
      <c r="L237" s="169"/>
      <c r="M237" s="171"/>
      <c r="N237" s="171"/>
      <c r="O237" s="169"/>
      <c r="P237" s="169"/>
      <c r="Q237" s="172"/>
      <c r="R237" s="172"/>
      <c r="S237" s="169"/>
      <c r="T237" s="169"/>
      <c r="U237" s="169"/>
      <c r="V237" s="169"/>
    </row>
    <row r="238" spans="2:22">
      <c r="B238" s="169"/>
      <c r="C238" s="169"/>
      <c r="D238" s="228"/>
      <c r="E238" s="169"/>
      <c r="F238" s="170"/>
      <c r="G238" s="169"/>
      <c r="H238" s="169"/>
      <c r="I238" s="169"/>
      <c r="J238" s="169"/>
      <c r="K238" s="169"/>
      <c r="L238" s="169"/>
      <c r="M238" s="171"/>
      <c r="N238" s="171"/>
      <c r="O238" s="169"/>
      <c r="P238" s="169"/>
      <c r="Q238" s="172"/>
      <c r="R238" s="172"/>
      <c r="S238" s="169"/>
      <c r="T238" s="169"/>
      <c r="U238" s="169"/>
      <c r="V238" s="169"/>
    </row>
    <row r="239" spans="2:22">
      <c r="B239" s="169"/>
      <c r="C239" s="169"/>
      <c r="D239" s="228"/>
      <c r="E239" s="169"/>
      <c r="F239" s="170"/>
      <c r="G239" s="169"/>
      <c r="H239" s="169"/>
      <c r="I239" s="169"/>
      <c r="J239" s="169"/>
      <c r="K239" s="169"/>
      <c r="L239" s="169"/>
      <c r="M239" s="171"/>
      <c r="N239" s="171"/>
      <c r="O239" s="169"/>
      <c r="P239" s="169"/>
      <c r="Q239" s="172"/>
      <c r="R239" s="172"/>
      <c r="S239" s="169"/>
      <c r="T239" s="169"/>
      <c r="U239" s="169"/>
      <c r="V239" s="169"/>
    </row>
    <row r="240" spans="2:22">
      <c r="B240" s="169"/>
      <c r="C240" s="169"/>
      <c r="D240" s="228"/>
      <c r="E240" s="169"/>
      <c r="F240" s="170"/>
      <c r="G240" s="169"/>
      <c r="H240" s="169"/>
      <c r="I240" s="169"/>
      <c r="J240" s="169"/>
      <c r="K240" s="169"/>
      <c r="L240" s="169"/>
      <c r="M240" s="171"/>
      <c r="N240" s="171"/>
      <c r="O240" s="169"/>
      <c r="P240" s="169"/>
      <c r="Q240" s="172"/>
      <c r="R240" s="172"/>
      <c r="S240" s="169"/>
      <c r="T240" s="169"/>
      <c r="U240" s="169"/>
      <c r="V240" s="169"/>
    </row>
    <row r="241" spans="2:22">
      <c r="B241" s="169"/>
      <c r="C241" s="169"/>
      <c r="D241" s="228"/>
      <c r="E241" s="169"/>
      <c r="F241" s="170"/>
      <c r="G241" s="169"/>
      <c r="H241" s="169"/>
      <c r="I241" s="169"/>
      <c r="J241" s="169"/>
      <c r="K241" s="169"/>
      <c r="L241" s="169"/>
      <c r="M241" s="171"/>
      <c r="N241" s="171"/>
      <c r="O241" s="169"/>
      <c r="P241" s="169"/>
      <c r="Q241" s="172"/>
      <c r="R241" s="172"/>
      <c r="S241" s="169"/>
      <c r="T241" s="169"/>
      <c r="U241" s="169"/>
      <c r="V241" s="169"/>
    </row>
    <row r="242" spans="2:22">
      <c r="B242" s="169"/>
      <c r="C242" s="169"/>
      <c r="D242" s="228"/>
      <c r="E242" s="169"/>
      <c r="F242" s="170"/>
      <c r="G242" s="169"/>
      <c r="H242" s="169"/>
      <c r="I242" s="169"/>
      <c r="J242" s="169"/>
      <c r="K242" s="169"/>
      <c r="L242" s="169"/>
      <c r="M242" s="171"/>
      <c r="N242" s="171"/>
      <c r="O242" s="169"/>
      <c r="P242" s="169"/>
      <c r="Q242" s="172"/>
      <c r="R242" s="172"/>
      <c r="S242" s="169"/>
      <c r="T242" s="169"/>
      <c r="U242" s="169"/>
      <c r="V242" s="169"/>
    </row>
    <row r="243" spans="2:22">
      <c r="B243" s="169"/>
      <c r="C243" s="169"/>
      <c r="D243" s="228"/>
      <c r="E243" s="169"/>
      <c r="F243" s="170"/>
      <c r="G243" s="169"/>
      <c r="H243" s="169"/>
      <c r="I243" s="169"/>
      <c r="J243" s="169"/>
      <c r="K243" s="169"/>
      <c r="L243" s="169"/>
      <c r="M243" s="171"/>
      <c r="N243" s="171"/>
      <c r="O243" s="169"/>
      <c r="P243" s="169"/>
      <c r="Q243" s="172"/>
      <c r="R243" s="172"/>
      <c r="S243" s="169"/>
      <c r="T243" s="169"/>
      <c r="U243" s="169"/>
      <c r="V243" s="169"/>
    </row>
    <row r="244" spans="2:22">
      <c r="B244" s="169"/>
      <c r="C244" s="169"/>
      <c r="D244" s="228"/>
      <c r="E244" s="169"/>
      <c r="F244" s="170"/>
      <c r="G244" s="169"/>
      <c r="H244" s="169"/>
      <c r="I244" s="169"/>
      <c r="J244" s="169"/>
      <c r="K244" s="169"/>
      <c r="L244" s="169"/>
      <c r="M244" s="171"/>
      <c r="N244" s="171"/>
      <c r="O244" s="169"/>
      <c r="P244" s="169"/>
      <c r="Q244" s="172"/>
      <c r="R244" s="172"/>
      <c r="S244" s="169"/>
      <c r="T244" s="169"/>
      <c r="U244" s="169"/>
      <c r="V244" s="169"/>
    </row>
    <row r="245" spans="2:22">
      <c r="B245" s="169"/>
      <c r="C245" s="169"/>
      <c r="D245" s="228"/>
      <c r="E245" s="169"/>
      <c r="F245" s="170"/>
      <c r="G245" s="169"/>
      <c r="H245" s="169"/>
      <c r="I245" s="169"/>
      <c r="J245" s="169"/>
      <c r="K245" s="169"/>
      <c r="L245" s="169"/>
      <c r="M245" s="171"/>
      <c r="N245" s="171"/>
      <c r="O245" s="169"/>
      <c r="P245" s="169"/>
      <c r="Q245" s="172"/>
      <c r="R245" s="172"/>
      <c r="S245" s="169"/>
      <c r="T245" s="169"/>
      <c r="U245" s="169"/>
      <c r="V245" s="169"/>
    </row>
    <row r="246" spans="2:22">
      <c r="B246" s="169"/>
      <c r="C246" s="169"/>
      <c r="D246" s="228"/>
      <c r="E246" s="169"/>
      <c r="F246" s="170"/>
      <c r="G246" s="169"/>
      <c r="H246" s="169"/>
      <c r="I246" s="169"/>
      <c r="J246" s="169"/>
      <c r="K246" s="169"/>
      <c r="L246" s="169"/>
      <c r="M246" s="171"/>
      <c r="N246" s="171"/>
      <c r="O246" s="169"/>
      <c r="P246" s="169"/>
      <c r="Q246" s="172"/>
      <c r="R246" s="172"/>
      <c r="S246" s="169"/>
      <c r="T246" s="169"/>
      <c r="U246" s="169"/>
      <c r="V246" s="169"/>
    </row>
    <row r="247" spans="2:22">
      <c r="B247" s="169"/>
      <c r="C247" s="169"/>
      <c r="D247" s="228"/>
      <c r="E247" s="169"/>
      <c r="F247" s="170"/>
      <c r="G247" s="169"/>
      <c r="H247" s="169"/>
      <c r="I247" s="169"/>
      <c r="J247" s="169"/>
      <c r="K247" s="169"/>
      <c r="L247" s="169"/>
      <c r="M247" s="171"/>
      <c r="N247" s="171"/>
      <c r="O247" s="169"/>
      <c r="P247" s="169"/>
      <c r="Q247" s="172"/>
      <c r="R247" s="172"/>
      <c r="S247" s="169"/>
      <c r="T247" s="169"/>
      <c r="U247" s="169"/>
      <c r="V247" s="169"/>
    </row>
    <row r="248" spans="2:22">
      <c r="B248" s="169"/>
      <c r="C248" s="169"/>
      <c r="D248" s="228"/>
      <c r="E248" s="169"/>
      <c r="F248" s="170"/>
      <c r="G248" s="169"/>
      <c r="H248" s="169"/>
      <c r="I248" s="169"/>
      <c r="J248" s="169"/>
      <c r="K248" s="169"/>
      <c r="L248" s="169"/>
      <c r="M248" s="171"/>
      <c r="N248" s="171"/>
      <c r="O248" s="169"/>
      <c r="P248" s="169"/>
      <c r="Q248" s="172"/>
      <c r="R248" s="172"/>
      <c r="S248" s="169"/>
      <c r="T248" s="169"/>
      <c r="U248" s="169"/>
      <c r="V248" s="169"/>
    </row>
    <row r="249" spans="2:22">
      <c r="B249" s="169"/>
      <c r="C249" s="169"/>
      <c r="D249" s="228"/>
      <c r="E249" s="169"/>
      <c r="F249" s="170"/>
      <c r="G249" s="169"/>
      <c r="H249" s="169"/>
      <c r="I249" s="169"/>
      <c r="J249" s="169"/>
      <c r="K249" s="169"/>
      <c r="L249" s="169"/>
      <c r="M249" s="171"/>
      <c r="N249" s="171"/>
      <c r="O249" s="169"/>
      <c r="P249" s="169"/>
      <c r="Q249" s="172"/>
      <c r="R249" s="172"/>
      <c r="S249" s="169"/>
      <c r="T249" s="169"/>
      <c r="U249" s="169"/>
      <c r="V249" s="169"/>
    </row>
    <row r="250" spans="2:22">
      <c r="B250" s="169"/>
      <c r="C250" s="169"/>
      <c r="D250" s="228"/>
      <c r="E250" s="169"/>
      <c r="F250" s="170"/>
      <c r="G250" s="169"/>
      <c r="H250" s="169"/>
      <c r="I250" s="169"/>
      <c r="J250" s="169"/>
      <c r="K250" s="169"/>
      <c r="L250" s="169"/>
      <c r="M250" s="171"/>
      <c r="N250" s="171"/>
      <c r="O250" s="169"/>
      <c r="P250" s="169"/>
      <c r="Q250" s="172"/>
      <c r="R250" s="172"/>
      <c r="S250" s="169"/>
      <c r="T250" s="169"/>
      <c r="U250" s="169"/>
      <c r="V250" s="169"/>
    </row>
    <row r="251" spans="2:22">
      <c r="B251" s="169"/>
      <c r="C251" s="169"/>
      <c r="D251" s="228"/>
      <c r="E251" s="169"/>
      <c r="F251" s="170"/>
      <c r="G251" s="169"/>
      <c r="H251" s="169"/>
      <c r="I251" s="169"/>
      <c r="J251" s="169"/>
      <c r="K251" s="169"/>
      <c r="L251" s="169"/>
      <c r="M251" s="171"/>
      <c r="N251" s="171"/>
      <c r="O251" s="169"/>
      <c r="P251" s="169"/>
      <c r="Q251" s="172"/>
      <c r="R251" s="172"/>
      <c r="S251" s="169"/>
      <c r="T251" s="169"/>
      <c r="U251" s="169"/>
      <c r="V251" s="169"/>
    </row>
    <row r="252" spans="2:22">
      <c r="B252" s="169"/>
      <c r="C252" s="169"/>
      <c r="D252" s="228"/>
      <c r="E252" s="169"/>
      <c r="F252" s="170"/>
      <c r="G252" s="169"/>
      <c r="H252" s="169"/>
      <c r="I252" s="169"/>
      <c r="J252" s="169"/>
      <c r="K252" s="169"/>
      <c r="L252" s="169"/>
      <c r="M252" s="171"/>
      <c r="N252" s="171"/>
      <c r="O252" s="169"/>
      <c r="P252" s="169"/>
      <c r="Q252" s="172"/>
      <c r="R252" s="172"/>
      <c r="S252" s="169"/>
      <c r="T252" s="169"/>
      <c r="U252" s="169"/>
      <c r="V252" s="169"/>
    </row>
    <row r="253" spans="2:22">
      <c r="B253" s="169"/>
      <c r="C253" s="169"/>
      <c r="D253" s="228"/>
      <c r="E253" s="169"/>
      <c r="F253" s="170"/>
      <c r="G253" s="169"/>
      <c r="H253" s="169"/>
      <c r="I253" s="169"/>
      <c r="J253" s="169"/>
      <c r="K253" s="169"/>
      <c r="L253" s="169"/>
      <c r="M253" s="171"/>
      <c r="N253" s="171"/>
      <c r="O253" s="169"/>
      <c r="P253" s="169"/>
      <c r="Q253" s="172"/>
      <c r="R253" s="172"/>
      <c r="S253" s="169"/>
      <c r="T253" s="169"/>
      <c r="U253" s="169"/>
      <c r="V253" s="169"/>
    </row>
    <row r="254" spans="2:22">
      <c r="B254" s="169"/>
      <c r="C254" s="169"/>
      <c r="D254" s="228"/>
      <c r="E254" s="169"/>
      <c r="F254" s="170"/>
      <c r="G254" s="169"/>
      <c r="H254" s="169"/>
      <c r="I254" s="169"/>
      <c r="J254" s="169"/>
      <c r="K254" s="169"/>
      <c r="L254" s="169"/>
      <c r="M254" s="171"/>
      <c r="N254" s="171"/>
      <c r="O254" s="169"/>
      <c r="P254" s="169"/>
      <c r="Q254" s="172"/>
      <c r="R254" s="172"/>
      <c r="S254" s="169"/>
      <c r="T254" s="169"/>
      <c r="U254" s="169"/>
      <c r="V254" s="169"/>
    </row>
    <row r="255" spans="2:22">
      <c r="B255" s="169"/>
      <c r="C255" s="169"/>
      <c r="D255" s="228"/>
      <c r="E255" s="169"/>
      <c r="F255" s="170"/>
      <c r="G255" s="169"/>
      <c r="H255" s="169"/>
      <c r="I255" s="169"/>
      <c r="J255" s="169"/>
      <c r="K255" s="169"/>
      <c r="L255" s="169"/>
      <c r="M255" s="171"/>
      <c r="N255" s="171"/>
      <c r="O255" s="169"/>
      <c r="P255" s="169"/>
      <c r="Q255" s="172"/>
      <c r="R255" s="172"/>
      <c r="S255" s="169"/>
      <c r="T255" s="169"/>
      <c r="U255" s="169"/>
      <c r="V255" s="169"/>
    </row>
    <row r="256" spans="2:22">
      <c r="B256" s="169"/>
      <c r="C256" s="169"/>
      <c r="D256" s="228"/>
      <c r="E256" s="169"/>
      <c r="F256" s="170"/>
      <c r="G256" s="169"/>
      <c r="H256" s="169"/>
      <c r="I256" s="169"/>
      <c r="J256" s="169"/>
      <c r="K256" s="169"/>
      <c r="L256" s="169"/>
      <c r="M256" s="171"/>
      <c r="N256" s="171"/>
      <c r="O256" s="169"/>
      <c r="P256" s="169"/>
      <c r="Q256" s="172"/>
      <c r="R256" s="172"/>
      <c r="S256" s="169"/>
      <c r="T256" s="169"/>
      <c r="U256" s="169"/>
      <c r="V256" s="169"/>
    </row>
    <row r="257" spans="2:22">
      <c r="B257" s="169"/>
      <c r="C257" s="169"/>
      <c r="D257" s="228"/>
      <c r="E257" s="169"/>
      <c r="F257" s="170"/>
      <c r="G257" s="169"/>
      <c r="H257" s="169"/>
      <c r="I257" s="169"/>
      <c r="J257" s="169"/>
      <c r="K257" s="169"/>
      <c r="L257" s="169"/>
      <c r="M257" s="171"/>
      <c r="N257" s="171"/>
      <c r="O257" s="169"/>
      <c r="P257" s="169"/>
      <c r="Q257" s="172"/>
      <c r="R257" s="172"/>
      <c r="S257" s="169"/>
      <c r="T257" s="169"/>
      <c r="U257" s="169"/>
      <c r="V257" s="169"/>
    </row>
    <row r="258" spans="2:22">
      <c r="B258" s="169"/>
      <c r="C258" s="169"/>
      <c r="D258" s="228"/>
      <c r="E258" s="169"/>
      <c r="F258" s="170"/>
      <c r="G258" s="169"/>
      <c r="H258" s="169"/>
      <c r="I258" s="169"/>
      <c r="J258" s="169"/>
      <c r="K258" s="169"/>
      <c r="L258" s="169"/>
      <c r="M258" s="171"/>
      <c r="N258" s="171"/>
      <c r="O258" s="169"/>
      <c r="P258" s="169"/>
      <c r="Q258" s="172"/>
      <c r="R258" s="172"/>
      <c r="S258" s="169"/>
      <c r="T258" s="169"/>
      <c r="U258" s="169"/>
      <c r="V258" s="169"/>
    </row>
    <row r="259" spans="2:22">
      <c r="B259" s="169"/>
      <c r="C259" s="169"/>
      <c r="D259" s="228"/>
      <c r="E259" s="169"/>
      <c r="F259" s="170"/>
      <c r="G259" s="169"/>
      <c r="H259" s="169"/>
      <c r="I259" s="169"/>
      <c r="J259" s="169"/>
      <c r="K259" s="169"/>
      <c r="L259" s="169"/>
      <c r="M259" s="171"/>
      <c r="N259" s="171"/>
      <c r="O259" s="169"/>
      <c r="P259" s="169"/>
      <c r="Q259" s="172"/>
      <c r="R259" s="172"/>
      <c r="S259" s="169"/>
      <c r="T259" s="169"/>
      <c r="U259" s="169"/>
      <c r="V259" s="169"/>
    </row>
    <row r="260" spans="2:22">
      <c r="B260" s="169"/>
      <c r="C260" s="169"/>
      <c r="D260" s="228"/>
      <c r="E260" s="169"/>
      <c r="F260" s="170"/>
      <c r="G260" s="169"/>
      <c r="H260" s="169"/>
      <c r="I260" s="169"/>
      <c r="J260" s="169"/>
      <c r="K260" s="169"/>
      <c r="L260" s="169"/>
      <c r="M260" s="171"/>
      <c r="N260" s="171"/>
      <c r="O260" s="169"/>
      <c r="P260" s="169"/>
      <c r="Q260" s="172"/>
      <c r="R260" s="172"/>
      <c r="S260" s="169"/>
      <c r="T260" s="169"/>
      <c r="U260" s="169"/>
      <c r="V260" s="169"/>
    </row>
    <row r="261" spans="2:22">
      <c r="B261" s="169"/>
      <c r="C261" s="169"/>
      <c r="D261" s="228"/>
      <c r="E261" s="169"/>
      <c r="F261" s="170"/>
      <c r="G261" s="169"/>
      <c r="H261" s="169"/>
      <c r="I261" s="169"/>
      <c r="J261" s="169"/>
      <c r="K261" s="169"/>
      <c r="L261" s="169"/>
      <c r="M261" s="171"/>
      <c r="N261" s="171"/>
      <c r="O261" s="169"/>
      <c r="P261" s="169"/>
      <c r="Q261" s="172"/>
      <c r="R261" s="172"/>
      <c r="S261" s="169"/>
      <c r="T261" s="169"/>
      <c r="U261" s="169"/>
      <c r="V261" s="169"/>
    </row>
    <row r="262" spans="2:22">
      <c r="B262" s="169"/>
      <c r="C262" s="169"/>
      <c r="D262" s="228"/>
      <c r="E262" s="169"/>
      <c r="F262" s="170"/>
      <c r="G262" s="169"/>
      <c r="H262" s="169"/>
      <c r="I262" s="169"/>
      <c r="J262" s="169"/>
      <c r="K262" s="169"/>
      <c r="L262" s="169"/>
      <c r="M262" s="171"/>
      <c r="N262" s="171"/>
      <c r="O262" s="169"/>
      <c r="P262" s="169"/>
      <c r="Q262" s="172"/>
      <c r="R262" s="172"/>
      <c r="S262" s="169"/>
      <c r="T262" s="169"/>
      <c r="U262" s="169"/>
      <c r="V262" s="169"/>
    </row>
    <row r="263" spans="2:22">
      <c r="B263" s="169"/>
      <c r="C263" s="169"/>
      <c r="D263" s="228"/>
      <c r="E263" s="169"/>
      <c r="F263" s="170"/>
      <c r="G263" s="169"/>
      <c r="H263" s="169"/>
      <c r="I263" s="169"/>
      <c r="J263" s="169"/>
      <c r="K263" s="169"/>
      <c r="L263" s="169"/>
      <c r="M263" s="171"/>
      <c r="N263" s="171"/>
      <c r="O263" s="169"/>
      <c r="P263" s="169"/>
      <c r="Q263" s="172"/>
      <c r="R263" s="172"/>
      <c r="S263" s="169"/>
      <c r="T263" s="169"/>
      <c r="U263" s="169"/>
      <c r="V263" s="169"/>
    </row>
    <row r="264" spans="2:22">
      <c r="B264" s="169"/>
      <c r="C264" s="169"/>
      <c r="D264" s="228"/>
      <c r="E264" s="169"/>
      <c r="F264" s="170"/>
      <c r="G264" s="169"/>
      <c r="H264" s="169"/>
      <c r="I264" s="169"/>
      <c r="J264" s="169"/>
      <c r="K264" s="169"/>
      <c r="L264" s="169"/>
      <c r="M264" s="171"/>
      <c r="N264" s="171"/>
      <c r="O264" s="169"/>
      <c r="P264" s="169"/>
      <c r="Q264" s="172"/>
      <c r="R264" s="172"/>
      <c r="S264" s="169"/>
      <c r="T264" s="169"/>
      <c r="U264" s="169"/>
      <c r="V264" s="169"/>
    </row>
    <row r="265" spans="2:22">
      <c r="B265" s="169"/>
      <c r="C265" s="169"/>
      <c r="D265" s="228"/>
      <c r="E265" s="169"/>
      <c r="F265" s="170"/>
      <c r="G265" s="169"/>
      <c r="H265" s="169"/>
      <c r="I265" s="169"/>
      <c r="J265" s="169"/>
      <c r="K265" s="169"/>
      <c r="L265" s="169"/>
      <c r="M265" s="171"/>
      <c r="N265" s="171"/>
      <c r="O265" s="169"/>
      <c r="P265" s="169"/>
      <c r="Q265" s="172"/>
      <c r="R265" s="172"/>
      <c r="S265" s="169"/>
      <c r="T265" s="169"/>
      <c r="U265" s="169"/>
      <c r="V265" s="169"/>
    </row>
    <row r="266" spans="2:22">
      <c r="B266" s="169"/>
      <c r="C266" s="169"/>
      <c r="D266" s="228"/>
      <c r="E266" s="169"/>
      <c r="F266" s="170"/>
      <c r="G266" s="169"/>
      <c r="H266" s="169"/>
      <c r="I266" s="169"/>
      <c r="J266" s="169"/>
      <c r="K266" s="169"/>
      <c r="L266" s="169"/>
      <c r="M266" s="171"/>
      <c r="N266" s="171"/>
      <c r="O266" s="169"/>
      <c r="P266" s="169"/>
      <c r="Q266" s="172"/>
      <c r="R266" s="172"/>
      <c r="S266" s="169"/>
      <c r="T266" s="169"/>
      <c r="U266" s="169"/>
      <c r="V266" s="169"/>
    </row>
    <row r="267" spans="2:22">
      <c r="B267" s="169"/>
      <c r="C267" s="169"/>
      <c r="D267" s="228"/>
      <c r="E267" s="169"/>
      <c r="F267" s="170"/>
      <c r="G267" s="169"/>
      <c r="H267" s="169"/>
      <c r="I267" s="169"/>
      <c r="J267" s="169"/>
      <c r="K267" s="169"/>
      <c r="L267" s="169"/>
      <c r="M267" s="171"/>
      <c r="N267" s="171"/>
      <c r="O267" s="169"/>
      <c r="P267" s="169"/>
      <c r="Q267" s="172"/>
      <c r="R267" s="172"/>
      <c r="S267" s="169"/>
      <c r="T267" s="169"/>
      <c r="U267" s="169"/>
      <c r="V267" s="169"/>
    </row>
    <row r="268" spans="2:22">
      <c r="B268" s="169"/>
      <c r="C268" s="169"/>
      <c r="D268" s="228"/>
      <c r="E268" s="169"/>
      <c r="F268" s="170"/>
      <c r="G268" s="169"/>
      <c r="H268" s="169"/>
      <c r="I268" s="169"/>
      <c r="J268" s="169"/>
      <c r="K268" s="169"/>
      <c r="L268" s="169"/>
      <c r="M268" s="171"/>
      <c r="N268" s="171"/>
      <c r="O268" s="169"/>
      <c r="P268" s="169"/>
      <c r="Q268" s="172"/>
      <c r="R268" s="172"/>
      <c r="S268" s="169"/>
      <c r="T268" s="169"/>
      <c r="U268" s="169"/>
      <c r="V268" s="169"/>
    </row>
    <row r="269" spans="2:22">
      <c r="B269" s="169"/>
      <c r="C269" s="169"/>
      <c r="D269" s="228"/>
      <c r="E269" s="169"/>
      <c r="F269" s="170"/>
      <c r="G269" s="169"/>
      <c r="H269" s="169"/>
      <c r="I269" s="169"/>
      <c r="J269" s="169"/>
      <c r="K269" s="169"/>
      <c r="L269" s="169"/>
      <c r="M269" s="171"/>
      <c r="N269" s="171"/>
      <c r="O269" s="169"/>
      <c r="P269" s="169"/>
      <c r="Q269" s="172"/>
      <c r="R269" s="172"/>
      <c r="S269" s="169"/>
      <c r="T269" s="169"/>
      <c r="U269" s="169"/>
      <c r="V269" s="169"/>
    </row>
    <row r="270" spans="2:22">
      <c r="B270" s="169"/>
      <c r="C270" s="169"/>
      <c r="D270" s="228"/>
      <c r="E270" s="169"/>
      <c r="F270" s="170"/>
      <c r="G270" s="169"/>
      <c r="H270" s="169"/>
      <c r="I270" s="169"/>
      <c r="J270" s="169"/>
      <c r="K270" s="169"/>
      <c r="L270" s="169"/>
      <c r="M270" s="171"/>
      <c r="N270" s="171"/>
      <c r="O270" s="169"/>
      <c r="P270" s="169"/>
      <c r="Q270" s="172"/>
      <c r="R270" s="172"/>
      <c r="S270" s="169"/>
      <c r="T270" s="169"/>
      <c r="U270" s="169"/>
      <c r="V270" s="169"/>
    </row>
    <row r="271" spans="2:22">
      <c r="B271" s="169"/>
      <c r="C271" s="169"/>
      <c r="D271" s="228"/>
      <c r="E271" s="169"/>
      <c r="F271" s="170"/>
      <c r="G271" s="169"/>
      <c r="H271" s="169"/>
      <c r="I271" s="169"/>
      <c r="J271" s="169"/>
      <c r="K271" s="169"/>
      <c r="L271" s="169"/>
      <c r="M271" s="171"/>
      <c r="N271" s="171"/>
      <c r="O271" s="169"/>
      <c r="P271" s="169"/>
      <c r="Q271" s="172"/>
      <c r="R271" s="172"/>
      <c r="S271" s="169"/>
      <c r="T271" s="169"/>
      <c r="U271" s="169"/>
      <c r="V271" s="169"/>
    </row>
    <row r="272" spans="2:22">
      <c r="B272" s="169"/>
      <c r="C272" s="169"/>
      <c r="D272" s="228"/>
      <c r="E272" s="169"/>
      <c r="F272" s="170"/>
      <c r="G272" s="169"/>
      <c r="H272" s="169"/>
      <c r="I272" s="169"/>
      <c r="J272" s="169"/>
      <c r="K272" s="169"/>
      <c r="L272" s="169"/>
      <c r="M272" s="171"/>
      <c r="N272" s="171"/>
      <c r="O272" s="169"/>
      <c r="P272" s="169"/>
      <c r="Q272" s="172"/>
      <c r="R272" s="172"/>
      <c r="S272" s="169"/>
      <c r="T272" s="169"/>
      <c r="U272" s="169"/>
      <c r="V272" s="169"/>
    </row>
    <row r="273" spans="2:22">
      <c r="B273" s="169"/>
      <c r="C273" s="169"/>
      <c r="D273" s="228"/>
      <c r="E273" s="169"/>
      <c r="F273" s="170"/>
      <c r="G273" s="169"/>
      <c r="H273" s="169"/>
      <c r="I273" s="169"/>
      <c r="J273" s="169"/>
      <c r="K273" s="169"/>
      <c r="L273" s="169"/>
      <c r="M273" s="171"/>
      <c r="N273" s="171"/>
      <c r="O273" s="169"/>
      <c r="P273" s="169"/>
      <c r="Q273" s="172"/>
      <c r="R273" s="172"/>
      <c r="S273" s="169"/>
      <c r="T273" s="169"/>
      <c r="U273" s="169"/>
      <c r="V273" s="169"/>
    </row>
    <row r="274" spans="2:22">
      <c r="B274" s="169"/>
      <c r="C274" s="169"/>
      <c r="D274" s="228"/>
      <c r="E274" s="169"/>
      <c r="F274" s="170"/>
      <c r="G274" s="169"/>
      <c r="H274" s="169"/>
      <c r="I274" s="169"/>
      <c r="J274" s="169"/>
      <c r="K274" s="169"/>
      <c r="L274" s="169"/>
      <c r="M274" s="171"/>
      <c r="N274" s="171"/>
      <c r="O274" s="169"/>
      <c r="P274" s="169"/>
      <c r="Q274" s="172"/>
      <c r="R274" s="172"/>
      <c r="S274" s="169"/>
      <c r="T274" s="169"/>
      <c r="U274" s="169"/>
      <c r="V274" s="169"/>
    </row>
    <row r="275" spans="2:22">
      <c r="B275" s="169"/>
      <c r="C275" s="169"/>
      <c r="D275" s="228"/>
      <c r="E275" s="169"/>
      <c r="F275" s="170"/>
      <c r="G275" s="169"/>
      <c r="H275" s="169"/>
      <c r="I275" s="169"/>
      <c r="J275" s="169"/>
      <c r="K275" s="169"/>
      <c r="L275" s="169"/>
      <c r="M275" s="171"/>
      <c r="N275" s="171"/>
      <c r="O275" s="169"/>
      <c r="P275" s="169"/>
      <c r="Q275" s="172"/>
      <c r="R275" s="172"/>
      <c r="S275" s="169"/>
      <c r="T275" s="169"/>
      <c r="U275" s="169"/>
      <c r="V275" s="169"/>
    </row>
    <row r="276" spans="2:22">
      <c r="B276" s="169"/>
      <c r="C276" s="169"/>
      <c r="D276" s="228"/>
      <c r="E276" s="169"/>
      <c r="F276" s="170"/>
      <c r="G276" s="169"/>
      <c r="H276" s="169"/>
      <c r="I276" s="169"/>
      <c r="J276" s="169"/>
      <c r="K276" s="169"/>
      <c r="L276" s="169"/>
      <c r="M276" s="171"/>
      <c r="N276" s="171"/>
      <c r="O276" s="169"/>
      <c r="P276" s="169"/>
      <c r="Q276" s="172"/>
      <c r="R276" s="172"/>
      <c r="S276" s="169"/>
      <c r="T276" s="169"/>
      <c r="U276" s="169"/>
      <c r="V276" s="169"/>
    </row>
    <row r="277" spans="2:22">
      <c r="B277" s="169"/>
      <c r="C277" s="169"/>
      <c r="D277" s="228"/>
      <c r="E277" s="169"/>
      <c r="F277" s="170"/>
      <c r="G277" s="169"/>
      <c r="H277" s="169"/>
      <c r="I277" s="169"/>
      <c r="J277" s="169"/>
      <c r="K277" s="169"/>
      <c r="L277" s="169"/>
      <c r="M277" s="171"/>
      <c r="N277" s="171"/>
      <c r="O277" s="169"/>
      <c r="P277" s="169"/>
      <c r="Q277" s="172"/>
      <c r="R277" s="172"/>
      <c r="S277" s="169"/>
      <c r="T277" s="169"/>
      <c r="U277" s="169"/>
      <c r="V277" s="169"/>
    </row>
    <row r="278" spans="2:22">
      <c r="B278" s="169"/>
      <c r="C278" s="169"/>
      <c r="D278" s="228"/>
      <c r="E278" s="169"/>
      <c r="F278" s="170"/>
      <c r="G278" s="169"/>
      <c r="H278" s="169"/>
      <c r="I278" s="169"/>
      <c r="J278" s="169"/>
      <c r="K278" s="169"/>
      <c r="L278" s="169"/>
      <c r="M278" s="171"/>
      <c r="N278" s="171"/>
      <c r="O278" s="169"/>
      <c r="P278" s="169"/>
      <c r="Q278" s="172"/>
      <c r="R278" s="172"/>
      <c r="S278" s="169"/>
      <c r="T278" s="169"/>
      <c r="U278" s="169"/>
      <c r="V278" s="169"/>
    </row>
    <row r="279" spans="2:22">
      <c r="B279" s="169"/>
      <c r="C279" s="169"/>
      <c r="D279" s="228"/>
      <c r="E279" s="169"/>
      <c r="F279" s="170"/>
      <c r="G279" s="169"/>
      <c r="H279" s="169"/>
      <c r="I279" s="169"/>
      <c r="J279" s="169"/>
      <c r="K279" s="169"/>
      <c r="L279" s="169"/>
      <c r="M279" s="171"/>
      <c r="N279" s="171"/>
      <c r="O279" s="169"/>
      <c r="P279" s="169"/>
      <c r="Q279" s="172"/>
      <c r="R279" s="172"/>
      <c r="S279" s="169"/>
      <c r="T279" s="169"/>
      <c r="U279" s="169"/>
      <c r="V279" s="169"/>
    </row>
    <row r="280" spans="2:22">
      <c r="B280" s="169"/>
      <c r="C280" s="169"/>
      <c r="D280" s="228"/>
      <c r="E280" s="169"/>
      <c r="F280" s="170"/>
      <c r="G280" s="169"/>
      <c r="H280" s="169"/>
      <c r="I280" s="169"/>
      <c r="J280" s="169"/>
      <c r="K280" s="169"/>
      <c r="L280" s="169"/>
      <c r="M280" s="171"/>
      <c r="N280" s="171"/>
      <c r="O280" s="169"/>
      <c r="P280" s="169"/>
      <c r="Q280" s="172"/>
      <c r="R280" s="172"/>
      <c r="S280" s="169"/>
      <c r="T280" s="169"/>
      <c r="U280" s="169"/>
      <c r="V280" s="169"/>
    </row>
    <row r="281" spans="2:22">
      <c r="B281" s="169"/>
      <c r="C281" s="169"/>
      <c r="D281" s="228"/>
      <c r="E281" s="169"/>
      <c r="F281" s="170"/>
      <c r="G281" s="169"/>
      <c r="H281" s="169"/>
      <c r="I281" s="169"/>
      <c r="J281" s="169"/>
      <c r="K281" s="169"/>
      <c r="L281" s="169"/>
      <c r="M281" s="171"/>
      <c r="N281" s="171"/>
      <c r="O281" s="169"/>
      <c r="P281" s="169"/>
      <c r="Q281" s="172"/>
      <c r="R281" s="172"/>
      <c r="S281" s="169"/>
      <c r="T281" s="169"/>
      <c r="U281" s="169"/>
      <c r="V281" s="169"/>
    </row>
    <row r="282" spans="2:22">
      <c r="B282" s="169"/>
      <c r="C282" s="169"/>
      <c r="D282" s="228"/>
      <c r="E282" s="169"/>
      <c r="F282" s="170"/>
      <c r="G282" s="169"/>
      <c r="H282" s="169"/>
      <c r="I282" s="169"/>
      <c r="J282" s="169"/>
      <c r="K282" s="169"/>
      <c r="L282" s="169"/>
      <c r="M282" s="171"/>
      <c r="N282" s="171"/>
      <c r="O282" s="169"/>
      <c r="P282" s="169"/>
      <c r="Q282" s="172"/>
      <c r="R282" s="172"/>
      <c r="S282" s="169"/>
      <c r="T282" s="169"/>
      <c r="U282" s="169"/>
      <c r="V282" s="169"/>
    </row>
    <row r="283" spans="2:22">
      <c r="B283" s="169"/>
      <c r="C283" s="169"/>
      <c r="D283" s="228"/>
      <c r="E283" s="169"/>
      <c r="F283" s="170"/>
      <c r="G283" s="169"/>
      <c r="H283" s="169"/>
      <c r="I283" s="169"/>
      <c r="J283" s="169"/>
      <c r="K283" s="169"/>
      <c r="L283" s="169"/>
      <c r="M283" s="171"/>
      <c r="N283" s="171"/>
      <c r="O283" s="169"/>
      <c r="P283" s="169"/>
      <c r="Q283" s="172"/>
      <c r="R283" s="172"/>
      <c r="S283" s="169"/>
      <c r="T283" s="169"/>
      <c r="U283" s="169"/>
      <c r="V283" s="169"/>
    </row>
    <row r="284" spans="2:22">
      <c r="B284" s="169"/>
      <c r="C284" s="169"/>
      <c r="D284" s="228"/>
      <c r="E284" s="169"/>
      <c r="F284" s="170"/>
      <c r="G284" s="169"/>
      <c r="H284" s="169"/>
      <c r="I284" s="169"/>
      <c r="J284" s="169"/>
      <c r="K284" s="169"/>
      <c r="L284" s="169"/>
      <c r="M284" s="171"/>
      <c r="N284" s="171"/>
      <c r="O284" s="169"/>
      <c r="P284" s="169"/>
      <c r="Q284" s="172"/>
      <c r="R284" s="172"/>
      <c r="S284" s="169"/>
      <c r="T284" s="169"/>
      <c r="U284" s="169"/>
      <c r="V284" s="169"/>
    </row>
    <row r="285" spans="2:22">
      <c r="B285" s="169"/>
      <c r="C285" s="169"/>
      <c r="D285" s="228"/>
      <c r="E285" s="169"/>
      <c r="F285" s="170"/>
      <c r="G285" s="169"/>
      <c r="H285" s="169"/>
      <c r="I285" s="169"/>
      <c r="J285" s="169"/>
      <c r="K285" s="169"/>
      <c r="L285" s="169"/>
      <c r="M285" s="171"/>
      <c r="N285" s="171"/>
      <c r="O285" s="169"/>
      <c r="P285" s="169"/>
      <c r="Q285" s="172"/>
      <c r="R285" s="172"/>
      <c r="S285" s="169"/>
      <c r="T285" s="169"/>
      <c r="U285" s="169"/>
      <c r="V285" s="169"/>
    </row>
    <row r="286" spans="2:22">
      <c r="B286" s="169"/>
      <c r="C286" s="169"/>
      <c r="D286" s="228"/>
      <c r="E286" s="169"/>
      <c r="F286" s="170"/>
      <c r="G286" s="169"/>
      <c r="H286" s="169"/>
      <c r="I286" s="169"/>
      <c r="J286" s="169"/>
      <c r="K286" s="169"/>
      <c r="L286" s="169"/>
      <c r="M286" s="171"/>
      <c r="N286" s="171"/>
      <c r="O286" s="169"/>
      <c r="P286" s="169"/>
      <c r="Q286" s="172"/>
      <c r="R286" s="172"/>
      <c r="S286" s="169"/>
      <c r="T286" s="169"/>
      <c r="U286" s="169"/>
      <c r="V286" s="169"/>
    </row>
    <row r="287" spans="2:22">
      <c r="B287" s="169"/>
      <c r="C287" s="169"/>
      <c r="D287" s="228"/>
      <c r="E287" s="169"/>
      <c r="F287" s="170"/>
      <c r="G287" s="169"/>
      <c r="H287" s="169"/>
      <c r="I287" s="169"/>
      <c r="J287" s="169"/>
      <c r="K287" s="169"/>
      <c r="L287" s="169"/>
      <c r="M287" s="171"/>
      <c r="N287" s="171"/>
      <c r="O287" s="169"/>
      <c r="P287" s="169"/>
      <c r="Q287" s="172"/>
      <c r="R287" s="172"/>
      <c r="S287" s="169"/>
      <c r="T287" s="169"/>
      <c r="U287" s="169"/>
      <c r="V287" s="169"/>
    </row>
    <row r="288" spans="2:22">
      <c r="B288" s="169"/>
      <c r="C288" s="169"/>
      <c r="D288" s="228"/>
      <c r="E288" s="169"/>
      <c r="F288" s="170"/>
      <c r="G288" s="169"/>
      <c r="H288" s="169"/>
      <c r="I288" s="169"/>
      <c r="J288" s="169"/>
      <c r="K288" s="169"/>
      <c r="L288" s="169"/>
      <c r="M288" s="171"/>
      <c r="N288" s="171"/>
      <c r="O288" s="169"/>
      <c r="P288" s="169"/>
      <c r="Q288" s="172"/>
      <c r="R288" s="172"/>
      <c r="S288" s="169"/>
      <c r="T288" s="169"/>
      <c r="U288" s="169"/>
      <c r="V288" s="169"/>
    </row>
    <row r="289" spans="2:22">
      <c r="B289" s="169"/>
      <c r="C289" s="169"/>
      <c r="D289" s="228"/>
      <c r="E289" s="169"/>
      <c r="F289" s="170"/>
      <c r="G289" s="169"/>
      <c r="H289" s="169"/>
      <c r="I289" s="169"/>
      <c r="J289" s="169"/>
      <c r="K289" s="169"/>
      <c r="L289" s="169"/>
      <c r="M289" s="171"/>
      <c r="N289" s="171"/>
      <c r="O289" s="169"/>
      <c r="P289" s="169"/>
      <c r="Q289" s="172"/>
      <c r="R289" s="172"/>
      <c r="S289" s="169"/>
      <c r="T289" s="169"/>
      <c r="U289" s="169"/>
      <c r="V289" s="169"/>
    </row>
    <row r="290" spans="2:22">
      <c r="B290" s="169"/>
      <c r="C290" s="169"/>
      <c r="D290" s="228"/>
      <c r="E290" s="169"/>
      <c r="F290" s="170"/>
      <c r="G290" s="169"/>
      <c r="H290" s="169"/>
      <c r="I290" s="169"/>
      <c r="J290" s="169"/>
      <c r="K290" s="169"/>
      <c r="L290" s="169"/>
      <c r="M290" s="171"/>
      <c r="N290" s="171"/>
      <c r="O290" s="169"/>
      <c r="P290" s="169"/>
      <c r="Q290" s="172"/>
      <c r="R290" s="172"/>
      <c r="S290" s="169"/>
      <c r="T290" s="169"/>
      <c r="U290" s="169"/>
      <c r="V290" s="169"/>
    </row>
    <row r="291" spans="2:22">
      <c r="B291" s="169"/>
      <c r="C291" s="169"/>
      <c r="D291" s="228"/>
      <c r="E291" s="169"/>
      <c r="F291" s="170"/>
      <c r="G291" s="169"/>
      <c r="H291" s="169"/>
      <c r="I291" s="169"/>
      <c r="J291" s="169"/>
      <c r="K291" s="169"/>
      <c r="L291" s="169"/>
      <c r="M291" s="171"/>
      <c r="N291" s="171"/>
      <c r="O291" s="169"/>
      <c r="P291" s="169"/>
      <c r="Q291" s="172"/>
      <c r="R291" s="172"/>
      <c r="S291" s="169"/>
      <c r="T291" s="169"/>
      <c r="U291" s="169"/>
      <c r="V291" s="169"/>
    </row>
    <row r="292" spans="2:22">
      <c r="B292" s="169"/>
      <c r="C292" s="169"/>
      <c r="D292" s="228"/>
      <c r="E292" s="169"/>
      <c r="F292" s="170"/>
      <c r="G292" s="169"/>
      <c r="H292" s="169"/>
      <c r="I292" s="169"/>
      <c r="J292" s="169"/>
      <c r="K292" s="169"/>
      <c r="L292" s="169"/>
      <c r="M292" s="171"/>
      <c r="N292" s="171"/>
      <c r="O292" s="169"/>
      <c r="P292" s="169"/>
      <c r="Q292" s="172"/>
      <c r="R292" s="172"/>
      <c r="S292" s="169"/>
      <c r="T292" s="169"/>
      <c r="U292" s="169"/>
      <c r="V292" s="169"/>
    </row>
    <row r="293" spans="2:22">
      <c r="B293" s="169"/>
      <c r="C293" s="169"/>
      <c r="D293" s="228"/>
      <c r="E293" s="169"/>
      <c r="F293" s="170"/>
      <c r="G293" s="169"/>
      <c r="H293" s="169"/>
      <c r="I293" s="169"/>
      <c r="J293" s="169"/>
      <c r="K293" s="169"/>
      <c r="L293" s="169"/>
      <c r="M293" s="171"/>
      <c r="N293" s="171"/>
      <c r="O293" s="169"/>
      <c r="P293" s="169"/>
      <c r="Q293" s="172"/>
      <c r="R293" s="172"/>
      <c r="S293" s="169"/>
      <c r="T293" s="169"/>
      <c r="U293" s="169"/>
      <c r="V293" s="169"/>
    </row>
  </sheetData>
  <phoneticPr fontId="12" type="noConversion"/>
  <pageMargins left="0.75000000000000011" right="0.75000000000000011" top="0.5" bottom="0.5" header="0.5" footer="0.5"/>
  <pageSetup paperSize="9" scale="80" orientation="landscape" r:id="rId1"/>
  <headerFooter alignWithMargins="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BBC51-6043-A949-AEDF-BDE1EB341DF6}">
  <sheetPr codeName="工作表10"/>
  <dimension ref="A1:L379"/>
  <sheetViews>
    <sheetView workbookViewId="0">
      <pane ySplit="2" topLeftCell="A3" activePane="bottomLeft" state="frozenSplit"/>
      <selection activeCell="A33" sqref="A33"/>
      <selection pane="bottomLeft" activeCell="A33" sqref="A33"/>
    </sheetView>
  </sheetViews>
  <sheetFormatPr defaultColWidth="10.81640625" defaultRowHeight="15.5"/>
  <cols>
    <col min="1" max="1" width="14" style="71" bestFit="1" customWidth="1"/>
    <col min="2" max="2" width="32.36328125" style="71" bestFit="1" customWidth="1"/>
    <col min="3" max="3" width="22.54296875" style="71" customWidth="1"/>
    <col min="4" max="4" width="23.90625" style="71" customWidth="1"/>
    <col min="5" max="5" width="18" style="71" bestFit="1" customWidth="1"/>
    <col min="6" max="6" width="16" style="71" customWidth="1"/>
    <col min="7" max="7" width="42.1796875" style="71" customWidth="1"/>
    <col min="8" max="8" width="20.1796875" style="71" hidden="1" customWidth="1"/>
    <col min="9" max="9" width="10.81640625" style="71" hidden="1" customWidth="1"/>
    <col min="10" max="10" width="86" style="71" hidden="1" customWidth="1"/>
    <col min="11" max="11" width="10.81640625" style="71" hidden="1" customWidth="1"/>
    <col min="12" max="12" width="10.81640625" style="71" customWidth="1"/>
    <col min="13" max="16384" width="10.81640625" style="71"/>
  </cols>
  <sheetData>
    <row r="1" spans="1:12" customFormat="1" ht="16.5" customHeight="1" thickBot="1">
      <c r="A1" s="599" t="s">
        <v>862</v>
      </c>
      <c r="B1" s="599" t="s">
        <v>863</v>
      </c>
      <c r="C1" s="599" t="s">
        <v>864</v>
      </c>
      <c r="D1" s="599" t="s">
        <v>865</v>
      </c>
      <c r="E1" s="599" t="s">
        <v>866</v>
      </c>
      <c r="F1" s="599" t="s">
        <v>867</v>
      </c>
      <c r="G1" s="599" t="s">
        <v>868</v>
      </c>
      <c r="H1" s="135" t="s">
        <v>869</v>
      </c>
      <c r="I1" s="135"/>
      <c r="J1" s="135"/>
    </row>
    <row r="2" spans="1:12" customFormat="1" ht="16" customHeight="1" thickTop="1">
      <c r="A2" s="71" t="s">
        <v>870</v>
      </c>
      <c r="B2" s="71" t="s">
        <v>871</v>
      </c>
      <c r="C2" s="71" t="s">
        <v>872</v>
      </c>
      <c r="D2" s="71" t="s">
        <v>873</v>
      </c>
      <c r="E2" s="71" t="s">
        <v>874</v>
      </c>
      <c r="F2" s="71" t="s">
        <v>875</v>
      </c>
      <c r="G2" s="141" t="s">
        <v>876</v>
      </c>
      <c r="H2" s="71" t="s">
        <v>877</v>
      </c>
      <c r="I2" s="141" t="s">
        <v>878</v>
      </c>
      <c r="J2" s="141" t="s">
        <v>879</v>
      </c>
      <c r="K2" s="148" t="s">
        <v>880</v>
      </c>
      <c r="L2" t="s">
        <v>881</v>
      </c>
    </row>
    <row r="3" spans="1:12">
      <c r="A3" s="71" t="s">
        <v>882</v>
      </c>
      <c r="B3" s="71" t="s">
        <v>883</v>
      </c>
      <c r="D3" s="71">
        <v>0</v>
      </c>
      <c r="E3" s="71" t="s">
        <v>884</v>
      </c>
      <c r="F3" s="71">
        <v>2022</v>
      </c>
      <c r="G3" s="142" t="s">
        <v>885</v>
      </c>
      <c r="H3" s="71" t="str">
        <f>表格13[[#This Row],[國家/市場]]&amp;表格13[[#This Row],[電網]]&amp;表格13[[#This Row],[電力係數年度]]</f>
        <v>Renewable electricity2022</v>
      </c>
      <c r="I3" s="142">
        <f>表格13[[#This Row],[電力係數]]</f>
        <v>0</v>
      </c>
      <c r="J3" s="72" t="str">
        <f>表格13[[#This Row],[電力係數來源]]</f>
        <v>推估值</v>
      </c>
      <c r="K3" s="71" t="str">
        <f>MID(表格13[[#This Row],[係數單位]],FIND("/",表格13[[#This Row],[係數單位]])+1,4)</f>
        <v>MWh</v>
      </c>
    </row>
    <row r="4" spans="1:12">
      <c r="A4" s="71" t="s">
        <v>740</v>
      </c>
      <c r="B4" s="71" t="s">
        <v>0</v>
      </c>
      <c r="C4" s="71" t="s">
        <v>886</v>
      </c>
      <c r="D4" s="71">
        <v>9.7299999999999998E-2</v>
      </c>
      <c r="E4" s="71" t="s">
        <v>884</v>
      </c>
      <c r="F4" s="71">
        <v>2022</v>
      </c>
      <c r="G4" s="71" t="s">
        <v>887</v>
      </c>
      <c r="H4" s="71" t="str">
        <f>表格13[[#This Row],[國家/市場]]&amp;表格13[[#This Row],[電網]]&amp;表格13[[#This Row],[電力係數年度]]</f>
        <v>TaiwanUpstream2022</v>
      </c>
      <c r="I4" s="142">
        <f>表格13[[#This Row],[電力係數]]</f>
        <v>9.7299999999999998E-2</v>
      </c>
      <c r="J4" s="72" t="str">
        <f>表格13[[#This Row],[電力係數來源]]</f>
        <v>環保部產品碳足跡平台-電力間接碳足跡(2021)</v>
      </c>
      <c r="K4" s="71" t="str">
        <f>MID(表格13[[#This Row],[係數單位]],FIND("/",表格13[[#This Row],[係數單位]])+1,4)</f>
        <v>MWh</v>
      </c>
    </row>
    <row r="5" spans="1:12">
      <c r="A5" s="71" t="s">
        <v>740</v>
      </c>
      <c r="B5" s="71" t="s">
        <v>0</v>
      </c>
      <c r="C5" s="264" t="s">
        <v>888</v>
      </c>
      <c r="D5" s="264">
        <v>2.1999999999999999E-2</v>
      </c>
      <c r="E5" s="71" t="s">
        <v>884</v>
      </c>
      <c r="F5" s="71">
        <v>2022</v>
      </c>
      <c r="G5" s="264" t="s">
        <v>889</v>
      </c>
      <c r="H5" s="71" t="str">
        <f>表格13[[#This Row],[國家/市場]]&amp;表格13[[#This Row],[電網]]&amp;表格13[[#This Row],[電力係數年度]]</f>
        <v>TaiwanT&amp;D2022</v>
      </c>
      <c r="I5" s="142">
        <f>表格13[[#This Row],[電力係數]]</f>
        <v>2.1999999999999999E-2</v>
      </c>
      <c r="J5" s="72" t="str">
        <f>表格13[[#This Row],[電力係數來源]]</f>
        <v xml:space="preserve">IEA (2023) Life Cycle Upstream Emission Factors </v>
      </c>
      <c r="K5" s="71" t="str">
        <f>MID(表格13[[#This Row],[係數單位]],FIND("/",表格13[[#This Row],[係數單位]])+1,4)</f>
        <v>MWh</v>
      </c>
    </row>
    <row r="6" spans="1:12">
      <c r="A6" s="71" t="s">
        <v>740</v>
      </c>
      <c r="B6" s="71" t="s">
        <v>0</v>
      </c>
      <c r="D6" s="71">
        <v>0.495</v>
      </c>
      <c r="E6" s="71" t="s">
        <v>884</v>
      </c>
      <c r="F6" s="71">
        <v>2022</v>
      </c>
      <c r="G6" s="142" t="s">
        <v>890</v>
      </c>
      <c r="H6" s="71" t="str">
        <f>表格13[[#This Row],[國家/市場]]&amp;表格13[[#This Row],[電網]]&amp;表格13[[#This Row],[電力係數年度]]</f>
        <v>Taiwan2022</v>
      </c>
      <c r="I6" s="142">
        <f>表格13[[#This Row],[電力係數]]</f>
        <v>0.495</v>
      </c>
      <c r="J6" s="72" t="str">
        <f>表格13[[#This Row],[電力係數來源]]</f>
        <v>能源局公告</v>
      </c>
      <c r="K6" s="71" t="str">
        <f>MID(表格13[[#This Row],[係數單位]],FIND("/",表格13[[#This Row],[係數單位]])+1,4)</f>
        <v>MWh</v>
      </c>
    </row>
    <row r="7" spans="1:12">
      <c r="A7" s="71" t="s">
        <v>740</v>
      </c>
      <c r="B7" s="71" t="s">
        <v>0</v>
      </c>
      <c r="C7" s="71" t="s">
        <v>891</v>
      </c>
      <c r="D7" s="71">
        <v>0.495</v>
      </c>
      <c r="E7" s="71" t="s">
        <v>884</v>
      </c>
      <c r="F7" s="71">
        <v>2022</v>
      </c>
      <c r="G7" s="142" t="s">
        <v>890</v>
      </c>
      <c r="H7" s="71" t="str">
        <f>表格13[[#This Row],[國家/市場]]&amp;表格13[[#This Row],[電網]]&amp;表格13[[#This Row],[電力係數年度]]</f>
        <v>TaiwanMarket-based2022</v>
      </c>
      <c r="I7" s="142">
        <f>表格13[[#This Row],[電力係數]]</f>
        <v>0.495</v>
      </c>
      <c r="J7" s="72" t="str">
        <f>表格13[[#This Row],[電力係數來源]]</f>
        <v>能源局公告</v>
      </c>
      <c r="K7" s="71" t="str">
        <f>MID(表格13[[#This Row],[係數單位]],FIND("/",表格13[[#This Row],[係數單位]])+1,4)</f>
        <v>MWh</v>
      </c>
    </row>
    <row r="8" spans="1:12" customFormat="1" ht="17" customHeight="1">
      <c r="A8" s="71" t="s">
        <v>892</v>
      </c>
      <c r="B8" s="71" t="s">
        <v>893</v>
      </c>
      <c r="D8" s="299">
        <v>0.68</v>
      </c>
      <c r="E8" s="71" t="s">
        <v>884</v>
      </c>
      <c r="F8" s="71">
        <v>2022</v>
      </c>
      <c r="G8" t="s">
        <v>894</v>
      </c>
      <c r="H8" s="71" t="str">
        <f>表格13[[#This Row],[國家/市場]]&amp;表格13[[#This Row],[電網]]&amp;表格13[[#This Row],[電力係數年度]]</f>
        <v>Australia2022</v>
      </c>
      <c r="I8" s="142">
        <f>表格13[[#This Row],[電力係數]]</f>
        <v>0.68</v>
      </c>
      <c r="J8" s="72" t="str">
        <f>表格13[[#This Row],[電力係數來源]]</f>
        <v xml:space="preserve">https://www.dcceew.gov.au/sites/default/files/documents/national-greenhouse-account-factors-2023.docx </v>
      </c>
      <c r="K8" s="71" t="str">
        <f>MID(表格13[[#This Row],[係數單位]],FIND("/",表格13[[#This Row],[係數單位]])+1,4)</f>
        <v>MWh</v>
      </c>
    </row>
    <row r="9" spans="1:12" customFormat="1" ht="17" customHeight="1">
      <c r="A9" s="71" t="s">
        <v>895</v>
      </c>
      <c r="B9" s="71" t="s">
        <v>896</v>
      </c>
      <c r="C9" s="71" t="s">
        <v>891</v>
      </c>
      <c r="D9" s="299">
        <v>0.68</v>
      </c>
      <c r="E9" s="71" t="s">
        <v>884</v>
      </c>
      <c r="F9" s="71">
        <v>2022</v>
      </c>
      <c r="G9" t="s">
        <v>897</v>
      </c>
      <c r="H9" s="71" t="str">
        <f>表格13[[#This Row],[國家/市場]]&amp;表格13[[#This Row],[電網]]&amp;表格13[[#This Row],[電力係數年度]]</f>
        <v>AustraliaMarket-based2022</v>
      </c>
      <c r="I9" s="142">
        <f>表格13[[#This Row],[電力係數]]</f>
        <v>0.68</v>
      </c>
      <c r="J9" s="72" t="str">
        <f>表格13[[#This Row],[電力係數來源]]</f>
        <v xml:space="preserve">https://www.dcceew.gov.au/sites/default/files/documents/national-greenhouse-account-factors-2023.docx </v>
      </c>
      <c r="K9" s="71" t="str">
        <f>MID(表格13[[#This Row],[係數單位]],FIND("/",表格13[[#This Row],[係數單位]])+1,4)</f>
        <v>MWh</v>
      </c>
    </row>
    <row r="10" spans="1:12" customFormat="1" ht="17" customHeight="1">
      <c r="A10" s="71" t="s">
        <v>898</v>
      </c>
      <c r="B10" s="71" t="s">
        <v>899</v>
      </c>
      <c r="C10" s="71" t="s">
        <v>900</v>
      </c>
      <c r="D10" s="299">
        <v>0.05</v>
      </c>
      <c r="E10" s="71" t="s">
        <v>884</v>
      </c>
      <c r="F10" s="71">
        <v>2022</v>
      </c>
      <c r="G10" t="s">
        <v>901</v>
      </c>
      <c r="H10" s="71" t="str">
        <f>表格13[[#This Row],[國家/市場]]&amp;表格13[[#This Row],[電網]]&amp;表格13[[#This Row],[電力係數年度]]</f>
        <v>AustraliaUpstream2022</v>
      </c>
      <c r="I10" s="142">
        <f>表格13[[#This Row],[電力係數]]</f>
        <v>0.05</v>
      </c>
      <c r="J10" s="72" t="str">
        <f>表格13[[#This Row],[電力係數來源]]</f>
        <v xml:space="preserve">https://www.dcceew.gov.au/sites/default/files/documents/national-greenhouse-account-factors-2023.docx </v>
      </c>
      <c r="K10" s="71" t="str">
        <f>MID(表格13[[#This Row],[係數單位]],FIND("/",表格13[[#This Row],[係數單位]])+1,4)</f>
        <v>MWh</v>
      </c>
    </row>
    <row r="11" spans="1:12" customFormat="1" ht="17" customHeight="1">
      <c r="A11" s="71" t="s">
        <v>902</v>
      </c>
      <c r="B11" s="71" t="s">
        <v>903</v>
      </c>
      <c r="C11" s="264" t="s">
        <v>904</v>
      </c>
      <c r="D11" s="264">
        <v>3.8300000000000001E-2</v>
      </c>
      <c r="E11" s="71" t="s">
        <v>884</v>
      </c>
      <c r="F11" s="71">
        <v>2022</v>
      </c>
      <c r="G11" s="264" t="s">
        <v>889</v>
      </c>
      <c r="H11" s="71" t="str">
        <f>表格13[[#This Row],[國家/市場]]&amp;表格13[[#This Row],[電網]]&amp;表格13[[#This Row],[電力係數年度]]</f>
        <v>AustraliaT&amp;D2022</v>
      </c>
      <c r="I11" s="142">
        <f>表格13[[#This Row],[電力係數]]</f>
        <v>3.8300000000000001E-2</v>
      </c>
      <c r="J11" s="72" t="str">
        <f>表格13[[#This Row],[電力係數來源]]</f>
        <v xml:space="preserve">IEA (2023) Life Cycle Upstream Emission Factors </v>
      </c>
      <c r="K11" s="71" t="str">
        <f>MID(表格13[[#This Row],[係數單位]],FIND("/",表格13[[#This Row],[係數單位]])+1,4)</f>
        <v>MWh</v>
      </c>
    </row>
    <row r="12" spans="1:12" customFormat="1" ht="17" customHeight="1">
      <c r="A12" s="131" t="s">
        <v>740</v>
      </c>
      <c r="B12" s="131" t="s">
        <v>42</v>
      </c>
      <c r="C12" s="131"/>
      <c r="D12" s="294">
        <v>0.4168</v>
      </c>
      <c r="E12" s="131" t="s">
        <v>884</v>
      </c>
      <c r="F12" s="131">
        <v>2022</v>
      </c>
      <c r="G12" s="293" t="s">
        <v>905</v>
      </c>
      <c r="H12" s="71" t="str">
        <f>表格13[[#This Row],[國家/市場]]&amp;表格13[[#This Row],[電網]]&amp;表格13[[#This Row],[電力係數年度]]</f>
        <v>Singapore2022</v>
      </c>
      <c r="I12" s="142">
        <f>表格13[[#This Row],[電力係數]]</f>
        <v>0.4168</v>
      </c>
      <c r="J12" s="71" t="str">
        <f>表格13[[#This Row],[電力係數來源]]</f>
        <v>https://www.ema.gov.sg/resources/singapore-energy-statistics/chapter2</v>
      </c>
      <c r="K12" s="71" t="str">
        <f>MID(表格13[[#This Row],[係數單位]],FIND("/",表格13[[#This Row],[係數單位]])+1,4)</f>
        <v>MWh</v>
      </c>
    </row>
    <row r="13" spans="1:12" customFormat="1" ht="17" customHeight="1">
      <c r="A13" s="131" t="s">
        <v>740</v>
      </c>
      <c r="B13" s="131" t="s">
        <v>42</v>
      </c>
      <c r="C13" s="71" t="s">
        <v>891</v>
      </c>
      <c r="D13" s="131">
        <v>0.4168</v>
      </c>
      <c r="E13" s="131" t="s">
        <v>884</v>
      </c>
      <c r="F13" s="131">
        <v>2022</v>
      </c>
      <c r="G13" s="293" t="s">
        <v>906</v>
      </c>
      <c r="H13" s="71" t="str">
        <f>表格13[[#This Row],[國家/市場]]&amp;表格13[[#This Row],[電網]]&amp;表格13[[#This Row],[電力係數年度]]</f>
        <v>SingaporeMarket-based2022</v>
      </c>
      <c r="I13" s="142">
        <f>表格13[[#This Row],[電力係數]]</f>
        <v>0.4168</v>
      </c>
      <c r="J13" s="71" t="str">
        <f>表格13[[#This Row],[電力係數來源]]</f>
        <v>https://www.ema.gov.sg/resources/singapore-energy-statistics/chapter2</v>
      </c>
      <c r="K13" s="71" t="str">
        <f>MID(表格13[[#This Row],[係數單位]],FIND("/",表格13[[#This Row],[係數單位]])+1,4)</f>
        <v>MWh</v>
      </c>
    </row>
    <row r="14" spans="1:12">
      <c r="A14" s="166" t="s">
        <v>740</v>
      </c>
      <c r="B14" s="167" t="s">
        <v>41</v>
      </c>
      <c r="C14" s="166"/>
      <c r="D14" s="131">
        <v>0.91300000000000003</v>
      </c>
      <c r="E14" s="168" t="s">
        <v>884</v>
      </c>
      <c r="F14" s="131">
        <v>2022</v>
      </c>
      <c r="G14" s="166" t="s">
        <v>907</v>
      </c>
      <c r="H14" s="71" t="str">
        <f>表格13[[#This Row],[國家/市場]]&amp;表格13[[#This Row],[電網]]&amp;表格13[[#This Row],[電力係數年度]]</f>
        <v>Vietnam2022</v>
      </c>
      <c r="I14" s="142">
        <f>表格13[[#This Row],[電力係數]]</f>
        <v>0.91300000000000003</v>
      </c>
      <c r="J14" s="71" t="str">
        <f>表格13[[#This Row],[電力係數來源]]</f>
        <v>COUNTRY SPECIFIC ELECTRICITY GRID GREENHOUSE GAS EMISSION FACTORS</v>
      </c>
      <c r="K14" s="71" t="str">
        <f>MID(表格13[[#This Row],[係數單位]],FIND("/",表格13[[#This Row],[係數單位]])+1,4)</f>
        <v>MWh</v>
      </c>
    </row>
    <row r="15" spans="1:12">
      <c r="A15" s="166" t="s">
        <v>740</v>
      </c>
      <c r="B15" s="167" t="s">
        <v>908</v>
      </c>
      <c r="C15" s="166"/>
      <c r="D15" s="131">
        <v>0.78480000000000005</v>
      </c>
      <c r="E15" s="168" t="s">
        <v>884</v>
      </c>
      <c r="F15" s="131">
        <v>2022</v>
      </c>
      <c r="G15" s="166" t="s">
        <v>909</v>
      </c>
      <c r="H15" s="71" t="str">
        <f>表格13[[#This Row],[國家/市場]]&amp;表格13[[#This Row],[電網]]&amp;表格13[[#This Row],[電力係數年度]]</f>
        <v>Indonesia2022</v>
      </c>
      <c r="I15" s="142">
        <f>表格13[[#This Row],[電力係數]]</f>
        <v>0.78480000000000005</v>
      </c>
      <c r="J15" s="71" t="str">
        <f>表格13[[#This Row],[電力係數來源]]</f>
        <v>Climate Transparency (2022 Report)</v>
      </c>
      <c r="K15" s="71" t="str">
        <f>MID(表格13[[#This Row],[係數單位]],FIND("/",表格13[[#This Row],[係數單位]])+1,4)</f>
        <v>MWh</v>
      </c>
    </row>
    <row r="16" spans="1:12">
      <c r="A16" s="166" t="s">
        <v>740</v>
      </c>
      <c r="B16" s="167" t="s">
        <v>41</v>
      </c>
      <c r="C16" s="71" t="s">
        <v>891</v>
      </c>
      <c r="D16" s="131">
        <v>0.91300000000000003</v>
      </c>
      <c r="E16" s="168" t="s">
        <v>884</v>
      </c>
      <c r="F16" s="131">
        <v>2022</v>
      </c>
      <c r="G16" s="166" t="s">
        <v>907</v>
      </c>
      <c r="H16" s="71" t="str">
        <f>表格13[[#This Row],[國家/市場]]&amp;表格13[[#This Row],[電網]]&amp;表格13[[#This Row],[電力係數年度]]</f>
        <v>VietnamMarket-based2022</v>
      </c>
      <c r="I16" s="142">
        <f>表格13[[#This Row],[電力係數]]</f>
        <v>0.91300000000000003</v>
      </c>
      <c r="J16" s="71" t="str">
        <f>表格13[[#This Row],[電力係數來源]]</f>
        <v>COUNTRY SPECIFIC ELECTRICITY GRID GREENHOUSE GAS EMISSION FACTORS</v>
      </c>
      <c r="K16" s="71" t="str">
        <f>MID(表格13[[#This Row],[係數單位]],FIND("/",表格13[[#This Row],[係數單位]])+1,4)</f>
        <v>MWh</v>
      </c>
    </row>
    <row r="17" spans="1:11">
      <c r="A17" s="166" t="s">
        <v>740</v>
      </c>
      <c r="B17" s="167" t="s">
        <v>908</v>
      </c>
      <c r="C17" s="71" t="s">
        <v>891</v>
      </c>
      <c r="D17" s="131">
        <v>0.78480000000000005</v>
      </c>
      <c r="E17" s="168" t="s">
        <v>884</v>
      </c>
      <c r="F17" s="131">
        <v>2022</v>
      </c>
      <c r="G17" s="166" t="s">
        <v>909</v>
      </c>
      <c r="H17" s="71" t="str">
        <f>表格13[[#This Row],[國家/市場]]&amp;表格13[[#This Row],[電網]]&amp;表格13[[#This Row],[電力係數年度]]</f>
        <v>IndonesiaMarket-based2022</v>
      </c>
      <c r="I17" s="142">
        <f>表格13[[#This Row],[電力係數]]</f>
        <v>0.78480000000000005</v>
      </c>
      <c r="J17" s="71" t="str">
        <f>表格13[[#This Row],[電力係數來源]]</f>
        <v>Climate Transparency (2022 Report)</v>
      </c>
      <c r="K17" s="71" t="str">
        <f>MID(表格13[[#This Row],[係數單位]],FIND("/",表格13[[#This Row],[係數單位]])+1,4)</f>
        <v>MWh</v>
      </c>
    </row>
    <row r="18" spans="1:11" customFormat="1" ht="16.5" customHeight="1">
      <c r="A18" s="131" t="s">
        <v>740</v>
      </c>
      <c r="B18" s="131" t="s">
        <v>33</v>
      </c>
      <c r="C18" s="131"/>
      <c r="D18" s="131">
        <v>0.45700000000000002</v>
      </c>
      <c r="E18" s="131" t="s">
        <v>884</v>
      </c>
      <c r="F18" s="131">
        <v>2022</v>
      </c>
      <c r="G18" s="293" t="s">
        <v>910</v>
      </c>
      <c r="H18" s="71" t="str">
        <f>表格13[[#This Row],[國家/市場]]&amp;表格13[[#This Row],[電網]]&amp;表格13[[#This Row],[電力係數年度]]</f>
        <v>Japan2022</v>
      </c>
      <c r="I18" s="142">
        <f>表格13[[#This Row],[電力係數]]</f>
        <v>0.45700000000000002</v>
      </c>
      <c r="J18" s="71" t="str">
        <f>表格13[[#This Row],[電力係數來源]]</f>
        <v>https://www.tepco.co.jp/en/corpinfo/illustrated/environment/emissions-co2-e.html</v>
      </c>
      <c r="K18" s="71" t="str">
        <f>MID(表格13[[#This Row],[係數單位]],FIND("/",表格13[[#This Row],[係數單位]])+1,4)</f>
        <v>MWh</v>
      </c>
    </row>
    <row r="19" spans="1:11" customFormat="1" ht="17" customHeight="1">
      <c r="A19" s="131" t="s">
        <v>740</v>
      </c>
      <c r="B19" s="131" t="s">
        <v>33</v>
      </c>
      <c r="C19" s="71" t="s">
        <v>891</v>
      </c>
      <c r="D19" s="131">
        <v>0.45700000000000002</v>
      </c>
      <c r="E19" s="131" t="s">
        <v>884</v>
      </c>
      <c r="F19" s="131">
        <v>2022</v>
      </c>
      <c r="G19" s="293" t="s">
        <v>911</v>
      </c>
      <c r="H19" s="71" t="str">
        <f>表格13[[#This Row],[國家/市場]]&amp;表格13[[#This Row],[電網]]&amp;表格13[[#This Row],[電力係數年度]]</f>
        <v>JapanMarket-based2022</v>
      </c>
      <c r="I19" s="142">
        <f>表格13[[#This Row],[電力係數]]</f>
        <v>0.45700000000000002</v>
      </c>
      <c r="J19" s="71" t="str">
        <f>表格13[[#This Row],[電力係數來源]]</f>
        <v>https://www.tepco.co.jp/en/corpinfo/illustrated/environment/emissions-co2-e.html</v>
      </c>
      <c r="K19" s="71" t="str">
        <f>MID(表格13[[#This Row],[係數單位]],FIND("/",表格13[[#This Row],[係數單位]])+1,4)</f>
        <v>MWh</v>
      </c>
    </row>
    <row r="20" spans="1:11">
      <c r="A20" s="131" t="s">
        <v>740</v>
      </c>
      <c r="B20" s="131" t="s">
        <v>51</v>
      </c>
      <c r="C20" s="131"/>
      <c r="D20" s="131">
        <v>0.4113</v>
      </c>
      <c r="E20" s="131" t="s">
        <v>884</v>
      </c>
      <c r="F20" s="131">
        <v>2022</v>
      </c>
      <c r="G20" s="166" t="s">
        <v>909</v>
      </c>
      <c r="H20" s="71" t="str">
        <f>表格13[[#This Row],[國家/市場]]&amp;表格13[[#This Row],[電網]]&amp;表格13[[#This Row],[電力係數年度]]</f>
        <v>Republic of Korea2022</v>
      </c>
      <c r="I20" s="142">
        <f>表格13[[#This Row],[電力係數]]</f>
        <v>0.4113</v>
      </c>
      <c r="J20" s="71" t="str">
        <f>表格13[[#This Row],[電力係數來源]]</f>
        <v>Climate Transparency (2022 Report)</v>
      </c>
      <c r="K20" s="71" t="str">
        <f>MID(表格13[[#This Row],[係數單位]],FIND("/",表格13[[#This Row],[係數單位]])+1,4)</f>
        <v>MWh</v>
      </c>
    </row>
    <row r="21" spans="1:11">
      <c r="A21" s="131" t="s">
        <v>740</v>
      </c>
      <c r="B21" s="131" t="s">
        <v>51</v>
      </c>
      <c r="C21" s="71" t="s">
        <v>891</v>
      </c>
      <c r="D21" s="131">
        <v>0.4113</v>
      </c>
      <c r="E21" s="131" t="s">
        <v>884</v>
      </c>
      <c r="F21" s="131">
        <v>2022</v>
      </c>
      <c r="G21" s="166" t="s">
        <v>909</v>
      </c>
      <c r="H21" s="71" t="str">
        <f>表格13[[#This Row],[國家/市場]]&amp;表格13[[#This Row],[電網]]&amp;表格13[[#This Row],[電力係數年度]]</f>
        <v>Republic of KoreaMarket-based2022</v>
      </c>
      <c r="I21" s="142">
        <f>表格13[[#This Row],[電力係數]]</f>
        <v>0.4113</v>
      </c>
      <c r="J21" s="71" t="str">
        <f>表格13[[#This Row],[電力係數來源]]</f>
        <v>Climate Transparency (2022 Report)</v>
      </c>
      <c r="K21" s="71" t="str">
        <f>MID(表格13[[#This Row],[係數單位]],FIND("/",表格13[[#This Row],[係數單位]])+1,4)</f>
        <v>MWh</v>
      </c>
    </row>
    <row r="22" spans="1:11">
      <c r="A22" s="131" t="s">
        <v>740</v>
      </c>
      <c r="B22" s="131" t="s">
        <v>30</v>
      </c>
      <c r="C22" s="131"/>
      <c r="D22" s="131">
        <v>0.49990000000000001</v>
      </c>
      <c r="E22" s="131" t="s">
        <v>884</v>
      </c>
      <c r="F22" s="131">
        <v>2022</v>
      </c>
      <c r="G22" s="173" t="s">
        <v>912</v>
      </c>
      <c r="H22" s="71" t="str">
        <f>表格13[[#This Row],[國家/市場]]&amp;表格13[[#This Row],[電網]]&amp;表格13[[#This Row],[電力係數年度]]</f>
        <v>Thailand2022</v>
      </c>
      <c r="I22" s="142">
        <f>表格13[[#This Row],[電力係數]]</f>
        <v>0.49990000000000001</v>
      </c>
      <c r="J22" s="71" t="str">
        <f>表格13[[#This Row],[電力係數來源]]</f>
        <v>Thailand Greenhouse Gas Management Organization (TGO) in 2020</v>
      </c>
      <c r="K22" s="71" t="str">
        <f>MID(表格13[[#This Row],[係數單位]],FIND("/",表格13[[#This Row],[係數單位]])+1,4)</f>
        <v>MWh</v>
      </c>
    </row>
    <row r="23" spans="1:11">
      <c r="A23" s="131" t="s">
        <v>740</v>
      </c>
      <c r="B23" s="131" t="s">
        <v>30</v>
      </c>
      <c r="C23" s="71" t="s">
        <v>891</v>
      </c>
      <c r="D23" s="131">
        <v>0.49990000000000001</v>
      </c>
      <c r="E23" s="131" t="s">
        <v>884</v>
      </c>
      <c r="F23" s="131">
        <v>2022</v>
      </c>
      <c r="G23" s="173" t="s">
        <v>912</v>
      </c>
      <c r="H23" s="71" t="str">
        <f>表格13[[#This Row],[國家/市場]]&amp;表格13[[#This Row],[電網]]&amp;表格13[[#This Row],[電力係數年度]]</f>
        <v>ThailandMarket-based2022</v>
      </c>
      <c r="I23" s="142">
        <f>表格13[[#This Row],[電力係數]]</f>
        <v>0.49990000000000001</v>
      </c>
      <c r="J23" s="71" t="str">
        <f>表格13[[#This Row],[電力係數來源]]</f>
        <v>Thailand Greenhouse Gas Management Organization (TGO) in 2020</v>
      </c>
      <c r="K23" s="71" t="str">
        <f>MID(表格13[[#This Row],[係數單位]],FIND("/",表格13[[#This Row],[係數單位]])+1,4)</f>
        <v>MWh</v>
      </c>
    </row>
    <row r="24" spans="1:11">
      <c r="A24" s="71" t="s">
        <v>740</v>
      </c>
      <c r="B24" s="71" t="s">
        <v>17</v>
      </c>
      <c r="C24" s="264" t="s">
        <v>913</v>
      </c>
      <c r="D24" s="264">
        <v>0.1009</v>
      </c>
      <c r="E24" s="71" t="s">
        <v>884</v>
      </c>
      <c r="F24" s="71">
        <v>2022</v>
      </c>
      <c r="G24" s="264" t="s">
        <v>889</v>
      </c>
      <c r="H24" s="71" t="str">
        <f>表格13[[#This Row],[國家/市場]]&amp;表格13[[#This Row],[電網]]&amp;表格13[[#This Row],[電力係數年度]]</f>
        <v>ChinaUpstream2022</v>
      </c>
      <c r="I24" s="142">
        <f>表格13[[#This Row],[電力係數]]</f>
        <v>0.1009</v>
      </c>
      <c r="J24" s="71" t="str">
        <f>表格13[[#This Row],[電力係數來源]]</f>
        <v xml:space="preserve">IEA (2023) Life Cycle Upstream Emission Factors </v>
      </c>
      <c r="K24" s="71" t="str">
        <f>MID(表格13[[#This Row],[係數單位]],FIND("/",表格13[[#This Row],[係數單位]])+1,4)</f>
        <v>MWh</v>
      </c>
    </row>
    <row r="25" spans="1:11">
      <c r="A25" s="71" t="s">
        <v>740</v>
      </c>
      <c r="B25" s="71" t="s">
        <v>17</v>
      </c>
      <c r="C25" s="264" t="s">
        <v>914</v>
      </c>
      <c r="D25" s="264">
        <v>2.9100000000000001E-2</v>
      </c>
      <c r="E25" s="71" t="s">
        <v>884</v>
      </c>
      <c r="F25" s="71">
        <v>2022</v>
      </c>
      <c r="G25" s="264" t="s">
        <v>889</v>
      </c>
      <c r="H25" s="71" t="str">
        <f>表格13[[#This Row],[國家/市場]]&amp;表格13[[#This Row],[電網]]&amp;表格13[[#This Row],[電力係數年度]]</f>
        <v>ChinaT&amp;D2022</v>
      </c>
      <c r="I25" s="142">
        <f>表格13[[#This Row],[電力係數]]</f>
        <v>2.9100000000000001E-2</v>
      </c>
      <c r="J25" s="71" t="str">
        <f>表格13[[#This Row],[電力係數來源]]</f>
        <v xml:space="preserve">IEA (2023) Life Cycle Upstream Emission Factors </v>
      </c>
      <c r="K25" s="71" t="str">
        <f>MID(表格13[[#This Row],[係數單位]],FIND("/",表格13[[#This Row],[係數單位]])+1,4)</f>
        <v>MWh</v>
      </c>
    </row>
    <row r="26" spans="1:11">
      <c r="A26" s="71" t="s">
        <v>740</v>
      </c>
      <c r="B26" s="71" t="s">
        <v>17</v>
      </c>
      <c r="C26" s="71" t="s">
        <v>891</v>
      </c>
      <c r="D26" s="71">
        <f>SUMIF($C$27:$C$32,VLOOKUP(#REF!,#REF!,4,FALSE),$D$27:$D$32)</f>
        <v>0</v>
      </c>
      <c r="E26" s="71" t="s">
        <v>884</v>
      </c>
      <c r="F26" s="71">
        <v>2022</v>
      </c>
      <c r="G26" s="262" t="s">
        <v>915</v>
      </c>
      <c r="H26" s="71" t="str">
        <f>表格13[[#This Row],[國家/市場]]&amp;表格13[[#This Row],[電網]]&amp;表格13[[#This Row],[電力係數年度]]</f>
        <v>ChinaMarket-based2022</v>
      </c>
      <c r="I26" s="142">
        <f>表格13[[#This Row],[電力係數]]</f>
        <v>0</v>
      </c>
      <c r="J26" s="71" t="str">
        <f>表格13[[#This Row],[電力係數來源]]</f>
        <v>2019 年度减排项目中国区域电网基准线排放因子</v>
      </c>
      <c r="K26" s="71" t="str">
        <f>MID(表格13[[#This Row],[係數單位]],FIND("/",表格13[[#This Row],[係數單位]])+1,4)</f>
        <v>MWh</v>
      </c>
    </row>
    <row r="27" spans="1:11">
      <c r="A27" s="71" t="s">
        <v>740</v>
      </c>
      <c r="B27" s="71" t="s">
        <v>17</v>
      </c>
      <c r="C27" s="71" t="s">
        <v>71</v>
      </c>
      <c r="D27" s="71">
        <v>0.79210000000000003</v>
      </c>
      <c r="E27" s="71" t="s">
        <v>884</v>
      </c>
      <c r="F27" s="71">
        <v>2022</v>
      </c>
      <c r="G27" s="262" t="s">
        <v>915</v>
      </c>
      <c r="H27" s="71" t="str">
        <f>表格13[[#This Row],[國家/市場]]&amp;表格13[[#This Row],[電網]]&amp;表格13[[#This Row],[電力係數年度]]</f>
        <v>China華東2022</v>
      </c>
      <c r="I27" s="142">
        <f>表格13[[#This Row],[電力係數]]</f>
        <v>0.79210000000000003</v>
      </c>
      <c r="J27" s="71" t="str">
        <f>表格13[[#This Row],[電力係數來源]]</f>
        <v>2019 年度减排项目中国区域电网基准线排放因子</v>
      </c>
      <c r="K27" s="71" t="str">
        <f>MID(表格13[[#This Row],[係數單位]],FIND("/",表格13[[#This Row],[係數單位]])+1,4)</f>
        <v>MWh</v>
      </c>
    </row>
    <row r="28" spans="1:11">
      <c r="A28" s="71" t="s">
        <v>740</v>
      </c>
      <c r="B28" s="71" t="s">
        <v>17</v>
      </c>
      <c r="C28" s="71" t="s">
        <v>72</v>
      </c>
      <c r="D28" s="71">
        <v>0.89219999999999999</v>
      </c>
      <c r="E28" s="71" t="s">
        <v>884</v>
      </c>
      <c r="F28" s="71">
        <v>2022</v>
      </c>
      <c r="G28" s="262" t="s">
        <v>915</v>
      </c>
      <c r="H28" s="71" t="str">
        <f>表格13[[#This Row],[國家/市場]]&amp;表格13[[#This Row],[電網]]&amp;表格13[[#This Row],[電力係數年度]]</f>
        <v>China西北2022</v>
      </c>
      <c r="I28" s="142">
        <f>表格13[[#This Row],[電力係數]]</f>
        <v>0.89219999999999999</v>
      </c>
      <c r="J28" s="71" t="str">
        <f>表格13[[#This Row],[電力係數來源]]</f>
        <v>2019 年度减排项目中国区域电网基准线排放因子</v>
      </c>
      <c r="K28" s="71" t="str">
        <f>MID(表格13[[#This Row],[係數單位]],FIND("/",表格13[[#This Row],[係數單位]])+1,4)</f>
        <v>MWh</v>
      </c>
    </row>
    <row r="29" spans="1:11">
      <c r="A29" s="71" t="s">
        <v>740</v>
      </c>
      <c r="B29" s="71" t="s">
        <v>17</v>
      </c>
      <c r="C29" s="71" t="s">
        <v>70</v>
      </c>
      <c r="D29" s="71">
        <v>0.85870000000000002</v>
      </c>
      <c r="E29" s="71" t="s">
        <v>884</v>
      </c>
      <c r="F29" s="71">
        <v>2022</v>
      </c>
      <c r="G29" s="262" t="s">
        <v>915</v>
      </c>
      <c r="H29" s="71" t="str">
        <f>表格13[[#This Row],[國家/市場]]&amp;表格13[[#This Row],[電網]]&amp;表格13[[#This Row],[電力係數年度]]</f>
        <v>China華中2022</v>
      </c>
      <c r="I29" s="142">
        <f>表格13[[#This Row],[電力係數]]</f>
        <v>0.85870000000000002</v>
      </c>
      <c r="J29" s="71" t="str">
        <f>表格13[[#This Row],[電力係數來源]]</f>
        <v>2019 年度减排项目中国区域电网基准线排放因子</v>
      </c>
      <c r="K29" s="71" t="str">
        <f>MID(表格13[[#This Row],[係數單位]],FIND("/",表格13[[#This Row],[係數單位]])+1,4)</f>
        <v>MWh</v>
      </c>
    </row>
    <row r="30" spans="1:11">
      <c r="A30" s="71" t="s">
        <v>740</v>
      </c>
      <c r="B30" s="71" t="s">
        <v>17</v>
      </c>
      <c r="C30" s="71" t="s">
        <v>73</v>
      </c>
      <c r="D30" s="71">
        <v>0.94189999999999996</v>
      </c>
      <c r="E30" s="71" t="s">
        <v>884</v>
      </c>
      <c r="F30" s="71">
        <v>2022</v>
      </c>
      <c r="G30" s="262" t="s">
        <v>915</v>
      </c>
      <c r="H30" s="71" t="str">
        <f>表格13[[#This Row],[國家/市場]]&amp;表格13[[#This Row],[電網]]&amp;表格13[[#This Row],[電力係數年度]]</f>
        <v>China華北2022</v>
      </c>
      <c r="I30" s="142">
        <f>表格13[[#This Row],[電力係數]]</f>
        <v>0.94189999999999996</v>
      </c>
      <c r="J30" s="71" t="str">
        <f>表格13[[#This Row],[電力係數來源]]</f>
        <v>2019 年度减排项目中国区域电网基准线排放因子</v>
      </c>
      <c r="K30" s="71" t="str">
        <f>MID(表格13[[#This Row],[係數單位]],FIND("/",表格13[[#This Row],[係數單位]])+1,4)</f>
        <v>MWh</v>
      </c>
    </row>
    <row r="31" spans="1:11">
      <c r="A31" s="71" t="s">
        <v>740</v>
      </c>
      <c r="B31" s="71" t="s">
        <v>17</v>
      </c>
      <c r="C31" s="71" t="s">
        <v>69</v>
      </c>
      <c r="D31" s="71">
        <v>0.80420000000000003</v>
      </c>
      <c r="E31" s="71" t="s">
        <v>884</v>
      </c>
      <c r="F31" s="71">
        <v>2022</v>
      </c>
      <c r="G31" s="262" t="s">
        <v>915</v>
      </c>
      <c r="H31" s="71" t="str">
        <f>表格13[[#This Row],[國家/市場]]&amp;表格13[[#This Row],[電網]]&amp;表格13[[#This Row],[電力係數年度]]</f>
        <v>China南方2022</v>
      </c>
      <c r="I31" s="142">
        <f>表格13[[#This Row],[電力係數]]</f>
        <v>0.80420000000000003</v>
      </c>
      <c r="J31" s="71" t="str">
        <f>表格13[[#This Row],[電力係數來源]]</f>
        <v>2019 年度减排项目中国区域电网基准线排放因子</v>
      </c>
      <c r="K31" s="71" t="str">
        <f>MID(表格13[[#This Row],[係數單位]],FIND("/",表格13[[#This Row],[係數單位]])+1,4)</f>
        <v>MWh</v>
      </c>
    </row>
    <row r="32" spans="1:11">
      <c r="A32" s="71" t="s">
        <v>740</v>
      </c>
      <c r="B32" s="71" t="s">
        <v>17</v>
      </c>
      <c r="C32" s="71" t="s">
        <v>74</v>
      </c>
      <c r="D32" s="71">
        <v>1.0826</v>
      </c>
      <c r="E32" s="71" t="s">
        <v>884</v>
      </c>
      <c r="F32" s="71">
        <v>2022</v>
      </c>
      <c r="G32" s="262" t="s">
        <v>915</v>
      </c>
      <c r="H32" s="71" t="str">
        <f>表格13[[#This Row],[國家/市場]]&amp;表格13[[#This Row],[電網]]&amp;表格13[[#This Row],[電力係數年度]]</f>
        <v>China東北2022</v>
      </c>
      <c r="I32" s="142">
        <f>表格13[[#This Row],[電力係數]]</f>
        <v>1.0826</v>
      </c>
      <c r="J32" s="71" t="str">
        <f>表格13[[#This Row],[電力係數來源]]</f>
        <v>2019 年度减排项目中国区域电网基准线排放因子</v>
      </c>
      <c r="K32" s="71" t="str">
        <f>MID(表格13[[#This Row],[係數單位]],FIND("/",表格13[[#This Row],[係數單位]])+1,4)</f>
        <v>MWh</v>
      </c>
    </row>
    <row r="33" spans="1:11" customFormat="1" ht="17">
      <c r="A33" s="71" t="s">
        <v>740</v>
      </c>
      <c r="B33" s="71" t="s">
        <v>75</v>
      </c>
      <c r="D33" s="71">
        <v>0.81</v>
      </c>
      <c r="E33" s="71" t="s">
        <v>884</v>
      </c>
      <c r="F33" s="71">
        <v>2022</v>
      </c>
      <c r="G33" s="262" t="s">
        <v>916</v>
      </c>
      <c r="H33" s="71" t="str">
        <f>表格13[[#This Row],[國家/市場]]&amp;表格13[[#This Row],[電網]]&amp;表格13[[#This Row],[電力係數年度]]</f>
        <v>India2022</v>
      </c>
      <c r="I33" s="142">
        <f>表格13[[#This Row],[電力係數]]</f>
        <v>0.81</v>
      </c>
      <c r="J33" s="71" t="str">
        <f>表格13[[#This Row],[電力係數來源]]</f>
        <v>https://cea.nic.in/wp-content/uploads/baseline/2023/01/Approved_report_emission__2021_22.pdf</v>
      </c>
      <c r="K33" s="71" t="str">
        <f>MID(表格13[[#This Row],[係數單位]],FIND("/",表格13[[#This Row],[係數單位]])+1,4)</f>
        <v>MWh</v>
      </c>
    </row>
    <row r="34" spans="1:11">
      <c r="A34" s="71" t="s">
        <v>740</v>
      </c>
      <c r="B34" s="71" t="s">
        <v>75</v>
      </c>
      <c r="C34" s="71" t="s">
        <v>891</v>
      </c>
      <c r="D34" s="71">
        <v>0.81</v>
      </c>
      <c r="E34" s="71" t="s">
        <v>884</v>
      </c>
      <c r="F34" s="71">
        <v>2022</v>
      </c>
      <c r="G34" s="262" t="s">
        <v>916</v>
      </c>
      <c r="H34" s="71" t="str">
        <f>表格13[[#This Row],[國家/市場]]&amp;表格13[[#This Row],[電網]]&amp;表格13[[#This Row],[電力係數年度]]</f>
        <v>IndiaMarket-based2022</v>
      </c>
      <c r="I34" s="142">
        <f>表格13[[#This Row],[電力係數]]</f>
        <v>0.81</v>
      </c>
      <c r="J34" s="71" t="str">
        <f>表格13[[#This Row],[電力係數來源]]</f>
        <v>https://cea.nic.in/wp-content/uploads/baseline/2023/01/Approved_report_emission__2021_22.pdf</v>
      </c>
      <c r="K34" s="71" t="str">
        <f>MID(表格13[[#This Row],[係數單位]],FIND("/",表格13[[#This Row],[係數單位]])+1,4)</f>
        <v>MWh</v>
      </c>
    </row>
    <row r="35" spans="1:11">
      <c r="A35" s="71" t="s">
        <v>917</v>
      </c>
      <c r="B35" s="71" t="s">
        <v>918</v>
      </c>
      <c r="D35" s="71">
        <v>0.86650000000000005</v>
      </c>
      <c r="E35" s="71" t="s">
        <v>884</v>
      </c>
      <c r="F35" s="71">
        <v>2022</v>
      </c>
      <c r="G35" s="262" t="s">
        <v>909</v>
      </c>
      <c r="H35" s="71" t="str">
        <f>表格13[[#This Row],[國家/市場]]&amp;表格13[[#This Row],[電網]]&amp;表格13[[#This Row],[電力係數年度]]</f>
        <v>South Africa2022</v>
      </c>
      <c r="I35" s="142">
        <f>表格13[[#This Row],[電力係數]]</f>
        <v>0.86650000000000005</v>
      </c>
      <c r="J35" s="71" t="str">
        <f>表格13[[#This Row],[電力係數來源]]</f>
        <v>Climate Transparency (2022 Report)</v>
      </c>
      <c r="K35" s="71" t="str">
        <f>MID(表格13[[#This Row],[係數單位]],FIND("/",表格13[[#This Row],[係數單位]])+1,4)</f>
        <v>MWh</v>
      </c>
    </row>
    <row r="36" spans="1:11">
      <c r="A36" s="71" t="s">
        <v>917</v>
      </c>
      <c r="B36" s="71" t="s">
        <v>918</v>
      </c>
      <c r="C36" s="71" t="s">
        <v>891</v>
      </c>
      <c r="D36" s="71">
        <v>0.86650000000000005</v>
      </c>
      <c r="E36" s="71" t="s">
        <v>884</v>
      </c>
      <c r="F36" s="71">
        <v>2022</v>
      </c>
      <c r="G36" s="262" t="s">
        <v>909</v>
      </c>
      <c r="H36" s="71" t="str">
        <f>表格13[[#This Row],[國家/市場]]&amp;表格13[[#This Row],[電網]]&amp;表格13[[#This Row],[電力係數年度]]</f>
        <v>South AfricaMarket-based2022</v>
      </c>
      <c r="I36" s="142">
        <f>表格13[[#This Row],[電力係數]]</f>
        <v>0.86650000000000005</v>
      </c>
      <c r="J36" s="71" t="str">
        <f>表格13[[#This Row],[電力係數來源]]</f>
        <v>Climate Transparency (2022 Report)</v>
      </c>
      <c r="K36" s="71" t="str">
        <f>MID(表格13[[#This Row],[係數單位]],FIND("/",表格13[[#This Row],[係數單位]])+1,4)</f>
        <v>MWh</v>
      </c>
    </row>
    <row r="37" spans="1:11" customFormat="1" ht="17" customHeight="1">
      <c r="A37" s="71" t="s">
        <v>917</v>
      </c>
      <c r="B37" s="600" t="s">
        <v>16</v>
      </c>
      <c r="D37" s="601">
        <v>0.47510000000000002</v>
      </c>
      <c r="E37" s="71" t="s">
        <v>884</v>
      </c>
      <c r="F37" s="71">
        <v>2022</v>
      </c>
      <c r="G37" s="602" t="s">
        <v>919</v>
      </c>
      <c r="H37" s="71" t="str">
        <f>表格13[[#This Row],[國家/市場]]&amp;表格13[[#This Row],[電網]]&amp;表格13[[#This Row],[電力係數年度]]</f>
        <v>Egypt2022</v>
      </c>
      <c r="I37" s="142">
        <f>表格13[[#This Row],[電力係數]]</f>
        <v>0.47510000000000002</v>
      </c>
      <c r="J37" s="71" t="str">
        <f>表格13[[#This Row],[電力係數來源]]</f>
        <v>Understand low-carbon energy in Egypt through Data | Low-Carbon Power (lowcarbonpower.org)</v>
      </c>
      <c r="K37" s="71" t="str">
        <f>MID(表格13[[#This Row],[係數單位]],FIND("/",表格13[[#This Row],[係數單位]])+1,4)</f>
        <v>MWh</v>
      </c>
    </row>
    <row r="38" spans="1:11">
      <c r="A38" s="71" t="s">
        <v>917</v>
      </c>
      <c r="B38" s="71" t="s">
        <v>16</v>
      </c>
      <c r="C38" s="71" t="s">
        <v>891</v>
      </c>
      <c r="D38" s="603">
        <v>0.47087899999999999</v>
      </c>
      <c r="E38" s="71" t="s">
        <v>884</v>
      </c>
      <c r="F38" s="71">
        <v>2022</v>
      </c>
      <c r="G38" s="604" t="s">
        <v>920</v>
      </c>
      <c r="H38" s="71" t="str">
        <f>表格13[[#This Row],[國家/市場]]&amp;表格13[[#This Row],[電網]]&amp;表格13[[#This Row],[電力係數年度]]</f>
        <v>EgyptMarket-based2022</v>
      </c>
      <c r="I38" s="142">
        <f>表格13[[#This Row],[電力係數]]</f>
        <v>0.47087899999999999</v>
      </c>
      <c r="J38" s="71" t="str">
        <f>表格13[[#This Row],[電力係數來源]]</f>
        <v>Ember-GER-2022</v>
      </c>
      <c r="K38" s="71" t="str">
        <f>MID(表格13[[#This Row],[係數單位]],FIND("/",表格13[[#This Row],[係數單位]])+1,4)</f>
        <v>MWh</v>
      </c>
    </row>
    <row r="39" spans="1:11" customFormat="1" ht="17" customHeight="1">
      <c r="A39" s="71" t="s">
        <v>921</v>
      </c>
      <c r="B39" s="71" t="s">
        <v>922</v>
      </c>
      <c r="D39" s="263">
        <v>0.61419999999999997</v>
      </c>
      <c r="E39" s="71" t="s">
        <v>884</v>
      </c>
      <c r="F39" s="71">
        <v>2022</v>
      </c>
      <c r="G39" s="262" t="s">
        <v>909</v>
      </c>
      <c r="H39" s="71" t="str">
        <f>表格13[[#This Row],[國家/市場]]&amp;表格13[[#This Row],[電網]]&amp;表格13[[#This Row],[電力係數年度]]</f>
        <v>Saudi Arabia2022</v>
      </c>
      <c r="I39" s="142">
        <f>表格13[[#This Row],[電力係數]]</f>
        <v>0.61419999999999997</v>
      </c>
      <c r="J39" s="71" t="str">
        <f>表格13[[#This Row],[電力係數來源]]</f>
        <v>Climate Transparency (2022 Report)</v>
      </c>
      <c r="K39" s="71" t="str">
        <f>MID(表格13[[#This Row],[係數單位]],FIND("/",表格13[[#This Row],[係數單位]])+1,4)</f>
        <v>MWh</v>
      </c>
    </row>
    <row r="40" spans="1:11">
      <c r="A40" s="71" t="s">
        <v>921</v>
      </c>
      <c r="B40" s="71" t="s">
        <v>922</v>
      </c>
      <c r="C40" s="71" t="s">
        <v>891</v>
      </c>
      <c r="D40" s="263">
        <v>0.61419999999999997</v>
      </c>
      <c r="E40" s="71" t="s">
        <v>884</v>
      </c>
      <c r="F40" s="71">
        <v>2022</v>
      </c>
      <c r="G40" s="262" t="s">
        <v>909</v>
      </c>
      <c r="H40" s="71" t="str">
        <f>表格13[[#This Row],[國家/市場]]&amp;表格13[[#This Row],[電網]]&amp;表格13[[#This Row],[電力係數年度]]</f>
        <v>Saudi ArabiaMarket-based2022</v>
      </c>
      <c r="I40" s="142">
        <f>表格13[[#This Row],[電力係數]]</f>
        <v>0.61419999999999997</v>
      </c>
      <c r="J40" s="71" t="str">
        <f>表格13[[#This Row],[電力係數來源]]</f>
        <v>Climate Transparency (2022 Report)</v>
      </c>
      <c r="K40" s="71" t="str">
        <f>MID(表格13[[#This Row],[係數單位]],FIND("/",表格13[[#This Row],[係數單位]])+1,4)</f>
        <v>MWh</v>
      </c>
    </row>
    <row r="41" spans="1:11" customFormat="1" ht="17" customHeight="1">
      <c r="A41" s="71" t="s">
        <v>921</v>
      </c>
      <c r="B41" s="600" t="s">
        <v>923</v>
      </c>
      <c r="D41" s="601">
        <v>0.43741999999999998</v>
      </c>
      <c r="E41" s="71" t="s">
        <v>884</v>
      </c>
      <c r="F41" s="71">
        <v>2022</v>
      </c>
      <c r="G41" s="602" t="s">
        <v>924</v>
      </c>
      <c r="H41" s="71" t="str">
        <f>表格13[[#This Row],[國家/市場]]&amp;表格13[[#This Row],[電網]]&amp;表格13[[#This Row],[電力係數年度]]</f>
        <v>United Arab Emirates2022</v>
      </c>
      <c r="I41" s="142">
        <f>表格13[[#This Row],[電力係數]]</f>
        <v>0.43741999999999998</v>
      </c>
      <c r="J41" s="71" t="str">
        <f>表格13[[#This Row],[電力係數來源]]</f>
        <v>Understand low-carbon energy in United Arab Emirates through Data | Low-Carbon Power (lowcarbonpower.org)</v>
      </c>
      <c r="K41" s="71" t="str">
        <f>MID(表格13[[#This Row],[係數單位]],FIND("/",表格13[[#This Row],[係數單位]])+1,4)</f>
        <v>MWh</v>
      </c>
    </row>
    <row r="42" spans="1:11">
      <c r="A42" s="71" t="s">
        <v>921</v>
      </c>
      <c r="B42" s="71" t="s">
        <v>925</v>
      </c>
      <c r="C42" s="71" t="s">
        <v>891</v>
      </c>
      <c r="D42" s="603">
        <v>0.40410000000000001</v>
      </c>
      <c r="E42" s="71" t="s">
        <v>884</v>
      </c>
      <c r="F42" s="71">
        <v>2022</v>
      </c>
      <c r="G42" s="604" t="s">
        <v>926</v>
      </c>
      <c r="H42" s="71" t="str">
        <f>表格13[[#This Row],[國家/市場]]&amp;表格13[[#This Row],[電網]]&amp;表格13[[#This Row],[電力係數年度]]</f>
        <v>United Arab EmiratesMarket-based2022</v>
      </c>
      <c r="I42" s="142">
        <f>表格13[[#This Row],[電力係數]]</f>
        <v>0.40410000000000001</v>
      </c>
      <c r="J42" s="71" t="str">
        <f>表格13[[#This Row],[電力係數來源]]</f>
        <v>Dubai Electricity &amp; Water Authority (sustainability report 2021)</v>
      </c>
      <c r="K42" s="71" t="str">
        <f>MID(表格13[[#This Row],[係數單位]],FIND("/",表格13[[#This Row],[係數單位]])+1,4)</f>
        <v>MWh</v>
      </c>
    </row>
    <row r="43" spans="1:11" customFormat="1" ht="17" customHeight="1">
      <c r="A43" s="71" t="s">
        <v>921</v>
      </c>
      <c r="B43" s="600" t="s">
        <v>3</v>
      </c>
      <c r="D43" s="601">
        <v>0.33900000000000002</v>
      </c>
      <c r="E43" s="71" t="s">
        <v>884</v>
      </c>
      <c r="F43" s="71">
        <v>2022</v>
      </c>
      <c r="G43" s="602" t="s">
        <v>927</v>
      </c>
      <c r="H43" s="71" t="str">
        <f>表格13[[#This Row],[國家/市場]]&amp;表格13[[#This Row],[電網]]&amp;表格13[[#This Row],[電力係數年度]]</f>
        <v>Turkey2022</v>
      </c>
      <c r="I43" s="142">
        <f>表格13[[#This Row],[電力係數]]</f>
        <v>0.33900000000000002</v>
      </c>
      <c r="J43" s="71" t="str">
        <f>表格13[[#This Row],[電力係數來源]]</f>
        <v>Electricity Maps | Live 24/7 CO₂ emissions of electricity consumption</v>
      </c>
      <c r="K43" s="71" t="str">
        <f>MID(表格13[[#This Row],[係數單位]],FIND("/",表格13[[#This Row],[係數單位]])+1,4)</f>
        <v>MWh</v>
      </c>
    </row>
    <row r="44" spans="1:11">
      <c r="A44" s="71" t="s">
        <v>921</v>
      </c>
      <c r="B44" s="71" t="s">
        <v>928</v>
      </c>
      <c r="C44" s="71" t="s">
        <v>891</v>
      </c>
      <c r="D44" s="603">
        <v>0.42609999999999998</v>
      </c>
      <c r="E44" s="71" t="s">
        <v>884</v>
      </c>
      <c r="F44" s="71">
        <v>2022</v>
      </c>
      <c r="G44" s="604" t="s">
        <v>909</v>
      </c>
      <c r="H44" s="71" t="str">
        <f>表格13[[#This Row],[國家/市場]]&amp;表格13[[#This Row],[電網]]&amp;表格13[[#This Row],[電力係數年度]]</f>
        <v>TurkeyMarket-based2022</v>
      </c>
      <c r="I44" s="142">
        <f>表格13[[#This Row],[電力係數]]</f>
        <v>0.42609999999999998</v>
      </c>
      <c r="J44" s="71" t="str">
        <f>表格13[[#This Row],[電力係數來源]]</f>
        <v>Climate Transparency (2022 Report)</v>
      </c>
      <c r="K44" s="71" t="str">
        <f>MID(表格13[[#This Row],[係數單位]],FIND("/",表格13[[#This Row],[係數單位]])+1,4)</f>
        <v>MWh</v>
      </c>
    </row>
    <row r="45" spans="1:11">
      <c r="A45" s="71" t="s">
        <v>31</v>
      </c>
      <c r="B45" s="71" t="s">
        <v>43</v>
      </c>
      <c r="D45" s="263">
        <v>0.37313800000000003</v>
      </c>
      <c r="E45" s="71" t="s">
        <v>884</v>
      </c>
      <c r="F45" s="71">
        <v>2022</v>
      </c>
      <c r="G45" s="262" t="s">
        <v>929</v>
      </c>
      <c r="H45" s="71" t="str">
        <f>表格13[[#This Row],[國家/市場]]&amp;表格13[[#This Row],[電網]]&amp;表格13[[#This Row],[電力係數年度]]</f>
        <v>United States of America2022</v>
      </c>
      <c r="I45" s="142">
        <f>表格13[[#This Row],[電力係數]]</f>
        <v>0.37313800000000003</v>
      </c>
      <c r="J45" s="71" t="str">
        <f>表格13[[#This Row],[電力係數來源]]</f>
        <v>US Env Protection Agency (EPA) eGrid</v>
      </c>
      <c r="K45" s="71" t="str">
        <f>MID(表格13[[#This Row],[係數單位]],FIND("/",表格13[[#This Row],[係數單位]])+1,4)</f>
        <v>MWh</v>
      </c>
    </row>
    <row r="46" spans="1:11">
      <c r="A46" s="71" t="s">
        <v>31</v>
      </c>
      <c r="B46" s="71" t="s">
        <v>43</v>
      </c>
      <c r="C46" s="71" t="s">
        <v>891</v>
      </c>
      <c r="D46" s="263">
        <v>0.37313800000000003</v>
      </c>
      <c r="E46" s="71" t="s">
        <v>884</v>
      </c>
      <c r="F46" s="71">
        <v>2022</v>
      </c>
      <c r="G46" s="262" t="s">
        <v>929</v>
      </c>
      <c r="H46" s="71" t="str">
        <f>表格13[[#This Row],[國家/市場]]&amp;表格13[[#This Row],[電網]]&amp;表格13[[#This Row],[電力係數年度]]</f>
        <v>United States of AmericaMarket-based2022</v>
      </c>
      <c r="I46" s="142">
        <f>表格13[[#This Row],[電力係數]]</f>
        <v>0.37313800000000003</v>
      </c>
      <c r="J46" s="71" t="str">
        <f>表格13[[#This Row],[電力係數來源]]</f>
        <v>US Env Protection Agency (EPA) eGrid</v>
      </c>
      <c r="K46" s="71" t="str">
        <f>MID(表格13[[#This Row],[係數單位]],FIND("/",表格13[[#This Row],[係數單位]])+1,4)</f>
        <v>MWh</v>
      </c>
    </row>
    <row r="47" spans="1:11" customFormat="1" ht="11.5" customHeight="1">
      <c r="A47" s="71" t="s">
        <v>31</v>
      </c>
      <c r="B47" s="71" t="s">
        <v>44</v>
      </c>
      <c r="D47" s="263">
        <v>0.28810000000000002</v>
      </c>
      <c r="E47" s="71" t="s">
        <v>884</v>
      </c>
      <c r="F47" s="71">
        <v>2022</v>
      </c>
      <c r="G47" s="262" t="s">
        <v>909</v>
      </c>
      <c r="H47" s="71" t="str">
        <f>表格13[[#This Row],[國家/市場]]&amp;表格13[[#This Row],[電網]]&amp;表格13[[#This Row],[電力係數年度]]</f>
        <v>Argentina2022</v>
      </c>
      <c r="I47" s="142">
        <f>表格13[[#This Row],[電力係數]]</f>
        <v>0.28810000000000002</v>
      </c>
      <c r="J47" s="71" t="str">
        <f>表格13[[#This Row],[電力係數來源]]</f>
        <v>Climate Transparency (2022 Report)</v>
      </c>
      <c r="K47" s="71" t="str">
        <f>MID(表格13[[#This Row],[係數單位]],FIND("/",表格13[[#This Row],[係數單位]])+1,4)</f>
        <v>MWh</v>
      </c>
    </row>
    <row r="48" spans="1:11">
      <c r="A48" s="71" t="s">
        <v>31</v>
      </c>
      <c r="B48" s="71" t="s">
        <v>44</v>
      </c>
      <c r="C48" s="71" t="s">
        <v>891</v>
      </c>
      <c r="D48" s="263">
        <v>0.28810000000000002</v>
      </c>
      <c r="E48" s="71" t="s">
        <v>884</v>
      </c>
      <c r="F48" s="71">
        <v>2022</v>
      </c>
      <c r="G48" s="262" t="s">
        <v>909</v>
      </c>
      <c r="H48" s="71" t="str">
        <f>表格13[[#This Row],[國家/市場]]&amp;表格13[[#This Row],[電網]]&amp;表格13[[#This Row],[電力係數年度]]</f>
        <v>ArgentinaMarket-based2022</v>
      </c>
      <c r="I48" s="142">
        <f>表格13[[#This Row],[電力係數]]</f>
        <v>0.28810000000000002</v>
      </c>
      <c r="J48" s="71" t="str">
        <f>表格13[[#This Row],[電力係數來源]]</f>
        <v>Climate Transparency (2022 Report)</v>
      </c>
      <c r="K48" s="71" t="str">
        <f>MID(表格13[[#This Row],[係數單位]],FIND("/",表格13[[#This Row],[係數單位]])+1,4)</f>
        <v>MWh</v>
      </c>
    </row>
    <row r="49" spans="1:11" customFormat="1" ht="11.5" customHeight="1">
      <c r="A49" s="71" t="s">
        <v>31</v>
      </c>
      <c r="B49" s="71" t="s">
        <v>44</v>
      </c>
      <c r="C49" s="264" t="s">
        <v>930</v>
      </c>
      <c r="D49" s="264">
        <v>7.7600000000000002E-2</v>
      </c>
      <c r="E49" s="71" t="s">
        <v>884</v>
      </c>
      <c r="F49" s="71">
        <v>2022</v>
      </c>
      <c r="G49" s="264" t="s">
        <v>889</v>
      </c>
      <c r="H49" s="71" t="str">
        <f>表格13[[#This Row],[國家/市場]]&amp;表格13[[#This Row],[電網]]&amp;表格13[[#This Row],[電力係數年度]]</f>
        <v>ArgentinaUpstream2022</v>
      </c>
      <c r="I49" s="142">
        <f>表格13[[#This Row],[電力係數]]</f>
        <v>7.7600000000000002E-2</v>
      </c>
      <c r="J49" s="71" t="str">
        <f>表格13[[#This Row],[電力係數來源]]</f>
        <v xml:space="preserve">IEA (2023) Life Cycle Upstream Emission Factors </v>
      </c>
      <c r="K49" s="71" t="str">
        <f>MID(表格13[[#This Row],[係數單位]],FIND("/",表格13[[#This Row],[係數單位]])+1,4)</f>
        <v>MWh</v>
      </c>
    </row>
    <row r="50" spans="1:11">
      <c r="A50" s="71" t="s">
        <v>31</v>
      </c>
      <c r="B50" s="71" t="s">
        <v>44</v>
      </c>
      <c r="C50" s="264" t="s">
        <v>931</v>
      </c>
      <c r="D50" s="264">
        <v>5.5599999999999997E-2</v>
      </c>
      <c r="E50" s="71" t="s">
        <v>884</v>
      </c>
      <c r="F50" s="71">
        <v>2022</v>
      </c>
      <c r="G50" s="264" t="s">
        <v>889</v>
      </c>
      <c r="H50" s="71" t="str">
        <f>表格13[[#This Row],[國家/市場]]&amp;表格13[[#This Row],[電網]]&amp;表格13[[#This Row],[電力係數年度]]</f>
        <v>ArgentinaT&amp;D2022</v>
      </c>
      <c r="I50" s="142">
        <f>表格13[[#This Row],[電力係數]]</f>
        <v>5.5599999999999997E-2</v>
      </c>
      <c r="J50" s="71" t="str">
        <f>表格13[[#This Row],[電力係數來源]]</f>
        <v xml:space="preserve">IEA (2023) Life Cycle Upstream Emission Factors </v>
      </c>
      <c r="K50" s="71" t="str">
        <f>MID(表格13[[#This Row],[係數單位]],FIND("/",表格13[[#This Row],[係數單位]])+1,4)</f>
        <v>MWh</v>
      </c>
    </row>
    <row r="51" spans="1:11">
      <c r="A51" s="71" t="s">
        <v>31</v>
      </c>
      <c r="B51" s="71" t="s">
        <v>34</v>
      </c>
      <c r="D51" s="263">
        <v>0.1295</v>
      </c>
      <c r="E51" s="71" t="s">
        <v>884</v>
      </c>
      <c r="F51" s="71">
        <v>2022</v>
      </c>
      <c r="G51" s="262" t="s">
        <v>909</v>
      </c>
      <c r="H51" s="71" t="str">
        <f>表格13[[#This Row],[國家/市場]]&amp;表格13[[#This Row],[電網]]&amp;表格13[[#This Row],[電力係數年度]]</f>
        <v>Brazil2022</v>
      </c>
      <c r="I51" s="142">
        <f>表格13[[#This Row],[電力係數]]</f>
        <v>0.1295</v>
      </c>
      <c r="J51" s="71" t="str">
        <f>表格13[[#This Row],[電力係數來源]]</f>
        <v>Climate Transparency (2022 Report)</v>
      </c>
      <c r="K51" s="71" t="str">
        <f>MID(表格13[[#This Row],[係數單位]],FIND("/",表格13[[#This Row],[係數單位]])+1,4)</f>
        <v>MWh</v>
      </c>
    </row>
    <row r="52" spans="1:11">
      <c r="A52" s="71" t="s">
        <v>31</v>
      </c>
      <c r="B52" s="71" t="s">
        <v>34</v>
      </c>
      <c r="C52" s="71" t="s">
        <v>891</v>
      </c>
      <c r="D52" s="263">
        <v>0.1295</v>
      </c>
      <c r="E52" s="71" t="s">
        <v>884</v>
      </c>
      <c r="F52" s="71">
        <v>2022</v>
      </c>
      <c r="G52" s="262" t="s">
        <v>909</v>
      </c>
      <c r="H52" s="71" t="str">
        <f>表格13[[#This Row],[國家/市場]]&amp;表格13[[#This Row],[電網]]&amp;表格13[[#This Row],[電力係數年度]]</f>
        <v>BrazilMarket-based2022</v>
      </c>
      <c r="I52" s="142">
        <f>表格13[[#This Row],[電力係數]]</f>
        <v>0.1295</v>
      </c>
      <c r="J52" s="71" t="str">
        <f>表格13[[#This Row],[電力係數來源]]</f>
        <v>Climate Transparency (2022 Report)</v>
      </c>
      <c r="K52" s="71" t="str">
        <f>MID(表格13[[#This Row],[係數單位]],FIND("/",表格13[[#This Row],[係數單位]])+1,4)</f>
        <v>MWh</v>
      </c>
    </row>
    <row r="53" spans="1:11">
      <c r="A53" s="71" t="s">
        <v>31</v>
      </c>
      <c r="B53" s="71" t="s">
        <v>34</v>
      </c>
      <c r="C53" s="264" t="s">
        <v>932</v>
      </c>
      <c r="D53" s="264">
        <v>3.4299999999999997E-2</v>
      </c>
      <c r="E53" s="71" t="s">
        <v>884</v>
      </c>
      <c r="F53" s="71">
        <v>2022</v>
      </c>
      <c r="G53" s="264" t="s">
        <v>889</v>
      </c>
      <c r="H53" s="71" t="str">
        <f>表格13[[#This Row],[國家/市場]]&amp;表格13[[#This Row],[電網]]&amp;表格13[[#This Row],[電力係數年度]]</f>
        <v>BrazilUpstream2022</v>
      </c>
      <c r="I53" s="142">
        <f>表格13[[#This Row],[電力係數]]</f>
        <v>3.4299999999999997E-2</v>
      </c>
      <c r="J53" s="71" t="str">
        <f>表格13[[#This Row],[電力係數來源]]</f>
        <v xml:space="preserve">IEA (2023) Life Cycle Upstream Emission Factors </v>
      </c>
      <c r="K53" s="71" t="str">
        <f>MID(表格13[[#This Row],[係數單位]],FIND("/",表格13[[#This Row],[係數單位]])+1,4)</f>
        <v>MWh</v>
      </c>
    </row>
    <row r="54" spans="1:11">
      <c r="A54" s="71" t="s">
        <v>31</v>
      </c>
      <c r="B54" s="71" t="s">
        <v>34</v>
      </c>
      <c r="C54" s="264" t="s">
        <v>933</v>
      </c>
      <c r="D54" s="264">
        <v>2.7199999999999998E-2</v>
      </c>
      <c r="E54" s="71" t="s">
        <v>884</v>
      </c>
      <c r="F54" s="71">
        <v>2022</v>
      </c>
      <c r="G54" s="264" t="s">
        <v>889</v>
      </c>
      <c r="H54" s="71" t="str">
        <f>表格13[[#This Row],[國家/市場]]&amp;表格13[[#This Row],[電網]]&amp;表格13[[#This Row],[電力係數年度]]</f>
        <v>BrazilT&amp;D2022</v>
      </c>
      <c r="I54" s="142">
        <f>表格13[[#This Row],[電力係數]]</f>
        <v>2.7199999999999998E-2</v>
      </c>
      <c r="J54" s="71" t="str">
        <f>表格13[[#This Row],[電力係數來源]]</f>
        <v xml:space="preserve">IEA (2023) Life Cycle Upstream Emission Factors </v>
      </c>
      <c r="K54" s="71" t="str">
        <f>MID(表格13[[#This Row],[係數單位]],FIND("/",表格13[[#This Row],[係數單位]])+1,4)</f>
        <v>MWh</v>
      </c>
    </row>
    <row r="55" spans="1:11">
      <c r="A55" s="71" t="s">
        <v>31</v>
      </c>
      <c r="B55" s="71" t="s">
        <v>48</v>
      </c>
      <c r="C55" s="264" t="s">
        <v>934</v>
      </c>
      <c r="D55" s="264">
        <v>2.5499999999999998E-2</v>
      </c>
      <c r="E55" s="71" t="s">
        <v>884</v>
      </c>
      <c r="F55" s="71">
        <v>2022</v>
      </c>
      <c r="G55" s="264" t="s">
        <v>889</v>
      </c>
      <c r="H55" s="71" t="str">
        <f>表格13[[#This Row],[國家/市場]]&amp;表格13[[#This Row],[電網]]&amp;表格13[[#This Row],[電力係數年度]]</f>
        <v>CanadaUpstream2022</v>
      </c>
      <c r="I55" s="142">
        <f>表格13[[#This Row],[電力係數]]</f>
        <v>2.5499999999999998E-2</v>
      </c>
      <c r="J55" s="71" t="str">
        <f>表格13[[#This Row],[電力係數來源]]</f>
        <v xml:space="preserve">IEA (2023) Life Cycle Upstream Emission Factors </v>
      </c>
      <c r="K55" s="71" t="str">
        <f>MID(表格13[[#This Row],[係數單位]],FIND("/",表格13[[#This Row],[係數單位]])+1,4)</f>
        <v>MWh</v>
      </c>
    </row>
    <row r="56" spans="1:11">
      <c r="A56" s="71" t="s">
        <v>31</v>
      </c>
      <c r="B56" s="71" t="s">
        <v>48</v>
      </c>
      <c r="C56" s="264" t="s">
        <v>935</v>
      </c>
      <c r="D56" s="264">
        <v>7.1999999999999998E-3</v>
      </c>
      <c r="E56" s="71" t="s">
        <v>884</v>
      </c>
      <c r="F56" s="71">
        <v>2022</v>
      </c>
      <c r="G56" s="264" t="s">
        <v>889</v>
      </c>
      <c r="H56" s="71" t="str">
        <f>表格13[[#This Row],[國家/市場]]&amp;表格13[[#This Row],[電網]]&amp;表格13[[#This Row],[電力係數年度]]</f>
        <v>CanadaT&amp;D2022</v>
      </c>
      <c r="I56" s="142">
        <f>表格13[[#This Row],[電力係數]]</f>
        <v>7.1999999999999998E-3</v>
      </c>
      <c r="J56" s="71" t="str">
        <f>表格13[[#This Row],[電力係數來源]]</f>
        <v xml:space="preserve">IEA (2023) Life Cycle Upstream Emission Factors </v>
      </c>
      <c r="K56" s="71" t="str">
        <f>MID(表格13[[#This Row],[係數單位]],FIND("/",表格13[[#This Row],[係數單位]])+1,4)</f>
        <v>MWh</v>
      </c>
    </row>
    <row r="57" spans="1:11">
      <c r="A57" s="71" t="s">
        <v>936</v>
      </c>
      <c r="B57" s="600" t="s">
        <v>937</v>
      </c>
      <c r="D57" s="603">
        <v>9.6000000000000002E-2</v>
      </c>
      <c r="E57" s="71" t="s">
        <v>884</v>
      </c>
      <c r="F57" s="71">
        <v>2022</v>
      </c>
      <c r="G57" s="604" t="s">
        <v>938</v>
      </c>
      <c r="H57" s="71" t="str">
        <f>表格13[[#This Row],[國家/市場]]&amp;表格13[[#This Row],[電網]]&amp;表格13[[#This Row],[電力係數年度]]</f>
        <v>Austria2022</v>
      </c>
      <c r="I57" s="142">
        <f>表格13[[#This Row],[電力係數]]</f>
        <v>9.6000000000000002E-2</v>
      </c>
      <c r="J57" s="71" t="str">
        <f>表格13[[#This Row],[電力係數來源]]</f>
        <v>European Environment Agency (EEA) 2023</v>
      </c>
      <c r="K57" s="71" t="str">
        <f>MID(表格13[[#This Row],[係數單位]],FIND("/",表格13[[#This Row],[係數單位]])+1,4)</f>
        <v>MWh</v>
      </c>
    </row>
    <row r="58" spans="1:11">
      <c r="A58" s="71" t="s">
        <v>936</v>
      </c>
      <c r="B58" s="71" t="s">
        <v>939</v>
      </c>
      <c r="C58" s="71" t="s">
        <v>891</v>
      </c>
      <c r="D58" s="71">
        <v>0</v>
      </c>
      <c r="E58" s="71" t="s">
        <v>884</v>
      </c>
      <c r="F58" s="71">
        <v>2022</v>
      </c>
      <c r="G58" s="262" t="s">
        <v>940</v>
      </c>
      <c r="H58" s="71" t="str">
        <f>表格13[[#This Row],[國家/市場]]&amp;表格13[[#This Row],[電網]]&amp;表格13[[#This Row],[電力係數年度]]</f>
        <v>AustriaMarket-based2022</v>
      </c>
      <c r="I58" s="142">
        <f>表格13[[#This Row],[電力係數]]</f>
        <v>0</v>
      </c>
      <c r="J58" s="71" t="str">
        <f>表格13[[#This Row],[電力係數來源]]</f>
        <v>Association of Issuing Bodies (AIB) 2023</v>
      </c>
      <c r="K58" s="71" t="str">
        <f>MID(表格13[[#This Row],[係數單位]],FIND("/",表格13[[#This Row],[係數單位]])+1,4)</f>
        <v>MWh</v>
      </c>
    </row>
    <row r="59" spans="1:11">
      <c r="A59" s="71" t="s">
        <v>936</v>
      </c>
      <c r="B59" s="600" t="s">
        <v>941</v>
      </c>
      <c r="C59" s="264" t="s">
        <v>942</v>
      </c>
      <c r="D59" s="264">
        <v>2.6200000000000001E-2</v>
      </c>
      <c r="E59" s="71" t="s">
        <v>884</v>
      </c>
      <c r="F59" s="71">
        <v>2022</v>
      </c>
      <c r="G59" s="264" t="s">
        <v>889</v>
      </c>
      <c r="H59" s="71" t="str">
        <f>表格13[[#This Row],[國家/市場]]&amp;表格13[[#This Row],[電網]]&amp;表格13[[#This Row],[電力係數年度]]</f>
        <v>AustriaUpstream2022</v>
      </c>
      <c r="I59" s="142">
        <f>表格13[[#This Row],[電力係數]]</f>
        <v>2.6200000000000001E-2</v>
      </c>
      <c r="J59" s="71" t="str">
        <f>表格13[[#This Row],[電力係數來源]]</f>
        <v xml:space="preserve">IEA (2023) Life Cycle Upstream Emission Factors </v>
      </c>
      <c r="K59" s="71" t="str">
        <f>MID(表格13[[#This Row],[係數單位]],FIND("/",表格13[[#This Row],[係數單位]])+1,4)</f>
        <v>MWh</v>
      </c>
    </row>
    <row r="60" spans="1:11">
      <c r="A60" s="71" t="s">
        <v>936</v>
      </c>
      <c r="B60" s="71" t="s">
        <v>943</v>
      </c>
      <c r="C60" s="264" t="s">
        <v>944</v>
      </c>
      <c r="D60" s="264">
        <v>5.7000000000000002E-3</v>
      </c>
      <c r="E60" s="71" t="s">
        <v>884</v>
      </c>
      <c r="F60" s="71">
        <v>2022</v>
      </c>
      <c r="G60" s="264" t="s">
        <v>889</v>
      </c>
      <c r="H60" s="71" t="str">
        <f>表格13[[#This Row],[國家/市場]]&amp;表格13[[#This Row],[電網]]&amp;表格13[[#This Row],[電力係數年度]]</f>
        <v>AustriaT&amp;D2022</v>
      </c>
      <c r="I60" s="142">
        <f>表格13[[#This Row],[電力係數]]</f>
        <v>5.7000000000000002E-3</v>
      </c>
      <c r="J60" s="71" t="str">
        <f>表格13[[#This Row],[電力係數來源]]</f>
        <v xml:space="preserve">IEA (2023) Life Cycle Upstream Emission Factors </v>
      </c>
      <c r="K60" s="71" t="str">
        <f>MID(表格13[[#This Row],[係數單位]],FIND("/",表格13[[#This Row],[係數單位]])+1,4)</f>
        <v>MWh</v>
      </c>
    </row>
    <row r="61" spans="1:11" customFormat="1" ht="17" customHeight="1">
      <c r="A61" s="71" t="s">
        <v>936</v>
      </c>
      <c r="B61" s="71" t="s">
        <v>945</v>
      </c>
      <c r="D61" s="263">
        <v>0.14427000000000001</v>
      </c>
      <c r="E61" s="71" t="s">
        <v>884</v>
      </c>
      <c r="F61" s="71">
        <v>2022</v>
      </c>
      <c r="G61" s="262" t="s">
        <v>940</v>
      </c>
      <c r="H61" s="71" t="str">
        <f>表格13[[#This Row],[國家/市場]]&amp;表格13[[#This Row],[電網]]&amp;表格13[[#This Row],[電力係數年度]]</f>
        <v>Belgium2022</v>
      </c>
      <c r="I61" s="142">
        <f>表格13[[#This Row],[電力係數]]</f>
        <v>0.14427000000000001</v>
      </c>
      <c r="J61" s="71" t="str">
        <f>表格13[[#This Row],[電力係數來源]]</f>
        <v>Association of Issuing Bodies (AIB) 2023</v>
      </c>
      <c r="K61" s="71" t="str">
        <f>MID(表格13[[#This Row],[係數單位]],FIND("/",表格13[[#This Row],[係數單位]])+1,4)</f>
        <v>MWh</v>
      </c>
    </row>
    <row r="62" spans="1:11">
      <c r="A62" s="71" t="s">
        <v>936</v>
      </c>
      <c r="B62" s="71" t="s">
        <v>945</v>
      </c>
      <c r="C62" s="71" t="s">
        <v>891</v>
      </c>
      <c r="D62" s="71">
        <v>0.14427000000000001</v>
      </c>
      <c r="E62" s="71" t="s">
        <v>884</v>
      </c>
      <c r="F62" s="71">
        <v>2022</v>
      </c>
      <c r="G62" s="262" t="s">
        <v>940</v>
      </c>
      <c r="H62" s="71" t="str">
        <f>表格13[[#This Row],[國家/市場]]&amp;表格13[[#This Row],[電網]]&amp;表格13[[#This Row],[電力係數年度]]</f>
        <v>BelgiumMarket-based2022</v>
      </c>
      <c r="I62" s="142">
        <f>表格13[[#This Row],[電力係數]]</f>
        <v>0.14427000000000001</v>
      </c>
      <c r="J62" s="71" t="str">
        <f>表格13[[#This Row],[電力係數來源]]</f>
        <v>Association of Issuing Bodies (AIB) 2023</v>
      </c>
      <c r="K62" s="71" t="str">
        <f>MID(表格13[[#This Row],[係數單位]],FIND("/",表格13[[#This Row],[係數單位]])+1,4)</f>
        <v>MWh</v>
      </c>
    </row>
    <row r="63" spans="1:11">
      <c r="A63" s="71" t="s">
        <v>936</v>
      </c>
      <c r="B63" s="71" t="s">
        <v>946</v>
      </c>
      <c r="D63" s="263">
        <v>0.84392999999999996</v>
      </c>
      <c r="E63" s="71" t="s">
        <v>884</v>
      </c>
      <c r="F63" s="71">
        <v>2022</v>
      </c>
      <c r="G63" s="262" t="s">
        <v>940</v>
      </c>
      <c r="H63" s="71" t="str">
        <f>表格13[[#This Row],[國家/市場]]&amp;表格13[[#This Row],[電網]]&amp;表格13[[#This Row],[電力係數年度]]</f>
        <v>Bosnia &amp; Herzgovina2022</v>
      </c>
      <c r="I63" s="142">
        <f>表格13[[#This Row],[電力係數]]</f>
        <v>0.84392999999999996</v>
      </c>
      <c r="J63" s="71" t="str">
        <f>表格13[[#This Row],[電力係數來源]]</f>
        <v>Association of Issuing Bodies (AIB) 2023</v>
      </c>
      <c r="K63" s="71" t="str">
        <f>MID(表格13[[#This Row],[係數單位]],FIND("/",表格13[[#This Row],[係數單位]])+1,4)</f>
        <v>MWh</v>
      </c>
    </row>
    <row r="64" spans="1:11">
      <c r="A64" s="71" t="s">
        <v>936</v>
      </c>
      <c r="B64" s="71" t="s">
        <v>946</v>
      </c>
      <c r="C64" s="71" t="s">
        <v>891</v>
      </c>
      <c r="D64" s="263">
        <v>0.84392999999999996</v>
      </c>
      <c r="E64" s="71" t="s">
        <v>884</v>
      </c>
      <c r="F64" s="71">
        <v>2022</v>
      </c>
      <c r="G64" s="262" t="s">
        <v>940</v>
      </c>
      <c r="H64" s="71" t="str">
        <f>表格13[[#This Row],[國家/市場]]&amp;表格13[[#This Row],[電網]]&amp;表格13[[#This Row],[電力係數年度]]</f>
        <v>Bosnia &amp; HerzgovinaMarket-based2022</v>
      </c>
      <c r="I64" s="142">
        <f>表格13[[#This Row],[電力係數]]</f>
        <v>0.84392999999999996</v>
      </c>
      <c r="J64" s="71" t="str">
        <f>表格13[[#This Row],[電力係數來源]]</f>
        <v>Association of Issuing Bodies (AIB) 2023</v>
      </c>
      <c r="K64" s="71" t="str">
        <f>MID(表格13[[#This Row],[係數單位]],FIND("/",表格13[[#This Row],[係數單位]])+1,4)</f>
        <v>MWh</v>
      </c>
    </row>
    <row r="65" spans="1:11">
      <c r="A65" s="71" t="s">
        <v>936</v>
      </c>
      <c r="B65" s="71" t="s">
        <v>947</v>
      </c>
      <c r="D65" s="263">
        <v>0.51705000000000001</v>
      </c>
      <c r="E65" s="71" t="s">
        <v>884</v>
      </c>
      <c r="F65" s="71">
        <v>2022</v>
      </c>
      <c r="G65" s="262" t="s">
        <v>940</v>
      </c>
      <c r="H65" s="71" t="str">
        <f>表格13[[#This Row],[國家/市場]]&amp;表格13[[#This Row],[電網]]&amp;表格13[[#This Row],[電力係數年度]]</f>
        <v>Bulgaria2022</v>
      </c>
      <c r="I65" s="142">
        <f>表格13[[#This Row],[電力係數]]</f>
        <v>0.51705000000000001</v>
      </c>
      <c r="J65" s="71" t="str">
        <f>表格13[[#This Row],[電力係數來源]]</f>
        <v>Association of Issuing Bodies (AIB) 2023</v>
      </c>
      <c r="K65" s="71" t="str">
        <f>MID(表格13[[#This Row],[係數單位]],FIND("/",表格13[[#This Row],[係數單位]])+1,4)</f>
        <v>MWh</v>
      </c>
    </row>
    <row r="66" spans="1:11">
      <c r="A66" s="71" t="s">
        <v>936</v>
      </c>
      <c r="B66" s="71" t="s">
        <v>947</v>
      </c>
      <c r="C66" s="71" t="s">
        <v>891</v>
      </c>
      <c r="D66" s="263">
        <v>0.51705000000000001</v>
      </c>
      <c r="E66" s="71" t="s">
        <v>884</v>
      </c>
      <c r="F66" s="71">
        <v>2022</v>
      </c>
      <c r="G66" s="262" t="s">
        <v>940</v>
      </c>
      <c r="H66" s="71" t="str">
        <f>表格13[[#This Row],[國家/市場]]&amp;表格13[[#This Row],[電網]]&amp;表格13[[#This Row],[電力係數年度]]</f>
        <v>BulgariaMarket-based2022</v>
      </c>
      <c r="I66" s="142">
        <f>表格13[[#This Row],[電力係數]]</f>
        <v>0.51705000000000001</v>
      </c>
      <c r="J66" s="71" t="str">
        <f>表格13[[#This Row],[電力係數來源]]</f>
        <v>Association of Issuing Bodies (AIB) 2023</v>
      </c>
      <c r="K66" s="71" t="str">
        <f>MID(表格13[[#This Row],[係數單位]],FIND("/",表格13[[#This Row],[係數單位]])+1,4)</f>
        <v>MWh</v>
      </c>
    </row>
    <row r="67" spans="1:11">
      <c r="A67" s="71" t="s">
        <v>936</v>
      </c>
      <c r="B67" s="71" t="s">
        <v>4</v>
      </c>
      <c r="D67" s="263">
        <v>0.51505999999999996</v>
      </c>
      <c r="E67" s="71" t="s">
        <v>884</v>
      </c>
      <c r="F67" s="71">
        <v>2022</v>
      </c>
      <c r="G67" s="262" t="s">
        <v>940</v>
      </c>
      <c r="H67" s="71" t="str">
        <f>表格13[[#This Row],[國家/市場]]&amp;表格13[[#This Row],[電網]]&amp;表格13[[#This Row],[電力係數年度]]</f>
        <v>Croatia2022</v>
      </c>
      <c r="I67" s="142">
        <f>表格13[[#This Row],[電力係數]]</f>
        <v>0.51505999999999996</v>
      </c>
      <c r="J67" s="71" t="str">
        <f>表格13[[#This Row],[電力係數來源]]</f>
        <v>Association of Issuing Bodies (AIB) 2023</v>
      </c>
      <c r="K67" s="71" t="str">
        <f>MID(表格13[[#This Row],[係數單位]],FIND("/",表格13[[#This Row],[係數單位]])+1,4)</f>
        <v>MWh</v>
      </c>
    </row>
    <row r="68" spans="1:11">
      <c r="A68" s="71" t="s">
        <v>936</v>
      </c>
      <c r="B68" s="71" t="s">
        <v>4</v>
      </c>
      <c r="C68" s="71" t="s">
        <v>891</v>
      </c>
      <c r="D68" s="263">
        <v>0.51505999999999996</v>
      </c>
      <c r="E68" s="71" t="s">
        <v>884</v>
      </c>
      <c r="F68" s="71">
        <v>2022</v>
      </c>
      <c r="G68" s="262" t="s">
        <v>940</v>
      </c>
      <c r="H68" s="71" t="str">
        <f>表格13[[#This Row],[國家/市場]]&amp;表格13[[#This Row],[電網]]&amp;表格13[[#This Row],[電力係數年度]]</f>
        <v>CroatiaMarket-based2022</v>
      </c>
      <c r="I68" s="142">
        <f>表格13[[#This Row],[電力係數]]</f>
        <v>0.51505999999999996</v>
      </c>
      <c r="J68" s="71" t="str">
        <f>表格13[[#This Row],[電力係數來源]]</f>
        <v>Association of Issuing Bodies (AIB) 2023</v>
      </c>
      <c r="K68" s="71" t="str">
        <f>MID(表格13[[#This Row],[係數單位]],FIND("/",表格13[[#This Row],[係數單位]])+1,4)</f>
        <v>MWh</v>
      </c>
    </row>
    <row r="69" spans="1:11">
      <c r="A69" s="71" t="s">
        <v>936</v>
      </c>
      <c r="B69" s="71" t="s">
        <v>948</v>
      </c>
      <c r="D69" s="263">
        <v>0.60740000000000005</v>
      </c>
      <c r="E69" s="71" t="s">
        <v>884</v>
      </c>
      <c r="F69" s="71">
        <v>2022</v>
      </c>
      <c r="G69" s="297" t="s">
        <v>940</v>
      </c>
      <c r="H69" s="71" t="str">
        <f>表格13[[#This Row],[國家/市場]]&amp;表格13[[#This Row],[電網]]&amp;表格13[[#This Row],[電力係數年度]]</f>
        <v>Cyprus2022</v>
      </c>
      <c r="I69" s="142">
        <f>表格13[[#This Row],[電力係數]]</f>
        <v>0.60740000000000005</v>
      </c>
      <c r="J69" s="71" t="str">
        <f>表格13[[#This Row],[電力係數來源]]</f>
        <v>Association of Issuing Bodies (AIB) 2023</v>
      </c>
      <c r="K69" s="71" t="str">
        <f>MID(表格13[[#This Row],[係數單位]],FIND("/",表格13[[#This Row],[係數單位]])+1,4)</f>
        <v>MWh</v>
      </c>
    </row>
    <row r="70" spans="1:11">
      <c r="A70" s="71" t="s">
        <v>936</v>
      </c>
      <c r="B70" s="71" t="s">
        <v>948</v>
      </c>
      <c r="C70" s="71" t="s">
        <v>891</v>
      </c>
      <c r="D70" s="71">
        <v>0.60740000000000005</v>
      </c>
      <c r="E70" s="71" t="s">
        <v>884</v>
      </c>
      <c r="F70" s="71">
        <v>2022</v>
      </c>
      <c r="G70" s="297" t="s">
        <v>940</v>
      </c>
      <c r="H70" s="71" t="str">
        <f>表格13[[#This Row],[國家/市場]]&amp;表格13[[#This Row],[電網]]&amp;表格13[[#This Row],[電力係數年度]]</f>
        <v>CyprusMarket-based2022</v>
      </c>
      <c r="I70" s="142">
        <f>表格13[[#This Row],[電力係數]]</f>
        <v>0.60740000000000005</v>
      </c>
      <c r="J70" s="71" t="str">
        <f>表格13[[#This Row],[電力係數來源]]</f>
        <v>Association of Issuing Bodies (AIB) 2023</v>
      </c>
      <c r="K70" s="71" t="str">
        <f>MID(表格13[[#This Row],[係數單位]],FIND("/",表格13[[#This Row],[係數單位]])+1,4)</f>
        <v>MWh</v>
      </c>
    </row>
    <row r="71" spans="1:11">
      <c r="A71" s="71" t="s">
        <v>936</v>
      </c>
      <c r="B71" s="600" t="s">
        <v>949</v>
      </c>
      <c r="D71" s="603">
        <v>0.4</v>
      </c>
      <c r="E71" s="71" t="s">
        <v>884</v>
      </c>
      <c r="F71" s="71">
        <v>2022</v>
      </c>
      <c r="G71" s="604" t="s">
        <v>938</v>
      </c>
      <c r="H71" s="71" t="str">
        <f>表格13[[#This Row],[國家/市場]]&amp;表格13[[#This Row],[電網]]&amp;表格13[[#This Row],[電力係數年度]]</f>
        <v>Czech Republic2022</v>
      </c>
      <c r="I71" s="142">
        <f>表格13[[#This Row],[電力係數]]</f>
        <v>0.4</v>
      </c>
      <c r="J71" s="71" t="str">
        <f>表格13[[#This Row],[電力係數來源]]</f>
        <v>European Environment Agency (EEA) 2023</v>
      </c>
      <c r="K71" s="71" t="str">
        <f>MID(表格13[[#This Row],[係數單位]],FIND("/",表格13[[#This Row],[係數單位]])+1,4)</f>
        <v>MWh</v>
      </c>
    </row>
    <row r="72" spans="1:11">
      <c r="A72" s="71" t="s">
        <v>936</v>
      </c>
      <c r="B72" s="71" t="s">
        <v>19</v>
      </c>
      <c r="C72" s="71" t="s">
        <v>891</v>
      </c>
      <c r="D72" s="71">
        <v>0.69740000000000002</v>
      </c>
      <c r="E72" s="71" t="s">
        <v>884</v>
      </c>
      <c r="F72" s="71">
        <v>2022</v>
      </c>
      <c r="G72" s="297" t="s">
        <v>940</v>
      </c>
      <c r="H72" s="71" t="str">
        <f>表格13[[#This Row],[國家/市場]]&amp;表格13[[#This Row],[電網]]&amp;表格13[[#This Row],[電力係數年度]]</f>
        <v>Czech RepublicMarket-based2022</v>
      </c>
      <c r="I72" s="142">
        <f>表格13[[#This Row],[電力係數]]</f>
        <v>0.69740000000000002</v>
      </c>
      <c r="J72" s="71" t="str">
        <f>表格13[[#This Row],[電力係數來源]]</f>
        <v>Association of Issuing Bodies (AIB) 2023</v>
      </c>
      <c r="K72" s="71" t="str">
        <f>MID(表格13[[#This Row],[係數單位]],FIND("/",表格13[[#This Row],[係數單位]])+1,4)</f>
        <v>MWh</v>
      </c>
    </row>
    <row r="73" spans="1:11">
      <c r="A73" s="71" t="s">
        <v>936</v>
      </c>
      <c r="B73" s="71" t="s">
        <v>950</v>
      </c>
      <c r="D73" s="263">
        <v>0.55740000000000001</v>
      </c>
      <c r="E73" s="71" t="s">
        <v>884</v>
      </c>
      <c r="F73" s="71">
        <v>2022</v>
      </c>
      <c r="G73" s="297" t="s">
        <v>940</v>
      </c>
      <c r="H73" s="71" t="str">
        <f>表格13[[#This Row],[國家/市場]]&amp;表格13[[#This Row],[電網]]&amp;表格13[[#This Row],[電力係數年度]]</f>
        <v>Denmark2022</v>
      </c>
      <c r="I73" s="142">
        <f>表格13[[#This Row],[電力係數]]</f>
        <v>0.55740000000000001</v>
      </c>
      <c r="J73" s="71" t="str">
        <f>表格13[[#This Row],[電力係數來源]]</f>
        <v>Association of Issuing Bodies (AIB) 2023</v>
      </c>
      <c r="K73" s="71" t="str">
        <f>MID(表格13[[#This Row],[係數單位]],FIND("/",表格13[[#This Row],[係數單位]])+1,4)</f>
        <v>MWh</v>
      </c>
    </row>
    <row r="74" spans="1:11">
      <c r="A74" s="71" t="s">
        <v>936</v>
      </c>
      <c r="B74" s="71" t="s">
        <v>950</v>
      </c>
      <c r="C74" s="71" t="s">
        <v>891</v>
      </c>
      <c r="D74" s="71">
        <v>0.55740000000000001</v>
      </c>
      <c r="E74" s="71" t="s">
        <v>884</v>
      </c>
      <c r="F74" s="71">
        <v>2022</v>
      </c>
      <c r="G74" s="297" t="s">
        <v>940</v>
      </c>
      <c r="H74" s="71" t="str">
        <f>表格13[[#This Row],[國家/市場]]&amp;表格13[[#This Row],[電網]]&amp;表格13[[#This Row],[電力係數年度]]</f>
        <v>DenmarkMarket-based2022</v>
      </c>
      <c r="I74" s="142">
        <f>表格13[[#This Row],[電力係數]]</f>
        <v>0.55740000000000001</v>
      </c>
      <c r="J74" s="71" t="str">
        <f>表格13[[#This Row],[電力係數來源]]</f>
        <v>Association of Issuing Bodies (AIB) 2023</v>
      </c>
      <c r="K74" s="71" t="str">
        <f>MID(表格13[[#This Row],[係數單位]],FIND("/",表格13[[#This Row],[係數單位]])+1,4)</f>
        <v>MWh</v>
      </c>
    </row>
    <row r="75" spans="1:11">
      <c r="A75" s="71" t="s">
        <v>936</v>
      </c>
      <c r="B75" s="71" t="s">
        <v>951</v>
      </c>
      <c r="D75" s="263">
        <v>0.71518000000000004</v>
      </c>
      <c r="E75" s="71" t="s">
        <v>884</v>
      </c>
      <c r="F75" s="71">
        <v>2022</v>
      </c>
      <c r="G75" s="297" t="s">
        <v>940</v>
      </c>
      <c r="H75" s="71" t="str">
        <f>表格13[[#This Row],[國家/市場]]&amp;表格13[[#This Row],[電網]]&amp;表格13[[#This Row],[電力係數年度]]</f>
        <v>Estonia2022</v>
      </c>
      <c r="I75" s="142">
        <f>表格13[[#This Row],[電力係數]]</f>
        <v>0.71518000000000004</v>
      </c>
      <c r="J75" s="71" t="str">
        <f>表格13[[#This Row],[電力係數來源]]</f>
        <v>Association of Issuing Bodies (AIB) 2023</v>
      </c>
      <c r="K75" s="71" t="str">
        <f>MID(表格13[[#This Row],[係數單位]],FIND("/",表格13[[#This Row],[係數單位]])+1,4)</f>
        <v>MWh</v>
      </c>
    </row>
    <row r="76" spans="1:11">
      <c r="A76" s="71" t="s">
        <v>936</v>
      </c>
      <c r="B76" s="71" t="s">
        <v>951</v>
      </c>
      <c r="C76" s="71" t="s">
        <v>891</v>
      </c>
      <c r="D76" s="71">
        <v>0.71518000000000004</v>
      </c>
      <c r="E76" s="71" t="s">
        <v>884</v>
      </c>
      <c r="F76" s="71">
        <v>2022</v>
      </c>
      <c r="G76" s="297" t="s">
        <v>940</v>
      </c>
      <c r="H76" s="71" t="str">
        <f>表格13[[#This Row],[國家/市場]]&amp;表格13[[#This Row],[電網]]&amp;表格13[[#This Row],[電力係數年度]]</f>
        <v>EstoniaMarket-based2022</v>
      </c>
      <c r="I76" s="142">
        <f>表格13[[#This Row],[電力係數]]</f>
        <v>0.71518000000000004</v>
      </c>
      <c r="J76" s="71" t="str">
        <f>表格13[[#This Row],[電力係數來源]]</f>
        <v>Association of Issuing Bodies (AIB) 2023</v>
      </c>
      <c r="K76" s="71" t="str">
        <f>MID(表格13[[#This Row],[係數單位]],FIND("/",表格13[[#This Row],[係數單位]])+1,4)</f>
        <v>MWh</v>
      </c>
    </row>
    <row r="77" spans="1:11">
      <c r="A77" s="71" t="s">
        <v>936</v>
      </c>
      <c r="B77" s="600" t="s">
        <v>2</v>
      </c>
      <c r="D77" s="603">
        <v>6.6000000000000003E-2</v>
      </c>
      <c r="E77" s="71" t="s">
        <v>884</v>
      </c>
      <c r="F77" s="71">
        <v>2022</v>
      </c>
      <c r="G77" s="605" t="s">
        <v>938</v>
      </c>
      <c r="H77" s="71" t="str">
        <f>表格13[[#This Row],[國家/市場]]&amp;表格13[[#This Row],[電網]]&amp;表格13[[#This Row],[電力係數年度]]</f>
        <v>Finland2022</v>
      </c>
      <c r="I77" s="142">
        <f>表格13[[#This Row],[電力係數]]</f>
        <v>6.6000000000000003E-2</v>
      </c>
      <c r="J77" s="71" t="str">
        <f>表格13[[#This Row],[電力係數來源]]</f>
        <v>European Environment Agency (EEA) 2023</v>
      </c>
      <c r="K77" s="71" t="str">
        <f>MID(表格13[[#This Row],[係數單位]],FIND("/",表格13[[#This Row],[係數單位]])+1,4)</f>
        <v>MWh</v>
      </c>
    </row>
    <row r="78" spans="1:11">
      <c r="A78" s="71" t="s">
        <v>936</v>
      </c>
      <c r="B78" s="71" t="s">
        <v>2</v>
      </c>
      <c r="C78" s="71" t="s">
        <v>891</v>
      </c>
      <c r="D78" s="71">
        <v>0.52076999999999996</v>
      </c>
      <c r="E78" s="71" t="s">
        <v>884</v>
      </c>
      <c r="F78" s="71">
        <v>2022</v>
      </c>
      <c r="G78" s="297" t="s">
        <v>940</v>
      </c>
      <c r="H78" s="71" t="str">
        <f>表格13[[#This Row],[國家/市場]]&amp;表格13[[#This Row],[電網]]&amp;表格13[[#This Row],[電力係數年度]]</f>
        <v>FinlandMarket-based2022</v>
      </c>
      <c r="I78" s="142">
        <f>表格13[[#This Row],[電力係數]]</f>
        <v>0.52076999999999996</v>
      </c>
      <c r="J78" s="71" t="str">
        <f>表格13[[#This Row],[電力係數來源]]</f>
        <v>Association of Issuing Bodies (AIB) 2023</v>
      </c>
      <c r="K78" s="71" t="str">
        <f>MID(表格13[[#This Row],[係數單位]],FIND("/",表格13[[#This Row],[係數單位]])+1,4)</f>
        <v>MWh</v>
      </c>
    </row>
    <row r="79" spans="1:11">
      <c r="A79" s="71" t="s">
        <v>936</v>
      </c>
      <c r="B79" s="600" t="s">
        <v>10</v>
      </c>
      <c r="D79" s="603">
        <v>6.8000000000000005E-2</v>
      </c>
      <c r="E79" s="71" t="s">
        <v>884</v>
      </c>
      <c r="F79" s="71">
        <v>2022</v>
      </c>
      <c r="G79" s="605" t="s">
        <v>938</v>
      </c>
      <c r="H79" s="71" t="str">
        <f>表格13[[#This Row],[國家/市場]]&amp;表格13[[#This Row],[電網]]&amp;表格13[[#This Row],[電力係數年度]]</f>
        <v>France2022</v>
      </c>
      <c r="I79" s="142">
        <f>表格13[[#This Row],[電力係數]]</f>
        <v>6.8000000000000005E-2</v>
      </c>
      <c r="J79" s="71" t="str">
        <f>表格13[[#This Row],[電力係數來源]]</f>
        <v>European Environment Agency (EEA) 2023</v>
      </c>
      <c r="K79" s="71" t="str">
        <f>MID(表格13[[#This Row],[係數單位]],FIND("/",表格13[[#This Row],[係數單位]])+1,4)</f>
        <v>MWh</v>
      </c>
    </row>
    <row r="80" spans="1:11" customFormat="1" ht="20" customHeight="1">
      <c r="A80" s="71" t="s">
        <v>936</v>
      </c>
      <c r="B80" s="71" t="s">
        <v>10</v>
      </c>
      <c r="C80" s="71" t="s">
        <v>891</v>
      </c>
      <c r="D80" s="71">
        <v>0.12496</v>
      </c>
      <c r="E80" s="71" t="s">
        <v>884</v>
      </c>
      <c r="F80" s="71">
        <v>2022</v>
      </c>
      <c r="G80" s="297" t="s">
        <v>940</v>
      </c>
      <c r="H80" s="71" t="str">
        <f>表格13[[#This Row],[國家/市場]]&amp;表格13[[#This Row],[電網]]&amp;表格13[[#This Row],[電力係數年度]]</f>
        <v>FranceMarket-based2022</v>
      </c>
      <c r="I80" s="142">
        <f>表格13[[#This Row],[電力係數]]</f>
        <v>0.12496</v>
      </c>
      <c r="J80" s="71" t="str">
        <f>表格13[[#This Row],[電力係數來源]]</f>
        <v>Association of Issuing Bodies (AIB) 2023</v>
      </c>
      <c r="K80" s="71" t="str">
        <f>MID(表格13[[#This Row],[係數單位]],FIND("/",表格13[[#This Row],[係數單位]])+1,4)</f>
        <v>MWh</v>
      </c>
    </row>
    <row r="81" spans="1:11">
      <c r="A81" s="71" t="s">
        <v>936</v>
      </c>
      <c r="B81" s="600" t="s">
        <v>26</v>
      </c>
      <c r="D81" s="603">
        <v>0.36599999999999999</v>
      </c>
      <c r="E81" s="71" t="s">
        <v>884</v>
      </c>
      <c r="F81" s="71">
        <v>2022</v>
      </c>
      <c r="G81" s="605" t="s">
        <v>938</v>
      </c>
      <c r="H81" s="71" t="str">
        <f>表格13[[#This Row],[國家/市場]]&amp;表格13[[#This Row],[電網]]&amp;表格13[[#This Row],[電力係數年度]]</f>
        <v>Germany2022</v>
      </c>
      <c r="I81" s="142">
        <f>表格13[[#This Row],[電力係數]]</f>
        <v>0.36599999999999999</v>
      </c>
      <c r="J81" s="71" t="str">
        <f>表格13[[#This Row],[電力係數來源]]</f>
        <v>European Environment Agency (EEA) 2023</v>
      </c>
      <c r="K81" s="71" t="str">
        <f>MID(表格13[[#This Row],[係數單位]],FIND("/",表格13[[#This Row],[係數單位]])+1,4)</f>
        <v>MWh</v>
      </c>
    </row>
    <row r="82" spans="1:11" customFormat="1" ht="20" customHeight="1">
      <c r="A82" s="71" t="s">
        <v>936</v>
      </c>
      <c r="B82" s="71" t="s">
        <v>26</v>
      </c>
      <c r="C82" s="71" t="s">
        <v>891</v>
      </c>
      <c r="D82" s="71">
        <v>0.68403000000000003</v>
      </c>
      <c r="E82" s="71" t="s">
        <v>884</v>
      </c>
      <c r="F82" s="71">
        <v>2022</v>
      </c>
      <c r="G82" s="297" t="s">
        <v>940</v>
      </c>
      <c r="H82" s="71" t="str">
        <f>表格13[[#This Row],[國家/市場]]&amp;表格13[[#This Row],[電網]]&amp;表格13[[#This Row],[電力係數年度]]</f>
        <v>GermanyMarket-based2022</v>
      </c>
      <c r="I82" s="142">
        <f>表格13[[#This Row],[電力係數]]</f>
        <v>0.68403000000000003</v>
      </c>
      <c r="J82" s="71" t="str">
        <f>表格13[[#This Row],[電力係數來源]]</f>
        <v>Association of Issuing Bodies (AIB) 2023</v>
      </c>
      <c r="K82" s="71" t="str">
        <f>MID(表格13[[#This Row],[係數單位]],FIND("/",表格13[[#This Row],[係數單位]])+1,4)</f>
        <v>MWh</v>
      </c>
    </row>
    <row r="83" spans="1:11">
      <c r="A83" s="71" t="s">
        <v>936</v>
      </c>
      <c r="B83" s="71" t="s">
        <v>952</v>
      </c>
      <c r="D83" s="263">
        <v>0.53137999999999996</v>
      </c>
      <c r="E83" s="71" t="s">
        <v>884</v>
      </c>
      <c r="F83" s="71">
        <v>2022</v>
      </c>
      <c r="G83" s="297" t="s">
        <v>940</v>
      </c>
      <c r="H83" s="71" t="str">
        <f>表格13[[#This Row],[國家/市場]]&amp;表格13[[#This Row],[電網]]&amp;表格13[[#This Row],[電力係數年度]]</f>
        <v>Greece2022</v>
      </c>
      <c r="I83" s="142">
        <f>表格13[[#This Row],[電力係數]]</f>
        <v>0.53137999999999996</v>
      </c>
      <c r="J83" s="71" t="str">
        <f>表格13[[#This Row],[電力係數來源]]</f>
        <v>Association of Issuing Bodies (AIB) 2023</v>
      </c>
      <c r="K83" s="71" t="str">
        <f>MID(表格13[[#This Row],[係數單位]],FIND("/",表格13[[#This Row],[係數單位]])+1,4)</f>
        <v>MWh</v>
      </c>
    </row>
    <row r="84" spans="1:11" customFormat="1" ht="20" customHeight="1">
      <c r="A84" s="71" t="s">
        <v>936</v>
      </c>
      <c r="B84" s="71" t="s">
        <v>952</v>
      </c>
      <c r="C84" s="71" t="s">
        <v>891</v>
      </c>
      <c r="D84" s="71">
        <v>0.53137999999999996</v>
      </c>
      <c r="E84" s="71" t="s">
        <v>884</v>
      </c>
      <c r="F84" s="71">
        <v>2022</v>
      </c>
      <c r="G84" s="297" t="s">
        <v>940</v>
      </c>
      <c r="H84" s="71" t="str">
        <f>表格13[[#This Row],[國家/市場]]&amp;表格13[[#This Row],[電網]]&amp;表格13[[#This Row],[電力係數年度]]</f>
        <v>GreeceMarket-based2022</v>
      </c>
      <c r="I84" s="142">
        <f>表格13[[#This Row],[電力係數]]</f>
        <v>0.53137999999999996</v>
      </c>
      <c r="J84" s="71" t="str">
        <f>表格13[[#This Row],[電力係數來源]]</f>
        <v>Association of Issuing Bodies (AIB) 2023</v>
      </c>
      <c r="K84" s="71" t="str">
        <f>MID(表格13[[#This Row],[係數單位]],FIND("/",表格13[[#This Row],[係數單位]])+1,4)</f>
        <v>MWh</v>
      </c>
    </row>
    <row r="85" spans="1:11">
      <c r="A85" s="71" t="s">
        <v>936</v>
      </c>
      <c r="B85" s="71" t="s">
        <v>953</v>
      </c>
      <c r="D85" s="263">
        <v>0.31996000000000002</v>
      </c>
      <c r="E85" s="71" t="s">
        <v>884</v>
      </c>
      <c r="F85" s="71">
        <v>2022</v>
      </c>
      <c r="G85" s="297" t="s">
        <v>940</v>
      </c>
      <c r="H85" s="71" t="str">
        <f>表格13[[#This Row],[國家/市場]]&amp;表格13[[#This Row],[電網]]&amp;表格13[[#This Row],[電力係數年度]]</f>
        <v>Hungary2022</v>
      </c>
      <c r="I85" s="142">
        <f>表格13[[#This Row],[電力係數]]</f>
        <v>0.31996000000000002</v>
      </c>
      <c r="J85" s="71" t="str">
        <f>表格13[[#This Row],[電力係數來源]]</f>
        <v>Association of Issuing Bodies (AIB) 2023</v>
      </c>
      <c r="K85" s="71" t="str">
        <f>MID(表格13[[#This Row],[係數單位]],FIND("/",表格13[[#This Row],[係數單位]])+1,4)</f>
        <v>MWh</v>
      </c>
    </row>
    <row r="86" spans="1:11" customFormat="1" ht="20" customHeight="1">
      <c r="A86" s="71" t="s">
        <v>936</v>
      </c>
      <c r="B86" s="71" t="s">
        <v>953</v>
      </c>
      <c r="C86" s="71" t="s">
        <v>891</v>
      </c>
      <c r="D86" s="71">
        <v>0.31996000000000002</v>
      </c>
      <c r="E86" s="71" t="s">
        <v>884</v>
      </c>
      <c r="F86" s="71">
        <v>2022</v>
      </c>
      <c r="G86" s="297" t="s">
        <v>940</v>
      </c>
      <c r="H86" s="71" t="str">
        <f>表格13[[#This Row],[國家/市場]]&amp;表格13[[#This Row],[電網]]&amp;表格13[[#This Row],[電力係數年度]]</f>
        <v>HungaryMarket-based2022</v>
      </c>
      <c r="I86" s="142">
        <f>表格13[[#This Row],[電力係數]]</f>
        <v>0.31996000000000002</v>
      </c>
      <c r="J86" s="71" t="str">
        <f>表格13[[#This Row],[電力係數來源]]</f>
        <v>Association of Issuing Bodies (AIB) 2023</v>
      </c>
      <c r="K86" s="71" t="str">
        <f>MID(表格13[[#This Row],[係數單位]],FIND("/",表格13[[#This Row],[係數單位]])+1,4)</f>
        <v>MWh</v>
      </c>
    </row>
    <row r="87" spans="1:11" customFormat="1" ht="17" customHeight="1">
      <c r="A87" s="71" t="s">
        <v>936</v>
      </c>
      <c r="B87" s="71" t="s">
        <v>32</v>
      </c>
      <c r="D87" s="263">
        <v>0.53129000000000004</v>
      </c>
      <c r="E87" s="71" t="s">
        <v>884</v>
      </c>
      <c r="F87" s="71">
        <v>2022</v>
      </c>
      <c r="G87" s="297" t="s">
        <v>940</v>
      </c>
      <c r="H87" s="71" t="str">
        <f>表格13[[#This Row],[國家/市場]]&amp;表格13[[#This Row],[電網]]&amp;表格13[[#This Row],[電力係數年度]]</f>
        <v>Iceland2022</v>
      </c>
      <c r="I87" s="142">
        <f>表格13[[#This Row],[電力係數]]</f>
        <v>0.53129000000000004</v>
      </c>
      <c r="J87" s="71" t="str">
        <f>表格13[[#This Row],[電力係數來源]]</f>
        <v>Association of Issuing Bodies (AIB) 2023</v>
      </c>
      <c r="K87" s="71" t="str">
        <f>MID(表格13[[#This Row],[係數單位]],FIND("/",表格13[[#This Row],[係數單位]])+1,4)</f>
        <v>MWh</v>
      </c>
    </row>
    <row r="88" spans="1:11" customFormat="1" ht="17" customHeight="1">
      <c r="A88" s="71" t="s">
        <v>936</v>
      </c>
      <c r="B88" s="71" t="s">
        <v>32</v>
      </c>
      <c r="C88" s="71" t="s">
        <v>891</v>
      </c>
      <c r="D88" s="71">
        <v>0.53129000000000004</v>
      </c>
      <c r="E88" s="71" t="s">
        <v>884</v>
      </c>
      <c r="F88" s="71">
        <v>2022</v>
      </c>
      <c r="G88" s="297" t="s">
        <v>940</v>
      </c>
      <c r="H88" s="71" t="str">
        <f>表格13[[#This Row],[國家/市場]]&amp;表格13[[#This Row],[電網]]&amp;表格13[[#This Row],[電力係數年度]]</f>
        <v>IcelandMarket-based2022</v>
      </c>
      <c r="I88" s="142">
        <f>表格13[[#This Row],[電力係數]]</f>
        <v>0.53129000000000004</v>
      </c>
      <c r="J88" s="71" t="str">
        <f>表格13[[#This Row],[電力係數來源]]</f>
        <v>Association of Issuing Bodies (AIB) 2023</v>
      </c>
      <c r="K88" s="71" t="str">
        <f>MID(表格13[[#This Row],[係數單位]],FIND("/",表格13[[#This Row],[係數單位]])+1,4)</f>
        <v>MWh</v>
      </c>
    </row>
    <row r="89" spans="1:11">
      <c r="A89" s="71" t="s">
        <v>936</v>
      </c>
      <c r="B89" s="71" t="s">
        <v>954</v>
      </c>
      <c r="D89" s="263">
        <v>0.47483999999999998</v>
      </c>
      <c r="E89" s="71" t="s">
        <v>884</v>
      </c>
      <c r="F89" s="71">
        <v>2022</v>
      </c>
      <c r="G89" s="297" t="s">
        <v>940</v>
      </c>
      <c r="H89" s="71" t="str">
        <f>表格13[[#This Row],[國家/市場]]&amp;表格13[[#This Row],[電網]]&amp;表格13[[#This Row],[電力係數年度]]</f>
        <v>Ireland2022</v>
      </c>
      <c r="I89" s="142">
        <f>表格13[[#This Row],[電力係數]]</f>
        <v>0.47483999999999998</v>
      </c>
      <c r="J89" s="71" t="str">
        <f>表格13[[#This Row],[電力係數來源]]</f>
        <v>Association of Issuing Bodies (AIB) 2023</v>
      </c>
      <c r="K89" s="71" t="str">
        <f>MID(表格13[[#This Row],[係數單位]],FIND("/",表格13[[#This Row],[係數單位]])+1,4)</f>
        <v>MWh</v>
      </c>
    </row>
    <row r="90" spans="1:11">
      <c r="A90" s="71" t="s">
        <v>936</v>
      </c>
      <c r="B90" s="71" t="s">
        <v>954</v>
      </c>
      <c r="C90" s="71" t="s">
        <v>891</v>
      </c>
      <c r="D90" s="71">
        <v>0.47483999999999998</v>
      </c>
      <c r="E90" s="71" t="s">
        <v>884</v>
      </c>
      <c r="F90" s="71">
        <v>2022</v>
      </c>
      <c r="G90" s="297" t="s">
        <v>940</v>
      </c>
      <c r="H90" s="71" t="str">
        <f>表格13[[#This Row],[國家/市場]]&amp;表格13[[#This Row],[電網]]&amp;表格13[[#This Row],[電力係數年度]]</f>
        <v>IrelandMarket-based2022</v>
      </c>
      <c r="I90" s="142">
        <f>表格13[[#This Row],[電力係數]]</f>
        <v>0.47483999999999998</v>
      </c>
      <c r="J90" s="71" t="str">
        <f>表格13[[#This Row],[電力係數來源]]</f>
        <v>Association of Issuing Bodies (AIB) 2023</v>
      </c>
      <c r="K90" s="71" t="str">
        <f>MID(表格13[[#This Row],[係數單位]],FIND("/",表格13[[#This Row],[係數單位]])+1,4)</f>
        <v>MWh</v>
      </c>
    </row>
    <row r="91" spans="1:11">
      <c r="A91" s="71" t="s">
        <v>936</v>
      </c>
      <c r="B91" s="600" t="s">
        <v>18</v>
      </c>
      <c r="D91" s="603">
        <v>0.252</v>
      </c>
      <c r="E91" s="71" t="s">
        <v>884</v>
      </c>
      <c r="F91" s="71">
        <v>2022</v>
      </c>
      <c r="G91" s="605" t="s">
        <v>938</v>
      </c>
      <c r="H91" s="71" t="str">
        <f>表格13[[#This Row],[國家/市場]]&amp;表格13[[#This Row],[電網]]&amp;表格13[[#This Row],[電力係數年度]]</f>
        <v>Italy2022</v>
      </c>
      <c r="I91" s="142">
        <f>表格13[[#This Row],[電力係數]]</f>
        <v>0.252</v>
      </c>
      <c r="J91" s="71" t="str">
        <f>表格13[[#This Row],[電力係數來源]]</f>
        <v>European Environment Agency (EEA) 2023</v>
      </c>
      <c r="K91" s="71" t="str">
        <f>MID(表格13[[#This Row],[係數單位]],FIND("/",表格13[[#This Row],[係數單位]])+1,4)</f>
        <v>MWh</v>
      </c>
    </row>
    <row r="92" spans="1:11">
      <c r="A92" s="71" t="s">
        <v>936</v>
      </c>
      <c r="B92" s="71" t="s">
        <v>18</v>
      </c>
      <c r="C92" s="71" t="s">
        <v>891</v>
      </c>
      <c r="D92" s="71">
        <v>0.45715</v>
      </c>
      <c r="E92" s="71" t="s">
        <v>884</v>
      </c>
      <c r="F92" s="71">
        <v>2022</v>
      </c>
      <c r="G92" s="297" t="s">
        <v>940</v>
      </c>
      <c r="H92" s="71" t="str">
        <f>表格13[[#This Row],[國家/市場]]&amp;表格13[[#This Row],[電網]]&amp;表格13[[#This Row],[電力係數年度]]</f>
        <v>ItalyMarket-based2022</v>
      </c>
      <c r="I92" s="142">
        <f>表格13[[#This Row],[電力係數]]</f>
        <v>0.45715</v>
      </c>
      <c r="J92" s="71" t="str">
        <f>表格13[[#This Row],[電力係數來源]]</f>
        <v>Association of Issuing Bodies (AIB) 2023</v>
      </c>
      <c r="K92" s="71" t="str">
        <f>MID(表格13[[#This Row],[係數單位]],FIND("/",表格13[[#This Row],[係數單位]])+1,4)</f>
        <v>MWh</v>
      </c>
    </row>
    <row r="93" spans="1:11">
      <c r="A93" s="71" t="s">
        <v>936</v>
      </c>
      <c r="B93" s="71" t="s">
        <v>955</v>
      </c>
      <c r="D93" s="263">
        <v>0.51071</v>
      </c>
      <c r="E93" s="71" t="s">
        <v>884</v>
      </c>
      <c r="F93" s="71">
        <v>2022</v>
      </c>
      <c r="G93" s="297" t="s">
        <v>940</v>
      </c>
      <c r="H93" s="71" t="str">
        <f>表格13[[#This Row],[國家/市場]]&amp;表格13[[#This Row],[電網]]&amp;表格13[[#This Row],[電力係數年度]]</f>
        <v>Latvia2022</v>
      </c>
      <c r="I93" s="142">
        <f>表格13[[#This Row],[電力係數]]</f>
        <v>0.51071</v>
      </c>
      <c r="J93" s="71" t="str">
        <f>表格13[[#This Row],[電力係數來源]]</f>
        <v>Association of Issuing Bodies (AIB) 2023</v>
      </c>
      <c r="K93" s="71" t="str">
        <f>MID(表格13[[#This Row],[係數單位]],FIND("/",表格13[[#This Row],[係數單位]])+1,4)</f>
        <v>MWh</v>
      </c>
    </row>
    <row r="94" spans="1:11">
      <c r="A94" s="71" t="s">
        <v>936</v>
      </c>
      <c r="B94" s="71" t="s">
        <v>955</v>
      </c>
      <c r="C94" s="71" t="s">
        <v>891</v>
      </c>
      <c r="D94" s="71">
        <v>0.51071</v>
      </c>
      <c r="E94" s="71" t="s">
        <v>884</v>
      </c>
      <c r="F94" s="71">
        <v>2022</v>
      </c>
      <c r="G94" s="297" t="s">
        <v>940</v>
      </c>
      <c r="H94" s="71" t="str">
        <f>表格13[[#This Row],[國家/市場]]&amp;表格13[[#This Row],[電網]]&amp;表格13[[#This Row],[電力係數年度]]</f>
        <v>LatviaMarket-based2022</v>
      </c>
      <c r="I94" s="142">
        <f>表格13[[#This Row],[電力係數]]</f>
        <v>0.51071</v>
      </c>
      <c r="J94" s="71" t="str">
        <f>表格13[[#This Row],[電力係數來源]]</f>
        <v>Association of Issuing Bodies (AIB) 2023</v>
      </c>
      <c r="K94" s="71" t="str">
        <f>MID(表格13[[#This Row],[係數單位]],FIND("/",表格13[[#This Row],[係數單位]])+1,4)</f>
        <v>MWh</v>
      </c>
    </row>
    <row r="95" spans="1:11">
      <c r="A95" s="71" t="s">
        <v>936</v>
      </c>
      <c r="B95" s="71" t="s">
        <v>956</v>
      </c>
      <c r="D95" s="263">
        <v>0.46636</v>
      </c>
      <c r="E95" s="71" t="s">
        <v>884</v>
      </c>
      <c r="F95" s="71">
        <v>2022</v>
      </c>
      <c r="G95" s="297" t="s">
        <v>940</v>
      </c>
      <c r="H95" s="71" t="str">
        <f>表格13[[#This Row],[國家/市場]]&amp;表格13[[#This Row],[電網]]&amp;表格13[[#This Row],[電力係數年度]]</f>
        <v>Lithuania2022</v>
      </c>
      <c r="I95" s="142">
        <f>表格13[[#This Row],[電力係數]]</f>
        <v>0.46636</v>
      </c>
      <c r="J95" s="71" t="str">
        <f>表格13[[#This Row],[電力係數來源]]</f>
        <v>Association of Issuing Bodies (AIB) 2023</v>
      </c>
      <c r="K95" s="71" t="str">
        <f>MID(表格13[[#This Row],[係數單位]],FIND("/",表格13[[#This Row],[係數單位]])+1,4)</f>
        <v>MWh</v>
      </c>
    </row>
    <row r="96" spans="1:11">
      <c r="A96" s="71" t="s">
        <v>936</v>
      </c>
      <c r="B96" s="71" t="s">
        <v>956</v>
      </c>
      <c r="C96" s="71" t="s">
        <v>891</v>
      </c>
      <c r="D96" s="71">
        <v>0.46636</v>
      </c>
      <c r="E96" s="71" t="s">
        <v>884</v>
      </c>
      <c r="F96" s="71">
        <v>2022</v>
      </c>
      <c r="G96" s="297" t="s">
        <v>940</v>
      </c>
      <c r="H96" s="71" t="str">
        <f>表格13[[#This Row],[國家/市場]]&amp;表格13[[#This Row],[電網]]&amp;表格13[[#This Row],[電力係數年度]]</f>
        <v>LithuaniaMarket-based2022</v>
      </c>
      <c r="I96" s="142">
        <f>表格13[[#This Row],[電力係數]]</f>
        <v>0.46636</v>
      </c>
      <c r="J96" s="71" t="str">
        <f>表格13[[#This Row],[電力係數來源]]</f>
        <v>Association of Issuing Bodies (AIB) 2023</v>
      </c>
      <c r="K96" s="71" t="str">
        <f>MID(表格13[[#This Row],[係數單位]],FIND("/",表格13[[#This Row],[係數單位]])+1,4)</f>
        <v>MWh</v>
      </c>
    </row>
    <row r="97" spans="1:12">
      <c r="A97" s="71" t="s">
        <v>936</v>
      </c>
      <c r="B97" s="71" t="s">
        <v>957</v>
      </c>
      <c r="D97" s="263">
        <v>0.41968</v>
      </c>
      <c r="E97" s="71" t="s">
        <v>884</v>
      </c>
      <c r="F97" s="71">
        <v>2022</v>
      </c>
      <c r="G97" s="297" t="s">
        <v>940</v>
      </c>
      <c r="H97" s="71" t="str">
        <f>表格13[[#This Row],[國家/市場]]&amp;表格13[[#This Row],[電網]]&amp;表格13[[#This Row],[電力係數年度]]</f>
        <v>Luxembourg2022</v>
      </c>
      <c r="I97" s="142">
        <f>表格13[[#This Row],[電力係數]]</f>
        <v>0.41968</v>
      </c>
      <c r="J97" s="71" t="str">
        <f>表格13[[#This Row],[電力係數來源]]</f>
        <v>Association of Issuing Bodies (AIB) 2023</v>
      </c>
      <c r="K97" s="71" t="str">
        <f>MID(表格13[[#This Row],[係數單位]],FIND("/",表格13[[#This Row],[係數單位]])+1,4)</f>
        <v>MWh</v>
      </c>
    </row>
    <row r="98" spans="1:12">
      <c r="A98" s="71" t="s">
        <v>936</v>
      </c>
      <c r="B98" s="71" t="s">
        <v>957</v>
      </c>
      <c r="C98" s="71" t="s">
        <v>891</v>
      </c>
      <c r="D98" s="71">
        <v>0.41968</v>
      </c>
      <c r="E98" s="71" t="s">
        <v>884</v>
      </c>
      <c r="F98" s="71">
        <v>2022</v>
      </c>
      <c r="G98" s="297" t="s">
        <v>940</v>
      </c>
      <c r="H98" s="71" t="str">
        <f>表格13[[#This Row],[國家/市場]]&amp;表格13[[#This Row],[電網]]&amp;表格13[[#This Row],[電力係數年度]]</f>
        <v>LuxembourgMarket-based2022</v>
      </c>
      <c r="I98" s="142">
        <f>表格13[[#This Row],[電力係數]]</f>
        <v>0.41968</v>
      </c>
      <c r="J98" s="71" t="str">
        <f>表格13[[#This Row],[電力係數來源]]</f>
        <v>Association of Issuing Bodies (AIB) 2023</v>
      </c>
      <c r="K98" s="71" t="str">
        <f>MID(表格13[[#This Row],[係數單位]],FIND("/",表格13[[#This Row],[係數單位]])+1,4)</f>
        <v>MWh</v>
      </c>
    </row>
    <row r="99" spans="1:12">
      <c r="A99" s="71" t="s">
        <v>936</v>
      </c>
      <c r="B99" s="71" t="s">
        <v>958</v>
      </c>
      <c r="D99" s="263">
        <v>0.40494000000000002</v>
      </c>
      <c r="E99" s="71" t="s">
        <v>884</v>
      </c>
      <c r="F99" s="71">
        <v>2022</v>
      </c>
      <c r="G99" s="297" t="s">
        <v>940</v>
      </c>
      <c r="H99" s="71" t="str">
        <f>表格13[[#This Row],[國家/市場]]&amp;表格13[[#This Row],[電網]]&amp;表格13[[#This Row],[電力係數年度]]</f>
        <v>Malta2022</v>
      </c>
      <c r="I99" s="142">
        <f>表格13[[#This Row],[電力係數]]</f>
        <v>0.40494000000000002</v>
      </c>
      <c r="J99" s="71" t="str">
        <f>表格13[[#This Row],[電力係數來源]]</f>
        <v>Association of Issuing Bodies (AIB) 2023</v>
      </c>
      <c r="K99" s="71" t="str">
        <f>MID(表格13[[#This Row],[係數單位]],FIND("/",表格13[[#This Row],[係數單位]])+1,4)</f>
        <v>MWh</v>
      </c>
    </row>
    <row r="100" spans="1:12">
      <c r="A100" s="71" t="s">
        <v>936</v>
      </c>
      <c r="B100" s="71" t="s">
        <v>958</v>
      </c>
      <c r="C100" s="71" t="s">
        <v>891</v>
      </c>
      <c r="D100" s="71">
        <v>0.40494000000000002</v>
      </c>
      <c r="E100" s="71" t="s">
        <v>884</v>
      </c>
      <c r="F100" s="71">
        <v>2022</v>
      </c>
      <c r="G100" s="297" t="s">
        <v>940</v>
      </c>
      <c r="H100" s="71" t="str">
        <f>表格13[[#This Row],[國家/市場]]&amp;表格13[[#This Row],[電網]]&amp;表格13[[#This Row],[電力係數年度]]</f>
        <v>MaltaMarket-based2022</v>
      </c>
      <c r="I100" s="142">
        <f>表格13[[#This Row],[電力係數]]</f>
        <v>0.40494000000000002</v>
      </c>
      <c r="J100" s="71" t="str">
        <f>表格13[[#This Row],[電力係數來源]]</f>
        <v>Association of Issuing Bodies (AIB) 2023</v>
      </c>
      <c r="K100" s="71" t="str">
        <f>MID(表格13[[#This Row],[係數單位]],FIND("/",表格13[[#This Row],[係數單位]])+1,4)</f>
        <v>MWh</v>
      </c>
    </row>
    <row r="101" spans="1:12">
      <c r="A101" s="71" t="s">
        <v>936</v>
      </c>
      <c r="B101" s="600" t="s">
        <v>13</v>
      </c>
      <c r="D101" s="603">
        <v>0.32100000000000001</v>
      </c>
      <c r="E101" s="71" t="s">
        <v>884</v>
      </c>
      <c r="F101" s="71">
        <v>2022</v>
      </c>
      <c r="G101" s="605" t="s">
        <v>938</v>
      </c>
      <c r="H101" s="71" t="str">
        <f>表格13[[#This Row],[國家/市場]]&amp;表格13[[#This Row],[電網]]&amp;表格13[[#This Row],[電力係數年度]]</f>
        <v>Netherlands2022</v>
      </c>
      <c r="I101" s="142">
        <f>表格13[[#This Row],[電力係數]]</f>
        <v>0.32100000000000001</v>
      </c>
      <c r="J101" s="71" t="str">
        <f>表格13[[#This Row],[電力係數來源]]</f>
        <v>European Environment Agency (EEA) 2023</v>
      </c>
      <c r="K101" s="71" t="str">
        <f>MID(表格13[[#This Row],[係數單位]],FIND("/",表格13[[#This Row],[係數單位]])+1,4)</f>
        <v>MWh</v>
      </c>
    </row>
    <row r="102" spans="1:12">
      <c r="A102" s="71" t="s">
        <v>936</v>
      </c>
      <c r="B102" s="71" t="s">
        <v>13</v>
      </c>
      <c r="C102" s="71" t="s">
        <v>891</v>
      </c>
      <c r="D102" s="71">
        <v>0.43897000000000003</v>
      </c>
      <c r="E102" s="71" t="s">
        <v>884</v>
      </c>
      <c r="F102" s="71">
        <v>2022</v>
      </c>
      <c r="G102" s="297" t="s">
        <v>940</v>
      </c>
      <c r="H102" s="71" t="str">
        <f>表格13[[#This Row],[國家/市場]]&amp;表格13[[#This Row],[電網]]&amp;表格13[[#This Row],[電力係數年度]]</f>
        <v>NetherlandsMarket-based2022</v>
      </c>
      <c r="I102" s="142">
        <f>表格13[[#This Row],[電力係數]]</f>
        <v>0.43897000000000003</v>
      </c>
      <c r="J102" s="71" t="str">
        <f>表格13[[#This Row],[電力係數來源]]</f>
        <v>Association of Issuing Bodies (AIB) 2023</v>
      </c>
      <c r="K102" s="71" t="str">
        <f>MID(表格13[[#This Row],[係數單位]],FIND("/",表格13[[#This Row],[係數單位]])+1,4)</f>
        <v>MWh</v>
      </c>
    </row>
    <row r="103" spans="1:12" customFormat="1" ht="17" customHeight="1">
      <c r="A103" s="71" t="s">
        <v>936</v>
      </c>
      <c r="B103" s="600" t="s">
        <v>8</v>
      </c>
      <c r="D103" s="601">
        <v>2.5000000000000001E-2</v>
      </c>
      <c r="E103" s="71" t="s">
        <v>884</v>
      </c>
      <c r="F103" s="71">
        <v>2022</v>
      </c>
      <c r="G103" s="602" t="s">
        <v>959</v>
      </c>
      <c r="H103" s="71" t="str">
        <f>表格13[[#This Row],[國家/市場]]&amp;表格13[[#This Row],[電網]]&amp;表格13[[#This Row],[電力係數年度]]</f>
        <v>Norway2022</v>
      </c>
      <c r="I103" s="142">
        <f>表格13[[#This Row],[電力係數]]</f>
        <v>2.5000000000000001E-2</v>
      </c>
      <c r="J103" s="71" t="str">
        <f>表格13[[#This Row],[電力係數來源]]</f>
        <v>https://app.electricitymaps.com/zone/NO-NO1</v>
      </c>
      <c r="K103" s="71" t="str">
        <f>MID(表格13[[#This Row],[係數單位]],FIND("/",表格13[[#This Row],[係數單位]])+1,4)</f>
        <v>MWh</v>
      </c>
      <c r="L103" s="290" t="s">
        <v>960</v>
      </c>
    </row>
    <row r="104" spans="1:12">
      <c r="A104" s="71" t="s">
        <v>936</v>
      </c>
      <c r="B104" s="71" t="s">
        <v>8</v>
      </c>
      <c r="C104" s="71" t="s">
        <v>891</v>
      </c>
      <c r="D104" s="71">
        <v>0.50231000000000003</v>
      </c>
      <c r="E104" s="71" t="s">
        <v>884</v>
      </c>
      <c r="F104" s="71">
        <v>2022</v>
      </c>
      <c r="G104" s="297" t="s">
        <v>940</v>
      </c>
      <c r="H104" s="71" t="str">
        <f>表格13[[#This Row],[國家/市場]]&amp;表格13[[#This Row],[電網]]&amp;表格13[[#This Row],[電力係數年度]]</f>
        <v>NorwayMarket-based2022</v>
      </c>
      <c r="I104" s="142">
        <f>表格13[[#This Row],[電力係數]]</f>
        <v>0.50231000000000003</v>
      </c>
      <c r="J104" s="71" t="str">
        <f>表格13[[#This Row],[電力係數來源]]</f>
        <v>Association of Issuing Bodies (AIB) 2023</v>
      </c>
      <c r="K104" s="71" t="str">
        <f>MID(表格13[[#This Row],[係數單位]],FIND("/",表格13[[#This Row],[係數單位]])+1,4)</f>
        <v>MWh</v>
      </c>
    </row>
    <row r="105" spans="1:12">
      <c r="A105" s="71" t="s">
        <v>936</v>
      </c>
      <c r="B105" s="600" t="s">
        <v>9</v>
      </c>
      <c r="D105" s="603">
        <v>0.66600000000000004</v>
      </c>
      <c r="E105" s="71" t="s">
        <v>884</v>
      </c>
      <c r="F105" s="71">
        <v>2022</v>
      </c>
      <c r="G105" s="605" t="s">
        <v>938</v>
      </c>
      <c r="H105" s="71" t="str">
        <f>表格13[[#This Row],[國家/市場]]&amp;表格13[[#This Row],[電網]]&amp;表格13[[#This Row],[電力係數年度]]</f>
        <v>Poland2022</v>
      </c>
      <c r="I105" s="142">
        <f>表格13[[#This Row],[電力係數]]</f>
        <v>0.66600000000000004</v>
      </c>
      <c r="J105" s="71" t="str">
        <f>表格13[[#This Row],[電力係數來源]]</f>
        <v>European Environment Agency (EEA) 2023</v>
      </c>
      <c r="K105" s="71" t="str">
        <f>MID(表格13[[#This Row],[係數單位]],FIND("/",表格13[[#This Row],[係數單位]])+1,4)</f>
        <v>MWh</v>
      </c>
    </row>
    <row r="106" spans="1:12">
      <c r="A106" s="71" t="s">
        <v>936</v>
      </c>
      <c r="B106" s="71" t="s">
        <v>9</v>
      </c>
      <c r="C106" s="71" t="s">
        <v>891</v>
      </c>
      <c r="D106" s="71">
        <v>0.85811999999999999</v>
      </c>
      <c r="E106" s="71" t="s">
        <v>884</v>
      </c>
      <c r="F106" s="71">
        <v>2022</v>
      </c>
      <c r="G106" s="297" t="s">
        <v>940</v>
      </c>
      <c r="H106" s="71" t="str">
        <f>表格13[[#This Row],[國家/市場]]&amp;表格13[[#This Row],[電網]]&amp;表格13[[#This Row],[電力係數年度]]</f>
        <v>PolandMarket-based2022</v>
      </c>
      <c r="I106" s="142">
        <f>表格13[[#This Row],[電力係數]]</f>
        <v>0.85811999999999999</v>
      </c>
      <c r="J106" s="71" t="str">
        <f>表格13[[#This Row],[電力係數來源]]</f>
        <v>Association of Issuing Bodies (AIB) 2023</v>
      </c>
      <c r="K106" s="71" t="str">
        <f>MID(表格13[[#This Row],[係數單位]],FIND("/",表格13[[#This Row],[係數單位]])+1,4)</f>
        <v>MWh</v>
      </c>
    </row>
    <row r="107" spans="1:12">
      <c r="A107" s="71" t="s">
        <v>936</v>
      </c>
      <c r="B107" s="71" t="s">
        <v>961</v>
      </c>
      <c r="D107" s="263">
        <v>0.44555</v>
      </c>
      <c r="E107" s="71" t="s">
        <v>884</v>
      </c>
      <c r="F107" s="71">
        <v>2022</v>
      </c>
      <c r="G107" s="297" t="s">
        <v>940</v>
      </c>
      <c r="H107" s="71" t="str">
        <f>表格13[[#This Row],[國家/市場]]&amp;表格13[[#This Row],[電網]]&amp;表格13[[#This Row],[電力係數年度]]</f>
        <v>Portugal2022</v>
      </c>
      <c r="I107" s="142">
        <f>表格13[[#This Row],[電力係數]]</f>
        <v>0.44555</v>
      </c>
      <c r="J107" s="71" t="str">
        <f>表格13[[#This Row],[電力係數來源]]</f>
        <v>Association of Issuing Bodies (AIB) 2023</v>
      </c>
      <c r="K107" s="71" t="str">
        <f>MID(表格13[[#This Row],[係數單位]],FIND("/",表格13[[#This Row],[係數單位]])+1,4)</f>
        <v>MWh</v>
      </c>
    </row>
    <row r="108" spans="1:12">
      <c r="A108" s="71" t="s">
        <v>936</v>
      </c>
      <c r="B108" s="71" t="s">
        <v>961</v>
      </c>
      <c r="C108" s="71" t="s">
        <v>891</v>
      </c>
      <c r="D108" s="71">
        <v>0.44555</v>
      </c>
      <c r="E108" s="71" t="s">
        <v>884</v>
      </c>
      <c r="F108" s="71">
        <v>2022</v>
      </c>
      <c r="G108" s="297" t="s">
        <v>940</v>
      </c>
      <c r="H108" s="71" t="str">
        <f>表格13[[#This Row],[國家/市場]]&amp;表格13[[#This Row],[電網]]&amp;表格13[[#This Row],[電力係數年度]]</f>
        <v>PortugalMarket-based2022</v>
      </c>
      <c r="I108" s="142">
        <f>表格13[[#This Row],[電力係數]]</f>
        <v>0.44555</v>
      </c>
      <c r="J108" s="71" t="str">
        <f>表格13[[#This Row],[電力係數來源]]</f>
        <v>Association of Issuing Bodies (AIB) 2023</v>
      </c>
      <c r="K108" s="71" t="str">
        <f>MID(表格13[[#This Row],[係數單位]],FIND("/",表格13[[#This Row],[係數單位]])+1,4)</f>
        <v>MWh</v>
      </c>
    </row>
    <row r="109" spans="1:12">
      <c r="A109" s="71" t="s">
        <v>936</v>
      </c>
      <c r="B109" s="600" t="s">
        <v>50</v>
      </c>
      <c r="D109" s="603">
        <v>0.247</v>
      </c>
      <c r="E109" s="71" t="s">
        <v>884</v>
      </c>
      <c r="F109" s="71">
        <v>2022</v>
      </c>
      <c r="G109" s="605" t="s">
        <v>938</v>
      </c>
      <c r="H109" s="71" t="str">
        <f>表格13[[#This Row],[國家/市場]]&amp;表格13[[#This Row],[電網]]&amp;表格13[[#This Row],[電力係數年度]]</f>
        <v>Romania2022</v>
      </c>
      <c r="I109" s="142">
        <f>表格13[[#This Row],[電力係數]]</f>
        <v>0.247</v>
      </c>
      <c r="J109" s="71" t="str">
        <f>表格13[[#This Row],[電力係數來源]]</f>
        <v>European Environment Agency (EEA) 2023</v>
      </c>
      <c r="K109" s="71" t="str">
        <f>MID(表格13[[#This Row],[係數單位]],FIND("/",表格13[[#This Row],[係數單位]])+1,4)</f>
        <v>MWh</v>
      </c>
    </row>
    <row r="110" spans="1:12">
      <c r="A110" s="71" t="s">
        <v>936</v>
      </c>
      <c r="B110" s="71" t="s">
        <v>50</v>
      </c>
      <c r="C110" s="71" t="s">
        <v>891</v>
      </c>
      <c r="D110" s="71">
        <v>0.27575</v>
      </c>
      <c r="E110" s="71" t="s">
        <v>884</v>
      </c>
      <c r="F110" s="71">
        <v>2022</v>
      </c>
      <c r="G110" s="297" t="s">
        <v>940</v>
      </c>
      <c r="H110" s="71" t="str">
        <f>表格13[[#This Row],[國家/市場]]&amp;表格13[[#This Row],[電網]]&amp;表格13[[#This Row],[電力係數年度]]</f>
        <v>RomaniaMarket-based2022</v>
      </c>
      <c r="I110" s="142">
        <f>表格13[[#This Row],[電力係數]]</f>
        <v>0.27575</v>
      </c>
      <c r="J110" s="71" t="str">
        <f>表格13[[#This Row],[電力係數來源]]</f>
        <v>Association of Issuing Bodies (AIB) 2023</v>
      </c>
      <c r="K110" s="71" t="str">
        <f>MID(表格13[[#This Row],[係數單位]],FIND("/",表格13[[#This Row],[係數單位]])+1,4)</f>
        <v>MWh</v>
      </c>
    </row>
    <row r="111" spans="1:12">
      <c r="A111" s="71" t="s">
        <v>936</v>
      </c>
      <c r="B111" s="71" t="s">
        <v>962</v>
      </c>
      <c r="D111" s="263">
        <v>0.95421</v>
      </c>
      <c r="E111" s="71" t="s">
        <v>884</v>
      </c>
      <c r="F111" s="71">
        <v>2022</v>
      </c>
      <c r="G111" s="297" t="s">
        <v>940</v>
      </c>
      <c r="H111" s="71" t="str">
        <f>表格13[[#This Row],[國家/市場]]&amp;表格13[[#This Row],[電網]]&amp;表格13[[#This Row],[電力係數年度]]</f>
        <v>Serbia2022</v>
      </c>
      <c r="I111" s="142">
        <f>表格13[[#This Row],[電力係數]]</f>
        <v>0.95421</v>
      </c>
      <c r="J111" s="71" t="str">
        <f>表格13[[#This Row],[電力係數來源]]</f>
        <v>Association of Issuing Bodies (AIB) 2023</v>
      </c>
      <c r="K111" s="71" t="str">
        <f>MID(表格13[[#This Row],[係數單位]],FIND("/",表格13[[#This Row],[係數單位]])+1,4)</f>
        <v>MWh</v>
      </c>
    </row>
    <row r="112" spans="1:12">
      <c r="A112" s="71" t="s">
        <v>936</v>
      </c>
      <c r="B112" s="71" t="s">
        <v>962</v>
      </c>
      <c r="C112" s="71" t="s">
        <v>891</v>
      </c>
      <c r="D112" s="71">
        <v>0.95421</v>
      </c>
      <c r="E112" s="71" t="s">
        <v>884</v>
      </c>
      <c r="F112" s="71">
        <v>2022</v>
      </c>
      <c r="G112" s="297" t="s">
        <v>940</v>
      </c>
      <c r="H112" s="71" t="str">
        <f>表格13[[#This Row],[國家/市場]]&amp;表格13[[#This Row],[電網]]&amp;表格13[[#This Row],[電力係數年度]]</f>
        <v>SerbiaMarket-based2022</v>
      </c>
      <c r="I112" s="142">
        <f>表格13[[#This Row],[電力係數]]</f>
        <v>0.95421</v>
      </c>
      <c r="J112" s="71" t="str">
        <f>表格13[[#This Row],[電力係數來源]]</f>
        <v>Association of Issuing Bodies (AIB) 2023</v>
      </c>
      <c r="K112" s="71" t="str">
        <f>MID(表格13[[#This Row],[係數單位]],FIND("/",表格13[[#This Row],[係數單位]])+1,4)</f>
        <v>MWh</v>
      </c>
    </row>
    <row r="113" spans="1:11">
      <c r="A113" s="71" t="s">
        <v>936</v>
      </c>
      <c r="B113" s="600" t="s">
        <v>14</v>
      </c>
      <c r="D113" s="603">
        <v>0.115</v>
      </c>
      <c r="E113" s="71" t="s">
        <v>884</v>
      </c>
      <c r="F113" s="71">
        <v>2022</v>
      </c>
      <c r="G113" s="605" t="s">
        <v>938</v>
      </c>
      <c r="H113" s="71" t="str">
        <f>表格13[[#This Row],[國家/市場]]&amp;表格13[[#This Row],[電網]]&amp;表格13[[#This Row],[電力係數年度]]</f>
        <v>Slovakia2022</v>
      </c>
      <c r="I113" s="142">
        <f>表格13[[#This Row],[電力係數]]</f>
        <v>0.115</v>
      </c>
      <c r="J113" s="71" t="str">
        <f>表格13[[#This Row],[電力係數來源]]</f>
        <v>European Environment Agency (EEA) 2023</v>
      </c>
      <c r="K113" s="71" t="str">
        <f>MID(表格13[[#This Row],[係數單位]],FIND("/",表格13[[#This Row],[係數單位]])+1,4)</f>
        <v>MWh</v>
      </c>
    </row>
    <row r="114" spans="1:11">
      <c r="A114" s="71" t="s">
        <v>936</v>
      </c>
      <c r="B114" s="71" t="s">
        <v>14</v>
      </c>
      <c r="C114" s="71" t="s">
        <v>891</v>
      </c>
      <c r="D114" s="71">
        <v>0.1865</v>
      </c>
      <c r="E114" s="71" t="s">
        <v>884</v>
      </c>
      <c r="F114" s="71">
        <v>2022</v>
      </c>
      <c r="G114" s="297" t="s">
        <v>940</v>
      </c>
      <c r="H114" s="71" t="str">
        <f>表格13[[#This Row],[國家/市場]]&amp;表格13[[#This Row],[電網]]&amp;表格13[[#This Row],[電力係數年度]]</f>
        <v>SlovakiaMarket-based2022</v>
      </c>
      <c r="I114" s="142">
        <f>表格13[[#This Row],[電力係數]]</f>
        <v>0.1865</v>
      </c>
      <c r="J114" s="71" t="str">
        <f>表格13[[#This Row],[電力係數來源]]</f>
        <v>Association of Issuing Bodies (AIB) 2023</v>
      </c>
      <c r="K114" s="71" t="str">
        <f>MID(表格13[[#This Row],[係數單位]],FIND("/",表格13[[#This Row],[係數單位]])+1,4)</f>
        <v>MWh</v>
      </c>
    </row>
    <row r="115" spans="1:11">
      <c r="A115" s="71" t="s">
        <v>936</v>
      </c>
      <c r="B115" s="71" t="s">
        <v>963</v>
      </c>
      <c r="D115" s="263">
        <v>0.37080000000000002</v>
      </c>
      <c r="E115" s="71" t="s">
        <v>884</v>
      </c>
      <c r="F115" s="71">
        <v>2022</v>
      </c>
      <c r="G115" s="297" t="s">
        <v>940</v>
      </c>
      <c r="H115" s="71" t="str">
        <f>表格13[[#This Row],[國家/市場]]&amp;表格13[[#This Row],[電網]]&amp;表格13[[#This Row],[電力係數年度]]</f>
        <v>Slovenia2022</v>
      </c>
      <c r="I115" s="142">
        <f>表格13[[#This Row],[電力係數]]</f>
        <v>0.37080000000000002</v>
      </c>
      <c r="J115" s="71" t="str">
        <f>表格13[[#This Row],[電力係數來源]]</f>
        <v>Association of Issuing Bodies (AIB) 2023</v>
      </c>
      <c r="K115" s="71" t="str">
        <f>MID(表格13[[#This Row],[係數單位]],FIND("/",表格13[[#This Row],[係數單位]])+1,4)</f>
        <v>MWh</v>
      </c>
    </row>
    <row r="116" spans="1:11">
      <c r="A116" s="71" t="s">
        <v>936</v>
      </c>
      <c r="B116" s="71" t="s">
        <v>963</v>
      </c>
      <c r="C116" s="71" t="s">
        <v>891</v>
      </c>
      <c r="D116" s="71">
        <v>0.37080000000000002</v>
      </c>
      <c r="E116" s="71" t="s">
        <v>884</v>
      </c>
      <c r="F116" s="71">
        <v>2022</v>
      </c>
      <c r="G116" s="297" t="s">
        <v>940</v>
      </c>
      <c r="H116" s="71" t="str">
        <f>表格13[[#This Row],[國家/市場]]&amp;表格13[[#This Row],[電網]]&amp;表格13[[#This Row],[電力係數年度]]</f>
        <v>SloveniaMarket-based2022</v>
      </c>
      <c r="I116" s="142">
        <f>表格13[[#This Row],[電力係數]]</f>
        <v>0.37080000000000002</v>
      </c>
      <c r="J116" s="71" t="str">
        <f>表格13[[#This Row],[電力係數來源]]</f>
        <v>Association of Issuing Bodies (AIB) 2023</v>
      </c>
      <c r="K116" s="71" t="str">
        <f>MID(表格13[[#This Row],[係數單位]],FIND("/",表格13[[#This Row],[係數單位]])+1,4)</f>
        <v>MWh</v>
      </c>
    </row>
    <row r="117" spans="1:11">
      <c r="A117" s="71" t="s">
        <v>936</v>
      </c>
      <c r="B117" s="600" t="s">
        <v>5</v>
      </c>
      <c r="D117" s="603">
        <v>0.20499999999999999</v>
      </c>
      <c r="E117" s="71" t="s">
        <v>884</v>
      </c>
      <c r="F117" s="71">
        <v>2022</v>
      </c>
      <c r="G117" s="605" t="s">
        <v>938</v>
      </c>
      <c r="H117" s="71" t="str">
        <f>表格13[[#This Row],[國家/市場]]&amp;表格13[[#This Row],[電網]]&amp;表格13[[#This Row],[電力係數年度]]</f>
        <v>Spain2022</v>
      </c>
      <c r="I117" s="142">
        <f>表格13[[#This Row],[電力係數]]</f>
        <v>0.20499999999999999</v>
      </c>
      <c r="J117" s="71" t="str">
        <f>表格13[[#This Row],[電力係數來源]]</f>
        <v>European Environment Agency (EEA) 2023</v>
      </c>
      <c r="K117" s="71" t="str">
        <f>MID(表格13[[#This Row],[係數單位]],FIND("/",表格13[[#This Row],[係數單位]])+1,4)</f>
        <v>MWh</v>
      </c>
    </row>
    <row r="118" spans="1:11">
      <c r="A118" s="71" t="s">
        <v>936</v>
      </c>
      <c r="B118" s="71" t="s">
        <v>5</v>
      </c>
      <c r="C118" s="71" t="s">
        <v>891</v>
      </c>
      <c r="D118" s="71">
        <v>0.27511000000000002</v>
      </c>
      <c r="E118" s="71" t="s">
        <v>884</v>
      </c>
      <c r="F118" s="71">
        <v>2022</v>
      </c>
      <c r="G118" s="297" t="s">
        <v>940</v>
      </c>
      <c r="H118" s="71" t="str">
        <f>表格13[[#This Row],[國家/市場]]&amp;表格13[[#This Row],[電網]]&amp;表格13[[#This Row],[電力係數年度]]</f>
        <v>SpainMarket-based2022</v>
      </c>
      <c r="I118" s="142">
        <f>表格13[[#This Row],[電力係數]]</f>
        <v>0.27511000000000002</v>
      </c>
      <c r="J118" s="71" t="str">
        <f>表格13[[#This Row],[電力係數來源]]</f>
        <v>Association of Issuing Bodies (AIB) 2023</v>
      </c>
      <c r="K118" s="71" t="str">
        <f>MID(表格13[[#This Row],[係數單位]],FIND("/",表格13[[#This Row],[係數單位]])+1,4)</f>
        <v>MWh</v>
      </c>
    </row>
    <row r="119" spans="1:11">
      <c r="A119" s="71" t="s">
        <v>936</v>
      </c>
      <c r="B119" s="600" t="s">
        <v>12</v>
      </c>
      <c r="D119" s="603">
        <v>7.0000000000000001E-3</v>
      </c>
      <c r="E119" s="71" t="s">
        <v>884</v>
      </c>
      <c r="F119" s="71">
        <v>2022</v>
      </c>
      <c r="G119" s="605" t="s">
        <v>938</v>
      </c>
      <c r="H119" s="71" t="str">
        <f>表格13[[#This Row],[國家/市場]]&amp;表格13[[#This Row],[電網]]&amp;表格13[[#This Row],[電力係數年度]]</f>
        <v>Sweden2022</v>
      </c>
      <c r="I119" s="142">
        <f>表格13[[#This Row],[電力係數]]</f>
        <v>7.0000000000000001E-3</v>
      </c>
      <c r="J119" s="71" t="str">
        <f>表格13[[#This Row],[電力係數來源]]</f>
        <v>European Environment Agency (EEA) 2023</v>
      </c>
      <c r="K119" s="71" t="str">
        <f>MID(表格13[[#This Row],[係數單位]],FIND("/",表格13[[#This Row],[係數單位]])+1,4)</f>
        <v>MWh</v>
      </c>
    </row>
    <row r="120" spans="1:11">
      <c r="A120" s="71" t="s">
        <v>936</v>
      </c>
      <c r="B120" s="71" t="s">
        <v>12</v>
      </c>
      <c r="C120" s="71" t="s">
        <v>891</v>
      </c>
      <c r="D120" s="71">
        <v>3.8949999999999999E-2</v>
      </c>
      <c r="E120" s="71" t="s">
        <v>884</v>
      </c>
      <c r="F120" s="71">
        <v>2022</v>
      </c>
      <c r="G120" s="297" t="s">
        <v>940</v>
      </c>
      <c r="H120" s="71" t="str">
        <f>表格13[[#This Row],[國家/市場]]&amp;表格13[[#This Row],[電網]]&amp;表格13[[#This Row],[電力係數年度]]</f>
        <v>SwedenMarket-based2022</v>
      </c>
      <c r="I120" s="142">
        <f>表格13[[#This Row],[電力係數]]</f>
        <v>3.8949999999999999E-2</v>
      </c>
      <c r="J120" s="71" t="str">
        <f>表格13[[#This Row],[電力係數來源]]</f>
        <v>Association of Issuing Bodies (AIB) 2023</v>
      </c>
      <c r="K120" s="71" t="str">
        <f>MID(表格13[[#This Row],[係數單位]],FIND("/",表格13[[#This Row],[係數單位]])+1,4)</f>
        <v>MWh</v>
      </c>
    </row>
    <row r="121" spans="1:11" customFormat="1" ht="17" customHeight="1">
      <c r="A121" s="71" t="s">
        <v>936</v>
      </c>
      <c r="B121" s="600" t="s">
        <v>20</v>
      </c>
      <c r="D121" s="601">
        <v>7.0000000000000007E-2</v>
      </c>
      <c r="E121" s="71" t="s">
        <v>884</v>
      </c>
      <c r="F121" s="71">
        <v>2022</v>
      </c>
      <c r="G121" s="602" t="s">
        <v>927</v>
      </c>
      <c r="H121" s="71" t="str">
        <f>表格13[[#This Row],[國家/市場]]&amp;表格13[[#This Row],[電網]]&amp;表格13[[#This Row],[電力係數年度]]</f>
        <v>Switzerland2022</v>
      </c>
      <c r="I121" s="142">
        <f>表格13[[#This Row],[電力係數]]</f>
        <v>7.0000000000000007E-2</v>
      </c>
      <c r="J121" s="71" t="str">
        <f>表格13[[#This Row],[電力係數來源]]</f>
        <v>Electricity Maps | Live 24/7 CO₂ emissions of electricity consumption</v>
      </c>
      <c r="K121" s="71" t="str">
        <f>MID(表格13[[#This Row],[係數單位]],FIND("/",表格13[[#This Row],[係數單位]])+1,4)</f>
        <v>MWh</v>
      </c>
    </row>
    <row r="122" spans="1:11">
      <c r="A122" s="71" t="s">
        <v>936</v>
      </c>
      <c r="B122" s="71" t="s">
        <v>20</v>
      </c>
      <c r="C122" s="71" t="s">
        <v>891</v>
      </c>
      <c r="D122" s="71">
        <v>0</v>
      </c>
      <c r="E122" s="71" t="s">
        <v>884</v>
      </c>
      <c r="F122" s="71">
        <v>2022</v>
      </c>
      <c r="G122" s="297" t="s">
        <v>940</v>
      </c>
      <c r="H122" s="71" t="str">
        <f>表格13[[#This Row],[國家/市場]]&amp;表格13[[#This Row],[電網]]&amp;表格13[[#This Row],[電力係數年度]]</f>
        <v>SwitzerlandMarket-based2022</v>
      </c>
      <c r="I122" s="142">
        <f>表格13[[#This Row],[電力係數]]</f>
        <v>0</v>
      </c>
      <c r="J122" s="71" t="str">
        <f>表格13[[#This Row],[電力係數來源]]</f>
        <v>Association of Issuing Bodies (AIB) 2023</v>
      </c>
      <c r="K122" s="71" t="str">
        <f>MID(表格13[[#This Row],[係數單位]],FIND("/",表格13[[#This Row],[係數單位]])+1,4)</f>
        <v>MWh</v>
      </c>
    </row>
    <row r="123" spans="1:11">
      <c r="A123" s="71" t="s">
        <v>936</v>
      </c>
      <c r="B123" s="600" t="s">
        <v>1</v>
      </c>
      <c r="D123" s="603">
        <v>0.22524</v>
      </c>
      <c r="E123" s="71" t="s">
        <v>884</v>
      </c>
      <c r="F123" s="71">
        <v>2022</v>
      </c>
      <c r="G123" s="605" t="s">
        <v>964</v>
      </c>
      <c r="H123" s="71" t="str">
        <f>表格13[[#This Row],[國家/市場]]&amp;表格13[[#This Row],[電網]]&amp;表格13[[#This Row],[電力係數年度]]</f>
        <v>United Kingdom2022</v>
      </c>
      <c r="I123" s="142">
        <f>表格13[[#This Row],[電力係數]]</f>
        <v>0.22524</v>
      </c>
      <c r="J123" s="71" t="str">
        <f>表格13[[#This Row],[電力係數來源]]</f>
        <v>2023 Government greenhouse gas conversion factors for company reporting: Methodology paper (page 36)</v>
      </c>
      <c r="K123" s="71" t="str">
        <f>MID(表格13[[#This Row],[係數單位]],FIND("/",表格13[[#This Row],[係數單位]])+1,4)</f>
        <v>MWh</v>
      </c>
    </row>
    <row r="124" spans="1:11">
      <c r="A124" s="71" t="s">
        <v>936</v>
      </c>
      <c r="B124" s="71" t="s">
        <v>1</v>
      </c>
      <c r="C124" s="71" t="s">
        <v>891</v>
      </c>
      <c r="D124" s="71">
        <v>0.36514999999999997</v>
      </c>
      <c r="E124" s="71" t="s">
        <v>884</v>
      </c>
      <c r="F124" s="71">
        <v>2022</v>
      </c>
      <c r="G124" s="297" t="s">
        <v>940</v>
      </c>
      <c r="H124" s="71" t="str">
        <f>表格13[[#This Row],[國家/市場]]&amp;表格13[[#This Row],[電網]]&amp;表格13[[#This Row],[電力係數年度]]</f>
        <v>United KingdomMarket-based2022</v>
      </c>
      <c r="I124" s="142">
        <f>表格13[[#This Row],[電力係數]]</f>
        <v>0.36514999999999997</v>
      </c>
      <c r="J124" s="71" t="str">
        <f>表格13[[#This Row],[電力係數來源]]</f>
        <v>Association of Issuing Bodies (AIB) 2023</v>
      </c>
      <c r="K124" s="71" t="str">
        <f>MID(表格13[[#This Row],[係數單位]],FIND("/",表格13[[#This Row],[係數單位]])+1,4)</f>
        <v>MWh</v>
      </c>
    </row>
    <row r="125" spans="1:11">
      <c r="A125" s="71" t="s">
        <v>31</v>
      </c>
      <c r="B125" s="71" t="s">
        <v>45</v>
      </c>
      <c r="C125" s="264" t="s">
        <v>965</v>
      </c>
      <c r="D125" s="264">
        <v>3.4299999999999997E-2</v>
      </c>
      <c r="E125" s="71" t="s">
        <v>884</v>
      </c>
      <c r="F125" s="71">
        <v>2022</v>
      </c>
      <c r="G125" s="264" t="s">
        <v>889</v>
      </c>
      <c r="H125" s="71" t="str">
        <f>表格13[[#This Row],[國家/市場]]&amp;表格13[[#This Row],[電網]]&amp;表格13[[#This Row],[電力係數年度]]</f>
        <v>ColombiaUpstream2022</v>
      </c>
      <c r="I125" s="142">
        <f>表格13[[#This Row],[電力係數]]</f>
        <v>3.4299999999999997E-2</v>
      </c>
      <c r="J125" s="71" t="str">
        <f>表格13[[#This Row],[電力係數來源]]</f>
        <v xml:space="preserve">IEA (2023) Life Cycle Upstream Emission Factors </v>
      </c>
      <c r="K125" s="71" t="str">
        <f>MID(表格13[[#This Row],[係數單位]],FIND("/",表格13[[#This Row],[係數單位]])+1,4)</f>
        <v>MWh</v>
      </c>
    </row>
    <row r="126" spans="1:11">
      <c r="A126" s="71" t="s">
        <v>31</v>
      </c>
      <c r="B126" s="71" t="s">
        <v>45</v>
      </c>
      <c r="C126" s="264" t="s">
        <v>966</v>
      </c>
      <c r="D126" s="264">
        <v>1.1299999999999999E-2</v>
      </c>
      <c r="E126" s="71" t="s">
        <v>884</v>
      </c>
      <c r="F126" s="71">
        <v>2022</v>
      </c>
      <c r="G126" s="264" t="s">
        <v>889</v>
      </c>
      <c r="H126" s="71" t="str">
        <f>表格13[[#This Row],[國家/市場]]&amp;表格13[[#This Row],[電網]]&amp;表格13[[#This Row],[電力係數年度]]</f>
        <v>ColombiaT&amp;D2022</v>
      </c>
      <c r="I126" s="142">
        <f>表格13[[#This Row],[電力係數]]</f>
        <v>1.1299999999999999E-2</v>
      </c>
      <c r="J126" s="71" t="str">
        <f>表格13[[#This Row],[電力係數來源]]</f>
        <v xml:space="preserve">IEA (2023) Life Cycle Upstream Emission Factors </v>
      </c>
      <c r="K126" s="71" t="str">
        <f>MID(表格13[[#This Row],[係數單位]],FIND("/",表格13[[#This Row],[係數單位]])+1,4)</f>
        <v>MWh</v>
      </c>
    </row>
    <row r="127" spans="1:11">
      <c r="A127" s="71" t="s">
        <v>936</v>
      </c>
      <c r="B127" s="71" t="s">
        <v>4</v>
      </c>
      <c r="C127" s="264" t="s">
        <v>967</v>
      </c>
      <c r="D127" s="264">
        <v>3.78E-2</v>
      </c>
      <c r="E127" s="71" t="s">
        <v>884</v>
      </c>
      <c r="F127" s="71">
        <v>2022</v>
      </c>
      <c r="G127" s="264" t="s">
        <v>889</v>
      </c>
      <c r="H127" s="71" t="str">
        <f>表格13[[#This Row],[國家/市場]]&amp;表格13[[#This Row],[電網]]&amp;表格13[[#This Row],[電力係數年度]]</f>
        <v>CroatiaUpstream2022</v>
      </c>
      <c r="I127" s="142">
        <f>表格13[[#This Row],[電力係數]]</f>
        <v>3.78E-2</v>
      </c>
      <c r="J127" s="71" t="str">
        <f>表格13[[#This Row],[電力係數來源]]</f>
        <v xml:space="preserve">IEA (2023) Life Cycle Upstream Emission Factors </v>
      </c>
      <c r="K127" s="71" t="str">
        <f>MID(表格13[[#This Row],[係數單位]],FIND("/",表格13[[#This Row],[係數單位]])+1,4)</f>
        <v>MWh</v>
      </c>
    </row>
    <row r="128" spans="1:11">
      <c r="A128" s="71" t="s">
        <v>936</v>
      </c>
      <c r="B128" s="71" t="s">
        <v>4</v>
      </c>
      <c r="C128" s="264" t="s">
        <v>968</v>
      </c>
      <c r="D128" s="264">
        <v>1.21E-2</v>
      </c>
      <c r="E128" s="71" t="s">
        <v>884</v>
      </c>
      <c r="F128" s="71">
        <v>2022</v>
      </c>
      <c r="G128" s="264" t="s">
        <v>889</v>
      </c>
      <c r="H128" s="71" t="str">
        <f>表格13[[#This Row],[國家/市場]]&amp;表格13[[#This Row],[電網]]&amp;表格13[[#This Row],[電力係數年度]]</f>
        <v>CroatiaT&amp;D2022</v>
      </c>
      <c r="I128" s="142">
        <f>表格13[[#This Row],[電力係數]]</f>
        <v>1.21E-2</v>
      </c>
      <c r="J128" s="71" t="str">
        <f>表格13[[#This Row],[電力係數來源]]</f>
        <v xml:space="preserve">IEA (2023) Life Cycle Upstream Emission Factors </v>
      </c>
      <c r="K128" s="71" t="str">
        <f>MID(表格13[[#This Row],[係數單位]],FIND("/",表格13[[#This Row],[係數單位]])+1,4)</f>
        <v>MWh</v>
      </c>
    </row>
    <row r="129" spans="1:11">
      <c r="A129" s="71" t="s">
        <v>936</v>
      </c>
      <c r="B129" s="71" t="s">
        <v>19</v>
      </c>
      <c r="C129" s="264" t="s">
        <v>969</v>
      </c>
      <c r="D129" s="264">
        <v>8.8700000000000001E-2</v>
      </c>
      <c r="E129" s="71" t="s">
        <v>884</v>
      </c>
      <c r="F129" s="71">
        <v>2022</v>
      </c>
      <c r="G129" s="264" t="s">
        <v>889</v>
      </c>
      <c r="H129" s="71" t="str">
        <f>表格13[[#This Row],[國家/市場]]&amp;表格13[[#This Row],[電網]]&amp;表格13[[#This Row],[電力係數年度]]</f>
        <v>Czech RepublicUpstream2022</v>
      </c>
      <c r="I129" s="142">
        <f>表格13[[#This Row],[電力係數]]</f>
        <v>8.8700000000000001E-2</v>
      </c>
      <c r="J129" s="71" t="str">
        <f>表格13[[#This Row],[電力係數來源]]</f>
        <v xml:space="preserve">IEA (2023) Life Cycle Upstream Emission Factors </v>
      </c>
      <c r="K129" s="71" t="str">
        <f>MID(表格13[[#This Row],[係數單位]],FIND("/",表格13[[#This Row],[係數單位]])+1,4)</f>
        <v>MWh</v>
      </c>
    </row>
    <row r="130" spans="1:11">
      <c r="A130" s="71" t="s">
        <v>936</v>
      </c>
      <c r="B130" s="71" t="s">
        <v>19</v>
      </c>
      <c r="C130" s="264" t="s">
        <v>970</v>
      </c>
      <c r="D130" s="264">
        <v>2.0299999999999999E-2</v>
      </c>
      <c r="E130" s="71" t="s">
        <v>884</v>
      </c>
      <c r="F130" s="71">
        <v>2022</v>
      </c>
      <c r="G130" s="264" t="s">
        <v>889</v>
      </c>
      <c r="H130" s="71" t="str">
        <f>表格13[[#This Row],[國家/市場]]&amp;表格13[[#This Row],[電網]]&amp;表格13[[#This Row],[電力係數年度]]</f>
        <v>Czech RepublicT&amp;D2022</v>
      </c>
      <c r="I130" s="142">
        <f>表格13[[#This Row],[電力係數]]</f>
        <v>2.0299999999999999E-2</v>
      </c>
      <c r="J130" s="71" t="str">
        <f>表格13[[#This Row],[電力係數來源]]</f>
        <v xml:space="preserve">IEA (2023) Life Cycle Upstream Emission Factors </v>
      </c>
      <c r="K130" s="71" t="str">
        <f>MID(表格13[[#This Row],[係數單位]],FIND("/",表格13[[#This Row],[係數單位]])+1,4)</f>
        <v>MWh</v>
      </c>
    </row>
    <row r="131" spans="1:11">
      <c r="A131" s="71" t="s">
        <v>917</v>
      </c>
      <c r="B131" s="71" t="s">
        <v>16</v>
      </c>
      <c r="C131" s="264" t="s">
        <v>971</v>
      </c>
      <c r="D131" s="264">
        <v>9.0499999999999997E-2</v>
      </c>
      <c r="E131" s="71" t="s">
        <v>884</v>
      </c>
      <c r="F131" s="71">
        <v>2022</v>
      </c>
      <c r="G131" s="264" t="s">
        <v>889</v>
      </c>
      <c r="H131" s="71" t="str">
        <f>表格13[[#This Row],[國家/市場]]&amp;表格13[[#This Row],[電網]]&amp;表格13[[#This Row],[電力係數年度]]</f>
        <v>EgyptUpstream2022</v>
      </c>
      <c r="I131" s="142">
        <f>表格13[[#This Row],[電力係數]]</f>
        <v>9.0499999999999997E-2</v>
      </c>
      <c r="J131" s="71" t="str">
        <f>表格13[[#This Row],[電力係數來源]]</f>
        <v xml:space="preserve">IEA (2023) Life Cycle Upstream Emission Factors </v>
      </c>
      <c r="K131" s="71" t="str">
        <f>MID(表格13[[#This Row],[係數單位]],FIND("/",表格13[[#This Row],[係數單位]])+1,4)</f>
        <v>MWh</v>
      </c>
    </row>
    <row r="132" spans="1:11">
      <c r="A132" s="71" t="s">
        <v>917</v>
      </c>
      <c r="B132" s="71" t="s">
        <v>16</v>
      </c>
      <c r="C132" s="264" t="s">
        <v>972</v>
      </c>
      <c r="D132" s="264">
        <v>8.7599999999999997E-2</v>
      </c>
      <c r="E132" s="71" t="s">
        <v>884</v>
      </c>
      <c r="F132" s="71">
        <v>2022</v>
      </c>
      <c r="G132" s="264" t="s">
        <v>889</v>
      </c>
      <c r="H132" s="71" t="str">
        <f>表格13[[#This Row],[國家/市場]]&amp;表格13[[#This Row],[電網]]&amp;表格13[[#This Row],[電力係數年度]]</f>
        <v>EgyptT&amp;D2022</v>
      </c>
      <c r="I132" s="142">
        <f>表格13[[#This Row],[電力係數]]</f>
        <v>8.7599999999999997E-2</v>
      </c>
      <c r="J132" s="71" t="str">
        <f>表格13[[#This Row],[電力係數來源]]</f>
        <v xml:space="preserve">IEA (2023) Life Cycle Upstream Emission Factors </v>
      </c>
      <c r="K132" s="71" t="str">
        <f>MID(表格13[[#This Row],[係數單位]],FIND("/",表格13[[#This Row],[係數單位]])+1,4)</f>
        <v>MWh</v>
      </c>
    </row>
    <row r="133" spans="1:11">
      <c r="A133" s="71" t="s">
        <v>936</v>
      </c>
      <c r="B133" s="71" t="s">
        <v>2</v>
      </c>
      <c r="C133" s="264" t="s">
        <v>973</v>
      </c>
      <c r="D133" s="264">
        <v>3.15E-2</v>
      </c>
      <c r="E133" s="71" t="s">
        <v>884</v>
      </c>
      <c r="F133" s="71">
        <v>2022</v>
      </c>
      <c r="G133" s="264" t="s">
        <v>889</v>
      </c>
      <c r="H133" s="71" t="str">
        <f>表格13[[#This Row],[國家/市場]]&amp;表格13[[#This Row],[電網]]&amp;表格13[[#This Row],[電力係數年度]]</f>
        <v>FinlandUpstream2022</v>
      </c>
      <c r="I133" s="142">
        <f>表格13[[#This Row],[電力係數]]</f>
        <v>3.15E-2</v>
      </c>
      <c r="J133" s="71" t="str">
        <f>表格13[[#This Row],[電力係數來源]]</f>
        <v xml:space="preserve">IEA (2023) Life Cycle Upstream Emission Factors </v>
      </c>
      <c r="K133" s="71" t="str">
        <f>MID(表格13[[#This Row],[係數單位]],FIND("/",表格13[[#This Row],[係數單位]])+1,4)</f>
        <v>MWh</v>
      </c>
    </row>
    <row r="134" spans="1:11">
      <c r="A134" s="71" t="s">
        <v>936</v>
      </c>
      <c r="B134" s="71" t="s">
        <v>2</v>
      </c>
      <c r="C134" s="264" t="s">
        <v>974</v>
      </c>
      <c r="D134" s="264">
        <v>3.8E-3</v>
      </c>
      <c r="E134" s="71" t="s">
        <v>884</v>
      </c>
      <c r="F134" s="71">
        <v>2022</v>
      </c>
      <c r="G134" s="264" t="s">
        <v>889</v>
      </c>
      <c r="H134" s="71" t="str">
        <f>表格13[[#This Row],[國家/市場]]&amp;表格13[[#This Row],[電網]]&amp;表格13[[#This Row],[電力係數年度]]</f>
        <v>FinlandT&amp;D2022</v>
      </c>
      <c r="I134" s="142">
        <f>表格13[[#This Row],[電力係數]]</f>
        <v>3.8E-3</v>
      </c>
      <c r="J134" s="71" t="str">
        <f>表格13[[#This Row],[電力係數來源]]</f>
        <v xml:space="preserve">IEA (2023) Life Cycle Upstream Emission Factors </v>
      </c>
      <c r="K134" s="71" t="str">
        <f>MID(表格13[[#This Row],[係數單位]],FIND("/",表格13[[#This Row],[係數單位]])+1,4)</f>
        <v>MWh</v>
      </c>
    </row>
    <row r="135" spans="1:11">
      <c r="A135" s="71" t="s">
        <v>936</v>
      </c>
      <c r="B135" s="71" t="s">
        <v>10</v>
      </c>
      <c r="C135" s="264" t="s">
        <v>975</v>
      </c>
      <c r="D135" s="264">
        <v>1.8800000000000001E-2</v>
      </c>
      <c r="E135" s="71" t="s">
        <v>884</v>
      </c>
      <c r="F135" s="71">
        <v>2022</v>
      </c>
      <c r="G135" s="264" t="s">
        <v>889</v>
      </c>
      <c r="H135" s="71" t="str">
        <f>表格13[[#This Row],[國家/市場]]&amp;表格13[[#This Row],[電網]]&amp;表格13[[#This Row],[電力係數年度]]</f>
        <v>FranceUpstream2022</v>
      </c>
      <c r="I135" s="142">
        <f>表格13[[#This Row],[電力係數]]</f>
        <v>1.8800000000000001E-2</v>
      </c>
      <c r="J135" s="71" t="str">
        <f>表格13[[#This Row],[電力係數來源]]</f>
        <v xml:space="preserve">IEA (2023) Life Cycle Upstream Emission Factors </v>
      </c>
      <c r="K135" s="71" t="str">
        <f>MID(表格13[[#This Row],[係數單位]],FIND("/",表格13[[#This Row],[係數單位]])+1,4)</f>
        <v>MWh</v>
      </c>
    </row>
    <row r="136" spans="1:11">
      <c r="A136" s="71" t="s">
        <v>936</v>
      </c>
      <c r="B136" s="71" t="s">
        <v>10</v>
      </c>
      <c r="C136" s="264" t="s">
        <v>976</v>
      </c>
      <c r="D136" s="264">
        <v>5.0000000000000001E-3</v>
      </c>
      <c r="E136" s="71" t="s">
        <v>884</v>
      </c>
      <c r="F136" s="71">
        <v>2022</v>
      </c>
      <c r="G136" s="264" t="s">
        <v>889</v>
      </c>
      <c r="H136" s="71" t="str">
        <f>表格13[[#This Row],[國家/市場]]&amp;表格13[[#This Row],[電網]]&amp;表格13[[#This Row],[電力係數年度]]</f>
        <v>FranceT&amp;D2022</v>
      </c>
      <c r="I136" s="142">
        <f>表格13[[#This Row],[電力係數]]</f>
        <v>5.0000000000000001E-3</v>
      </c>
      <c r="J136" s="71" t="str">
        <f>表格13[[#This Row],[電力係數來源]]</f>
        <v xml:space="preserve">IEA (2023) Life Cycle Upstream Emission Factors </v>
      </c>
      <c r="K136" s="71" t="str">
        <f>MID(表格13[[#This Row],[係數單位]],FIND("/",表格13[[#This Row],[係數單位]])+1,4)</f>
        <v>MWh</v>
      </c>
    </row>
    <row r="137" spans="1:11">
      <c r="A137" s="71" t="s">
        <v>936</v>
      </c>
      <c r="B137" s="71" t="s">
        <v>26</v>
      </c>
      <c r="C137" s="264" t="s">
        <v>977</v>
      </c>
      <c r="D137" s="264">
        <v>6.7799999999999999E-2</v>
      </c>
      <c r="E137" s="71" t="s">
        <v>884</v>
      </c>
      <c r="F137" s="71">
        <v>2022</v>
      </c>
      <c r="G137" s="264" t="s">
        <v>889</v>
      </c>
      <c r="H137" s="71" t="str">
        <f>表格13[[#This Row],[國家/市場]]&amp;表格13[[#This Row],[電網]]&amp;表格13[[#This Row],[電力係數年度]]</f>
        <v>GermanyUpstream2022</v>
      </c>
      <c r="I137" s="142">
        <f>表格13[[#This Row],[電力係數]]</f>
        <v>6.7799999999999999E-2</v>
      </c>
      <c r="J137" s="71" t="str">
        <f>表格13[[#This Row],[電力係數來源]]</f>
        <v xml:space="preserve">IEA (2023) Life Cycle Upstream Emission Factors </v>
      </c>
      <c r="K137" s="71" t="str">
        <f>MID(表格13[[#This Row],[係數單位]],FIND("/",表格13[[#This Row],[係數單位]])+1,4)</f>
        <v>MWh</v>
      </c>
    </row>
    <row r="138" spans="1:11">
      <c r="A138" s="71" t="s">
        <v>936</v>
      </c>
      <c r="B138" s="71" t="s">
        <v>26</v>
      </c>
      <c r="C138" s="264" t="s">
        <v>978</v>
      </c>
      <c r="D138" s="264">
        <v>1.83E-2</v>
      </c>
      <c r="E138" s="71" t="s">
        <v>884</v>
      </c>
      <c r="F138" s="71">
        <v>2022</v>
      </c>
      <c r="G138" s="264" t="s">
        <v>889</v>
      </c>
      <c r="H138" s="71" t="str">
        <f>表格13[[#This Row],[國家/市場]]&amp;表格13[[#This Row],[電網]]&amp;表格13[[#This Row],[電力係數年度]]</f>
        <v>GermanyT&amp;D2022</v>
      </c>
      <c r="I138" s="142">
        <f>表格13[[#This Row],[電力係數]]</f>
        <v>1.83E-2</v>
      </c>
      <c r="J138" s="71" t="str">
        <f>表格13[[#This Row],[電力係數來源]]</f>
        <v xml:space="preserve">IEA (2023) Life Cycle Upstream Emission Factors </v>
      </c>
      <c r="K138" s="71" t="str">
        <f>MID(表格13[[#This Row],[係數單位]],FIND("/",表格13[[#This Row],[係數單位]])+1,4)</f>
        <v>MWh</v>
      </c>
    </row>
    <row r="139" spans="1:11">
      <c r="A139" s="71" t="s">
        <v>740</v>
      </c>
      <c r="B139" s="71" t="s">
        <v>979</v>
      </c>
      <c r="C139" s="264" t="s">
        <v>980</v>
      </c>
      <c r="D139" s="264">
        <v>0.1278</v>
      </c>
      <c r="E139" s="71" t="s">
        <v>884</v>
      </c>
      <c r="F139" s="71">
        <v>2022</v>
      </c>
      <c r="G139" s="264" t="s">
        <v>889</v>
      </c>
      <c r="H139" s="71" t="str">
        <f>表格13[[#This Row],[國家/市場]]&amp;表格13[[#This Row],[電網]]&amp;表格13[[#This Row],[電力係數年度]]</f>
        <v>IndiaUpstream2022</v>
      </c>
      <c r="I139" s="142">
        <f>表格13[[#This Row],[電力係數]]</f>
        <v>0.1278</v>
      </c>
      <c r="J139" s="71" t="str">
        <f>表格13[[#This Row],[電力係數來源]]</f>
        <v xml:space="preserve">IEA (2023) Life Cycle Upstream Emission Factors </v>
      </c>
      <c r="K139" s="71" t="str">
        <f>MID(表格13[[#This Row],[係數單位]],FIND("/",表格13[[#This Row],[係數單位]])+1,4)</f>
        <v>MWh</v>
      </c>
    </row>
    <row r="140" spans="1:11">
      <c r="A140" s="71" t="s">
        <v>740</v>
      </c>
      <c r="B140" s="71" t="s">
        <v>981</v>
      </c>
      <c r="C140" s="264" t="s">
        <v>982</v>
      </c>
      <c r="D140" s="264">
        <v>0.16159999999999999</v>
      </c>
      <c r="E140" s="71" t="s">
        <v>884</v>
      </c>
      <c r="F140" s="71">
        <v>2022</v>
      </c>
      <c r="G140" s="264" t="s">
        <v>889</v>
      </c>
      <c r="H140" s="71" t="str">
        <f>表格13[[#This Row],[國家/市場]]&amp;表格13[[#This Row],[電網]]&amp;表格13[[#This Row],[電力係數年度]]</f>
        <v>IndiaT&amp;D2022</v>
      </c>
      <c r="I140" s="142">
        <f>表格13[[#This Row],[電力係數]]</f>
        <v>0.16159999999999999</v>
      </c>
      <c r="J140" s="71" t="str">
        <f>表格13[[#This Row],[電力係數來源]]</f>
        <v xml:space="preserve">IEA (2023) Life Cycle Upstream Emission Factors </v>
      </c>
      <c r="K140" s="71" t="str">
        <f>MID(表格13[[#This Row],[係數單位]],FIND("/",表格13[[#This Row],[係數單位]])+1,4)</f>
        <v>MWh</v>
      </c>
    </row>
    <row r="141" spans="1:11">
      <c r="A141" s="71" t="s">
        <v>936</v>
      </c>
      <c r="B141" s="71" t="s">
        <v>18</v>
      </c>
      <c r="C141" s="264" t="s">
        <v>983</v>
      </c>
      <c r="D141" s="264">
        <v>5.8999999999999997E-2</v>
      </c>
      <c r="E141" s="71" t="s">
        <v>884</v>
      </c>
      <c r="F141" s="71">
        <v>2022</v>
      </c>
      <c r="G141" s="264" t="s">
        <v>889</v>
      </c>
      <c r="H141" s="71" t="str">
        <f>表格13[[#This Row],[國家/市場]]&amp;表格13[[#This Row],[電網]]&amp;表格13[[#This Row],[電力係數年度]]</f>
        <v>ItalyUpstream2022</v>
      </c>
      <c r="I141" s="142">
        <f>表格13[[#This Row],[電力係數]]</f>
        <v>5.8999999999999997E-2</v>
      </c>
      <c r="J141" s="71" t="str">
        <f>表格13[[#This Row],[電力係數來源]]</f>
        <v xml:space="preserve">IEA (2023) Life Cycle Upstream Emission Factors </v>
      </c>
      <c r="K141" s="71" t="str">
        <f>MID(表格13[[#This Row],[係數單位]],FIND("/",表格13[[#This Row],[係數單位]])+1,4)</f>
        <v>MWh</v>
      </c>
    </row>
    <row r="142" spans="1:11">
      <c r="A142" s="71" t="s">
        <v>936</v>
      </c>
      <c r="B142" s="71" t="s">
        <v>18</v>
      </c>
      <c r="C142" s="264" t="s">
        <v>984</v>
      </c>
      <c r="D142" s="264">
        <v>0.02</v>
      </c>
      <c r="E142" s="71" t="s">
        <v>884</v>
      </c>
      <c r="F142" s="71">
        <v>2022</v>
      </c>
      <c r="G142" s="264" t="s">
        <v>889</v>
      </c>
      <c r="H142" s="71" t="str">
        <f>表格13[[#This Row],[國家/市場]]&amp;表格13[[#This Row],[電網]]&amp;表格13[[#This Row],[電力係數年度]]</f>
        <v>ItalyT&amp;D2022</v>
      </c>
      <c r="I142" s="142">
        <f>表格13[[#This Row],[電力係數]]</f>
        <v>0.02</v>
      </c>
      <c r="J142" s="71" t="str">
        <f>表格13[[#This Row],[電力係數來源]]</f>
        <v xml:space="preserve">IEA (2023) Life Cycle Upstream Emission Factors </v>
      </c>
      <c r="K142" s="71" t="str">
        <f>MID(表格13[[#This Row],[係數單位]],FIND("/",表格13[[#This Row],[係數單位]])+1,4)</f>
        <v>MWh</v>
      </c>
    </row>
    <row r="143" spans="1:11">
      <c r="A143" s="71" t="s">
        <v>740</v>
      </c>
      <c r="B143" s="71" t="s">
        <v>33</v>
      </c>
      <c r="C143" s="264" t="s">
        <v>985</v>
      </c>
      <c r="D143" s="264">
        <v>8.9899999999999994E-2</v>
      </c>
      <c r="E143" s="71" t="s">
        <v>884</v>
      </c>
      <c r="F143" s="71">
        <v>2022</v>
      </c>
      <c r="G143" s="264" t="s">
        <v>889</v>
      </c>
      <c r="H143" s="71" t="str">
        <f>表格13[[#This Row],[國家/市場]]&amp;表格13[[#This Row],[電網]]&amp;表格13[[#This Row],[電力係數年度]]</f>
        <v>JapanUpstream2022</v>
      </c>
      <c r="I143" s="142">
        <f>表格13[[#This Row],[電力係數]]</f>
        <v>8.9899999999999994E-2</v>
      </c>
      <c r="J143" s="71" t="str">
        <f>表格13[[#This Row],[電力係數來源]]</f>
        <v xml:space="preserve">IEA (2023) Life Cycle Upstream Emission Factors </v>
      </c>
      <c r="K143" s="71" t="str">
        <f>MID(表格13[[#This Row],[係數單位]],FIND("/",表格13[[#This Row],[係數單位]])+1,4)</f>
        <v>MWh</v>
      </c>
    </row>
    <row r="144" spans="1:11">
      <c r="A144" s="71" t="s">
        <v>740</v>
      </c>
      <c r="B144" s="71" t="s">
        <v>33</v>
      </c>
      <c r="C144" s="264" t="s">
        <v>986</v>
      </c>
      <c r="D144" s="264">
        <v>2.7199999999999998E-2</v>
      </c>
      <c r="E144" s="71" t="s">
        <v>884</v>
      </c>
      <c r="F144" s="71">
        <v>2022</v>
      </c>
      <c r="G144" s="264" t="s">
        <v>889</v>
      </c>
      <c r="H144" s="71" t="str">
        <f>表格13[[#This Row],[國家/市場]]&amp;表格13[[#This Row],[電網]]&amp;表格13[[#This Row],[電力係數年度]]</f>
        <v>JapanT&amp;D2022</v>
      </c>
      <c r="I144" s="142">
        <f>表格13[[#This Row],[電力係數]]</f>
        <v>2.7199999999999998E-2</v>
      </c>
      <c r="J144" s="71" t="str">
        <f>表格13[[#This Row],[電力係數來源]]</f>
        <v xml:space="preserve">IEA (2023) Life Cycle Upstream Emission Factors </v>
      </c>
      <c r="K144" s="71" t="str">
        <f>MID(表格13[[#This Row],[係數單位]],FIND("/",表格13[[#This Row],[係數單位]])+1,4)</f>
        <v>MWh</v>
      </c>
    </row>
    <row r="145" spans="1:11">
      <c r="A145" s="71" t="s">
        <v>740</v>
      </c>
      <c r="B145" s="71" t="s">
        <v>55</v>
      </c>
      <c r="C145" s="264" t="s">
        <v>987</v>
      </c>
      <c r="D145" s="264">
        <v>0.1119</v>
      </c>
      <c r="E145" s="71" t="s">
        <v>884</v>
      </c>
      <c r="F145" s="71">
        <v>2022</v>
      </c>
      <c r="G145" s="264" t="s">
        <v>889</v>
      </c>
      <c r="H145" s="71" t="str">
        <f>表格13[[#This Row],[國家/市場]]&amp;表格13[[#This Row],[電網]]&amp;表格13[[#This Row],[電力係數年度]]</f>
        <v>MalaysiaUpstream2022</v>
      </c>
      <c r="I145" s="142">
        <f>表格13[[#This Row],[電力係數]]</f>
        <v>0.1119</v>
      </c>
      <c r="J145" s="71" t="str">
        <f>表格13[[#This Row],[電力係數來源]]</f>
        <v xml:space="preserve">IEA (2023) Life Cycle Upstream Emission Factors </v>
      </c>
      <c r="K145" s="71" t="str">
        <f>MID(表格13[[#This Row],[係數單位]],FIND("/",表格13[[#This Row],[係數單位]])+1,4)</f>
        <v>MWh</v>
      </c>
    </row>
    <row r="146" spans="1:11">
      <c r="A146" s="71" t="s">
        <v>740</v>
      </c>
      <c r="B146" s="71" t="s">
        <v>55</v>
      </c>
      <c r="C146" s="264" t="s">
        <v>988</v>
      </c>
      <c r="D146" s="264">
        <v>5.2299999999999999E-2</v>
      </c>
      <c r="E146" s="71" t="s">
        <v>884</v>
      </c>
      <c r="F146" s="71">
        <v>2022</v>
      </c>
      <c r="G146" s="264" t="s">
        <v>889</v>
      </c>
      <c r="H146" s="71" t="str">
        <f>表格13[[#This Row],[國家/市場]]&amp;表格13[[#This Row],[電網]]&amp;表格13[[#This Row],[電力係數年度]]</f>
        <v>MalaysiaT&amp;D2022</v>
      </c>
      <c r="I146" s="142">
        <f>表格13[[#This Row],[電力係數]]</f>
        <v>5.2299999999999999E-2</v>
      </c>
      <c r="J146" s="71" t="str">
        <f>表格13[[#This Row],[電力係數來源]]</f>
        <v xml:space="preserve">IEA (2023) Life Cycle Upstream Emission Factors </v>
      </c>
      <c r="K146" s="71" t="str">
        <f>MID(表格13[[#This Row],[係數單位]],FIND("/",表格13[[#This Row],[係數單位]])+1,4)</f>
        <v>MWh</v>
      </c>
    </row>
    <row r="147" spans="1:11">
      <c r="A147" s="71" t="s">
        <v>31</v>
      </c>
      <c r="B147" s="71" t="s">
        <v>46</v>
      </c>
      <c r="C147" s="264" t="s">
        <v>989</v>
      </c>
      <c r="D147" s="264">
        <v>8.72E-2</v>
      </c>
      <c r="E147" s="71" t="s">
        <v>884</v>
      </c>
      <c r="F147" s="71">
        <v>2022</v>
      </c>
      <c r="G147" s="264" t="s">
        <v>889</v>
      </c>
      <c r="H147" s="71" t="str">
        <f>表格13[[#This Row],[國家/市場]]&amp;表格13[[#This Row],[電網]]&amp;表格13[[#This Row],[電力係數年度]]</f>
        <v>MexicoUpstream2022</v>
      </c>
      <c r="I147" s="142">
        <f>表格13[[#This Row],[電力係數]]</f>
        <v>8.72E-2</v>
      </c>
      <c r="J147" s="71" t="str">
        <f>表格13[[#This Row],[電力係數來源]]</f>
        <v xml:space="preserve">IEA (2023) Life Cycle Upstream Emission Factors </v>
      </c>
      <c r="K147" s="71" t="str">
        <f>MID(表格13[[#This Row],[係數單位]],FIND("/",表格13[[#This Row],[係數單位]])+1,4)</f>
        <v>MWh</v>
      </c>
    </row>
    <row r="148" spans="1:11">
      <c r="A148" s="71" t="s">
        <v>31</v>
      </c>
      <c r="B148" s="71" t="s">
        <v>46</v>
      </c>
      <c r="C148" s="264" t="s">
        <v>990</v>
      </c>
      <c r="D148" s="264">
        <v>5.5800000000000002E-2</v>
      </c>
      <c r="E148" s="71" t="s">
        <v>884</v>
      </c>
      <c r="F148" s="71">
        <v>2022</v>
      </c>
      <c r="G148" s="264" t="s">
        <v>889</v>
      </c>
      <c r="H148" s="71" t="str">
        <f>表格13[[#This Row],[國家/市場]]&amp;表格13[[#This Row],[電網]]&amp;表格13[[#This Row],[電力係數年度]]</f>
        <v>MexicoT&amp;D2022</v>
      </c>
      <c r="I148" s="142">
        <f>表格13[[#This Row],[電力係數]]</f>
        <v>5.5800000000000002E-2</v>
      </c>
      <c r="J148" s="71" t="str">
        <f>表格13[[#This Row],[電力係數來源]]</f>
        <v xml:space="preserve">IEA (2023) Life Cycle Upstream Emission Factors </v>
      </c>
      <c r="K148" s="71" t="str">
        <f>MID(表格13[[#This Row],[係數單位]],FIND("/",表格13[[#This Row],[係數單位]])+1,4)</f>
        <v>MWh</v>
      </c>
    </row>
    <row r="149" spans="1:11">
      <c r="A149" s="71" t="s">
        <v>740</v>
      </c>
      <c r="B149" s="71" t="s">
        <v>40</v>
      </c>
      <c r="C149" s="264" t="s">
        <v>991</v>
      </c>
      <c r="D149" s="264">
        <v>9.2999999999999999E-2</v>
      </c>
      <c r="E149" s="71" t="s">
        <v>884</v>
      </c>
      <c r="F149" s="71">
        <v>2022</v>
      </c>
      <c r="G149" s="264" t="s">
        <v>889</v>
      </c>
      <c r="H149" s="71" t="str">
        <f>表格13[[#This Row],[國家/市場]]&amp;表格13[[#This Row],[電網]]&amp;表格13[[#This Row],[電力係數年度]]</f>
        <v>MyanmarUpstream2022</v>
      </c>
      <c r="I149" s="142">
        <f>表格13[[#This Row],[電力係數]]</f>
        <v>9.2999999999999999E-2</v>
      </c>
      <c r="J149" s="71" t="str">
        <f>表格13[[#This Row],[電力係數來源]]</f>
        <v xml:space="preserve">IEA (2023) Life Cycle Upstream Emission Factors </v>
      </c>
      <c r="K149" s="71" t="str">
        <f>MID(表格13[[#This Row],[係數單位]],FIND("/",表格13[[#This Row],[係數單位]])+1,4)</f>
        <v>MWh</v>
      </c>
    </row>
    <row r="150" spans="1:11">
      <c r="A150" s="71" t="s">
        <v>740</v>
      </c>
      <c r="B150" s="71" t="s">
        <v>40</v>
      </c>
      <c r="C150" s="264" t="s">
        <v>992</v>
      </c>
      <c r="D150" s="264">
        <v>9.7100000000000006E-2</v>
      </c>
      <c r="E150" s="71" t="s">
        <v>884</v>
      </c>
      <c r="F150" s="71">
        <v>2022</v>
      </c>
      <c r="G150" s="264" t="s">
        <v>889</v>
      </c>
      <c r="H150" s="71" t="str">
        <f>表格13[[#This Row],[國家/市場]]&amp;表格13[[#This Row],[電網]]&amp;表格13[[#This Row],[電力係數年度]]</f>
        <v>MyanmarT&amp;D2022</v>
      </c>
      <c r="I150" s="142">
        <f>表格13[[#This Row],[電力係數]]</f>
        <v>9.7100000000000006E-2</v>
      </c>
      <c r="J150" s="71" t="str">
        <f>表格13[[#This Row],[電力係數來源]]</f>
        <v xml:space="preserve">IEA (2023) Life Cycle Upstream Emission Factors </v>
      </c>
      <c r="K150" s="71" t="str">
        <f>MID(表格13[[#This Row],[係數單位]],FIND("/",表格13[[#This Row],[係數單位]])+1,4)</f>
        <v>MWh</v>
      </c>
    </row>
    <row r="151" spans="1:11">
      <c r="A151" s="71" t="s">
        <v>936</v>
      </c>
      <c r="B151" s="71" t="s">
        <v>13</v>
      </c>
      <c r="C151" s="264" t="s">
        <v>993</v>
      </c>
      <c r="D151" s="264">
        <v>5.5500000000000001E-2</v>
      </c>
      <c r="E151" s="71" t="s">
        <v>884</v>
      </c>
      <c r="F151" s="71">
        <v>2022</v>
      </c>
      <c r="G151" s="264" t="s">
        <v>889</v>
      </c>
      <c r="H151" s="71" t="str">
        <f>表格13[[#This Row],[國家/市場]]&amp;表格13[[#This Row],[電網]]&amp;表格13[[#This Row],[電力係數年度]]</f>
        <v>NetherlandsUpstream2022</v>
      </c>
      <c r="I151" s="142">
        <f>表格13[[#This Row],[電力係數]]</f>
        <v>5.5500000000000001E-2</v>
      </c>
      <c r="J151" s="71" t="str">
        <f>表格13[[#This Row],[電力係數來源]]</f>
        <v xml:space="preserve">IEA (2023) Life Cycle Upstream Emission Factors </v>
      </c>
      <c r="K151" s="71" t="str">
        <f>MID(表格13[[#This Row],[係數單位]],FIND("/",表格13[[#This Row],[係數單位]])+1,4)</f>
        <v>MWh</v>
      </c>
    </row>
    <row r="152" spans="1:11">
      <c r="A152" s="71" t="s">
        <v>936</v>
      </c>
      <c r="B152" s="71" t="s">
        <v>13</v>
      </c>
      <c r="C152" s="264" t="s">
        <v>994</v>
      </c>
      <c r="D152" s="264">
        <v>1.2699999999999999E-2</v>
      </c>
      <c r="E152" s="71" t="s">
        <v>884</v>
      </c>
      <c r="F152" s="71">
        <v>2022</v>
      </c>
      <c r="G152" s="264" t="s">
        <v>889</v>
      </c>
      <c r="H152" s="71" t="str">
        <f>表格13[[#This Row],[國家/市場]]&amp;表格13[[#This Row],[電網]]&amp;表格13[[#This Row],[電力係數年度]]</f>
        <v>NetherlandsT&amp;D2022</v>
      </c>
      <c r="I152" s="142">
        <f>表格13[[#This Row],[電力係數]]</f>
        <v>1.2699999999999999E-2</v>
      </c>
      <c r="J152" s="71" t="str">
        <f>表格13[[#This Row],[電力係數來源]]</f>
        <v xml:space="preserve">IEA (2023) Life Cycle Upstream Emission Factors </v>
      </c>
      <c r="K152" s="71" t="str">
        <f>MID(表格13[[#This Row],[係數單位]],FIND("/",表格13[[#This Row],[係數單位]])+1,4)</f>
        <v>MWh</v>
      </c>
    </row>
    <row r="153" spans="1:11">
      <c r="A153" s="71" t="s">
        <v>936</v>
      </c>
      <c r="B153" s="71" t="s">
        <v>8</v>
      </c>
      <c r="C153" s="264" t="s">
        <v>995</v>
      </c>
      <c r="D153" s="264">
        <v>4.7999999999999996E-3</v>
      </c>
      <c r="E153" s="71" t="s">
        <v>884</v>
      </c>
      <c r="F153" s="71">
        <v>2022</v>
      </c>
      <c r="G153" s="264" t="s">
        <v>889</v>
      </c>
      <c r="H153" s="71" t="str">
        <f>表格13[[#This Row],[國家/市場]]&amp;表格13[[#This Row],[電網]]&amp;表格13[[#This Row],[電力係數年度]]</f>
        <v>NorwayUpstream2022</v>
      </c>
      <c r="I153" s="142">
        <f>表格13[[#This Row],[電力係數]]</f>
        <v>4.7999999999999996E-3</v>
      </c>
      <c r="J153" s="71" t="str">
        <f>表格13[[#This Row],[電力係數來源]]</f>
        <v xml:space="preserve">IEA (2023) Life Cycle Upstream Emission Factors </v>
      </c>
      <c r="K153" s="71" t="str">
        <f>MID(表格13[[#This Row],[係數單位]],FIND("/",表格13[[#This Row],[係數單位]])+1,4)</f>
        <v>MWh</v>
      </c>
    </row>
    <row r="154" spans="1:11">
      <c r="A154" s="71" t="s">
        <v>936</v>
      </c>
      <c r="B154" s="71" t="s">
        <v>8</v>
      </c>
      <c r="C154" s="264" t="s">
        <v>996</v>
      </c>
      <c r="D154" s="264">
        <v>5.9999999999999995E-4</v>
      </c>
      <c r="E154" s="71" t="s">
        <v>884</v>
      </c>
      <c r="F154" s="71">
        <v>2022</v>
      </c>
      <c r="G154" s="264" t="s">
        <v>889</v>
      </c>
      <c r="H154" s="71" t="str">
        <f>表格13[[#This Row],[國家/市場]]&amp;表格13[[#This Row],[電網]]&amp;表格13[[#This Row],[電力係數年度]]</f>
        <v>NorwayT&amp;D2022</v>
      </c>
      <c r="I154" s="142">
        <f>表格13[[#This Row],[電力係數]]</f>
        <v>5.9999999999999995E-4</v>
      </c>
      <c r="J154" s="71" t="str">
        <f>表格13[[#This Row],[電力係數來源]]</f>
        <v xml:space="preserve">IEA (2023) Life Cycle Upstream Emission Factors </v>
      </c>
      <c r="K154" s="71" t="str">
        <f>MID(表格13[[#This Row],[係數單位]],FIND("/",表格13[[#This Row],[係數單位]])+1,4)</f>
        <v>MWh</v>
      </c>
    </row>
    <row r="155" spans="1:11">
      <c r="A155" s="71" t="s">
        <v>31</v>
      </c>
      <c r="B155" s="71" t="s">
        <v>47</v>
      </c>
      <c r="C155" s="264" t="s">
        <v>997</v>
      </c>
      <c r="D155" s="264">
        <v>4.5600000000000002E-2</v>
      </c>
      <c r="E155" s="71" t="s">
        <v>884</v>
      </c>
      <c r="F155" s="71">
        <v>2022</v>
      </c>
      <c r="G155" s="264" t="s">
        <v>889</v>
      </c>
      <c r="H155" s="71" t="str">
        <f>表格13[[#This Row],[國家/市場]]&amp;表格13[[#This Row],[電網]]&amp;表格13[[#This Row],[電力係數年度]]</f>
        <v>PeruUpstream2022</v>
      </c>
      <c r="I155" s="142">
        <f>表格13[[#This Row],[電力係數]]</f>
        <v>4.5600000000000002E-2</v>
      </c>
      <c r="J155" s="71" t="str">
        <f>表格13[[#This Row],[電力係數來源]]</f>
        <v xml:space="preserve">IEA (2023) Life Cycle Upstream Emission Factors </v>
      </c>
      <c r="K155" s="71" t="str">
        <f>MID(表格13[[#This Row],[係數單位]],FIND("/",表格13[[#This Row],[係數單位]])+1,4)</f>
        <v>MWh</v>
      </c>
    </row>
    <row r="156" spans="1:11">
      <c r="A156" s="71" t="s">
        <v>31</v>
      </c>
      <c r="B156" s="71" t="s">
        <v>47</v>
      </c>
      <c r="C156" s="264" t="s">
        <v>998</v>
      </c>
      <c r="D156" s="264">
        <v>2.7400000000000001E-2</v>
      </c>
      <c r="E156" s="71" t="s">
        <v>884</v>
      </c>
      <c r="F156" s="71">
        <v>2022</v>
      </c>
      <c r="G156" s="264" t="s">
        <v>889</v>
      </c>
      <c r="H156" s="71" t="str">
        <f>表格13[[#This Row],[國家/市場]]&amp;表格13[[#This Row],[電網]]&amp;表格13[[#This Row],[電力係數年度]]</f>
        <v>PeruT&amp;D2022</v>
      </c>
      <c r="I156" s="142">
        <f>表格13[[#This Row],[電力係數]]</f>
        <v>2.7400000000000001E-2</v>
      </c>
      <c r="J156" s="71" t="str">
        <f>表格13[[#This Row],[電力係數來源]]</f>
        <v xml:space="preserve">IEA (2023) Life Cycle Upstream Emission Factors </v>
      </c>
      <c r="K156" s="71" t="str">
        <f>MID(表格13[[#This Row],[係數單位]],FIND("/",表格13[[#This Row],[係數單位]])+1,4)</f>
        <v>MWh</v>
      </c>
    </row>
    <row r="157" spans="1:11">
      <c r="A157" s="71" t="s">
        <v>740</v>
      </c>
      <c r="B157" s="71" t="s">
        <v>54</v>
      </c>
      <c r="C157" s="264" t="s">
        <v>999</v>
      </c>
      <c r="D157" s="264">
        <v>0.12470000000000001</v>
      </c>
      <c r="E157" s="71" t="s">
        <v>884</v>
      </c>
      <c r="F157" s="71">
        <v>2022</v>
      </c>
      <c r="G157" s="264" t="s">
        <v>889</v>
      </c>
      <c r="H157" s="71" t="str">
        <f>表格13[[#This Row],[國家/市場]]&amp;表格13[[#This Row],[電網]]&amp;表格13[[#This Row],[電力係數年度]]</f>
        <v>PhilippinesUpstream2022</v>
      </c>
      <c r="I157" s="142">
        <f>表格13[[#This Row],[電力係數]]</f>
        <v>0.12470000000000001</v>
      </c>
      <c r="J157" s="71" t="str">
        <f>表格13[[#This Row],[電力係數來源]]</f>
        <v xml:space="preserve">IEA (2023) Life Cycle Upstream Emission Factors </v>
      </c>
      <c r="K157" s="71" t="str">
        <f>MID(表格13[[#This Row],[係數單位]],FIND("/",表格13[[#This Row],[係數單位]])+1,4)</f>
        <v>MWh</v>
      </c>
    </row>
    <row r="158" spans="1:11">
      <c r="A158" s="71" t="s">
        <v>740</v>
      </c>
      <c r="B158" s="71" t="s">
        <v>54</v>
      </c>
      <c r="C158" s="264" t="s">
        <v>1000</v>
      </c>
      <c r="D158" s="264">
        <v>8.5500000000000007E-2</v>
      </c>
      <c r="E158" s="71" t="s">
        <v>884</v>
      </c>
      <c r="F158" s="71">
        <v>2022</v>
      </c>
      <c r="G158" s="264" t="s">
        <v>889</v>
      </c>
      <c r="H158" s="71" t="str">
        <f>表格13[[#This Row],[國家/市場]]&amp;表格13[[#This Row],[電網]]&amp;表格13[[#This Row],[電力係數年度]]</f>
        <v>PhilippinesT&amp;D2022</v>
      </c>
      <c r="I158" s="142">
        <f>表格13[[#This Row],[電力係數]]</f>
        <v>8.5500000000000007E-2</v>
      </c>
      <c r="J158" s="71" t="str">
        <f>表格13[[#This Row],[電力係數來源]]</f>
        <v xml:space="preserve">IEA (2023) Life Cycle Upstream Emission Factors </v>
      </c>
      <c r="K158" s="71" t="str">
        <f>MID(表格13[[#This Row],[係數單位]],FIND("/",表格13[[#This Row],[係數單位]])+1,4)</f>
        <v>MWh</v>
      </c>
    </row>
    <row r="159" spans="1:11">
      <c r="A159" s="71" t="s">
        <v>936</v>
      </c>
      <c r="B159" s="71" t="s">
        <v>9</v>
      </c>
      <c r="C159" s="264" t="s">
        <v>1001</v>
      </c>
      <c r="D159" s="264">
        <v>0.13500000000000001</v>
      </c>
      <c r="E159" s="71" t="s">
        <v>884</v>
      </c>
      <c r="F159" s="71">
        <v>2022</v>
      </c>
      <c r="G159" s="264" t="s">
        <v>889</v>
      </c>
      <c r="H159" s="71" t="str">
        <f>表格13[[#This Row],[國家/市場]]&amp;表格13[[#This Row],[電網]]&amp;表格13[[#This Row],[電力係數年度]]</f>
        <v>PolandUpstream2022</v>
      </c>
      <c r="I159" s="142">
        <f>表格13[[#This Row],[電力係數]]</f>
        <v>0.13500000000000001</v>
      </c>
      <c r="J159" s="71" t="str">
        <f>表格13[[#This Row],[電力係數來源]]</f>
        <v xml:space="preserve">IEA (2023) Life Cycle Upstream Emission Factors </v>
      </c>
      <c r="K159" s="71" t="str">
        <f>MID(表格13[[#This Row],[係數單位]],FIND("/",表格13[[#This Row],[係數單位]])+1,4)</f>
        <v>MWh</v>
      </c>
    </row>
    <row r="160" spans="1:11">
      <c r="A160" s="71" t="s">
        <v>936</v>
      </c>
      <c r="B160" s="71" t="s">
        <v>9</v>
      </c>
      <c r="C160" s="264" t="s">
        <v>1002</v>
      </c>
      <c r="D160" s="264">
        <v>4.0099999999999997E-2</v>
      </c>
      <c r="E160" s="71" t="s">
        <v>884</v>
      </c>
      <c r="F160" s="71">
        <v>2022</v>
      </c>
      <c r="G160" s="264" t="s">
        <v>889</v>
      </c>
      <c r="H160" s="71" t="str">
        <f>表格13[[#This Row],[國家/市場]]&amp;表格13[[#This Row],[電網]]&amp;表格13[[#This Row],[電力係數年度]]</f>
        <v>PolandT&amp;D2022</v>
      </c>
      <c r="I160" s="142">
        <f>表格13[[#This Row],[電力係數]]</f>
        <v>4.0099999999999997E-2</v>
      </c>
      <c r="J160" s="71" t="str">
        <f>表格13[[#This Row],[電力係數來源]]</f>
        <v xml:space="preserve">IEA (2023) Life Cycle Upstream Emission Factors </v>
      </c>
      <c r="K160" s="71" t="str">
        <f>MID(表格13[[#This Row],[係數單位]],FIND("/",表格13[[#This Row],[係數單位]])+1,4)</f>
        <v>MWh</v>
      </c>
    </row>
    <row r="161" spans="1:11">
      <c r="A161" s="71" t="s">
        <v>936</v>
      </c>
      <c r="B161" s="71" t="s">
        <v>50</v>
      </c>
      <c r="C161" s="264" t="s">
        <v>1003</v>
      </c>
      <c r="D161" s="264">
        <v>4.9399999999999999E-2</v>
      </c>
      <c r="E161" s="71" t="s">
        <v>884</v>
      </c>
      <c r="F161" s="71">
        <v>2022</v>
      </c>
      <c r="G161" s="264" t="s">
        <v>889</v>
      </c>
      <c r="H161" s="71" t="str">
        <f>表格13[[#This Row],[國家/市場]]&amp;表格13[[#This Row],[電網]]&amp;表格13[[#This Row],[電力係數年度]]</f>
        <v>RomaniaUpstream2022</v>
      </c>
      <c r="I161" s="142">
        <f>表格13[[#This Row],[電力係數]]</f>
        <v>4.9399999999999999E-2</v>
      </c>
      <c r="J161" s="71" t="str">
        <f>表格13[[#This Row],[電力係數來源]]</f>
        <v xml:space="preserve">IEA (2023) Life Cycle Upstream Emission Factors </v>
      </c>
      <c r="K161" s="71" t="str">
        <f>MID(表格13[[#This Row],[係數單位]],FIND("/",表格13[[#This Row],[係數單位]])+1,4)</f>
        <v>MWh</v>
      </c>
    </row>
    <row r="162" spans="1:11">
      <c r="A162" s="71" t="s">
        <v>936</v>
      </c>
      <c r="B162" s="71" t="s">
        <v>50</v>
      </c>
      <c r="C162" s="264" t="s">
        <v>1004</v>
      </c>
      <c r="D162" s="264">
        <v>3.1699999999999999E-2</v>
      </c>
      <c r="E162" s="71" t="s">
        <v>884</v>
      </c>
      <c r="F162" s="71">
        <v>2022</v>
      </c>
      <c r="G162" s="264" t="s">
        <v>889</v>
      </c>
      <c r="H162" s="71" t="str">
        <f>表格13[[#This Row],[國家/市場]]&amp;表格13[[#This Row],[電網]]&amp;表格13[[#This Row],[電力係數年度]]</f>
        <v>RomaniaT&amp;D2022</v>
      </c>
      <c r="I162" s="142">
        <f>表格13[[#This Row],[電力係數]]</f>
        <v>3.1699999999999999E-2</v>
      </c>
      <c r="J162" s="71" t="str">
        <f>表格13[[#This Row],[電力係數來源]]</f>
        <v xml:space="preserve">IEA (2023) Life Cycle Upstream Emission Factors </v>
      </c>
      <c r="K162" s="71" t="str">
        <f>MID(表格13[[#This Row],[係數單位]],FIND("/",表格13[[#This Row],[係數單位]])+1,4)</f>
        <v>MWh</v>
      </c>
    </row>
    <row r="163" spans="1:11">
      <c r="A163" s="71" t="s">
        <v>740</v>
      </c>
      <c r="B163" s="71" t="s">
        <v>42</v>
      </c>
      <c r="C163" s="264" t="s">
        <v>1005</v>
      </c>
      <c r="D163" s="264">
        <v>8.5500000000000007E-2</v>
      </c>
      <c r="E163" s="71" t="s">
        <v>884</v>
      </c>
      <c r="F163" s="71">
        <v>2022</v>
      </c>
      <c r="G163" s="264" t="s">
        <v>889</v>
      </c>
      <c r="H163" s="71" t="str">
        <f>表格13[[#This Row],[國家/市場]]&amp;表格13[[#This Row],[電網]]&amp;表格13[[#This Row],[電力係數年度]]</f>
        <v>SingaporeUpstream2022</v>
      </c>
      <c r="I163" s="142">
        <f>表格13[[#This Row],[電力係數]]</f>
        <v>8.5500000000000007E-2</v>
      </c>
      <c r="J163" s="71" t="str">
        <f>表格13[[#This Row],[電力係數來源]]</f>
        <v xml:space="preserve">IEA (2023) Life Cycle Upstream Emission Factors </v>
      </c>
      <c r="K163" s="71" t="str">
        <f>MID(表格13[[#This Row],[係數單位]],FIND("/",表格13[[#This Row],[係數單位]])+1,4)</f>
        <v>MWh</v>
      </c>
    </row>
    <row r="164" spans="1:11">
      <c r="A164" s="71" t="s">
        <v>740</v>
      </c>
      <c r="B164" s="71" t="s">
        <v>42</v>
      </c>
      <c r="C164" s="264" t="s">
        <v>1006</v>
      </c>
      <c r="D164" s="264">
        <v>5.4999999999999997E-3</v>
      </c>
      <c r="E164" s="71" t="s">
        <v>884</v>
      </c>
      <c r="F164" s="71">
        <v>2022</v>
      </c>
      <c r="G164" s="264" t="s">
        <v>889</v>
      </c>
      <c r="H164" s="71" t="str">
        <f>表格13[[#This Row],[國家/市場]]&amp;表格13[[#This Row],[電網]]&amp;表格13[[#This Row],[電力係數年度]]</f>
        <v>SingaporeT&amp;D2022</v>
      </c>
      <c r="I164" s="142">
        <f>表格13[[#This Row],[電力係數]]</f>
        <v>5.4999999999999997E-3</v>
      </c>
      <c r="J164" s="71" t="str">
        <f>表格13[[#This Row],[電力係數來源]]</f>
        <v xml:space="preserve">IEA (2023) Life Cycle Upstream Emission Factors </v>
      </c>
      <c r="K164" s="71" t="str">
        <f>MID(表格13[[#This Row],[係數單位]],FIND("/",表格13[[#This Row],[係數單位]])+1,4)</f>
        <v>MWh</v>
      </c>
    </row>
    <row r="165" spans="1:11">
      <c r="A165" s="71" t="s">
        <v>936</v>
      </c>
      <c r="B165" s="71" t="s">
        <v>14</v>
      </c>
      <c r="C165" s="264" t="s">
        <v>1007</v>
      </c>
      <c r="D165" s="264">
        <v>3.5099999999999999E-2</v>
      </c>
      <c r="E165" s="71" t="s">
        <v>884</v>
      </c>
      <c r="F165" s="71">
        <v>2022</v>
      </c>
      <c r="G165" s="264" t="s">
        <v>889</v>
      </c>
      <c r="H165" s="71" t="str">
        <f>表格13[[#This Row],[國家/市場]]&amp;表格13[[#This Row],[電網]]&amp;表格13[[#This Row],[電力係數年度]]</f>
        <v>SlovakiaUpstream2022</v>
      </c>
      <c r="I165" s="142">
        <f>表格13[[#This Row],[電力係數]]</f>
        <v>3.5099999999999999E-2</v>
      </c>
      <c r="J165" s="71" t="str">
        <f>表格13[[#This Row],[電力係數來源]]</f>
        <v xml:space="preserve">IEA (2023) Life Cycle Upstream Emission Factors </v>
      </c>
      <c r="K165" s="71" t="str">
        <f>MID(表格13[[#This Row],[係數單位]],FIND("/",表格13[[#This Row],[係數單位]])+1,4)</f>
        <v>MWh</v>
      </c>
    </row>
    <row r="166" spans="1:11">
      <c r="A166" s="71" t="s">
        <v>936</v>
      </c>
      <c r="B166" s="71" t="s">
        <v>14</v>
      </c>
      <c r="C166" s="264" t="s">
        <v>1008</v>
      </c>
      <c r="D166" s="264">
        <v>5.5999999999999999E-3</v>
      </c>
      <c r="E166" s="71" t="s">
        <v>884</v>
      </c>
      <c r="F166" s="71">
        <v>2022</v>
      </c>
      <c r="G166" s="264" t="s">
        <v>889</v>
      </c>
      <c r="H166" s="71" t="str">
        <f>表格13[[#This Row],[國家/市場]]&amp;表格13[[#This Row],[電網]]&amp;表格13[[#This Row],[電力係數年度]]</f>
        <v>SlovakiaT&amp;D2022</v>
      </c>
      <c r="I166" s="142">
        <f>表格13[[#This Row],[電力係數]]</f>
        <v>5.5999999999999999E-3</v>
      </c>
      <c r="J166" s="71" t="str">
        <f>表格13[[#This Row],[電力係數來源]]</f>
        <v xml:space="preserve">IEA (2023) Life Cycle Upstream Emission Factors </v>
      </c>
      <c r="K166" s="71" t="str">
        <f>MID(表格13[[#This Row],[係數單位]],FIND("/",表格13[[#This Row],[係數單位]])+1,4)</f>
        <v>MWh</v>
      </c>
    </row>
    <row r="167" spans="1:11">
      <c r="A167" s="71" t="s">
        <v>740</v>
      </c>
      <c r="B167" s="71" t="s">
        <v>79</v>
      </c>
      <c r="C167" s="264" t="s">
        <v>1009</v>
      </c>
      <c r="D167" s="264">
        <v>7.8899999999999998E-2</v>
      </c>
      <c r="E167" s="71" t="s">
        <v>884</v>
      </c>
      <c r="F167" s="71">
        <v>2022</v>
      </c>
      <c r="G167" s="264" t="s">
        <v>889</v>
      </c>
      <c r="H167" s="71" t="str">
        <f>表格13[[#This Row],[國家/市場]]&amp;表格13[[#This Row],[電網]]&amp;表格13[[#This Row],[電力係數年度]]</f>
        <v>South KoreaUpstream2022</v>
      </c>
      <c r="I167" s="142">
        <f>表格13[[#This Row],[電力係數]]</f>
        <v>7.8899999999999998E-2</v>
      </c>
      <c r="J167" s="71" t="str">
        <f>表格13[[#This Row],[電力係數來源]]</f>
        <v xml:space="preserve">IEA (2023) Life Cycle Upstream Emission Factors </v>
      </c>
      <c r="K167" s="71" t="str">
        <f>MID(表格13[[#This Row],[係數單位]],FIND("/",表格13[[#This Row],[係數單位]])+1,4)</f>
        <v>MWh</v>
      </c>
    </row>
    <row r="168" spans="1:11">
      <c r="A168" s="71" t="s">
        <v>740</v>
      </c>
      <c r="B168" s="71" t="s">
        <v>79</v>
      </c>
      <c r="C168" s="264" t="s">
        <v>1010</v>
      </c>
      <c r="D168" s="264">
        <v>1.8100000000000002E-2</v>
      </c>
      <c r="E168" s="71" t="s">
        <v>884</v>
      </c>
      <c r="F168" s="71">
        <v>2022</v>
      </c>
      <c r="G168" s="264" t="s">
        <v>889</v>
      </c>
      <c r="H168" s="71" t="str">
        <f>表格13[[#This Row],[國家/市場]]&amp;表格13[[#This Row],[電網]]&amp;表格13[[#This Row],[電力係數年度]]</f>
        <v>South KoreaT&amp;D2022</v>
      </c>
      <c r="I168" s="142">
        <f>表格13[[#This Row],[電力係數]]</f>
        <v>1.8100000000000002E-2</v>
      </c>
      <c r="J168" s="71" t="str">
        <f>表格13[[#This Row],[電力係數來源]]</f>
        <v xml:space="preserve">IEA (2023) Life Cycle Upstream Emission Factors </v>
      </c>
      <c r="K168" s="71" t="str">
        <f>MID(表格13[[#This Row],[係數單位]],FIND("/",表格13[[#This Row],[係數單位]])+1,4)</f>
        <v>MWh</v>
      </c>
    </row>
    <row r="169" spans="1:11">
      <c r="A169" s="71" t="s">
        <v>936</v>
      </c>
      <c r="B169" s="71" t="s">
        <v>5</v>
      </c>
      <c r="C169" s="264" t="s">
        <v>1011</v>
      </c>
      <c r="D169" s="264">
        <v>3.6799999999999999E-2</v>
      </c>
      <c r="E169" s="71" t="s">
        <v>884</v>
      </c>
      <c r="F169" s="71">
        <v>2022</v>
      </c>
      <c r="G169" s="264" t="s">
        <v>889</v>
      </c>
      <c r="H169" s="71" t="str">
        <f>表格13[[#This Row],[國家/市場]]&amp;表格13[[#This Row],[電網]]&amp;表格13[[#This Row],[電力係數年度]]</f>
        <v>SpainUpstream2022</v>
      </c>
      <c r="I169" s="142">
        <f>表格13[[#This Row],[電力係數]]</f>
        <v>3.6799999999999999E-2</v>
      </c>
      <c r="J169" s="71" t="str">
        <f>表格13[[#This Row],[電力係數來源]]</f>
        <v xml:space="preserve">IEA (2023) Life Cycle Upstream Emission Factors </v>
      </c>
      <c r="K169" s="71" t="str">
        <f>MID(表格13[[#This Row],[係數單位]],FIND("/",表格13[[#This Row],[係數單位]])+1,4)</f>
        <v>MWh</v>
      </c>
    </row>
    <row r="170" spans="1:11">
      <c r="A170" s="71" t="s">
        <v>936</v>
      </c>
      <c r="B170" s="71" t="s">
        <v>5</v>
      </c>
      <c r="C170" s="264" t="s">
        <v>1012</v>
      </c>
      <c r="D170" s="264">
        <v>1.7899999999999999E-2</v>
      </c>
      <c r="E170" s="71" t="s">
        <v>884</v>
      </c>
      <c r="F170" s="71">
        <v>2022</v>
      </c>
      <c r="G170" s="264" t="s">
        <v>889</v>
      </c>
      <c r="H170" s="71" t="str">
        <f>表格13[[#This Row],[國家/市場]]&amp;表格13[[#This Row],[電網]]&amp;表格13[[#This Row],[電力係數年度]]</f>
        <v>SpainT&amp;D2022</v>
      </c>
      <c r="I170" s="142">
        <f>表格13[[#This Row],[電力係數]]</f>
        <v>1.7899999999999999E-2</v>
      </c>
      <c r="J170" s="71" t="str">
        <f>表格13[[#This Row],[電力係數來源]]</f>
        <v xml:space="preserve">IEA (2023) Life Cycle Upstream Emission Factors </v>
      </c>
      <c r="K170" s="71" t="str">
        <f>MID(表格13[[#This Row],[係數單位]],FIND("/",表格13[[#This Row],[係數單位]])+1,4)</f>
        <v>MWh</v>
      </c>
    </row>
    <row r="171" spans="1:11">
      <c r="A171" s="71" t="s">
        <v>936</v>
      </c>
      <c r="B171" s="71" t="s">
        <v>12</v>
      </c>
      <c r="C171" s="264" t="s">
        <v>1013</v>
      </c>
      <c r="D171" s="264">
        <v>1.2500000000000001E-2</v>
      </c>
      <c r="E171" s="71" t="s">
        <v>884</v>
      </c>
      <c r="F171" s="71">
        <v>2022</v>
      </c>
      <c r="G171" s="264" t="s">
        <v>889</v>
      </c>
      <c r="H171" s="71" t="str">
        <f>表格13[[#This Row],[國家/市場]]&amp;表格13[[#This Row],[電網]]&amp;表格13[[#This Row],[電力係數年度]]</f>
        <v>SwedenUpstream2022</v>
      </c>
      <c r="I171" s="142">
        <f>表格13[[#This Row],[電力係數]]</f>
        <v>1.2500000000000001E-2</v>
      </c>
      <c r="J171" s="71" t="str">
        <f>表格13[[#This Row],[電力係數來源]]</f>
        <v xml:space="preserve">IEA (2023) Life Cycle Upstream Emission Factors </v>
      </c>
      <c r="K171" s="71" t="str">
        <f>MID(表格13[[#This Row],[係數單位]],FIND("/",表格13[[#This Row],[係數單位]])+1,4)</f>
        <v>MWh</v>
      </c>
    </row>
    <row r="172" spans="1:11">
      <c r="A172" s="71" t="s">
        <v>936</v>
      </c>
      <c r="B172" s="71" t="s">
        <v>12</v>
      </c>
      <c r="C172" s="264" t="s">
        <v>1014</v>
      </c>
      <c r="D172" s="264">
        <v>1.4E-3</v>
      </c>
      <c r="E172" s="71" t="s">
        <v>884</v>
      </c>
      <c r="F172" s="71">
        <v>2022</v>
      </c>
      <c r="G172" s="264" t="s">
        <v>889</v>
      </c>
      <c r="H172" s="71" t="str">
        <f>表格13[[#This Row],[國家/市場]]&amp;表格13[[#This Row],[電網]]&amp;表格13[[#This Row],[電力係數年度]]</f>
        <v>SwedenT&amp;D2022</v>
      </c>
      <c r="I172" s="142">
        <f>表格13[[#This Row],[電力係數]]</f>
        <v>1.4E-3</v>
      </c>
      <c r="J172" s="71" t="str">
        <f>表格13[[#This Row],[電力係數來源]]</f>
        <v xml:space="preserve">IEA (2023) Life Cycle Upstream Emission Factors </v>
      </c>
      <c r="K172" s="71" t="str">
        <f>MID(表格13[[#This Row],[係數單位]],FIND("/",表格13[[#This Row],[係數單位]])+1,4)</f>
        <v>MWh</v>
      </c>
    </row>
    <row r="173" spans="1:11">
      <c r="A173" s="71" t="s">
        <v>936</v>
      </c>
      <c r="B173" s="71" t="s">
        <v>20</v>
      </c>
      <c r="C173" s="264" t="s">
        <v>1015</v>
      </c>
      <c r="D173" s="264">
        <v>9.7999999999999997E-3</v>
      </c>
      <c r="E173" s="71" t="s">
        <v>884</v>
      </c>
      <c r="F173" s="71">
        <v>2022</v>
      </c>
      <c r="G173" s="264" t="s">
        <v>889</v>
      </c>
      <c r="H173" s="71" t="str">
        <f>表格13[[#This Row],[國家/市場]]&amp;表格13[[#This Row],[電網]]&amp;表格13[[#This Row],[電力係數年度]]</f>
        <v>SwitzerlandUpstream2022</v>
      </c>
      <c r="I173" s="142">
        <f>表格13[[#This Row],[電力係數]]</f>
        <v>9.7999999999999997E-3</v>
      </c>
      <c r="J173" s="71" t="str">
        <f>表格13[[#This Row],[電力係數來源]]</f>
        <v xml:space="preserve">IEA (2023) Life Cycle Upstream Emission Factors </v>
      </c>
      <c r="K173" s="71" t="str">
        <f>MID(表格13[[#This Row],[係數單位]],FIND("/",表格13[[#This Row],[係數單位]])+1,4)</f>
        <v>MWh</v>
      </c>
    </row>
    <row r="174" spans="1:11">
      <c r="A174" s="71" t="s">
        <v>936</v>
      </c>
      <c r="B174" s="71" t="s">
        <v>20</v>
      </c>
      <c r="C174" s="264" t="s">
        <v>1016</v>
      </c>
      <c r="D174" s="264">
        <v>1.8E-3</v>
      </c>
      <c r="E174" s="71" t="s">
        <v>884</v>
      </c>
      <c r="F174" s="71">
        <v>2022</v>
      </c>
      <c r="G174" s="264" t="s">
        <v>889</v>
      </c>
      <c r="H174" s="71" t="str">
        <f>表格13[[#This Row],[國家/市場]]&amp;表格13[[#This Row],[電網]]&amp;表格13[[#This Row],[電力係數年度]]</f>
        <v>SwitzerlandT&amp;D2022</v>
      </c>
      <c r="I174" s="142">
        <f>表格13[[#This Row],[電力係數]]</f>
        <v>1.8E-3</v>
      </c>
      <c r="J174" s="71" t="str">
        <f>表格13[[#This Row],[電力係數來源]]</f>
        <v xml:space="preserve">IEA (2023) Life Cycle Upstream Emission Factors </v>
      </c>
      <c r="K174" s="71" t="str">
        <f>MID(表格13[[#This Row],[係數單位]],FIND("/",表格13[[#This Row],[係數單位]])+1,4)</f>
        <v>MWh</v>
      </c>
    </row>
    <row r="175" spans="1:11">
      <c r="A175" s="71" t="s">
        <v>740</v>
      </c>
      <c r="B175" s="71" t="s">
        <v>30</v>
      </c>
      <c r="C175" s="264" t="s">
        <v>1017</v>
      </c>
      <c r="D175" s="264">
        <v>0.10630000000000001</v>
      </c>
      <c r="E175" s="71" t="s">
        <v>884</v>
      </c>
      <c r="F175" s="71">
        <v>2022</v>
      </c>
      <c r="G175" s="264" t="s">
        <v>889</v>
      </c>
      <c r="H175" s="71" t="str">
        <f>表格13[[#This Row],[國家/市場]]&amp;表格13[[#This Row],[電網]]&amp;表格13[[#This Row],[電力係數年度]]</f>
        <v>ThailandUpstream2022</v>
      </c>
      <c r="I175" s="142">
        <f>表格13[[#This Row],[電力係數]]</f>
        <v>0.10630000000000001</v>
      </c>
      <c r="J175" s="71" t="str">
        <f>表格13[[#This Row],[電力係數來源]]</f>
        <v xml:space="preserve">IEA (2023) Life Cycle Upstream Emission Factors </v>
      </c>
      <c r="K175" s="71" t="str">
        <f>MID(表格13[[#This Row],[係數單位]],FIND("/",表格13[[#This Row],[係數單位]])+1,4)</f>
        <v>MWh</v>
      </c>
    </row>
    <row r="176" spans="1:11">
      <c r="A176" s="71" t="s">
        <v>740</v>
      </c>
      <c r="B176" s="71" t="s">
        <v>30</v>
      </c>
      <c r="C176" s="264" t="s">
        <v>1018</v>
      </c>
      <c r="D176" s="264">
        <v>3.9199999999999999E-2</v>
      </c>
      <c r="E176" s="71" t="s">
        <v>884</v>
      </c>
      <c r="F176" s="71">
        <v>2022</v>
      </c>
      <c r="G176" s="264" t="s">
        <v>889</v>
      </c>
      <c r="H176" s="71" t="str">
        <f>表格13[[#This Row],[國家/市場]]&amp;表格13[[#This Row],[電網]]&amp;表格13[[#This Row],[電力係數年度]]</f>
        <v>ThailandT&amp;D2022</v>
      </c>
      <c r="I176" s="142">
        <f>表格13[[#This Row],[電力係數]]</f>
        <v>3.9199999999999999E-2</v>
      </c>
      <c r="J176" s="71" t="str">
        <f>表格13[[#This Row],[電力係數來源]]</f>
        <v xml:space="preserve">IEA (2023) Life Cycle Upstream Emission Factors </v>
      </c>
      <c r="K176" s="71" t="str">
        <f>MID(表格13[[#This Row],[係數單位]],FIND("/",表格13[[#This Row],[係數單位]])+1,4)</f>
        <v>MWh</v>
      </c>
    </row>
    <row r="177" spans="1:11">
      <c r="A177" s="71" t="s">
        <v>921</v>
      </c>
      <c r="B177" s="71" t="s">
        <v>3</v>
      </c>
      <c r="C177" s="264" t="s">
        <v>1019</v>
      </c>
      <c r="D177" s="264">
        <v>7.0400000000000004E-2</v>
      </c>
      <c r="E177" s="71" t="s">
        <v>884</v>
      </c>
      <c r="F177" s="71">
        <v>2022</v>
      </c>
      <c r="G177" s="264" t="s">
        <v>889</v>
      </c>
      <c r="H177" s="71" t="str">
        <f>表格13[[#This Row],[國家/市場]]&amp;表格13[[#This Row],[電網]]&amp;表格13[[#This Row],[電力係數年度]]</f>
        <v>TurkeyUpstream2022</v>
      </c>
      <c r="I177" s="142">
        <f>表格13[[#This Row],[電力係數]]</f>
        <v>7.0400000000000004E-2</v>
      </c>
      <c r="J177" s="71" t="str">
        <f>表格13[[#This Row],[電力係數來源]]</f>
        <v xml:space="preserve">IEA (2023) Life Cycle Upstream Emission Factors </v>
      </c>
      <c r="K177" s="71" t="str">
        <f>MID(表格13[[#This Row],[係數單位]],FIND("/",表格13[[#This Row],[係數單位]])+1,4)</f>
        <v>MWh</v>
      </c>
    </row>
    <row r="178" spans="1:11">
      <c r="A178" s="71" t="s">
        <v>921</v>
      </c>
      <c r="B178" s="71" t="s">
        <v>3</v>
      </c>
      <c r="C178" s="264" t="s">
        <v>1020</v>
      </c>
      <c r="D178" s="264">
        <v>4.7500000000000001E-2</v>
      </c>
      <c r="E178" s="71" t="s">
        <v>884</v>
      </c>
      <c r="F178" s="71">
        <v>2022</v>
      </c>
      <c r="G178" s="264" t="s">
        <v>889</v>
      </c>
      <c r="H178" s="71" t="str">
        <f>表格13[[#This Row],[國家/市場]]&amp;表格13[[#This Row],[電網]]&amp;表格13[[#This Row],[電力係數年度]]</f>
        <v>TurkeyT&amp;D2022</v>
      </c>
      <c r="I178" s="142">
        <f>表格13[[#This Row],[電力係數]]</f>
        <v>4.7500000000000001E-2</v>
      </c>
      <c r="J178" s="71" t="str">
        <f>表格13[[#This Row],[電力係數來源]]</f>
        <v xml:space="preserve">IEA (2023) Life Cycle Upstream Emission Factors </v>
      </c>
      <c r="K178" s="71" t="str">
        <f>MID(表格13[[#This Row],[係數單位]],FIND("/",表格13[[#This Row],[係數單位]])+1,4)</f>
        <v>MWh</v>
      </c>
    </row>
    <row r="179" spans="1:11">
      <c r="A179" s="71" t="s">
        <v>921</v>
      </c>
      <c r="B179" s="71" t="s">
        <v>6</v>
      </c>
      <c r="C179" s="264" t="s">
        <v>1021</v>
      </c>
      <c r="D179" s="264">
        <v>7.2999999999999995E-2</v>
      </c>
      <c r="E179" s="71" t="s">
        <v>884</v>
      </c>
      <c r="F179" s="71">
        <v>2022</v>
      </c>
      <c r="G179" s="264" t="s">
        <v>889</v>
      </c>
      <c r="H179" s="71" t="str">
        <f>表格13[[#This Row],[國家/市場]]&amp;表格13[[#This Row],[電網]]&amp;表格13[[#This Row],[電力係數年度]]</f>
        <v>United Arab EmiratesUpstream2022</v>
      </c>
      <c r="I179" s="142">
        <f>表格13[[#This Row],[電力係數]]</f>
        <v>7.2999999999999995E-2</v>
      </c>
      <c r="J179" s="71" t="str">
        <f>表格13[[#This Row],[電力係數來源]]</f>
        <v xml:space="preserve">IEA (2023) Life Cycle Upstream Emission Factors </v>
      </c>
      <c r="K179" s="71" t="str">
        <f>MID(表格13[[#This Row],[係數單位]],FIND("/",表格13[[#This Row],[係數單位]])+1,4)</f>
        <v>MWh</v>
      </c>
    </row>
    <row r="180" spans="1:11">
      <c r="A180" s="71" t="s">
        <v>921</v>
      </c>
      <c r="B180" s="71" t="s">
        <v>6</v>
      </c>
      <c r="C180" s="264" t="s">
        <v>1022</v>
      </c>
      <c r="D180" s="264">
        <v>2.7900000000000001E-2</v>
      </c>
      <c r="E180" s="71" t="s">
        <v>884</v>
      </c>
      <c r="F180" s="71">
        <v>2022</v>
      </c>
      <c r="G180" s="264" t="s">
        <v>889</v>
      </c>
      <c r="H180" s="71" t="str">
        <f>表格13[[#This Row],[國家/市場]]&amp;表格13[[#This Row],[電網]]&amp;表格13[[#This Row],[電力係數年度]]</f>
        <v>United Arab EmiratesT&amp;D2022</v>
      </c>
      <c r="I180" s="142">
        <f>表格13[[#This Row],[電力係數]]</f>
        <v>2.7900000000000001E-2</v>
      </c>
      <c r="J180" s="71" t="str">
        <f>表格13[[#This Row],[電力係數來源]]</f>
        <v xml:space="preserve">IEA (2023) Life Cycle Upstream Emission Factors </v>
      </c>
      <c r="K180" s="71" t="str">
        <f>MID(表格13[[#This Row],[係數單位]],FIND("/",表格13[[#This Row],[係數單位]])+1,4)</f>
        <v>MWh</v>
      </c>
    </row>
    <row r="181" spans="1:11">
      <c r="A181" s="71" t="s">
        <v>31</v>
      </c>
      <c r="B181" s="71" t="s">
        <v>43</v>
      </c>
      <c r="C181" s="264" t="s">
        <v>1023</v>
      </c>
      <c r="D181" s="264">
        <v>8.6599999999999996E-2</v>
      </c>
      <c r="E181" s="71" t="s">
        <v>884</v>
      </c>
      <c r="F181" s="71">
        <v>2022</v>
      </c>
      <c r="G181" s="264" t="s">
        <v>889</v>
      </c>
      <c r="H181" s="71" t="str">
        <f>表格13[[#This Row],[國家/市場]]&amp;表格13[[#This Row],[電網]]&amp;表格13[[#This Row],[電力係數年度]]</f>
        <v>United States of AmericaUpstream2022</v>
      </c>
      <c r="I181" s="142">
        <f>表格13[[#This Row],[電力係數]]</f>
        <v>8.6599999999999996E-2</v>
      </c>
      <c r="J181" s="71" t="str">
        <f>表格13[[#This Row],[電力係數來源]]</f>
        <v xml:space="preserve">IEA (2023) Life Cycle Upstream Emission Factors </v>
      </c>
      <c r="K181" s="71" t="str">
        <f>MID(表格13[[#This Row],[係數單位]],FIND("/",表格13[[#This Row],[係數單位]])+1,4)</f>
        <v>MWh</v>
      </c>
    </row>
    <row r="182" spans="1:11">
      <c r="A182" s="71" t="s">
        <v>31</v>
      </c>
      <c r="B182" s="71" t="s">
        <v>43</v>
      </c>
      <c r="C182" s="264" t="s">
        <v>1024</v>
      </c>
      <c r="D182" s="264">
        <v>2.0500000000000001E-2</v>
      </c>
      <c r="E182" s="71" t="s">
        <v>884</v>
      </c>
      <c r="F182" s="71">
        <v>2022</v>
      </c>
      <c r="G182" s="264" t="s">
        <v>889</v>
      </c>
      <c r="H182" s="71" t="str">
        <f>表格13[[#This Row],[國家/市場]]&amp;表格13[[#This Row],[電網]]&amp;表格13[[#This Row],[電力係數年度]]</f>
        <v>United States of AmericaT&amp;D2022</v>
      </c>
      <c r="I182" s="142">
        <f>表格13[[#This Row],[電力係數]]</f>
        <v>2.0500000000000001E-2</v>
      </c>
      <c r="J182" s="71" t="str">
        <f>表格13[[#This Row],[電力係數來源]]</f>
        <v xml:space="preserve">IEA (2023) Life Cycle Upstream Emission Factors </v>
      </c>
      <c r="K182" s="71" t="str">
        <f>MID(表格13[[#This Row],[係數單位]],FIND("/",表格13[[#This Row],[係數單位]])+1,4)</f>
        <v>MWh</v>
      </c>
    </row>
    <row r="183" spans="1:11">
      <c r="A183" s="71" t="s">
        <v>740</v>
      </c>
      <c r="B183" s="71" t="s">
        <v>41</v>
      </c>
      <c r="C183" s="264" t="s">
        <v>1025</v>
      </c>
      <c r="D183" s="264">
        <v>8.9399999999999993E-2</v>
      </c>
      <c r="E183" s="71" t="s">
        <v>884</v>
      </c>
      <c r="F183" s="71">
        <v>2022</v>
      </c>
      <c r="G183" s="264" t="s">
        <v>889</v>
      </c>
      <c r="H183" s="71" t="str">
        <f>表格13[[#This Row],[國家/市場]]&amp;表格13[[#This Row],[電網]]&amp;表格13[[#This Row],[電力係數年度]]</f>
        <v>VietnamUpstream2022</v>
      </c>
      <c r="I183" s="142">
        <f>表格13[[#This Row],[電力係數]]</f>
        <v>8.9399999999999993E-2</v>
      </c>
      <c r="J183" s="71" t="str">
        <f>表格13[[#This Row],[電力係數來源]]</f>
        <v xml:space="preserve">IEA (2023) Life Cycle Upstream Emission Factors </v>
      </c>
      <c r="K183" s="71" t="str">
        <f>MID(表格13[[#This Row],[係數單位]],FIND("/",表格13[[#This Row],[係數單位]])+1,4)</f>
        <v>MWh</v>
      </c>
    </row>
    <row r="184" spans="1:11">
      <c r="A184" s="71" t="s">
        <v>740</v>
      </c>
      <c r="B184" s="71" t="s">
        <v>41</v>
      </c>
      <c r="C184" s="264" t="s">
        <v>1026</v>
      </c>
      <c r="D184" s="264">
        <v>4.4900000000000002E-2</v>
      </c>
      <c r="E184" s="71" t="s">
        <v>884</v>
      </c>
      <c r="F184" s="71">
        <v>2022</v>
      </c>
      <c r="G184" s="264" t="s">
        <v>889</v>
      </c>
      <c r="H184" s="71" t="str">
        <f>表格13[[#This Row],[國家/市場]]&amp;表格13[[#This Row],[電網]]&amp;表格13[[#This Row],[電力係數年度]]</f>
        <v>VietnamT&amp;D2022</v>
      </c>
      <c r="I184" s="142">
        <f>表格13[[#This Row],[電力係數]]</f>
        <v>4.4900000000000002E-2</v>
      </c>
      <c r="J184" s="71" t="str">
        <f>表格13[[#This Row],[電力係數來源]]</f>
        <v xml:space="preserve">IEA (2023) Life Cycle Upstream Emission Factors </v>
      </c>
      <c r="K184" s="71" t="str">
        <f>MID(表格13[[#This Row],[係數單位]],FIND("/",表格13[[#This Row],[係數單位]])+1,4)</f>
        <v>MWh</v>
      </c>
    </row>
    <row r="185" spans="1:11" customFormat="1" ht="17" customHeight="1">
      <c r="A185" s="606" t="s">
        <v>936</v>
      </c>
      <c r="B185" s="606" t="s">
        <v>1</v>
      </c>
      <c r="C185" s="607" t="s">
        <v>1027</v>
      </c>
      <c r="D185" s="607">
        <f>0.0459+D186</f>
        <v>4.9870000000000005E-2</v>
      </c>
      <c r="E185" s="606" t="s">
        <v>884</v>
      </c>
      <c r="F185" s="606">
        <v>2022</v>
      </c>
      <c r="G185" s="608" t="s">
        <v>1028</v>
      </c>
      <c r="H185" s="71" t="str">
        <f>表格13[[#This Row],[國家/市場]]&amp;表格13[[#This Row],[電網]]&amp;表格13[[#This Row],[電力係數年度]]</f>
        <v>United KingdomUpstream2022</v>
      </c>
      <c r="I185" s="142">
        <f>表格13[[#This Row],[電力係數]]</f>
        <v>4.9870000000000005E-2</v>
      </c>
      <c r="J185" s="71" t="str">
        <f>表格13[[#This Row],[電力係數來源]]</f>
        <v>https://www.gov.uk/government/publications/greenhouse-gas-reporting-conversion-factors-2023</v>
      </c>
      <c r="K185" s="71" t="str">
        <f>MID(表格13[[#This Row],[係數單位]],FIND("/",表格13[[#This Row],[係數單位]])+1,4)</f>
        <v>MWh</v>
      </c>
    </row>
    <row r="186" spans="1:11" customFormat="1" ht="17" customHeight="1">
      <c r="A186" s="606" t="s">
        <v>936</v>
      </c>
      <c r="B186" s="606" t="s">
        <v>1</v>
      </c>
      <c r="C186" s="607" t="s">
        <v>1029</v>
      </c>
      <c r="D186" s="607">
        <v>3.9699999999999996E-3</v>
      </c>
      <c r="E186" s="606" t="s">
        <v>884</v>
      </c>
      <c r="F186" s="606">
        <v>2022</v>
      </c>
      <c r="G186" s="608" t="s">
        <v>1030</v>
      </c>
      <c r="H186" s="71" t="str">
        <f>表格13[[#This Row],[國家/市場]]&amp;表格13[[#This Row],[電網]]&amp;表格13[[#This Row],[電力係數年度]]</f>
        <v>United KingdomT&amp;D2022</v>
      </c>
      <c r="I186" s="142">
        <f>表格13[[#This Row],[電力係數]]</f>
        <v>3.9699999999999996E-3</v>
      </c>
      <c r="J186" s="71" t="str">
        <f>表格13[[#This Row],[電力係數來源]]</f>
        <v>https://www.gov.uk/government/publications/greenhouse-gas-reporting-conversion-factors-2023</v>
      </c>
      <c r="K186" s="71" t="str">
        <f>MID(表格13[[#This Row],[係數單位]],FIND("/",表格13[[#This Row],[係數單位]])+1,4)</f>
        <v>MWh</v>
      </c>
    </row>
    <row r="187" spans="1:11" customFormat="1" ht="62" customHeight="1">
      <c r="A187" s="71" t="s">
        <v>740</v>
      </c>
      <c r="B187" s="71" t="s">
        <v>40</v>
      </c>
      <c r="D187" s="264">
        <v>0.71899999999999997</v>
      </c>
      <c r="E187" s="71" t="s">
        <v>884</v>
      </c>
      <c r="F187" s="71">
        <v>2022</v>
      </c>
      <c r="G187" s="301" t="s">
        <v>1031</v>
      </c>
      <c r="H187" s="71" t="str">
        <f>表格13[[#This Row],[國家/市場]]&amp;表格13[[#This Row],[電網]]&amp;表格13[[#This Row],[電力係數年度]]</f>
        <v>Myanmar2022</v>
      </c>
      <c r="I187" s="142">
        <f>表格13[[#This Row],[電力係數]]</f>
        <v>0.71899999999999997</v>
      </c>
      <c r="J187" s="71" t="str">
        <f>表格13[[#This Row],[電力係數來源]]</f>
        <v>International Financial Institutions
https://unfccc.int/sites/default/files/resource/Harmonized_IFI_Default_Grid_Factors_2021_v3.2_0.xlsx</v>
      </c>
      <c r="K187" s="71" t="str">
        <f>MID(表格13[[#This Row],[係數單位]],FIND("/",表格13[[#This Row],[係數單位]])+1,4)</f>
        <v>MWh</v>
      </c>
    </row>
    <row r="188" spans="1:11" customFormat="1" ht="62" customHeight="1">
      <c r="A188" s="71" t="s">
        <v>740</v>
      </c>
      <c r="B188" s="71" t="s">
        <v>40</v>
      </c>
      <c r="C188" s="71" t="s">
        <v>891</v>
      </c>
      <c r="D188" s="264">
        <v>0.71899999999999997</v>
      </c>
      <c r="E188" s="71" t="s">
        <v>884</v>
      </c>
      <c r="F188" s="71">
        <v>2022</v>
      </c>
      <c r="G188" s="301" t="s">
        <v>1032</v>
      </c>
      <c r="H188" s="71" t="str">
        <f>表格13[[#This Row],[國家/市場]]&amp;表格13[[#This Row],[電網]]&amp;表格13[[#This Row],[電力係數年度]]</f>
        <v>MyanmarMarket-based2022</v>
      </c>
      <c r="I188" s="142">
        <f>表格13[[#This Row],[電力係數]]</f>
        <v>0.71899999999999997</v>
      </c>
      <c r="J188" s="71" t="str">
        <f>表格13[[#This Row],[電力係數來源]]</f>
        <v>International Financial Institutions
https://unfccc.int/sites/default/files/resource/Harmonized_IFI_Default_Grid_Factors_2021_v3.2_0.xlsx</v>
      </c>
      <c r="K188" s="71" t="str">
        <f>MID(表格13[[#This Row],[係數單位]],FIND("/",表格13[[#This Row],[係數單位]])+1,4)</f>
        <v>MWh</v>
      </c>
    </row>
    <row r="189" spans="1:11" customFormat="1" ht="62" customHeight="1">
      <c r="A189" s="71" t="s">
        <v>740</v>
      </c>
      <c r="B189" s="71" t="s">
        <v>54</v>
      </c>
      <c r="D189" s="264">
        <v>0.67200000000000004</v>
      </c>
      <c r="E189" s="71" t="s">
        <v>884</v>
      </c>
      <c r="F189" s="71">
        <v>2022</v>
      </c>
      <c r="G189" s="301" t="s">
        <v>1033</v>
      </c>
      <c r="H189" s="71" t="str">
        <f>表格13[[#This Row],[國家/市場]]&amp;表格13[[#This Row],[電網]]&amp;表格13[[#This Row],[電力係數年度]]</f>
        <v>Philippines2022</v>
      </c>
      <c r="I189" s="142">
        <f>表格13[[#This Row],[電力係數]]</f>
        <v>0.67200000000000004</v>
      </c>
      <c r="J189" s="71" t="str">
        <f>表格13[[#This Row],[電力係數來源]]</f>
        <v>International Financial Institutions
https://unfccc.int/sites/default/files/resource/Harmonized_IFI_Default_Grid_Factors_2021_v3.2_0.xlsx</v>
      </c>
      <c r="K189" s="71" t="str">
        <f>MID(表格13[[#This Row],[係數單位]],FIND("/",表格13[[#This Row],[係數單位]])+1,4)</f>
        <v>MWh</v>
      </c>
    </row>
    <row r="190" spans="1:11" customFormat="1" ht="62" customHeight="1">
      <c r="A190" s="71" t="s">
        <v>740</v>
      </c>
      <c r="B190" s="71" t="s">
        <v>54</v>
      </c>
      <c r="C190" s="71" t="s">
        <v>891</v>
      </c>
      <c r="D190" s="264">
        <v>0.67200000000000004</v>
      </c>
      <c r="E190" s="71" t="s">
        <v>884</v>
      </c>
      <c r="F190" s="71">
        <v>2022</v>
      </c>
      <c r="G190" s="301" t="s">
        <v>1034</v>
      </c>
      <c r="H190" s="71" t="str">
        <f>表格13[[#This Row],[國家/市場]]&amp;表格13[[#This Row],[電網]]&amp;表格13[[#This Row],[電力係數年度]]</f>
        <v>PhilippinesMarket-based2022</v>
      </c>
      <c r="I190" s="142">
        <f>表格13[[#This Row],[電力係數]]</f>
        <v>0.67200000000000004</v>
      </c>
      <c r="J190" s="71" t="str">
        <f>表格13[[#This Row],[電力係數來源]]</f>
        <v>International Financial Institutions
https://unfccc.int/sites/default/files/resource/Harmonized_IFI_Default_Grid_Factors_2021_v3.2_0.xlsx</v>
      </c>
      <c r="K190" s="71" t="str">
        <f>MID(表格13[[#This Row],[係數單位]],FIND("/",表格13[[#This Row],[係數單位]])+1,4)</f>
        <v>MWh</v>
      </c>
    </row>
    <row r="191" spans="1:11" customFormat="1" ht="31" customHeight="1">
      <c r="A191" s="71" t="s">
        <v>740</v>
      </c>
      <c r="B191" s="71" t="s">
        <v>55</v>
      </c>
      <c r="D191" s="264">
        <v>0.75800000000000001</v>
      </c>
      <c r="E191" s="71" t="s">
        <v>884</v>
      </c>
      <c r="F191" s="71">
        <v>2022</v>
      </c>
      <c r="G191" s="301" t="s">
        <v>1035</v>
      </c>
      <c r="H191" s="71" t="str">
        <f>表格13[[#This Row],[國家/市場]]&amp;表格13[[#This Row],[電網]]&amp;表格13[[#This Row],[電力係數年度]]</f>
        <v>Malaysia2022</v>
      </c>
      <c r="I191" s="142">
        <f>表格13[[#This Row],[電力係數]]</f>
        <v>0.75800000000000001</v>
      </c>
      <c r="J191" s="71" t="str">
        <f>表格13[[#This Row],[電力係數來源]]</f>
        <v>Grid Emission Factor (GEF) in Malaysia 2021</v>
      </c>
      <c r="K191" s="71" t="str">
        <f>MID(表格13[[#This Row],[係數單位]],FIND("/",表格13[[#This Row],[係數單位]])+1,4)</f>
        <v>MWh</v>
      </c>
    </row>
    <row r="192" spans="1:11" customFormat="1" ht="31" customHeight="1">
      <c r="A192" s="71" t="s">
        <v>740</v>
      </c>
      <c r="B192" s="71" t="s">
        <v>55</v>
      </c>
      <c r="C192" s="71" t="s">
        <v>891</v>
      </c>
      <c r="D192" s="264">
        <v>0.75800000000000001</v>
      </c>
      <c r="E192" s="71" t="s">
        <v>884</v>
      </c>
      <c r="F192" s="71">
        <v>2022</v>
      </c>
      <c r="G192" s="301" t="s">
        <v>1036</v>
      </c>
      <c r="H192" s="71" t="str">
        <f>表格13[[#This Row],[國家/市場]]&amp;表格13[[#This Row],[電網]]&amp;表格13[[#This Row],[電力係數年度]]</f>
        <v>MalaysiaMarket-based2022</v>
      </c>
      <c r="I192" s="142">
        <f>表格13[[#This Row],[電力係數]]</f>
        <v>0.75800000000000001</v>
      </c>
      <c r="J192" s="71" t="str">
        <f>表格13[[#This Row],[電力係數來源]]</f>
        <v>Grid Emission Factor (GEF) in Malaysia 2021</v>
      </c>
      <c r="K192" s="71" t="str">
        <f>MID(表格13[[#This Row],[係數單位]],FIND("/",表格13[[#This Row],[係數單位]])+1,4)</f>
        <v>MWh</v>
      </c>
    </row>
    <row r="193" spans="1:11">
      <c r="A193" s="71" t="s">
        <v>740</v>
      </c>
      <c r="B193" s="71" t="s">
        <v>0</v>
      </c>
      <c r="D193" s="71">
        <v>0.50900000000000001</v>
      </c>
      <c r="E193" s="71" t="s">
        <v>884</v>
      </c>
      <c r="F193" s="71">
        <v>2021</v>
      </c>
      <c r="G193" s="297" t="s">
        <v>890</v>
      </c>
      <c r="H193" s="71" t="str">
        <f>表格13[[#This Row],[國家/市場]]&amp;表格13[[#This Row],[電網]]&amp;表格13[[#This Row],[電力係數年度]]</f>
        <v>Taiwan2021</v>
      </c>
      <c r="I193" s="142">
        <f>表格13[[#This Row],[電力係數]]</f>
        <v>0.50900000000000001</v>
      </c>
      <c r="J193" s="71" t="str">
        <f>表格13[[#This Row],[電力係數來源]]</f>
        <v>能源局公告</v>
      </c>
      <c r="K193" s="71" t="str">
        <f>MID(表格13[[#This Row],[係數單位]],FIND("/",表格13[[#This Row],[係數單位]])+1,4)</f>
        <v>MWh</v>
      </c>
    </row>
    <row r="194" spans="1:11">
      <c r="A194" s="71" t="s">
        <v>740</v>
      </c>
      <c r="B194" s="71" t="s">
        <v>17</v>
      </c>
      <c r="C194" s="71" t="s">
        <v>71</v>
      </c>
      <c r="D194" s="71">
        <v>0.79210000000000003</v>
      </c>
      <c r="E194" s="71" t="s">
        <v>884</v>
      </c>
      <c r="F194" s="71">
        <v>2021</v>
      </c>
      <c r="G194" s="297" t="s">
        <v>915</v>
      </c>
      <c r="H194" s="71" t="str">
        <f>表格13[[#This Row],[國家/市場]]&amp;表格13[[#This Row],[電網]]&amp;表格13[[#This Row],[電力係數年度]]</f>
        <v>China華東2021</v>
      </c>
      <c r="I194" s="142">
        <f>表格13[[#This Row],[電力係數]]</f>
        <v>0.79210000000000003</v>
      </c>
      <c r="J194" s="71" t="str">
        <f>表格13[[#This Row],[電力係數來源]]</f>
        <v>2019 年度减排项目中国区域电网基准线排放因子</v>
      </c>
      <c r="K194" s="71" t="str">
        <f>MID(表格13[[#This Row],[係數單位]],FIND("/",表格13[[#This Row],[係數單位]])+1,4)</f>
        <v>MWh</v>
      </c>
    </row>
    <row r="195" spans="1:11">
      <c r="A195" s="71" t="s">
        <v>740</v>
      </c>
      <c r="B195" s="71" t="s">
        <v>17</v>
      </c>
      <c r="C195" s="71" t="s">
        <v>72</v>
      </c>
      <c r="D195" s="71">
        <v>0.89219999999999999</v>
      </c>
      <c r="E195" s="71" t="s">
        <v>884</v>
      </c>
      <c r="F195" s="71">
        <v>2021</v>
      </c>
      <c r="G195" s="297" t="s">
        <v>915</v>
      </c>
      <c r="H195" s="71" t="str">
        <f>表格13[[#This Row],[國家/市場]]&amp;表格13[[#This Row],[電網]]&amp;表格13[[#This Row],[電力係數年度]]</f>
        <v>China西北2021</v>
      </c>
      <c r="I195" s="142">
        <f>表格13[[#This Row],[電力係數]]</f>
        <v>0.89219999999999999</v>
      </c>
      <c r="J195" s="71" t="str">
        <f>表格13[[#This Row],[電力係數來源]]</f>
        <v>2019 年度减排项目中国区域电网基准线排放因子</v>
      </c>
      <c r="K195" s="71" t="str">
        <f>MID(表格13[[#This Row],[係數單位]],FIND("/",表格13[[#This Row],[係數單位]])+1,4)</f>
        <v>MWh</v>
      </c>
    </row>
    <row r="196" spans="1:11">
      <c r="A196" s="131" t="s">
        <v>740</v>
      </c>
      <c r="B196" s="131" t="s">
        <v>17</v>
      </c>
      <c r="C196" s="131" t="s">
        <v>70</v>
      </c>
      <c r="D196" s="131">
        <v>0.85870000000000002</v>
      </c>
      <c r="E196" s="131" t="s">
        <v>884</v>
      </c>
      <c r="F196" s="131">
        <v>2021</v>
      </c>
      <c r="G196" s="298" t="s">
        <v>915</v>
      </c>
      <c r="H196" s="71" t="str">
        <f>表格13[[#This Row],[國家/市場]]&amp;表格13[[#This Row],[電網]]&amp;表格13[[#This Row],[電力係數年度]]</f>
        <v>China華中2021</v>
      </c>
      <c r="I196" s="142">
        <f>表格13[[#This Row],[電力係數]]</f>
        <v>0.85870000000000002</v>
      </c>
      <c r="J196" s="71" t="str">
        <f>表格13[[#This Row],[電力係數來源]]</f>
        <v>2019 年度减排项目中国区域电网基准线排放因子</v>
      </c>
      <c r="K196" s="71" t="str">
        <f>MID(表格13[[#This Row],[係數單位]],FIND("/",表格13[[#This Row],[係數單位]])+1,4)</f>
        <v>MWh</v>
      </c>
    </row>
    <row r="197" spans="1:11">
      <c r="A197" s="131" t="s">
        <v>740</v>
      </c>
      <c r="B197" s="131" t="s">
        <v>17</v>
      </c>
      <c r="C197" s="131" t="s">
        <v>73</v>
      </c>
      <c r="D197" s="131">
        <v>0.94189999999999996</v>
      </c>
      <c r="E197" s="131" t="s">
        <v>884</v>
      </c>
      <c r="F197" s="131">
        <v>2021</v>
      </c>
      <c r="G197" s="166" t="s">
        <v>915</v>
      </c>
      <c r="H197" s="71" t="str">
        <f>表格13[[#This Row],[國家/市場]]&amp;表格13[[#This Row],[電網]]&amp;表格13[[#This Row],[電力係數年度]]</f>
        <v>China華北2021</v>
      </c>
      <c r="I197" s="142">
        <f>表格13[[#This Row],[電力係數]]</f>
        <v>0.94189999999999996</v>
      </c>
      <c r="J197" s="71" t="str">
        <f>表格13[[#This Row],[電力係數來源]]</f>
        <v>2019 年度减排项目中国区域电网基准线排放因子</v>
      </c>
      <c r="K197" s="71" t="str">
        <f>MID(表格13[[#This Row],[係數單位]],FIND("/",表格13[[#This Row],[係數單位]])+1,4)</f>
        <v>MWh</v>
      </c>
    </row>
    <row r="198" spans="1:11">
      <c r="A198" s="131" t="s">
        <v>740</v>
      </c>
      <c r="B198" s="131" t="s">
        <v>17</v>
      </c>
      <c r="C198" s="131" t="s">
        <v>69</v>
      </c>
      <c r="D198" s="131">
        <v>0.80420000000000003</v>
      </c>
      <c r="E198" s="131" t="s">
        <v>884</v>
      </c>
      <c r="F198" s="131">
        <v>2021</v>
      </c>
      <c r="G198" s="166" t="s">
        <v>915</v>
      </c>
      <c r="H198" s="71" t="str">
        <f>表格13[[#This Row],[國家/市場]]&amp;表格13[[#This Row],[電網]]&amp;表格13[[#This Row],[電力係數年度]]</f>
        <v>China南方2021</v>
      </c>
      <c r="I198" s="142">
        <f>表格13[[#This Row],[電力係數]]</f>
        <v>0.80420000000000003</v>
      </c>
      <c r="J198" s="71" t="str">
        <f>表格13[[#This Row],[電力係數來源]]</f>
        <v>2019 年度减排项目中国区域电网基准线排放因子</v>
      </c>
      <c r="K198" s="71" t="str">
        <f>MID(表格13[[#This Row],[係數單位]],FIND("/",表格13[[#This Row],[係數單位]])+1,4)</f>
        <v>MWh</v>
      </c>
    </row>
    <row r="199" spans="1:11">
      <c r="A199" s="131" t="s">
        <v>740</v>
      </c>
      <c r="B199" s="131" t="s">
        <v>17</v>
      </c>
      <c r="C199" s="131" t="s">
        <v>74</v>
      </c>
      <c r="D199" s="131">
        <v>1.0826</v>
      </c>
      <c r="E199" s="131" t="s">
        <v>884</v>
      </c>
      <c r="F199" s="131">
        <v>2021</v>
      </c>
      <c r="G199" s="166" t="s">
        <v>915</v>
      </c>
      <c r="H199" s="71" t="str">
        <f>表格13[[#This Row],[國家/市場]]&amp;表格13[[#This Row],[電網]]&amp;表格13[[#This Row],[電力係數年度]]</f>
        <v>China東北2021</v>
      </c>
      <c r="I199" s="142">
        <f>表格13[[#This Row],[電力係數]]</f>
        <v>1.0826</v>
      </c>
      <c r="J199" s="71" t="str">
        <f>表格13[[#This Row],[電力係數來源]]</f>
        <v>2019 年度减排项目中国区域电网基准线排放因子</v>
      </c>
      <c r="K199" s="71" t="str">
        <f>MID(表格13[[#This Row],[係數單位]],FIND("/",表格13[[#This Row],[係數單位]])+1,4)</f>
        <v>MWh</v>
      </c>
    </row>
    <row r="200" spans="1:11">
      <c r="A200" s="131" t="s">
        <v>740</v>
      </c>
      <c r="B200" s="131" t="s">
        <v>75</v>
      </c>
      <c r="C200" s="131"/>
      <c r="D200" s="131">
        <v>0.82</v>
      </c>
      <c r="E200" s="131" t="s">
        <v>884</v>
      </c>
      <c r="F200" s="131">
        <v>2021</v>
      </c>
      <c r="G200" s="166" t="s">
        <v>1037</v>
      </c>
      <c r="H200" s="71" t="str">
        <f>表格13[[#This Row],[國家/市場]]&amp;表格13[[#This Row],[電網]]&amp;表格13[[#This Row],[電力係數年度]]</f>
        <v>India2021</v>
      </c>
      <c r="I200" s="142">
        <f>表格13[[#This Row],[電力係數]]</f>
        <v>0.82</v>
      </c>
      <c r="J200" s="71" t="str">
        <f>表格13[[#This Row],[電力係數來源]]</f>
        <v>https://cea.nic.in/wp-content/uploads/baseline/2020/07/user_guide_ver14.pdf</v>
      </c>
      <c r="K200" s="71" t="str">
        <f>MID(表格13[[#This Row],[係數單位]],FIND("/",表格13[[#This Row],[係數單位]])+1,4)</f>
        <v>MWh</v>
      </c>
    </row>
    <row r="201" spans="1:11">
      <c r="A201" s="131" t="s">
        <v>740</v>
      </c>
      <c r="B201" s="131" t="s">
        <v>33</v>
      </c>
      <c r="C201" s="131"/>
      <c r="D201" s="131">
        <v>0.46150000000000002</v>
      </c>
      <c r="E201" s="131" t="s">
        <v>884</v>
      </c>
      <c r="F201" s="131">
        <v>2021</v>
      </c>
      <c r="G201" s="166" t="s">
        <v>909</v>
      </c>
      <c r="H201" s="71" t="str">
        <f>表格13[[#This Row],[國家/市場]]&amp;表格13[[#This Row],[電網]]&amp;表格13[[#This Row],[電力係數年度]]</f>
        <v>Japan2021</v>
      </c>
      <c r="I201" s="142">
        <f>表格13[[#This Row],[電力係數]]</f>
        <v>0.46150000000000002</v>
      </c>
      <c r="J201" s="71" t="str">
        <f>表格13[[#This Row],[電力係數來源]]</f>
        <v>Climate Transparency (2022 Report)</v>
      </c>
      <c r="K201" s="71" t="str">
        <f>MID(表格13[[#This Row],[係數單位]],FIND("/",表格13[[#This Row],[係數單位]])+1,4)</f>
        <v>MWh</v>
      </c>
    </row>
    <row r="202" spans="1:11">
      <c r="A202" s="131" t="s">
        <v>740</v>
      </c>
      <c r="B202" s="131" t="s">
        <v>51</v>
      </c>
      <c r="C202" s="131"/>
      <c r="D202" s="131">
        <v>0.4113</v>
      </c>
      <c r="E202" s="131" t="s">
        <v>884</v>
      </c>
      <c r="F202" s="131">
        <v>2021</v>
      </c>
      <c r="G202" s="166" t="s">
        <v>909</v>
      </c>
      <c r="H202" s="71" t="str">
        <f>表格13[[#This Row],[國家/市場]]&amp;表格13[[#This Row],[電網]]&amp;表格13[[#This Row],[電力係數年度]]</f>
        <v>Republic of Korea2021</v>
      </c>
      <c r="I202" s="142">
        <f>表格13[[#This Row],[電力係數]]</f>
        <v>0.4113</v>
      </c>
      <c r="J202" s="71" t="str">
        <f>表格13[[#This Row],[電力係數來源]]</f>
        <v>Climate Transparency (2022 Report)</v>
      </c>
      <c r="K202" s="71" t="str">
        <f>MID(表格13[[#This Row],[係數單位]],FIND("/",表格13[[#This Row],[係數單位]])+1,4)</f>
        <v>MWh</v>
      </c>
    </row>
    <row r="203" spans="1:11">
      <c r="A203" s="131" t="s">
        <v>740</v>
      </c>
      <c r="B203" s="131" t="s">
        <v>42</v>
      </c>
      <c r="C203" s="131"/>
      <c r="D203" s="131">
        <v>0.40799999999999997</v>
      </c>
      <c r="E203" s="131" t="s">
        <v>884</v>
      </c>
      <c r="F203" s="131">
        <v>2021</v>
      </c>
      <c r="G203" s="166" t="s">
        <v>1038</v>
      </c>
      <c r="H203" s="71" t="str">
        <f>表格13[[#This Row],[國家/市場]]&amp;表格13[[#This Row],[電網]]&amp;表格13[[#This Row],[電力係數年度]]</f>
        <v>Singapore2021</v>
      </c>
      <c r="I203" s="142">
        <f>表格13[[#This Row],[電力係數]]</f>
        <v>0.40799999999999997</v>
      </c>
      <c r="J203" s="71" t="str">
        <f>表格13[[#This Row],[電力係數來源]]</f>
        <v>Singapore Energy Market Authority (EMA)</v>
      </c>
      <c r="K203" s="71" t="str">
        <f>MID(表格13[[#This Row],[係數單位]],FIND("/",表格13[[#This Row],[係數單位]])+1,4)</f>
        <v>MWh</v>
      </c>
    </row>
    <row r="204" spans="1:11">
      <c r="A204" s="131" t="s">
        <v>740</v>
      </c>
      <c r="B204" s="131" t="s">
        <v>30</v>
      </c>
      <c r="C204" s="131"/>
      <c r="D204" s="131">
        <v>0.49990000000000001</v>
      </c>
      <c r="E204" s="131" t="s">
        <v>884</v>
      </c>
      <c r="F204" s="131">
        <v>2021</v>
      </c>
      <c r="G204" s="173" t="s">
        <v>912</v>
      </c>
      <c r="H204" s="71" t="str">
        <f>表格13[[#This Row],[國家/市場]]&amp;表格13[[#This Row],[電網]]&amp;表格13[[#This Row],[電力係數年度]]</f>
        <v>Thailand2021</v>
      </c>
      <c r="I204" s="142">
        <f>表格13[[#This Row],[電力係數]]</f>
        <v>0.49990000000000001</v>
      </c>
      <c r="J204" s="71" t="str">
        <f>表格13[[#This Row],[電力係數來源]]</f>
        <v>Thailand Greenhouse Gas Management Organization (TGO) in 2020</v>
      </c>
      <c r="K204" s="71" t="str">
        <f>MID(表格13[[#This Row],[係數單位]],FIND("/",表格13[[#This Row],[係數單位]])+1,4)</f>
        <v>MWh</v>
      </c>
    </row>
    <row r="205" spans="1:11">
      <c r="A205" s="166" t="s">
        <v>740</v>
      </c>
      <c r="B205" s="167" t="s">
        <v>41</v>
      </c>
      <c r="C205" s="166"/>
      <c r="D205" s="168">
        <v>0.91300000000000003</v>
      </c>
      <c r="E205" s="168" t="s">
        <v>884</v>
      </c>
      <c r="F205" s="168">
        <v>2021</v>
      </c>
      <c r="G205" s="166" t="s">
        <v>907</v>
      </c>
      <c r="H205" s="71" t="str">
        <f>表格13[[#This Row],[國家/市場]]&amp;表格13[[#This Row],[電網]]&amp;表格13[[#This Row],[電力係數年度]]</f>
        <v>Vietnam2021</v>
      </c>
      <c r="I205" s="142">
        <f>表格13[[#This Row],[電力係數]]</f>
        <v>0.91300000000000003</v>
      </c>
      <c r="J205" s="71" t="str">
        <f>表格13[[#This Row],[電力係數來源]]</f>
        <v>COUNTRY SPECIFIC ELECTRICITY GRID GREENHOUSE GAS EMISSION FACTORS</v>
      </c>
      <c r="K205" s="71" t="str">
        <f>MID(表格13[[#This Row],[係數單位]],FIND("/",表格13[[#This Row],[係數單位]])+1,4)</f>
        <v>MWh</v>
      </c>
    </row>
    <row r="206" spans="1:11">
      <c r="A206" s="166" t="s">
        <v>740</v>
      </c>
      <c r="B206" s="167" t="s">
        <v>908</v>
      </c>
      <c r="C206" s="166"/>
      <c r="D206" s="168">
        <v>0.78480000000000005</v>
      </c>
      <c r="E206" s="168" t="s">
        <v>884</v>
      </c>
      <c r="F206" s="168">
        <v>2021</v>
      </c>
      <c r="G206" s="166" t="s">
        <v>909</v>
      </c>
      <c r="H206" s="71" t="str">
        <f>表格13[[#This Row],[國家/市場]]&amp;表格13[[#This Row],[電網]]&amp;表格13[[#This Row],[電力係數年度]]</f>
        <v>Indonesia2021</v>
      </c>
      <c r="I206" s="142">
        <f>表格13[[#This Row],[電力係數]]</f>
        <v>0.78480000000000005</v>
      </c>
      <c r="J206" s="71" t="str">
        <f>表格13[[#This Row],[電力係數來源]]</f>
        <v>Climate Transparency (2022 Report)</v>
      </c>
      <c r="K206" s="71" t="str">
        <f>MID(表格13[[#This Row],[係數單位]],FIND("/",表格13[[#This Row],[係數單位]])+1,4)</f>
        <v>MWh</v>
      </c>
    </row>
    <row r="207" spans="1:11">
      <c r="A207" s="166" t="s">
        <v>917</v>
      </c>
      <c r="B207" s="167" t="s">
        <v>918</v>
      </c>
      <c r="C207" s="166"/>
      <c r="D207" s="166">
        <v>0.86650000000000005</v>
      </c>
      <c r="E207" s="166" t="s">
        <v>884</v>
      </c>
      <c r="F207" s="166">
        <v>2021</v>
      </c>
      <c r="G207" s="166" t="s">
        <v>909</v>
      </c>
      <c r="H207" s="71" t="str">
        <f>表格13[[#This Row],[國家/市場]]&amp;表格13[[#This Row],[電網]]&amp;表格13[[#This Row],[電力係數年度]]</f>
        <v>South Africa2021</v>
      </c>
      <c r="I207" s="142">
        <f>表格13[[#This Row],[電力係數]]</f>
        <v>0.86650000000000005</v>
      </c>
      <c r="J207" s="71" t="str">
        <f>表格13[[#This Row],[電力係數來源]]</f>
        <v>Climate Transparency (2022 Report)</v>
      </c>
      <c r="K207" s="71" t="str">
        <f>MID(表格13[[#This Row],[係數單位]],FIND("/",表格13[[#This Row],[係數單位]])+1,4)</f>
        <v>MWh</v>
      </c>
    </row>
    <row r="208" spans="1:11">
      <c r="A208" s="166" t="s">
        <v>921</v>
      </c>
      <c r="B208" s="167" t="s">
        <v>922</v>
      </c>
      <c r="C208" s="166"/>
      <c r="D208" s="168">
        <v>0.61419999999999997</v>
      </c>
      <c r="E208" s="168" t="s">
        <v>884</v>
      </c>
      <c r="F208" s="168">
        <v>2021</v>
      </c>
      <c r="G208" s="166" t="s">
        <v>909</v>
      </c>
      <c r="H208" s="71" t="str">
        <f>表格13[[#This Row],[國家/市場]]&amp;表格13[[#This Row],[電網]]&amp;表格13[[#This Row],[電力係數年度]]</f>
        <v>Saudi Arabia2021</v>
      </c>
      <c r="I208" s="142">
        <f>表格13[[#This Row],[電力係數]]</f>
        <v>0.61419999999999997</v>
      </c>
      <c r="J208" s="71" t="str">
        <f>表格13[[#This Row],[電力係數來源]]</f>
        <v>Climate Transparency (2022 Report)</v>
      </c>
      <c r="K208" s="71" t="str">
        <f>MID(表格13[[#This Row],[係數單位]],FIND("/",表格13[[#This Row],[係數單位]])+1,4)</f>
        <v>MWh</v>
      </c>
    </row>
    <row r="209" spans="1:11">
      <c r="A209" s="166" t="s">
        <v>921</v>
      </c>
      <c r="B209" s="167" t="s">
        <v>3</v>
      </c>
      <c r="C209" s="166"/>
      <c r="D209" s="166">
        <v>0.42609999999999998</v>
      </c>
      <c r="E209" s="166" t="s">
        <v>884</v>
      </c>
      <c r="F209" s="166">
        <v>2021</v>
      </c>
      <c r="G209" s="166" t="s">
        <v>909</v>
      </c>
      <c r="H209" s="71" t="str">
        <f>表格13[[#This Row],[國家/市場]]&amp;表格13[[#This Row],[電網]]&amp;表格13[[#This Row],[電力係數年度]]</f>
        <v>Turkey2021</v>
      </c>
      <c r="I209" s="142">
        <f>表格13[[#This Row],[電力係數]]</f>
        <v>0.42609999999999998</v>
      </c>
      <c r="J209" s="71" t="str">
        <f>表格13[[#This Row],[電力係數來源]]</f>
        <v>Climate Transparency (2022 Report)</v>
      </c>
      <c r="K209" s="71" t="str">
        <f>MID(表格13[[#This Row],[係數單位]],FIND("/",表格13[[#This Row],[係數單位]])+1,4)</f>
        <v>MWh</v>
      </c>
    </row>
    <row r="210" spans="1:11">
      <c r="A210" s="166" t="s">
        <v>31</v>
      </c>
      <c r="B210" s="167" t="s">
        <v>43</v>
      </c>
      <c r="C210" s="166"/>
      <c r="D210" s="166">
        <v>0.37313800000000003</v>
      </c>
      <c r="E210" s="166" t="s">
        <v>884</v>
      </c>
      <c r="F210" s="166">
        <v>2020</v>
      </c>
      <c r="G210" s="166" t="s">
        <v>929</v>
      </c>
      <c r="H210" s="71" t="str">
        <f>表格13[[#This Row],[國家/市場]]&amp;表格13[[#This Row],[電網]]&amp;表格13[[#This Row],[電力係數年度]]</f>
        <v>United States of America2020</v>
      </c>
      <c r="I210" s="142">
        <f>表格13[[#This Row],[電力係數]]</f>
        <v>0.37313800000000003</v>
      </c>
      <c r="J210" s="71" t="str">
        <f>表格13[[#This Row],[電力係數來源]]</f>
        <v>US Env Protection Agency (EPA) eGrid</v>
      </c>
      <c r="K210" s="71" t="str">
        <f>MID(表格13[[#This Row],[係數單位]],FIND("/",表格13[[#This Row],[係數單位]])+1,4)</f>
        <v>MWh</v>
      </c>
    </row>
    <row r="211" spans="1:11">
      <c r="A211" s="166" t="s">
        <v>31</v>
      </c>
      <c r="B211" s="167" t="s">
        <v>44</v>
      </c>
      <c r="C211" s="166"/>
      <c r="D211" s="166">
        <v>0.28810000000000002</v>
      </c>
      <c r="E211" s="166" t="s">
        <v>884</v>
      </c>
      <c r="F211" s="166">
        <v>2021</v>
      </c>
      <c r="G211" s="166" t="s">
        <v>909</v>
      </c>
      <c r="H211" s="71" t="str">
        <f>表格13[[#This Row],[國家/市場]]&amp;表格13[[#This Row],[電網]]&amp;表格13[[#This Row],[電力係數年度]]</f>
        <v>Argentina2021</v>
      </c>
      <c r="I211" s="142">
        <f>表格13[[#This Row],[電力係數]]</f>
        <v>0.28810000000000002</v>
      </c>
      <c r="J211" s="71" t="str">
        <f>表格13[[#This Row],[電力係數來源]]</f>
        <v>Climate Transparency (2022 Report)</v>
      </c>
      <c r="K211" s="71" t="str">
        <f>MID(表格13[[#This Row],[係數單位]],FIND("/",表格13[[#This Row],[係數單位]])+1,4)</f>
        <v>MWh</v>
      </c>
    </row>
    <row r="212" spans="1:11">
      <c r="A212" s="166" t="s">
        <v>31</v>
      </c>
      <c r="B212" s="167" t="s">
        <v>34</v>
      </c>
      <c r="C212" s="166"/>
      <c r="D212" s="166">
        <v>0.1295</v>
      </c>
      <c r="E212" s="166" t="s">
        <v>884</v>
      </c>
      <c r="F212" s="166">
        <v>2021</v>
      </c>
      <c r="G212" s="166" t="s">
        <v>909</v>
      </c>
      <c r="H212" s="71" t="str">
        <f>表格13[[#This Row],[國家/市場]]&amp;表格13[[#This Row],[電網]]&amp;表格13[[#This Row],[電力係數年度]]</f>
        <v>Brazil2021</v>
      </c>
      <c r="I212" s="142">
        <f>表格13[[#This Row],[電力係數]]</f>
        <v>0.1295</v>
      </c>
      <c r="J212" s="71" t="str">
        <f>表格13[[#This Row],[電力係數來源]]</f>
        <v>Climate Transparency (2022 Report)</v>
      </c>
      <c r="K212" s="71" t="str">
        <f>MID(表格13[[#This Row],[係數單位]],FIND("/",表格13[[#This Row],[係數單位]])+1,4)</f>
        <v>MWh</v>
      </c>
    </row>
    <row r="213" spans="1:11">
      <c r="A213" s="166" t="s">
        <v>936</v>
      </c>
      <c r="B213" s="167" t="s">
        <v>945</v>
      </c>
      <c r="C213" s="166"/>
      <c r="D213" s="166">
        <v>0.14918999999999999</v>
      </c>
      <c r="E213" s="166" t="s">
        <v>884</v>
      </c>
      <c r="F213" s="166">
        <v>2021</v>
      </c>
      <c r="G213" s="166" t="s">
        <v>1039</v>
      </c>
      <c r="H213" s="71" t="str">
        <f>表格13[[#This Row],[國家/市場]]&amp;表格13[[#This Row],[電網]]&amp;表格13[[#This Row],[電力係數年度]]</f>
        <v>Belgium2021</v>
      </c>
      <c r="I213" s="142">
        <f>表格13[[#This Row],[電力係數]]</f>
        <v>0.14918999999999999</v>
      </c>
      <c r="J213" s="71" t="str">
        <f>表格13[[#This Row],[電力係數來源]]</f>
        <v>Association of Issuing Bodies (AIB) 2022</v>
      </c>
      <c r="K213" s="71" t="str">
        <f>MID(表格13[[#This Row],[係數單位]],FIND("/",表格13[[#This Row],[係數單位]])+1,4)</f>
        <v>MWh</v>
      </c>
    </row>
    <row r="214" spans="1:11">
      <c r="A214" s="166" t="s">
        <v>936</v>
      </c>
      <c r="B214" s="167" t="s">
        <v>946</v>
      </c>
      <c r="C214" s="166"/>
      <c r="D214" s="166">
        <v>0.55852000000000002</v>
      </c>
      <c r="E214" s="166" t="s">
        <v>884</v>
      </c>
      <c r="F214" s="166">
        <v>2021</v>
      </c>
      <c r="G214" s="166" t="s">
        <v>1039</v>
      </c>
      <c r="H214" s="71" t="str">
        <f>表格13[[#This Row],[國家/市場]]&amp;表格13[[#This Row],[電網]]&amp;表格13[[#This Row],[電力係數年度]]</f>
        <v>Bosnia &amp; Herzgovina2021</v>
      </c>
      <c r="I214" s="142">
        <f>表格13[[#This Row],[電力係數]]</f>
        <v>0.55852000000000002</v>
      </c>
      <c r="J214" s="71" t="str">
        <f>表格13[[#This Row],[電力係數來源]]</f>
        <v>Association of Issuing Bodies (AIB) 2022</v>
      </c>
      <c r="K214" s="71" t="str">
        <f>MID(表格13[[#This Row],[係數單位]],FIND("/",表格13[[#This Row],[係數單位]])+1,4)</f>
        <v>MWh</v>
      </c>
    </row>
    <row r="215" spans="1:11">
      <c r="A215" s="166" t="s">
        <v>936</v>
      </c>
      <c r="B215" s="167" t="s">
        <v>947</v>
      </c>
      <c r="C215" s="166"/>
      <c r="D215" s="166">
        <v>0.40411999999999998</v>
      </c>
      <c r="E215" s="166" t="s">
        <v>884</v>
      </c>
      <c r="F215" s="166">
        <v>2021</v>
      </c>
      <c r="G215" s="166" t="s">
        <v>1039</v>
      </c>
      <c r="H215" s="71" t="str">
        <f>表格13[[#This Row],[國家/市場]]&amp;表格13[[#This Row],[電網]]&amp;表格13[[#This Row],[電力係數年度]]</f>
        <v>Bulgaria2021</v>
      </c>
      <c r="I215" s="142">
        <f>表格13[[#This Row],[電力係數]]</f>
        <v>0.40411999999999998</v>
      </c>
      <c r="J215" s="71" t="str">
        <f>表格13[[#This Row],[電力係數來源]]</f>
        <v>Association of Issuing Bodies (AIB) 2022</v>
      </c>
      <c r="K215" s="71" t="str">
        <f>MID(表格13[[#This Row],[係數單位]],FIND("/",表格13[[#This Row],[係數單位]])+1,4)</f>
        <v>MWh</v>
      </c>
    </row>
    <row r="216" spans="1:11">
      <c r="A216" s="166" t="s">
        <v>936</v>
      </c>
      <c r="B216" s="167" t="s">
        <v>4</v>
      </c>
      <c r="C216" s="166"/>
      <c r="D216" s="166">
        <v>0.46650000000000003</v>
      </c>
      <c r="E216" s="166" t="s">
        <v>884</v>
      </c>
      <c r="F216" s="166">
        <v>2021</v>
      </c>
      <c r="G216" s="166" t="s">
        <v>1039</v>
      </c>
      <c r="H216" s="71" t="str">
        <f>表格13[[#This Row],[國家/市場]]&amp;表格13[[#This Row],[電網]]&amp;表格13[[#This Row],[電力係數年度]]</f>
        <v>Croatia2021</v>
      </c>
      <c r="I216" s="142">
        <f>表格13[[#This Row],[電力係數]]</f>
        <v>0.46650000000000003</v>
      </c>
      <c r="J216" s="71" t="str">
        <f>表格13[[#This Row],[電力係數來源]]</f>
        <v>Association of Issuing Bodies (AIB) 2022</v>
      </c>
      <c r="K216" s="71" t="str">
        <f>MID(表格13[[#This Row],[係數單位]],FIND("/",表格13[[#This Row],[係數單位]])+1,4)</f>
        <v>MWh</v>
      </c>
    </row>
    <row r="217" spans="1:11">
      <c r="A217" s="166" t="s">
        <v>936</v>
      </c>
      <c r="B217" s="167" t="s">
        <v>948</v>
      </c>
      <c r="C217" s="166"/>
      <c r="D217" s="166">
        <v>0.62507000000000001</v>
      </c>
      <c r="E217" s="166" t="s">
        <v>884</v>
      </c>
      <c r="F217" s="166">
        <v>2021</v>
      </c>
      <c r="G217" s="166" t="s">
        <v>1039</v>
      </c>
      <c r="H217" s="71" t="str">
        <f>表格13[[#This Row],[國家/市場]]&amp;表格13[[#This Row],[電網]]&amp;表格13[[#This Row],[電力係數年度]]</f>
        <v>Cyprus2021</v>
      </c>
      <c r="I217" s="142">
        <f>表格13[[#This Row],[電力係數]]</f>
        <v>0.62507000000000001</v>
      </c>
      <c r="J217" s="71" t="str">
        <f>表格13[[#This Row],[電力係數來源]]</f>
        <v>Association of Issuing Bodies (AIB) 2022</v>
      </c>
      <c r="K217" s="71" t="str">
        <f>MID(表格13[[#This Row],[係數單位]],FIND("/",表格13[[#This Row],[係數單位]])+1,4)</f>
        <v>MWh</v>
      </c>
    </row>
    <row r="218" spans="1:11">
      <c r="A218" s="166" t="s">
        <v>936</v>
      </c>
      <c r="B218" s="167" t="s">
        <v>19</v>
      </c>
      <c r="C218" s="166"/>
      <c r="D218" s="166">
        <v>0.54996</v>
      </c>
      <c r="E218" s="166" t="s">
        <v>884</v>
      </c>
      <c r="F218" s="166">
        <v>2021</v>
      </c>
      <c r="G218" s="166" t="s">
        <v>1039</v>
      </c>
      <c r="H218" s="71" t="str">
        <f>表格13[[#This Row],[國家/市場]]&amp;表格13[[#This Row],[電網]]&amp;表格13[[#This Row],[電力係數年度]]</f>
        <v>Czech Republic2021</v>
      </c>
      <c r="I218" s="142">
        <f>表格13[[#This Row],[電力係數]]</f>
        <v>0.54996</v>
      </c>
      <c r="J218" s="71" t="str">
        <f>表格13[[#This Row],[電力係數來源]]</f>
        <v>Association of Issuing Bodies (AIB) 2022</v>
      </c>
      <c r="K218" s="71" t="str">
        <f>MID(表格13[[#This Row],[係數單位]],FIND("/",表格13[[#This Row],[係數單位]])+1,4)</f>
        <v>MWh</v>
      </c>
    </row>
    <row r="219" spans="1:11">
      <c r="A219" s="166" t="s">
        <v>936</v>
      </c>
      <c r="B219" s="167" t="s">
        <v>950</v>
      </c>
      <c r="C219" s="166"/>
      <c r="D219" s="166">
        <v>0.52932000000000001</v>
      </c>
      <c r="E219" s="166" t="s">
        <v>884</v>
      </c>
      <c r="F219" s="166">
        <v>2021</v>
      </c>
      <c r="G219" s="166" t="s">
        <v>1039</v>
      </c>
      <c r="H219" s="71" t="str">
        <f>表格13[[#This Row],[國家/市場]]&amp;表格13[[#This Row],[電網]]&amp;表格13[[#This Row],[電力係數年度]]</f>
        <v>Denmark2021</v>
      </c>
      <c r="I219" s="142">
        <f>表格13[[#This Row],[電力係數]]</f>
        <v>0.52932000000000001</v>
      </c>
      <c r="J219" s="71" t="str">
        <f>表格13[[#This Row],[電力係數來源]]</f>
        <v>Association of Issuing Bodies (AIB) 2022</v>
      </c>
      <c r="K219" s="71" t="str">
        <f>MID(表格13[[#This Row],[係數單位]],FIND("/",表格13[[#This Row],[係數單位]])+1,4)</f>
        <v>MWh</v>
      </c>
    </row>
    <row r="220" spans="1:11">
      <c r="A220" s="166" t="s">
        <v>936</v>
      </c>
      <c r="B220" s="167" t="s">
        <v>951</v>
      </c>
      <c r="C220" s="166"/>
      <c r="D220" s="166">
        <v>0.63658000000000003</v>
      </c>
      <c r="E220" s="166" t="s">
        <v>884</v>
      </c>
      <c r="F220" s="166">
        <v>2021</v>
      </c>
      <c r="G220" s="166" t="s">
        <v>1039</v>
      </c>
      <c r="H220" s="71" t="str">
        <f>表格13[[#This Row],[國家/市場]]&amp;表格13[[#This Row],[電網]]&amp;表格13[[#This Row],[電力係數年度]]</f>
        <v>Estonia2021</v>
      </c>
      <c r="I220" s="142">
        <f>表格13[[#This Row],[電力係數]]</f>
        <v>0.63658000000000003</v>
      </c>
      <c r="J220" s="71" t="str">
        <f>表格13[[#This Row],[電力係數來源]]</f>
        <v>Association of Issuing Bodies (AIB) 2022</v>
      </c>
      <c r="K220" s="71" t="str">
        <f>MID(表格13[[#This Row],[係數單位]],FIND("/",表格13[[#This Row],[係數單位]])+1,4)</f>
        <v>MWh</v>
      </c>
    </row>
    <row r="221" spans="1:11">
      <c r="A221" s="166" t="s">
        <v>936</v>
      </c>
      <c r="B221" s="167" t="s">
        <v>2</v>
      </c>
      <c r="C221" s="166"/>
      <c r="D221" s="166">
        <v>0.28532000000000002</v>
      </c>
      <c r="E221" s="166" t="s">
        <v>884</v>
      </c>
      <c r="F221" s="166">
        <v>2021</v>
      </c>
      <c r="G221" s="166" t="s">
        <v>1039</v>
      </c>
      <c r="H221" s="71" t="str">
        <f>表格13[[#This Row],[國家/市場]]&amp;表格13[[#This Row],[電網]]&amp;表格13[[#This Row],[電力係數年度]]</f>
        <v>Finland2021</v>
      </c>
      <c r="I221" s="142">
        <f>表格13[[#This Row],[電力係數]]</f>
        <v>0.28532000000000002</v>
      </c>
      <c r="J221" s="71" t="str">
        <f>表格13[[#This Row],[電力係數來源]]</f>
        <v>Association of Issuing Bodies (AIB) 2022</v>
      </c>
      <c r="K221" s="71" t="str">
        <f>MID(表格13[[#This Row],[係數單位]],FIND("/",表格13[[#This Row],[係數單位]])+1,4)</f>
        <v>MWh</v>
      </c>
    </row>
    <row r="222" spans="1:11">
      <c r="A222" s="166" t="s">
        <v>936</v>
      </c>
      <c r="B222" s="167" t="s">
        <v>10</v>
      </c>
      <c r="C222" s="166"/>
      <c r="D222" s="166">
        <v>4.8570000000000002E-2</v>
      </c>
      <c r="E222" s="166" t="s">
        <v>884</v>
      </c>
      <c r="F222" s="166">
        <v>2021</v>
      </c>
      <c r="G222" s="166" t="s">
        <v>1039</v>
      </c>
      <c r="H222" s="71" t="str">
        <f>表格13[[#This Row],[國家/市場]]&amp;表格13[[#This Row],[電網]]&amp;表格13[[#This Row],[電力係數年度]]</f>
        <v>France2021</v>
      </c>
      <c r="I222" s="142">
        <f>表格13[[#This Row],[電力係數]]</f>
        <v>4.8570000000000002E-2</v>
      </c>
      <c r="J222" s="71" t="str">
        <f>表格13[[#This Row],[電力係數來源]]</f>
        <v>Association of Issuing Bodies (AIB) 2022</v>
      </c>
      <c r="K222" s="71" t="str">
        <f>MID(表格13[[#This Row],[係數單位]],FIND("/",表格13[[#This Row],[係數單位]])+1,4)</f>
        <v>MWh</v>
      </c>
    </row>
    <row r="223" spans="1:11">
      <c r="A223" s="166" t="s">
        <v>936</v>
      </c>
      <c r="B223" s="167" t="s">
        <v>26</v>
      </c>
      <c r="C223" s="166"/>
      <c r="D223" s="166">
        <v>0.61783999999999994</v>
      </c>
      <c r="E223" s="166" t="s">
        <v>884</v>
      </c>
      <c r="F223" s="166">
        <v>2021</v>
      </c>
      <c r="G223" s="166" t="s">
        <v>1039</v>
      </c>
      <c r="H223" s="71" t="str">
        <f>表格13[[#This Row],[國家/市場]]&amp;表格13[[#This Row],[電網]]&amp;表格13[[#This Row],[電力係數年度]]</f>
        <v>Germany2021</v>
      </c>
      <c r="I223" s="142">
        <f>表格13[[#This Row],[電力係數]]</f>
        <v>0.61783999999999994</v>
      </c>
      <c r="J223" s="71" t="str">
        <f>表格13[[#This Row],[電力係數來源]]</f>
        <v>Association of Issuing Bodies (AIB) 2022</v>
      </c>
      <c r="K223" s="71" t="str">
        <f>MID(表格13[[#This Row],[係數單位]],FIND("/",表格13[[#This Row],[係數單位]])+1,4)</f>
        <v>MWh</v>
      </c>
    </row>
    <row r="224" spans="1:11">
      <c r="A224" s="166" t="s">
        <v>936</v>
      </c>
      <c r="B224" s="167" t="s">
        <v>952</v>
      </c>
      <c r="C224" s="166"/>
      <c r="D224" s="166">
        <v>0.44463000000000003</v>
      </c>
      <c r="E224" s="166" t="s">
        <v>884</v>
      </c>
      <c r="F224" s="166">
        <v>2021</v>
      </c>
      <c r="G224" s="166" t="s">
        <v>1039</v>
      </c>
      <c r="H224" s="71" t="str">
        <f>表格13[[#This Row],[國家/市場]]&amp;表格13[[#This Row],[電網]]&amp;表格13[[#This Row],[電力係數年度]]</f>
        <v>Greece2021</v>
      </c>
      <c r="I224" s="142">
        <f>表格13[[#This Row],[電力係數]]</f>
        <v>0.44463000000000003</v>
      </c>
      <c r="J224" s="71" t="str">
        <f>表格13[[#This Row],[電力係數來源]]</f>
        <v>Association of Issuing Bodies (AIB) 2022</v>
      </c>
      <c r="K224" s="71" t="str">
        <f>MID(表格13[[#This Row],[係數單位]],FIND("/",表格13[[#This Row],[係數單位]])+1,4)</f>
        <v>MWh</v>
      </c>
    </row>
    <row r="225" spans="1:11">
      <c r="A225" s="166" t="s">
        <v>936</v>
      </c>
      <c r="B225" s="167" t="s">
        <v>953</v>
      </c>
      <c r="C225" s="166"/>
      <c r="D225" s="166">
        <v>0.27626000000000001</v>
      </c>
      <c r="E225" s="166" t="s">
        <v>884</v>
      </c>
      <c r="F225" s="166">
        <v>2021</v>
      </c>
      <c r="G225" s="166" t="s">
        <v>1039</v>
      </c>
      <c r="H225" s="71" t="str">
        <f>表格13[[#This Row],[國家/市場]]&amp;表格13[[#This Row],[電網]]&amp;表格13[[#This Row],[電力係數年度]]</f>
        <v>Hungary2021</v>
      </c>
      <c r="I225" s="142">
        <f>表格13[[#This Row],[電力係數]]</f>
        <v>0.27626000000000001</v>
      </c>
      <c r="J225" s="71" t="str">
        <f>表格13[[#This Row],[電力係數來源]]</f>
        <v>Association of Issuing Bodies (AIB) 2022</v>
      </c>
      <c r="K225" s="71" t="str">
        <f>MID(表格13[[#This Row],[係數單位]],FIND("/",表格13[[#This Row],[係數單位]])+1,4)</f>
        <v>MWh</v>
      </c>
    </row>
    <row r="226" spans="1:11">
      <c r="A226" s="166" t="s">
        <v>936</v>
      </c>
      <c r="B226" s="167" t="s">
        <v>32</v>
      </c>
      <c r="C226" s="166"/>
      <c r="D226" s="166">
        <v>0.42348000000000002</v>
      </c>
      <c r="E226" s="166" t="s">
        <v>884</v>
      </c>
      <c r="F226" s="166">
        <v>2021</v>
      </c>
      <c r="G226" s="166" t="s">
        <v>1039</v>
      </c>
      <c r="H226" s="71" t="str">
        <f>表格13[[#This Row],[國家/市場]]&amp;表格13[[#This Row],[電網]]&amp;表格13[[#This Row],[電力係數年度]]</f>
        <v>Iceland2021</v>
      </c>
      <c r="I226" s="142">
        <f>表格13[[#This Row],[電力係數]]</f>
        <v>0.42348000000000002</v>
      </c>
      <c r="J226" s="71" t="str">
        <f>表格13[[#This Row],[電力係數來源]]</f>
        <v>Association of Issuing Bodies (AIB) 2022</v>
      </c>
      <c r="K226" s="71" t="str">
        <f>MID(表格13[[#This Row],[係數單位]],FIND("/",表格13[[#This Row],[係數單位]])+1,4)</f>
        <v>MWh</v>
      </c>
    </row>
    <row r="227" spans="1:11">
      <c r="A227" s="166" t="s">
        <v>936</v>
      </c>
      <c r="B227" s="167" t="s">
        <v>954</v>
      </c>
      <c r="C227" s="166"/>
      <c r="D227" s="166">
        <v>0.57008999999999999</v>
      </c>
      <c r="E227" s="166" t="s">
        <v>884</v>
      </c>
      <c r="F227" s="166">
        <v>2021</v>
      </c>
      <c r="G227" s="166" t="s">
        <v>1039</v>
      </c>
      <c r="H227" s="71" t="str">
        <f>表格13[[#This Row],[國家/市場]]&amp;表格13[[#This Row],[電網]]&amp;表格13[[#This Row],[電力係數年度]]</f>
        <v>Ireland2021</v>
      </c>
      <c r="I227" s="142">
        <f>表格13[[#This Row],[電力係數]]</f>
        <v>0.57008999999999999</v>
      </c>
      <c r="J227" s="71" t="str">
        <f>表格13[[#This Row],[電力係數來源]]</f>
        <v>Association of Issuing Bodies (AIB) 2022</v>
      </c>
      <c r="K227" s="71" t="str">
        <f>MID(表格13[[#This Row],[係數單位]],FIND("/",表格13[[#This Row],[係數單位]])+1,4)</f>
        <v>MWh</v>
      </c>
    </row>
    <row r="228" spans="1:11">
      <c r="A228" s="166" t="s">
        <v>936</v>
      </c>
      <c r="B228" s="167" t="s">
        <v>18</v>
      </c>
      <c r="C228" s="166"/>
      <c r="D228" s="166">
        <v>0.45656999999999998</v>
      </c>
      <c r="E228" s="166" t="s">
        <v>884</v>
      </c>
      <c r="F228" s="166">
        <v>2021</v>
      </c>
      <c r="G228" s="166" t="s">
        <v>1039</v>
      </c>
      <c r="H228" s="71" t="str">
        <f>表格13[[#This Row],[國家/市場]]&amp;表格13[[#This Row],[電網]]&amp;表格13[[#This Row],[電力係數年度]]</f>
        <v>Italy2021</v>
      </c>
      <c r="I228" s="142">
        <f>表格13[[#This Row],[電力係數]]</f>
        <v>0.45656999999999998</v>
      </c>
      <c r="J228" s="71" t="str">
        <f>表格13[[#This Row],[電力係數來源]]</f>
        <v>Association of Issuing Bodies (AIB) 2022</v>
      </c>
      <c r="K228" s="71" t="str">
        <f>MID(表格13[[#This Row],[係數單位]],FIND("/",表格13[[#This Row],[係數單位]])+1,4)</f>
        <v>MWh</v>
      </c>
    </row>
    <row r="229" spans="1:11">
      <c r="A229" s="166" t="s">
        <v>936</v>
      </c>
      <c r="B229" s="167" t="s">
        <v>955</v>
      </c>
      <c r="C229" s="166"/>
      <c r="D229" s="166">
        <v>0.30258000000000002</v>
      </c>
      <c r="E229" s="166" t="s">
        <v>884</v>
      </c>
      <c r="F229" s="166">
        <v>2021</v>
      </c>
      <c r="G229" s="166" t="s">
        <v>1039</v>
      </c>
      <c r="H229" s="71" t="str">
        <f>表格13[[#This Row],[國家/市場]]&amp;表格13[[#This Row],[電網]]&amp;表格13[[#This Row],[電力係數年度]]</f>
        <v>Latvia2021</v>
      </c>
      <c r="I229" s="142">
        <f>表格13[[#This Row],[電力係數]]</f>
        <v>0.30258000000000002</v>
      </c>
      <c r="J229" s="71" t="str">
        <f>表格13[[#This Row],[電力係數來源]]</f>
        <v>Association of Issuing Bodies (AIB) 2022</v>
      </c>
      <c r="K229" s="71" t="str">
        <f>MID(表格13[[#This Row],[係數單位]],FIND("/",表格13[[#This Row],[係數單位]])+1,4)</f>
        <v>MWh</v>
      </c>
    </row>
    <row r="230" spans="1:11">
      <c r="A230" s="166" t="s">
        <v>936</v>
      </c>
      <c r="B230" s="167" t="s">
        <v>956</v>
      </c>
      <c r="C230" s="166"/>
      <c r="D230" s="166">
        <v>0.38450000000000001</v>
      </c>
      <c r="E230" s="166" t="s">
        <v>884</v>
      </c>
      <c r="F230" s="166">
        <v>2021</v>
      </c>
      <c r="G230" s="166" t="s">
        <v>1039</v>
      </c>
      <c r="H230" s="71" t="str">
        <f>表格13[[#This Row],[國家/市場]]&amp;表格13[[#This Row],[電網]]&amp;表格13[[#This Row],[電力係數年度]]</f>
        <v>Lithuania2021</v>
      </c>
      <c r="I230" s="142">
        <f>表格13[[#This Row],[電力係數]]</f>
        <v>0.38450000000000001</v>
      </c>
      <c r="J230" s="71" t="str">
        <f>表格13[[#This Row],[電力係數來源]]</f>
        <v>Association of Issuing Bodies (AIB) 2022</v>
      </c>
      <c r="K230" s="71" t="str">
        <f>MID(表格13[[#This Row],[係數單位]],FIND("/",表格13[[#This Row],[係數單位]])+1,4)</f>
        <v>MWh</v>
      </c>
    </row>
    <row r="231" spans="1:11">
      <c r="A231" s="166" t="s">
        <v>936</v>
      </c>
      <c r="B231" s="167" t="s">
        <v>957</v>
      </c>
      <c r="C231" s="166"/>
      <c r="D231" s="166">
        <v>0.40305999999999997</v>
      </c>
      <c r="E231" s="166" t="s">
        <v>884</v>
      </c>
      <c r="F231" s="166">
        <v>2021</v>
      </c>
      <c r="G231" s="166" t="s">
        <v>1039</v>
      </c>
      <c r="H231" s="71" t="str">
        <f>表格13[[#This Row],[國家/市場]]&amp;表格13[[#This Row],[電網]]&amp;表格13[[#This Row],[電力係數年度]]</f>
        <v>Luxembourg2021</v>
      </c>
      <c r="I231" s="142">
        <f>表格13[[#This Row],[電力係數]]</f>
        <v>0.40305999999999997</v>
      </c>
      <c r="J231" s="71" t="str">
        <f>表格13[[#This Row],[電力係數來源]]</f>
        <v>Association of Issuing Bodies (AIB) 2022</v>
      </c>
      <c r="K231" s="71" t="str">
        <f>MID(表格13[[#This Row],[係數單位]],FIND("/",表格13[[#This Row],[係數單位]])+1,4)</f>
        <v>MWh</v>
      </c>
    </row>
    <row r="232" spans="1:11">
      <c r="A232" s="166" t="s">
        <v>936</v>
      </c>
      <c r="B232" s="167" t="s">
        <v>958</v>
      </c>
      <c r="C232" s="166"/>
      <c r="D232" s="166">
        <v>0.62365999999999999</v>
      </c>
      <c r="E232" s="166" t="s">
        <v>884</v>
      </c>
      <c r="F232" s="166">
        <v>2021</v>
      </c>
      <c r="G232" s="166" t="s">
        <v>1039</v>
      </c>
      <c r="H232" s="71" t="str">
        <f>表格13[[#This Row],[國家/市場]]&amp;表格13[[#This Row],[電網]]&amp;表格13[[#This Row],[電力係數年度]]</f>
        <v>Malta2021</v>
      </c>
      <c r="I232" s="142">
        <f>表格13[[#This Row],[電力係數]]</f>
        <v>0.62365999999999999</v>
      </c>
      <c r="J232" s="71" t="str">
        <f>表格13[[#This Row],[電力係數來源]]</f>
        <v>Association of Issuing Bodies (AIB) 2022</v>
      </c>
      <c r="K232" s="71" t="str">
        <f>MID(表格13[[#This Row],[係數單位]],FIND("/",表格13[[#This Row],[係數單位]])+1,4)</f>
        <v>MWh</v>
      </c>
    </row>
    <row r="233" spans="1:11">
      <c r="A233" s="166" t="s">
        <v>936</v>
      </c>
      <c r="B233" s="167" t="s">
        <v>13</v>
      </c>
      <c r="C233" s="166"/>
      <c r="D233" s="166">
        <v>0.45073999999999997</v>
      </c>
      <c r="E233" s="166" t="s">
        <v>884</v>
      </c>
      <c r="F233" s="166">
        <v>2021</v>
      </c>
      <c r="G233" s="166" t="s">
        <v>1039</v>
      </c>
      <c r="H233" s="71" t="str">
        <f>表格13[[#This Row],[國家/市場]]&amp;表格13[[#This Row],[電網]]&amp;表格13[[#This Row],[電力係數年度]]</f>
        <v>Netherlands2021</v>
      </c>
      <c r="I233" s="142">
        <f>表格13[[#This Row],[電力係數]]</f>
        <v>0.45073999999999997</v>
      </c>
      <c r="J233" s="71" t="str">
        <f>表格13[[#This Row],[電力係數來源]]</f>
        <v>Association of Issuing Bodies (AIB) 2022</v>
      </c>
      <c r="K233" s="71" t="str">
        <f>MID(表格13[[#This Row],[係數單位]],FIND("/",表格13[[#This Row],[係數單位]])+1,4)</f>
        <v>MWh</v>
      </c>
    </row>
    <row r="234" spans="1:11">
      <c r="A234" s="166" t="s">
        <v>936</v>
      </c>
      <c r="B234" s="167" t="s">
        <v>8</v>
      </c>
      <c r="C234" s="166"/>
      <c r="D234" s="166">
        <v>0.40490999999999999</v>
      </c>
      <c r="E234" s="166" t="s">
        <v>884</v>
      </c>
      <c r="F234" s="166">
        <v>2021</v>
      </c>
      <c r="G234" s="166" t="s">
        <v>1039</v>
      </c>
      <c r="H234" s="71" t="str">
        <f>表格13[[#This Row],[國家/市場]]&amp;表格13[[#This Row],[電網]]&amp;表格13[[#This Row],[電力係數年度]]</f>
        <v>Norway2021</v>
      </c>
      <c r="I234" s="142">
        <f>表格13[[#This Row],[電力係數]]</f>
        <v>0.40490999999999999</v>
      </c>
      <c r="J234" s="71" t="str">
        <f>表格13[[#This Row],[電力係數來源]]</f>
        <v>Association of Issuing Bodies (AIB) 2022</v>
      </c>
      <c r="K234" s="71" t="str">
        <f>MID(表格13[[#This Row],[係數單位]],FIND("/",表格13[[#This Row],[係數單位]])+1,4)</f>
        <v>MWh</v>
      </c>
    </row>
    <row r="235" spans="1:11">
      <c r="A235" s="166" t="s">
        <v>936</v>
      </c>
      <c r="B235" s="167" t="s">
        <v>9</v>
      </c>
      <c r="C235" s="166"/>
      <c r="D235" s="166">
        <v>0.85021000000000002</v>
      </c>
      <c r="E235" s="166" t="s">
        <v>884</v>
      </c>
      <c r="F235" s="166">
        <v>2021</v>
      </c>
      <c r="G235" s="166" t="s">
        <v>1039</v>
      </c>
      <c r="H235" s="71" t="str">
        <f>表格13[[#This Row],[國家/市場]]&amp;表格13[[#This Row],[電網]]&amp;表格13[[#This Row],[電力係數年度]]</f>
        <v>Poland2021</v>
      </c>
      <c r="I235" s="142">
        <f>表格13[[#This Row],[電力係數]]</f>
        <v>0.85021000000000002</v>
      </c>
      <c r="J235" s="71" t="str">
        <f>表格13[[#This Row],[電力係數來源]]</f>
        <v>Association of Issuing Bodies (AIB) 2022</v>
      </c>
      <c r="K235" s="71" t="str">
        <f>MID(表格13[[#This Row],[係數單位]],FIND("/",表格13[[#This Row],[係數單位]])+1,4)</f>
        <v>MWh</v>
      </c>
    </row>
    <row r="236" spans="1:11">
      <c r="A236" s="166" t="s">
        <v>936</v>
      </c>
      <c r="B236" s="167" t="s">
        <v>961</v>
      </c>
      <c r="C236" s="166"/>
      <c r="D236" s="166">
        <v>0.28105999999999998</v>
      </c>
      <c r="E236" s="166" t="s">
        <v>884</v>
      </c>
      <c r="F236" s="166">
        <v>2021</v>
      </c>
      <c r="G236" s="166" t="s">
        <v>1039</v>
      </c>
      <c r="H236" s="71" t="str">
        <f>表格13[[#This Row],[國家/市場]]&amp;表格13[[#This Row],[電網]]&amp;表格13[[#This Row],[電力係數年度]]</f>
        <v>Portugal2021</v>
      </c>
      <c r="I236" s="142">
        <f>表格13[[#This Row],[電力係數]]</f>
        <v>0.28105999999999998</v>
      </c>
      <c r="J236" s="71" t="str">
        <f>表格13[[#This Row],[電力係數來源]]</f>
        <v>Association of Issuing Bodies (AIB) 2022</v>
      </c>
      <c r="K236" s="71" t="str">
        <f>MID(表格13[[#This Row],[係數單位]],FIND("/",表格13[[#This Row],[係數單位]])+1,4)</f>
        <v>MWh</v>
      </c>
    </row>
    <row r="237" spans="1:11">
      <c r="A237" s="166" t="s">
        <v>936</v>
      </c>
      <c r="B237" s="167" t="s">
        <v>50</v>
      </c>
      <c r="C237" s="166"/>
      <c r="D237" s="166">
        <v>0.28165000000000001</v>
      </c>
      <c r="E237" s="166" t="s">
        <v>884</v>
      </c>
      <c r="F237" s="166">
        <v>2021</v>
      </c>
      <c r="G237" s="166" t="s">
        <v>1039</v>
      </c>
      <c r="H237" s="71" t="str">
        <f>表格13[[#This Row],[國家/市場]]&amp;表格13[[#This Row],[電網]]&amp;表格13[[#This Row],[電力係數年度]]</f>
        <v>Romania2021</v>
      </c>
      <c r="I237" s="142">
        <f>表格13[[#This Row],[電力係數]]</f>
        <v>0.28165000000000001</v>
      </c>
      <c r="J237" s="71" t="str">
        <f>表格13[[#This Row],[電力係數來源]]</f>
        <v>Association of Issuing Bodies (AIB) 2022</v>
      </c>
      <c r="K237" s="71" t="str">
        <f>MID(表格13[[#This Row],[係數單位]],FIND("/",表格13[[#This Row],[係數單位]])+1,4)</f>
        <v>MWh</v>
      </c>
    </row>
    <row r="238" spans="1:11">
      <c r="A238" s="166" t="s">
        <v>936</v>
      </c>
      <c r="B238" s="167" t="s">
        <v>962</v>
      </c>
      <c r="C238" s="166"/>
      <c r="D238" s="166">
        <v>0.76373999999999997</v>
      </c>
      <c r="E238" s="166" t="s">
        <v>884</v>
      </c>
      <c r="F238" s="166">
        <v>2021</v>
      </c>
      <c r="G238" s="166" t="s">
        <v>1039</v>
      </c>
      <c r="H238" s="71" t="str">
        <f>表格13[[#This Row],[國家/市場]]&amp;表格13[[#This Row],[電網]]&amp;表格13[[#This Row],[電力係數年度]]</f>
        <v>Serbia2021</v>
      </c>
      <c r="I238" s="142">
        <f>表格13[[#This Row],[電力係數]]</f>
        <v>0.76373999999999997</v>
      </c>
      <c r="J238" s="71" t="str">
        <f>表格13[[#This Row],[電力係數來源]]</f>
        <v>Association of Issuing Bodies (AIB) 2022</v>
      </c>
      <c r="K238" s="71" t="str">
        <f>MID(表格13[[#This Row],[係數單位]],FIND("/",表格13[[#This Row],[係數單位]])+1,4)</f>
        <v>MWh</v>
      </c>
    </row>
    <row r="239" spans="1:11">
      <c r="A239" s="166" t="s">
        <v>936</v>
      </c>
      <c r="B239" s="167" t="s">
        <v>14</v>
      </c>
      <c r="C239" s="166"/>
      <c r="D239" s="166">
        <v>0.18462000000000001</v>
      </c>
      <c r="E239" s="166" t="s">
        <v>884</v>
      </c>
      <c r="F239" s="166">
        <v>2021</v>
      </c>
      <c r="G239" s="166" t="s">
        <v>1039</v>
      </c>
      <c r="H239" s="71" t="str">
        <f>表格13[[#This Row],[國家/市場]]&amp;表格13[[#This Row],[電網]]&amp;表格13[[#This Row],[電力係數年度]]</f>
        <v>Slovakia2021</v>
      </c>
      <c r="I239" s="142">
        <f>表格13[[#This Row],[電力係數]]</f>
        <v>0.18462000000000001</v>
      </c>
      <c r="J239" s="71" t="str">
        <f>表格13[[#This Row],[電力係數來源]]</f>
        <v>Association of Issuing Bodies (AIB) 2022</v>
      </c>
      <c r="K239" s="71" t="str">
        <f>MID(表格13[[#This Row],[係數單位]],FIND("/",表格13[[#This Row],[係數單位]])+1,4)</f>
        <v>MWh</v>
      </c>
    </row>
    <row r="240" spans="1:11">
      <c r="A240" s="166" t="s">
        <v>936</v>
      </c>
      <c r="B240" s="167" t="s">
        <v>963</v>
      </c>
      <c r="C240" s="166"/>
      <c r="D240" s="166">
        <v>0.56544000000000005</v>
      </c>
      <c r="E240" s="166" t="s">
        <v>884</v>
      </c>
      <c r="F240" s="166">
        <v>2021</v>
      </c>
      <c r="G240" s="166" t="s">
        <v>1039</v>
      </c>
      <c r="H240" s="71" t="str">
        <f>表格13[[#This Row],[國家/市場]]&amp;表格13[[#This Row],[電網]]&amp;表格13[[#This Row],[電力係數年度]]</f>
        <v>Slovenia2021</v>
      </c>
      <c r="I240" s="142">
        <f>表格13[[#This Row],[電力係數]]</f>
        <v>0.56544000000000005</v>
      </c>
      <c r="J240" s="71" t="str">
        <f>表格13[[#This Row],[電力係數來源]]</f>
        <v>Association of Issuing Bodies (AIB) 2022</v>
      </c>
      <c r="K240" s="71" t="str">
        <f>MID(表格13[[#This Row],[係數單位]],FIND("/",表格13[[#This Row],[係數單位]])+1,4)</f>
        <v>MWh</v>
      </c>
    </row>
    <row r="241" spans="1:11">
      <c r="A241" s="166" t="s">
        <v>936</v>
      </c>
      <c r="B241" s="167" t="s">
        <v>5</v>
      </c>
      <c r="C241" s="166"/>
      <c r="D241" s="166">
        <v>0.29582999999999998</v>
      </c>
      <c r="E241" s="166" t="s">
        <v>884</v>
      </c>
      <c r="F241" s="166">
        <v>2021</v>
      </c>
      <c r="G241" s="166" t="s">
        <v>1039</v>
      </c>
      <c r="H241" s="71" t="str">
        <f>表格13[[#This Row],[國家/市場]]&amp;表格13[[#This Row],[電網]]&amp;表格13[[#This Row],[電力係數年度]]</f>
        <v>Spain2021</v>
      </c>
      <c r="I241" s="142">
        <f>表格13[[#This Row],[電力係數]]</f>
        <v>0.29582999999999998</v>
      </c>
      <c r="J241" s="71" t="str">
        <f>表格13[[#This Row],[電力係數來源]]</f>
        <v>Association of Issuing Bodies (AIB) 2022</v>
      </c>
      <c r="K241" s="71" t="str">
        <f>MID(表格13[[#This Row],[係數單位]],FIND("/",表格13[[#This Row],[係數單位]])+1,4)</f>
        <v>MWh</v>
      </c>
    </row>
    <row r="242" spans="1:11">
      <c r="A242" s="166" t="s">
        <v>936</v>
      </c>
      <c r="B242" s="167" t="s">
        <v>12</v>
      </c>
      <c r="C242" s="166"/>
      <c r="D242" s="166">
        <v>7.6630000000000004E-2</v>
      </c>
      <c r="E242" s="166" t="s">
        <v>884</v>
      </c>
      <c r="F242" s="166">
        <v>2021</v>
      </c>
      <c r="G242" s="166" t="s">
        <v>1039</v>
      </c>
      <c r="H242" s="71" t="str">
        <f>表格13[[#This Row],[國家/市場]]&amp;表格13[[#This Row],[電網]]&amp;表格13[[#This Row],[電力係數年度]]</f>
        <v>Sweden2021</v>
      </c>
      <c r="I242" s="142">
        <f>表格13[[#This Row],[電力係數]]</f>
        <v>7.6630000000000004E-2</v>
      </c>
      <c r="J242" s="71" t="str">
        <f>表格13[[#This Row],[電力係數來源]]</f>
        <v>Association of Issuing Bodies (AIB) 2022</v>
      </c>
      <c r="K242" s="71" t="str">
        <f>MID(表格13[[#This Row],[係數單位]],FIND("/",表格13[[#This Row],[係數單位]])+1,4)</f>
        <v>MWh</v>
      </c>
    </row>
    <row r="243" spans="1:11">
      <c r="A243" s="166" t="s">
        <v>936</v>
      </c>
      <c r="B243" s="167" t="s">
        <v>20</v>
      </c>
      <c r="C243" s="166"/>
      <c r="D243" s="166">
        <v>1.915E-2</v>
      </c>
      <c r="E243" s="166" t="s">
        <v>884</v>
      </c>
      <c r="F243" s="166">
        <v>2021</v>
      </c>
      <c r="G243" s="166" t="s">
        <v>1039</v>
      </c>
      <c r="H243" s="71" t="str">
        <f>表格13[[#This Row],[國家/市場]]&amp;表格13[[#This Row],[電網]]&amp;表格13[[#This Row],[電力係數年度]]</f>
        <v>Switzerland2021</v>
      </c>
      <c r="I243" s="142">
        <f>表格13[[#This Row],[電力係數]]</f>
        <v>1.915E-2</v>
      </c>
      <c r="J243" s="71" t="str">
        <f>表格13[[#This Row],[電力係數來源]]</f>
        <v>Association of Issuing Bodies (AIB) 2022</v>
      </c>
      <c r="K243" s="71" t="str">
        <f>MID(表格13[[#This Row],[係數單位]],FIND("/",表格13[[#This Row],[係數單位]])+1,4)</f>
        <v>MWh</v>
      </c>
    </row>
    <row r="244" spans="1:11">
      <c r="A244" s="166" t="s">
        <v>936</v>
      </c>
      <c r="B244" s="167" t="s">
        <v>1</v>
      </c>
      <c r="C244" s="166"/>
      <c r="D244" s="166">
        <v>0.35116999999999998</v>
      </c>
      <c r="E244" s="166" t="s">
        <v>884</v>
      </c>
      <c r="F244" s="166">
        <v>2021</v>
      </c>
      <c r="G244" s="166" t="s">
        <v>1039</v>
      </c>
      <c r="H244" s="71" t="str">
        <f>表格13[[#This Row],[國家/市場]]&amp;表格13[[#This Row],[電網]]&amp;表格13[[#This Row],[電力係數年度]]</f>
        <v>United Kingdom2021</v>
      </c>
      <c r="I244" s="142">
        <f>表格13[[#This Row],[電力係數]]</f>
        <v>0.35116999999999998</v>
      </c>
      <c r="J244" s="71" t="str">
        <f>表格13[[#This Row],[電力係數來源]]</f>
        <v>Association of Issuing Bodies (AIB) 2022</v>
      </c>
      <c r="K244" s="71" t="str">
        <f>MID(表格13[[#This Row],[係數單位]],FIND("/",表格13[[#This Row],[係數單位]])+1,4)</f>
        <v>MWh</v>
      </c>
    </row>
    <row r="245" spans="1:11">
      <c r="A245" s="166" t="s">
        <v>917</v>
      </c>
      <c r="B245" s="167" t="s">
        <v>16</v>
      </c>
      <c r="C245" s="166"/>
      <c r="D245" s="166">
        <v>0.47087899999999999</v>
      </c>
      <c r="E245" s="166" t="s">
        <v>884</v>
      </c>
      <c r="F245" s="166">
        <v>2021</v>
      </c>
      <c r="G245" s="166" t="s">
        <v>920</v>
      </c>
      <c r="H245" s="71" t="str">
        <f>表格13[[#This Row],[國家/市場]]&amp;表格13[[#This Row],[電網]]&amp;表格13[[#This Row],[電力係數年度]]</f>
        <v>Egypt2021</v>
      </c>
      <c r="I245" s="142">
        <f>表格13[[#This Row],[電力係數]]</f>
        <v>0.47087899999999999</v>
      </c>
      <c r="J245" s="71" t="str">
        <f>表格13[[#This Row],[電力係數來源]]</f>
        <v>Ember-GER-2022</v>
      </c>
      <c r="K245" s="71" t="str">
        <f>MID(表格13[[#This Row],[係數單位]],FIND("/",表格13[[#This Row],[係數單位]])+1,4)</f>
        <v>MWh</v>
      </c>
    </row>
    <row r="246" spans="1:11">
      <c r="A246" s="166"/>
      <c r="B246" s="167"/>
      <c r="C246" s="166"/>
      <c r="D246" s="166"/>
      <c r="E246" s="166"/>
      <c r="F246" s="166"/>
      <c r="G246" s="166"/>
      <c r="H246" s="142"/>
    </row>
    <row r="247" spans="1:11">
      <c r="A247" s="166"/>
      <c r="B247" s="167"/>
      <c r="C247" s="166"/>
      <c r="D247" s="166"/>
      <c r="E247" s="166"/>
      <c r="F247" s="166"/>
      <c r="G247" s="166"/>
      <c r="H247" s="142"/>
    </row>
    <row r="248" spans="1:11">
      <c r="A248" s="166"/>
      <c r="B248" s="167"/>
      <c r="C248" s="166"/>
      <c r="D248" s="166"/>
      <c r="E248" s="166"/>
      <c r="F248" s="166"/>
      <c r="G248" s="166"/>
      <c r="H248" s="142"/>
    </row>
    <row r="249" spans="1:11">
      <c r="A249" s="142"/>
      <c r="B249" s="144"/>
      <c r="C249" s="142"/>
      <c r="D249" s="142"/>
      <c r="E249" s="142"/>
      <c r="F249" s="142"/>
      <c r="G249" s="142"/>
      <c r="H249" s="142"/>
    </row>
    <row r="250" spans="1:11">
      <c r="A250" s="142"/>
      <c r="B250" s="144"/>
      <c r="C250" s="142"/>
      <c r="D250" s="142"/>
      <c r="E250" s="142"/>
      <c r="F250" s="142"/>
      <c r="G250" s="142"/>
      <c r="H250" s="142"/>
    </row>
    <row r="251" spans="1:11">
      <c r="A251" s="142"/>
      <c r="B251" s="144"/>
      <c r="C251" s="142"/>
      <c r="D251" s="142"/>
      <c r="E251" s="142"/>
      <c r="F251" s="142"/>
      <c r="G251" s="142"/>
      <c r="H251" s="142"/>
    </row>
    <row r="252" spans="1:11">
      <c r="A252" s="142"/>
      <c r="B252" s="144"/>
      <c r="C252" s="142"/>
      <c r="D252" s="142"/>
      <c r="E252" s="142"/>
      <c r="F252" s="142"/>
      <c r="G252" s="142"/>
      <c r="H252" s="142"/>
    </row>
    <row r="253" spans="1:11">
      <c r="A253" s="142"/>
      <c r="B253" s="144"/>
      <c r="C253" s="142"/>
      <c r="D253" s="142"/>
      <c r="E253" s="142"/>
      <c r="F253" s="142"/>
      <c r="G253" s="142"/>
      <c r="H253" s="142"/>
    </row>
    <row r="254" spans="1:11">
      <c r="A254" s="142"/>
      <c r="B254" s="144"/>
      <c r="C254" s="142"/>
      <c r="D254" s="142"/>
      <c r="E254" s="142"/>
      <c r="F254" s="142"/>
      <c r="G254" s="142"/>
      <c r="H254" s="142"/>
    </row>
    <row r="255" spans="1:11">
      <c r="A255" s="142"/>
      <c r="B255" s="144"/>
      <c r="C255" s="142"/>
      <c r="D255" s="142"/>
      <c r="E255" s="142"/>
      <c r="F255" s="142"/>
      <c r="G255" s="142"/>
      <c r="H255" s="142"/>
    </row>
    <row r="256" spans="1:11">
      <c r="A256" s="142"/>
      <c r="B256" s="144"/>
      <c r="C256" s="142"/>
      <c r="D256" s="609"/>
      <c r="E256" s="609"/>
      <c r="F256" s="609"/>
      <c r="G256" s="142"/>
      <c r="H256" s="142"/>
    </row>
    <row r="257" spans="1:8">
      <c r="A257" s="142"/>
      <c r="B257" s="144"/>
      <c r="C257" s="142"/>
      <c r="D257" s="143"/>
      <c r="E257" s="143"/>
      <c r="F257" s="143"/>
      <c r="G257" s="142"/>
      <c r="H257" s="142"/>
    </row>
    <row r="258" spans="1:8">
      <c r="A258" s="142"/>
      <c r="B258" s="144"/>
      <c r="C258" s="142"/>
      <c r="D258" s="142"/>
      <c r="E258" s="142"/>
      <c r="F258" s="142"/>
      <c r="G258" s="142"/>
      <c r="H258" s="142"/>
    </row>
    <row r="259" spans="1:8">
      <c r="A259" s="142"/>
      <c r="B259" s="144"/>
      <c r="C259" s="142"/>
      <c r="D259" s="142"/>
      <c r="E259" s="142"/>
      <c r="F259" s="142"/>
      <c r="G259" s="142"/>
      <c r="H259" s="142"/>
    </row>
    <row r="260" spans="1:8">
      <c r="A260" s="142"/>
      <c r="B260" s="144"/>
      <c r="C260" s="142"/>
      <c r="D260" s="145"/>
      <c r="E260" s="145"/>
      <c r="F260" s="145"/>
      <c r="G260" s="142"/>
      <c r="H260" s="142"/>
    </row>
    <row r="261" spans="1:8">
      <c r="A261" s="142"/>
      <c r="B261" s="144"/>
      <c r="C261" s="142"/>
      <c r="D261" s="145"/>
      <c r="E261" s="145"/>
      <c r="F261" s="145"/>
      <c r="G261" s="142"/>
      <c r="H261" s="142"/>
    </row>
    <row r="262" spans="1:8">
      <c r="A262" s="142"/>
      <c r="B262" s="144"/>
      <c r="C262" s="142"/>
      <c r="D262" s="145"/>
      <c r="E262" s="145"/>
      <c r="F262" s="145"/>
      <c r="G262" s="142"/>
      <c r="H262" s="142"/>
    </row>
    <row r="263" spans="1:8">
      <c r="A263" s="142"/>
      <c r="B263" s="144"/>
      <c r="C263" s="142"/>
      <c r="D263" s="145"/>
      <c r="E263" s="145"/>
      <c r="F263" s="145"/>
      <c r="G263" s="142"/>
      <c r="H263" s="142"/>
    </row>
    <row r="264" spans="1:8">
      <c r="A264" s="142"/>
      <c r="B264" s="144"/>
      <c r="C264" s="142"/>
      <c r="D264" s="145"/>
      <c r="E264" s="145"/>
      <c r="F264" s="145"/>
      <c r="G264" s="142"/>
      <c r="H264" s="142"/>
    </row>
    <row r="265" spans="1:8">
      <c r="A265" s="142"/>
      <c r="B265" s="144"/>
      <c r="C265" s="142"/>
      <c r="D265" s="145"/>
      <c r="E265" s="145"/>
      <c r="F265" s="145"/>
      <c r="G265" s="142"/>
      <c r="H265" s="142"/>
    </row>
    <row r="266" spans="1:8">
      <c r="A266" s="142"/>
      <c r="B266" s="144"/>
      <c r="C266" s="142"/>
      <c r="D266" s="145"/>
      <c r="E266" s="145"/>
      <c r="F266" s="145"/>
      <c r="G266" s="142"/>
      <c r="H266" s="142"/>
    </row>
    <row r="267" spans="1:8">
      <c r="A267" s="142"/>
      <c r="B267" s="144"/>
      <c r="C267" s="142"/>
      <c r="D267" s="145"/>
      <c r="E267" s="145"/>
      <c r="F267" s="145"/>
      <c r="G267" s="142"/>
      <c r="H267" s="142"/>
    </row>
    <row r="268" spans="1:8">
      <c r="A268" s="142"/>
      <c r="B268" s="144"/>
      <c r="C268" s="142"/>
      <c r="D268" s="142"/>
      <c r="E268" s="142"/>
      <c r="F268" s="142"/>
      <c r="G268" s="142"/>
      <c r="H268" s="142"/>
    </row>
    <row r="269" spans="1:8">
      <c r="A269" s="142"/>
      <c r="B269" s="144"/>
      <c r="C269" s="142"/>
      <c r="D269" s="142"/>
      <c r="E269" s="142"/>
      <c r="F269" s="142"/>
      <c r="G269" s="142"/>
      <c r="H269" s="142"/>
    </row>
    <row r="270" spans="1:8">
      <c r="A270" s="142"/>
      <c r="B270" s="144"/>
      <c r="C270" s="142"/>
      <c r="D270" s="142"/>
      <c r="E270" s="142"/>
      <c r="F270" s="142"/>
      <c r="G270" s="142"/>
      <c r="H270" s="142"/>
    </row>
    <row r="271" spans="1:8">
      <c r="A271" s="142"/>
      <c r="B271" s="144"/>
      <c r="C271" s="142"/>
      <c r="D271" s="142"/>
      <c r="E271" s="142"/>
      <c r="F271" s="142"/>
      <c r="G271" s="142"/>
      <c r="H271" s="142"/>
    </row>
    <row r="272" spans="1:8">
      <c r="A272" s="142"/>
      <c r="B272" s="144"/>
      <c r="C272" s="142"/>
      <c r="D272" s="142"/>
      <c r="E272" s="142"/>
      <c r="F272" s="142"/>
      <c r="G272" s="142"/>
      <c r="H272" s="142"/>
    </row>
    <row r="273" spans="1:8">
      <c r="A273" s="142"/>
      <c r="B273" s="144"/>
      <c r="C273" s="142"/>
      <c r="D273" s="142"/>
      <c r="E273" s="142"/>
      <c r="F273" s="142"/>
      <c r="G273" s="142"/>
      <c r="H273" s="142"/>
    </row>
    <row r="274" spans="1:8">
      <c r="A274" s="142"/>
      <c r="B274" s="144"/>
      <c r="C274" s="142"/>
      <c r="D274" s="142"/>
      <c r="E274" s="142"/>
      <c r="F274" s="142"/>
      <c r="G274" s="142"/>
      <c r="H274" s="142"/>
    </row>
    <row r="275" spans="1:8">
      <c r="A275" s="142"/>
      <c r="B275" s="144"/>
      <c r="C275" s="142"/>
      <c r="D275" s="142"/>
      <c r="E275" s="142"/>
      <c r="F275" s="142"/>
      <c r="G275" s="142"/>
      <c r="H275" s="142"/>
    </row>
    <row r="276" spans="1:8">
      <c r="A276" s="142"/>
      <c r="B276" s="144"/>
      <c r="C276" s="142"/>
      <c r="D276" s="142"/>
      <c r="E276" s="142"/>
      <c r="F276" s="142"/>
      <c r="G276" s="142"/>
      <c r="H276" s="142"/>
    </row>
    <row r="277" spans="1:8">
      <c r="A277" s="142"/>
      <c r="B277" s="144"/>
      <c r="C277" s="142"/>
      <c r="D277" s="142"/>
      <c r="E277" s="142"/>
      <c r="F277" s="142"/>
      <c r="G277" s="142"/>
      <c r="H277" s="142"/>
    </row>
    <row r="278" spans="1:8">
      <c r="A278" s="142"/>
      <c r="B278" s="144"/>
      <c r="C278" s="142"/>
      <c r="D278" s="142"/>
      <c r="E278" s="142"/>
      <c r="F278" s="142"/>
      <c r="G278" s="142"/>
      <c r="H278" s="142"/>
    </row>
    <row r="279" spans="1:8">
      <c r="A279" s="142"/>
      <c r="B279" s="144"/>
      <c r="C279" s="142"/>
      <c r="D279" s="142"/>
      <c r="E279" s="142"/>
      <c r="F279" s="142"/>
      <c r="G279" s="142"/>
      <c r="H279" s="142"/>
    </row>
    <row r="280" spans="1:8">
      <c r="A280" s="142"/>
      <c r="B280" s="144"/>
      <c r="C280" s="142"/>
      <c r="D280" s="142"/>
      <c r="E280" s="142"/>
      <c r="F280" s="142"/>
      <c r="G280" s="142"/>
      <c r="H280" s="142"/>
    </row>
    <row r="281" spans="1:8">
      <c r="A281" s="142"/>
      <c r="B281" s="144"/>
      <c r="C281" s="142"/>
      <c r="D281" s="142"/>
      <c r="E281" s="142"/>
      <c r="F281" s="142"/>
      <c r="G281" s="142"/>
      <c r="H281" s="142"/>
    </row>
    <row r="282" spans="1:8">
      <c r="A282" s="142"/>
      <c r="B282" s="144"/>
      <c r="C282" s="142"/>
      <c r="D282" s="142"/>
      <c r="E282" s="142"/>
      <c r="F282" s="142"/>
      <c r="G282" s="142"/>
      <c r="H282" s="142"/>
    </row>
    <row r="283" spans="1:8">
      <c r="A283" s="142"/>
      <c r="B283" s="144"/>
      <c r="C283" s="142"/>
      <c r="D283" s="142"/>
      <c r="E283" s="142"/>
      <c r="F283" s="142"/>
      <c r="G283" s="142"/>
      <c r="H283" s="142"/>
    </row>
    <row r="284" spans="1:8">
      <c r="A284" s="142"/>
      <c r="B284" s="144"/>
      <c r="C284" s="142"/>
      <c r="D284" s="142"/>
      <c r="E284" s="142"/>
      <c r="F284" s="142"/>
      <c r="G284" s="142"/>
      <c r="H284" s="142"/>
    </row>
    <row r="285" spans="1:8">
      <c r="A285" s="142"/>
      <c r="B285" s="144"/>
      <c r="C285" s="142"/>
      <c r="D285" s="142"/>
      <c r="E285" s="142"/>
      <c r="F285" s="142"/>
      <c r="G285" s="142"/>
      <c r="H285" s="142"/>
    </row>
    <row r="286" spans="1:8">
      <c r="A286" s="142"/>
      <c r="B286" s="144"/>
      <c r="C286" s="142"/>
      <c r="D286" s="142"/>
      <c r="E286" s="142"/>
      <c r="F286" s="142"/>
      <c r="G286" s="142"/>
      <c r="H286" s="142"/>
    </row>
    <row r="287" spans="1:8">
      <c r="A287" s="142"/>
      <c r="B287" s="144"/>
      <c r="C287" s="142"/>
      <c r="D287" s="142"/>
      <c r="E287" s="142"/>
      <c r="F287" s="142"/>
      <c r="G287" s="142"/>
      <c r="H287" s="142"/>
    </row>
    <row r="288" spans="1:8">
      <c r="A288" s="142"/>
      <c r="B288" s="144"/>
      <c r="C288" s="142"/>
      <c r="D288" s="142"/>
      <c r="E288" s="142"/>
      <c r="F288" s="142"/>
      <c r="G288" s="142"/>
      <c r="H288" s="142"/>
    </row>
    <row r="289" spans="1:8">
      <c r="A289" s="142"/>
      <c r="B289" s="144"/>
      <c r="C289" s="142"/>
      <c r="D289" s="142"/>
      <c r="E289" s="142"/>
      <c r="F289" s="142"/>
      <c r="G289" s="142"/>
      <c r="H289" s="142"/>
    </row>
    <row r="290" spans="1:8">
      <c r="A290" s="142"/>
      <c r="B290" s="144"/>
      <c r="C290" s="142"/>
      <c r="D290" s="143"/>
      <c r="E290" s="143"/>
      <c r="F290" s="143"/>
      <c r="G290" s="142"/>
      <c r="H290" s="142"/>
    </row>
    <row r="291" spans="1:8">
      <c r="A291" s="142"/>
      <c r="B291" s="144"/>
      <c r="C291" s="142"/>
      <c r="D291" s="143"/>
      <c r="E291" s="143"/>
      <c r="F291" s="143"/>
      <c r="G291" s="142"/>
      <c r="H291" s="142"/>
    </row>
    <row r="292" spans="1:8">
      <c r="A292" s="142"/>
      <c r="B292" s="144"/>
      <c r="C292" s="142"/>
      <c r="D292" s="143"/>
      <c r="E292" s="143"/>
      <c r="F292" s="143"/>
      <c r="G292" s="142"/>
      <c r="H292" s="142"/>
    </row>
    <row r="293" spans="1:8">
      <c r="A293" s="142"/>
      <c r="B293" s="144"/>
      <c r="C293" s="142"/>
      <c r="D293" s="143"/>
      <c r="E293" s="143"/>
      <c r="F293" s="143"/>
      <c r="G293" s="142"/>
      <c r="H293" s="142"/>
    </row>
    <row r="294" spans="1:8">
      <c r="A294" s="142"/>
      <c r="B294" s="144"/>
      <c r="C294" s="142"/>
      <c r="D294" s="143"/>
      <c r="E294" s="143"/>
      <c r="F294" s="143"/>
      <c r="G294" s="142"/>
      <c r="H294" s="142"/>
    </row>
    <row r="295" spans="1:8">
      <c r="A295" s="142"/>
      <c r="B295" s="144"/>
      <c r="C295" s="142"/>
      <c r="D295" s="143"/>
      <c r="E295" s="143"/>
      <c r="F295" s="143"/>
      <c r="G295" s="142"/>
      <c r="H295" s="142"/>
    </row>
    <row r="296" spans="1:8">
      <c r="A296" s="142"/>
      <c r="B296" s="144"/>
      <c r="C296" s="142"/>
      <c r="D296" s="143"/>
      <c r="E296" s="143"/>
      <c r="F296" s="143"/>
      <c r="G296" s="142"/>
      <c r="H296" s="142"/>
    </row>
    <row r="297" spans="1:8">
      <c r="A297" s="142"/>
      <c r="B297" s="144"/>
      <c r="C297" s="142"/>
      <c r="D297" s="143"/>
      <c r="E297" s="143"/>
      <c r="F297" s="143"/>
      <c r="G297" s="142"/>
      <c r="H297" s="142"/>
    </row>
    <row r="298" spans="1:8">
      <c r="A298" s="142"/>
      <c r="B298" s="144"/>
      <c r="C298" s="142"/>
      <c r="D298" s="143"/>
      <c r="E298" s="143"/>
      <c r="F298" s="143"/>
      <c r="G298" s="142"/>
      <c r="H298" s="142"/>
    </row>
    <row r="299" spans="1:8">
      <c r="A299" s="142"/>
      <c r="B299" s="144"/>
      <c r="C299" s="142"/>
      <c r="D299" s="143"/>
      <c r="E299" s="143"/>
      <c r="F299" s="143"/>
      <c r="G299" s="142"/>
      <c r="H299" s="142"/>
    </row>
    <row r="300" spans="1:8">
      <c r="A300" s="142"/>
      <c r="B300" s="144"/>
      <c r="C300" s="142"/>
      <c r="D300" s="143"/>
      <c r="E300" s="143"/>
      <c r="F300" s="143"/>
      <c r="G300" s="142"/>
      <c r="H300" s="142"/>
    </row>
    <row r="301" spans="1:8">
      <c r="A301" s="142"/>
      <c r="B301" s="144"/>
      <c r="C301" s="142"/>
      <c r="D301" s="143"/>
      <c r="E301" s="143"/>
      <c r="F301" s="143"/>
      <c r="G301" s="142"/>
      <c r="H301" s="142"/>
    </row>
    <row r="302" spans="1:8">
      <c r="A302" s="142"/>
      <c r="B302" s="144"/>
      <c r="C302" s="142"/>
      <c r="D302" s="143"/>
      <c r="E302" s="143"/>
      <c r="F302" s="143"/>
      <c r="G302" s="142"/>
      <c r="H302" s="142"/>
    </row>
    <row r="303" spans="1:8">
      <c r="A303" s="142"/>
      <c r="B303" s="144"/>
      <c r="C303" s="142"/>
      <c r="D303" s="143"/>
      <c r="E303" s="143"/>
      <c r="F303" s="143"/>
      <c r="G303" s="142"/>
      <c r="H303" s="142"/>
    </row>
    <row r="304" spans="1:8">
      <c r="A304" s="142"/>
      <c r="B304" s="144"/>
      <c r="C304" s="142"/>
      <c r="D304" s="143"/>
      <c r="E304" s="143"/>
      <c r="F304" s="143"/>
      <c r="G304" s="142"/>
      <c r="H304" s="142"/>
    </row>
    <row r="305" spans="1:8">
      <c r="A305" s="142"/>
      <c r="B305" s="144"/>
      <c r="C305" s="142"/>
      <c r="D305" s="142"/>
      <c r="E305" s="142"/>
      <c r="F305" s="142"/>
      <c r="G305" s="142"/>
      <c r="H305" s="142"/>
    </row>
    <row r="306" spans="1:8">
      <c r="A306" s="142"/>
      <c r="B306" s="144"/>
      <c r="C306" s="142"/>
      <c r="D306" s="143"/>
      <c r="E306" s="143"/>
      <c r="F306" s="143"/>
      <c r="G306" s="142"/>
      <c r="H306" s="142"/>
    </row>
    <row r="307" spans="1:8">
      <c r="A307" s="142"/>
      <c r="B307" s="144"/>
      <c r="C307" s="142"/>
      <c r="D307" s="142"/>
      <c r="E307" s="142"/>
      <c r="F307" s="142"/>
      <c r="G307" s="142"/>
      <c r="H307" s="142"/>
    </row>
    <row r="308" spans="1:8">
      <c r="A308" s="142"/>
      <c r="B308" s="144"/>
      <c r="C308" s="142"/>
      <c r="D308" s="143"/>
      <c r="E308" s="143"/>
      <c r="F308" s="143"/>
      <c r="G308" s="142"/>
      <c r="H308" s="142"/>
    </row>
    <row r="309" spans="1:8">
      <c r="A309" s="142"/>
      <c r="B309" s="144"/>
      <c r="C309" s="142"/>
      <c r="D309" s="142"/>
      <c r="E309" s="142"/>
      <c r="F309" s="142"/>
      <c r="G309" s="142"/>
      <c r="H309" s="142"/>
    </row>
    <row r="310" spans="1:8">
      <c r="A310" s="142"/>
      <c r="B310" s="144"/>
      <c r="C310" s="142"/>
      <c r="D310" s="143"/>
      <c r="E310" s="143"/>
      <c r="F310" s="143"/>
      <c r="G310" s="142"/>
      <c r="H310" s="142"/>
    </row>
    <row r="311" spans="1:8">
      <c r="A311" s="142"/>
      <c r="B311" s="144"/>
      <c r="C311" s="142"/>
      <c r="D311" s="142"/>
      <c r="E311" s="142"/>
      <c r="F311" s="142"/>
      <c r="G311" s="142"/>
      <c r="H311" s="142"/>
    </row>
    <row r="312" spans="1:8">
      <c r="A312" s="142"/>
      <c r="B312" s="144"/>
      <c r="C312" s="142"/>
      <c r="D312" s="143"/>
      <c r="E312" s="143"/>
      <c r="F312" s="143"/>
      <c r="G312" s="142"/>
      <c r="H312" s="142"/>
    </row>
    <row r="313" spans="1:8">
      <c r="A313" s="142"/>
      <c r="B313" s="144"/>
      <c r="C313" s="142"/>
      <c r="D313" s="143"/>
      <c r="E313" s="143"/>
      <c r="F313" s="143"/>
      <c r="G313" s="142"/>
      <c r="H313" s="142"/>
    </row>
    <row r="314" spans="1:8">
      <c r="A314" s="142"/>
      <c r="B314" s="144"/>
      <c r="C314" s="142"/>
      <c r="D314" s="142"/>
      <c r="E314" s="142"/>
      <c r="F314" s="142"/>
      <c r="G314" s="142"/>
      <c r="H314" s="142"/>
    </row>
    <row r="315" spans="1:8">
      <c r="A315" s="142"/>
      <c r="B315" s="144"/>
      <c r="C315" s="142"/>
      <c r="D315" s="143"/>
      <c r="E315" s="143"/>
      <c r="F315" s="143"/>
      <c r="G315" s="142"/>
      <c r="H315" s="142"/>
    </row>
    <row r="316" spans="1:8">
      <c r="A316" s="142"/>
      <c r="B316" s="144"/>
      <c r="C316" s="142"/>
      <c r="D316" s="142"/>
      <c r="E316" s="142"/>
      <c r="F316" s="142"/>
      <c r="G316" s="142"/>
      <c r="H316" s="142"/>
    </row>
    <row r="317" spans="1:8">
      <c r="A317" s="142"/>
      <c r="B317" s="144"/>
      <c r="C317" s="142"/>
      <c r="D317" s="143"/>
      <c r="E317" s="143"/>
      <c r="F317" s="143"/>
      <c r="G317" s="142"/>
      <c r="H317" s="142"/>
    </row>
    <row r="318" spans="1:8">
      <c r="A318" s="142"/>
      <c r="B318" s="144"/>
      <c r="C318" s="142"/>
      <c r="D318" s="143"/>
      <c r="E318" s="143"/>
      <c r="F318" s="143"/>
      <c r="G318" s="142"/>
      <c r="H318" s="142"/>
    </row>
    <row r="319" spans="1:8">
      <c r="A319" s="142"/>
      <c r="B319" s="144"/>
      <c r="C319" s="142"/>
      <c r="D319" s="143"/>
      <c r="E319" s="143"/>
      <c r="F319" s="143"/>
      <c r="G319" s="142"/>
      <c r="H319" s="142"/>
    </row>
    <row r="320" spans="1:8">
      <c r="A320" s="142"/>
      <c r="B320" s="144"/>
      <c r="C320" s="142"/>
      <c r="D320" s="142"/>
      <c r="E320" s="142"/>
      <c r="F320" s="142"/>
      <c r="G320" s="142"/>
      <c r="H320" s="142"/>
    </row>
    <row r="321" spans="1:8">
      <c r="A321" s="142"/>
      <c r="B321" s="144"/>
      <c r="C321" s="142"/>
      <c r="D321" s="142"/>
      <c r="E321" s="142"/>
      <c r="F321" s="142"/>
      <c r="G321" s="142"/>
      <c r="H321" s="142"/>
    </row>
    <row r="322" spans="1:8">
      <c r="A322" s="142"/>
      <c r="B322" s="144"/>
      <c r="C322" s="142"/>
      <c r="D322" s="143"/>
      <c r="E322" s="143"/>
      <c r="F322" s="143"/>
      <c r="G322" s="142"/>
      <c r="H322" s="142"/>
    </row>
    <row r="323" spans="1:8">
      <c r="A323" s="142"/>
      <c r="B323" s="144"/>
      <c r="C323" s="142"/>
      <c r="D323" s="142"/>
      <c r="E323" s="142"/>
      <c r="F323" s="142"/>
      <c r="G323" s="142"/>
      <c r="H323" s="142"/>
    </row>
    <row r="324" spans="1:8">
      <c r="A324" s="142"/>
      <c r="B324" s="144"/>
      <c r="C324" s="142"/>
      <c r="D324" s="143"/>
      <c r="E324" s="143"/>
      <c r="F324" s="143"/>
      <c r="G324" s="142"/>
      <c r="H324" s="142"/>
    </row>
    <row r="325" spans="1:8">
      <c r="A325" s="142"/>
      <c r="B325" s="144"/>
      <c r="C325" s="142"/>
      <c r="D325" s="142"/>
      <c r="E325" s="142"/>
      <c r="F325" s="142"/>
      <c r="G325" s="142"/>
      <c r="H325" s="142"/>
    </row>
    <row r="326" spans="1:8">
      <c r="A326" s="142"/>
      <c r="B326" s="144"/>
      <c r="C326" s="142"/>
      <c r="D326" s="143"/>
      <c r="E326" s="143"/>
      <c r="F326" s="143"/>
      <c r="G326" s="142"/>
      <c r="H326" s="142"/>
    </row>
    <row r="327" spans="1:8">
      <c r="A327" s="142"/>
      <c r="B327" s="144"/>
      <c r="C327" s="142"/>
      <c r="D327" s="142"/>
      <c r="E327" s="142"/>
      <c r="F327" s="142"/>
      <c r="G327" s="142"/>
      <c r="H327" s="142"/>
    </row>
    <row r="328" spans="1:8">
      <c r="A328" s="142"/>
      <c r="B328" s="144"/>
      <c r="C328" s="142"/>
      <c r="D328" s="143"/>
      <c r="E328" s="143"/>
      <c r="F328" s="143"/>
      <c r="G328" s="142"/>
      <c r="H328" s="142"/>
    </row>
    <row r="329" spans="1:8">
      <c r="A329" s="142"/>
      <c r="B329" s="144"/>
      <c r="C329" s="142"/>
      <c r="D329" s="143"/>
      <c r="E329" s="143"/>
      <c r="F329" s="143"/>
      <c r="G329" s="142"/>
      <c r="H329" s="142"/>
    </row>
    <row r="330" spans="1:8">
      <c r="A330" s="142"/>
      <c r="B330" s="144"/>
      <c r="C330" s="142"/>
      <c r="D330" s="143"/>
      <c r="E330" s="143"/>
      <c r="F330" s="143"/>
      <c r="G330" s="142"/>
      <c r="H330" s="142"/>
    </row>
    <row r="331" spans="1:8">
      <c r="A331" s="142"/>
      <c r="B331" s="144"/>
      <c r="C331" s="142"/>
      <c r="D331" s="143"/>
      <c r="E331" s="143"/>
      <c r="F331" s="143"/>
      <c r="G331" s="142"/>
      <c r="H331" s="142"/>
    </row>
    <row r="332" spans="1:8">
      <c r="A332" s="142"/>
      <c r="B332" s="144"/>
      <c r="C332" s="142"/>
      <c r="D332" s="142"/>
      <c r="E332" s="142"/>
      <c r="F332" s="142"/>
      <c r="G332" s="142"/>
      <c r="H332" s="142"/>
    </row>
    <row r="333" spans="1:8">
      <c r="A333" s="142"/>
      <c r="B333" s="144"/>
      <c r="C333" s="142"/>
      <c r="D333" s="143"/>
      <c r="E333" s="143"/>
      <c r="F333" s="143"/>
      <c r="G333" s="142"/>
      <c r="H333" s="142"/>
    </row>
    <row r="334" spans="1:8">
      <c r="A334" s="142"/>
      <c r="B334" s="144"/>
      <c r="C334" s="142"/>
      <c r="D334" s="143"/>
      <c r="E334" s="143"/>
      <c r="F334" s="143"/>
      <c r="G334" s="142"/>
      <c r="H334" s="142"/>
    </row>
    <row r="335" spans="1:8">
      <c r="A335" s="142"/>
      <c r="B335" s="144"/>
      <c r="C335" s="142"/>
      <c r="D335" s="142"/>
      <c r="E335" s="142"/>
      <c r="F335" s="142"/>
      <c r="G335" s="142"/>
      <c r="H335" s="142"/>
    </row>
    <row r="336" spans="1:8">
      <c r="A336" s="142"/>
      <c r="B336" s="144"/>
      <c r="C336" s="142"/>
      <c r="D336" s="143"/>
      <c r="E336" s="143"/>
      <c r="F336" s="143"/>
      <c r="G336" s="142"/>
      <c r="H336" s="142"/>
    </row>
    <row r="337" spans="1:8">
      <c r="A337" s="142"/>
      <c r="B337" s="144"/>
      <c r="C337" s="142"/>
      <c r="D337" s="143"/>
      <c r="E337" s="143"/>
      <c r="F337" s="143"/>
      <c r="G337" s="142"/>
      <c r="H337" s="142"/>
    </row>
    <row r="338" spans="1:8">
      <c r="A338" s="142"/>
      <c r="B338" s="144"/>
      <c r="C338" s="142"/>
      <c r="D338" s="142"/>
      <c r="E338" s="142"/>
      <c r="F338" s="142"/>
      <c r="G338" s="142"/>
      <c r="H338" s="142"/>
    </row>
    <row r="339" spans="1:8">
      <c r="A339" s="142"/>
      <c r="B339" s="144"/>
      <c r="C339" s="142"/>
      <c r="D339" s="143"/>
      <c r="E339" s="143"/>
      <c r="F339" s="143"/>
      <c r="G339" s="142"/>
      <c r="H339" s="142"/>
    </row>
    <row r="340" spans="1:8">
      <c r="A340" s="142"/>
      <c r="B340" s="144"/>
      <c r="C340" s="142"/>
      <c r="D340" s="142"/>
      <c r="E340" s="142"/>
      <c r="F340" s="142"/>
      <c r="G340" s="142"/>
      <c r="H340" s="142"/>
    </row>
    <row r="341" spans="1:8">
      <c r="A341" s="142"/>
      <c r="B341" s="144"/>
      <c r="C341" s="142"/>
      <c r="D341" s="143"/>
      <c r="E341" s="143"/>
      <c r="F341" s="143"/>
      <c r="G341" s="142"/>
      <c r="H341" s="142"/>
    </row>
    <row r="342" spans="1:8">
      <c r="A342" s="142"/>
      <c r="B342" s="144"/>
      <c r="C342" s="142"/>
      <c r="D342" s="143"/>
      <c r="E342" s="143"/>
      <c r="F342" s="143"/>
      <c r="G342" s="142"/>
      <c r="H342" s="142"/>
    </row>
    <row r="343" spans="1:8">
      <c r="A343" s="142"/>
      <c r="B343" s="144"/>
      <c r="C343" s="142"/>
      <c r="D343" s="142"/>
      <c r="E343" s="142"/>
      <c r="F343" s="142"/>
      <c r="G343" s="142"/>
      <c r="H343" s="142"/>
    </row>
    <row r="344" spans="1:8">
      <c r="A344" s="142"/>
      <c r="B344" s="144"/>
      <c r="C344" s="142"/>
      <c r="D344" s="143"/>
      <c r="E344" s="143"/>
      <c r="F344" s="143"/>
      <c r="G344" s="142"/>
      <c r="H344" s="142"/>
    </row>
    <row r="345" spans="1:8">
      <c r="A345" s="142"/>
      <c r="B345" s="144"/>
      <c r="C345" s="142"/>
      <c r="D345" s="142"/>
      <c r="E345" s="142"/>
      <c r="F345" s="142"/>
      <c r="G345" s="142"/>
      <c r="H345" s="142"/>
    </row>
    <row r="346" spans="1:8">
      <c r="A346" s="142"/>
      <c r="B346" s="144"/>
      <c r="C346" s="142"/>
      <c r="D346" s="142"/>
      <c r="E346" s="142"/>
      <c r="F346" s="142"/>
      <c r="G346" s="142"/>
      <c r="H346" s="142"/>
    </row>
    <row r="347" spans="1:8">
      <c r="A347" s="142"/>
      <c r="B347" s="144"/>
      <c r="C347" s="142"/>
      <c r="D347" s="142"/>
      <c r="E347" s="142"/>
      <c r="F347" s="142"/>
      <c r="G347" s="142"/>
      <c r="H347" s="142"/>
    </row>
    <row r="348" spans="1:8">
      <c r="A348" s="142"/>
      <c r="B348" s="144"/>
      <c r="C348" s="142"/>
      <c r="D348" s="142"/>
      <c r="E348" s="142"/>
      <c r="F348" s="142"/>
      <c r="G348" s="142"/>
      <c r="H348" s="142"/>
    </row>
    <row r="349" spans="1:8">
      <c r="A349" s="142"/>
      <c r="B349" s="144"/>
      <c r="C349" s="142"/>
      <c r="D349" s="142"/>
      <c r="E349" s="142"/>
      <c r="F349" s="142"/>
      <c r="G349" s="142"/>
      <c r="H349" s="142"/>
    </row>
    <row r="350" spans="1:8">
      <c r="A350" s="142"/>
      <c r="B350" s="144"/>
      <c r="C350" s="142"/>
      <c r="D350" s="143"/>
      <c r="E350" s="143"/>
      <c r="F350" s="143"/>
      <c r="G350" s="142"/>
      <c r="H350" s="142"/>
    </row>
    <row r="351" spans="1:8">
      <c r="A351" s="142"/>
      <c r="B351" s="144"/>
      <c r="C351" s="142"/>
      <c r="D351" s="143"/>
      <c r="E351" s="143"/>
      <c r="F351" s="143"/>
      <c r="G351" s="142"/>
      <c r="H351" s="142"/>
    </row>
    <row r="352" spans="1:8">
      <c r="A352" s="142"/>
      <c r="B352" s="144"/>
      <c r="C352" s="142"/>
      <c r="D352" s="142"/>
      <c r="E352" s="142"/>
      <c r="F352" s="142"/>
      <c r="G352" s="142"/>
      <c r="H352" s="142"/>
    </row>
    <row r="353" spans="1:8">
      <c r="A353" s="142"/>
      <c r="B353" s="144"/>
      <c r="C353" s="142"/>
      <c r="D353" s="143"/>
      <c r="E353" s="143"/>
      <c r="F353" s="143"/>
      <c r="G353" s="142"/>
      <c r="H353" s="142"/>
    </row>
    <row r="354" spans="1:8">
      <c r="A354" s="142"/>
      <c r="B354" s="144"/>
      <c r="C354" s="142"/>
      <c r="D354" s="143"/>
      <c r="E354" s="143"/>
      <c r="F354" s="143"/>
      <c r="G354" s="142"/>
      <c r="H354" s="142"/>
    </row>
    <row r="355" spans="1:8">
      <c r="A355" s="142"/>
      <c r="B355" s="144"/>
      <c r="C355" s="142"/>
      <c r="D355" s="143"/>
      <c r="E355" s="143"/>
      <c r="F355" s="143"/>
      <c r="G355" s="142"/>
      <c r="H355" s="142"/>
    </row>
    <row r="356" spans="1:8">
      <c r="A356" s="142"/>
      <c r="B356" s="144"/>
      <c r="C356" s="142"/>
      <c r="D356" s="142"/>
      <c r="E356" s="142"/>
      <c r="F356" s="142"/>
      <c r="G356" s="142"/>
      <c r="H356" s="142"/>
    </row>
    <row r="357" spans="1:8">
      <c r="A357" s="142"/>
      <c r="B357" s="144"/>
      <c r="C357" s="142"/>
      <c r="D357" s="143"/>
      <c r="E357" s="143"/>
      <c r="F357" s="143"/>
      <c r="G357" s="142"/>
      <c r="H357" s="142"/>
    </row>
    <row r="358" spans="1:8">
      <c r="A358" s="142"/>
      <c r="B358" s="144"/>
      <c r="C358" s="142"/>
      <c r="D358" s="143"/>
      <c r="E358" s="143"/>
      <c r="F358" s="143"/>
      <c r="G358" s="142"/>
      <c r="H358" s="142"/>
    </row>
    <row r="359" spans="1:8">
      <c r="A359" s="142"/>
      <c r="B359" s="144"/>
      <c r="C359" s="142"/>
      <c r="D359" s="142"/>
      <c r="E359" s="142"/>
      <c r="F359" s="142"/>
      <c r="G359" s="142"/>
      <c r="H359" s="142"/>
    </row>
    <row r="360" spans="1:8">
      <c r="A360" s="142"/>
      <c r="B360" s="144"/>
      <c r="C360" s="142"/>
      <c r="D360" s="143"/>
      <c r="E360" s="143"/>
      <c r="F360" s="143"/>
      <c r="G360" s="142"/>
      <c r="H360" s="142"/>
    </row>
    <row r="361" spans="1:8">
      <c r="A361" s="142"/>
      <c r="B361" s="144"/>
      <c r="C361" s="142"/>
      <c r="D361" s="142"/>
      <c r="E361" s="142"/>
      <c r="F361" s="142"/>
      <c r="G361" s="142"/>
      <c r="H361" s="142"/>
    </row>
    <row r="362" spans="1:8">
      <c r="A362" s="142"/>
      <c r="B362" s="144"/>
      <c r="C362" s="142"/>
      <c r="D362" s="142"/>
      <c r="E362" s="142"/>
      <c r="F362" s="142"/>
      <c r="G362" s="142"/>
      <c r="H362" s="142"/>
    </row>
    <row r="363" spans="1:8">
      <c r="A363" s="142"/>
      <c r="B363" s="144"/>
      <c r="C363" s="142"/>
      <c r="D363" s="142"/>
      <c r="E363" s="142"/>
      <c r="F363" s="142"/>
      <c r="G363" s="142"/>
      <c r="H363" s="142"/>
    </row>
    <row r="364" spans="1:8">
      <c r="A364" s="142"/>
      <c r="B364" s="144"/>
      <c r="C364" s="142"/>
      <c r="D364" s="142"/>
      <c r="E364" s="142"/>
      <c r="F364" s="142"/>
      <c r="G364" s="142"/>
      <c r="H364" s="142"/>
    </row>
    <row r="365" spans="1:8">
      <c r="A365" s="142"/>
      <c r="B365" s="144"/>
      <c r="C365" s="142"/>
      <c r="D365" s="142"/>
      <c r="E365" s="142"/>
      <c r="F365" s="142"/>
      <c r="G365" s="142"/>
      <c r="H365" s="142"/>
    </row>
    <row r="366" spans="1:8">
      <c r="A366" s="142"/>
      <c r="B366" s="144"/>
      <c r="C366" s="142"/>
      <c r="D366" s="143"/>
      <c r="E366" s="143"/>
      <c r="F366" s="143"/>
      <c r="G366" s="142"/>
      <c r="H366" s="142"/>
    </row>
    <row r="367" spans="1:8">
      <c r="A367" s="142"/>
      <c r="B367" s="144"/>
      <c r="C367" s="142"/>
      <c r="D367" s="143"/>
      <c r="E367" s="143"/>
      <c r="F367" s="143"/>
      <c r="G367" s="142"/>
      <c r="H367" s="142"/>
    </row>
    <row r="368" spans="1:8">
      <c r="A368" s="142"/>
      <c r="B368" s="146"/>
      <c r="C368" s="142"/>
      <c r="D368" s="143"/>
      <c r="E368" s="143"/>
      <c r="F368" s="143"/>
      <c r="G368" s="142"/>
      <c r="H368" s="142"/>
    </row>
    <row r="369" spans="1:8">
      <c r="A369" s="142"/>
      <c r="B369" s="144"/>
      <c r="C369" s="142"/>
      <c r="D369" s="142"/>
      <c r="E369" s="142"/>
      <c r="F369" s="142"/>
      <c r="G369" s="142"/>
      <c r="H369" s="142"/>
    </row>
    <row r="370" spans="1:8">
      <c r="A370" s="142"/>
      <c r="B370" s="146"/>
      <c r="C370" s="142"/>
      <c r="D370" s="142"/>
      <c r="E370" s="142"/>
      <c r="F370" s="142"/>
      <c r="G370" s="142"/>
      <c r="H370" s="142"/>
    </row>
    <row r="371" spans="1:8">
      <c r="A371" s="142"/>
      <c r="B371" s="144"/>
      <c r="C371" s="142"/>
      <c r="D371" s="142"/>
      <c r="E371" s="142"/>
      <c r="F371" s="142"/>
      <c r="G371" s="142"/>
      <c r="H371" s="142"/>
    </row>
    <row r="372" spans="1:8">
      <c r="A372" s="142"/>
      <c r="B372" s="147"/>
      <c r="C372" s="142"/>
      <c r="D372" s="143"/>
      <c r="E372" s="143"/>
      <c r="F372" s="143"/>
      <c r="G372" s="142"/>
      <c r="H372" s="142"/>
    </row>
    <row r="373" spans="1:8">
      <c r="A373" s="142"/>
      <c r="B373" s="144"/>
      <c r="C373" s="142"/>
      <c r="D373" s="142"/>
      <c r="E373" s="142"/>
      <c r="F373" s="142"/>
      <c r="G373" s="142"/>
      <c r="H373" s="142"/>
    </row>
    <row r="374" spans="1:8">
      <c r="A374" s="142"/>
      <c r="B374" s="144"/>
      <c r="C374" s="142"/>
      <c r="D374" s="142"/>
      <c r="E374" s="142"/>
      <c r="F374" s="142"/>
      <c r="G374" s="142"/>
      <c r="H374" s="142"/>
    </row>
    <row r="375" spans="1:8">
      <c r="A375" s="142"/>
      <c r="B375" s="144"/>
      <c r="C375" s="142"/>
      <c r="D375" s="142"/>
      <c r="E375" s="142"/>
      <c r="F375" s="142"/>
      <c r="G375" s="142"/>
      <c r="H375" s="142"/>
    </row>
    <row r="376" spans="1:8">
      <c r="A376" s="142"/>
      <c r="B376" s="144"/>
      <c r="C376" s="142"/>
      <c r="D376" s="142"/>
      <c r="E376" s="142"/>
      <c r="F376" s="142"/>
      <c r="G376" s="142"/>
      <c r="H376" s="142"/>
    </row>
    <row r="377" spans="1:8">
      <c r="A377" s="142"/>
      <c r="B377" s="144"/>
      <c r="C377" s="142"/>
      <c r="D377" s="142"/>
      <c r="E377" s="142"/>
      <c r="F377" s="142"/>
      <c r="G377" s="142"/>
      <c r="H377" s="142"/>
    </row>
    <row r="378" spans="1:8">
      <c r="A378" s="142"/>
      <c r="B378" s="144"/>
      <c r="C378" s="142"/>
      <c r="D378" s="142"/>
      <c r="E378" s="142"/>
      <c r="F378" s="142"/>
      <c r="G378" s="142"/>
      <c r="H378" s="142"/>
    </row>
    <row r="379" spans="1:8">
      <c r="A379" s="142"/>
      <c r="B379" s="144"/>
      <c r="C379" s="142"/>
      <c r="D379" s="142"/>
      <c r="E379" s="142"/>
      <c r="F379" s="142"/>
      <c r="G379" s="142"/>
      <c r="H379" s="142"/>
    </row>
  </sheetData>
  <phoneticPr fontId="12" type="noConversion"/>
  <hyperlinks>
    <hyperlink ref="G43" r:id="rId1" xr:uid="{00000000-0004-0000-0A00-000000000000}"/>
    <hyperlink ref="G37" r:id="rId2" xr:uid="{00000000-0004-0000-0A00-000001000000}"/>
    <hyperlink ref="G41" r:id="rId3" xr:uid="{00000000-0004-0000-0A00-000002000000}"/>
    <hyperlink ref="G103" r:id="rId4" xr:uid="{00000000-0004-0000-0A00-000003000000}"/>
    <hyperlink ref="L103" r:id="rId5" xr:uid="{00000000-0004-0000-0A00-000004000000}"/>
    <hyperlink ref="G121" r:id="rId6" xr:uid="{00000000-0004-0000-0A00-000005000000}"/>
    <hyperlink ref="G18" r:id="rId7" xr:uid="{00000000-0004-0000-0A00-000006000000}"/>
    <hyperlink ref="G19" r:id="rId8" xr:uid="{00000000-0004-0000-0A00-000007000000}"/>
    <hyperlink ref="G12" r:id="rId9" xr:uid="{00000000-0004-0000-0A00-000008000000}"/>
    <hyperlink ref="G13" r:id="rId10" xr:uid="{00000000-0004-0000-0A00-000009000000}"/>
    <hyperlink ref="G185" r:id="rId11" xr:uid="{00000000-0004-0000-0A00-00000A000000}"/>
    <hyperlink ref="G186" r:id="rId12" xr:uid="{00000000-0004-0000-0A00-00000B000000}"/>
  </hyperlinks>
  <pageMargins left="0.7" right="0.7" top="0.75" bottom="0.75" header="0.3" footer="0.3"/>
  <pageSetup paperSize="9" orientation="portrait" r:id="rId13"/>
  <tableParts count="1">
    <tablePart r:id="rId1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79D55-5C90-B94F-B6A5-E9CC2A55F2B7}">
  <sheetPr codeName="工作表11"/>
  <dimension ref="B1:G190"/>
  <sheetViews>
    <sheetView workbookViewId="0">
      <pane ySplit="1" topLeftCell="A2" activePane="bottomLeft" state="frozenSplit"/>
      <selection activeCell="A33" sqref="A33"/>
      <selection pane="bottomLeft" activeCell="A33" sqref="A33"/>
    </sheetView>
  </sheetViews>
  <sheetFormatPr defaultColWidth="10.81640625" defaultRowHeight="15.5"/>
  <cols>
    <col min="1" max="1" width="3" style="71" customWidth="1"/>
    <col min="2" max="2" width="22.81640625" style="71" customWidth="1"/>
    <col min="3" max="7" width="29" style="71" bestFit="1" customWidth="1"/>
    <col min="8" max="8" width="10.81640625" style="71" customWidth="1"/>
    <col min="9" max="16384" width="10.81640625" style="71"/>
  </cols>
  <sheetData>
    <row r="1" spans="2:7" s="87" customFormat="1" ht="31" customHeight="1" thickBot="1">
      <c r="B1" s="610" t="s">
        <v>1040</v>
      </c>
      <c r="C1" s="611" t="s">
        <v>1041</v>
      </c>
      <c r="D1" s="611" t="s">
        <v>1042</v>
      </c>
      <c r="E1" s="611" t="s">
        <v>1043</v>
      </c>
      <c r="F1" s="611" t="s">
        <v>1044</v>
      </c>
      <c r="G1" s="611" t="s">
        <v>1045</v>
      </c>
    </row>
    <row r="2" spans="2:7" customFormat="1" ht="16" customHeight="1" thickTop="1">
      <c r="B2" s="612" t="s">
        <v>282</v>
      </c>
      <c r="C2" s="613">
        <v>21</v>
      </c>
      <c r="D2" s="613">
        <v>23</v>
      </c>
      <c r="E2" s="613">
        <v>25</v>
      </c>
      <c r="F2" s="613">
        <v>28</v>
      </c>
      <c r="G2" s="613">
        <v>27.9</v>
      </c>
    </row>
    <row r="3" spans="2:7">
      <c r="B3" s="614" t="s">
        <v>283</v>
      </c>
      <c r="C3" s="615">
        <v>310</v>
      </c>
      <c r="D3" s="615">
        <v>296</v>
      </c>
      <c r="E3" s="615">
        <v>298</v>
      </c>
      <c r="F3" s="615">
        <v>265</v>
      </c>
      <c r="G3" s="615">
        <v>273</v>
      </c>
    </row>
    <row r="4" spans="2:7">
      <c r="B4" s="616" t="s">
        <v>287</v>
      </c>
      <c r="C4" s="617"/>
      <c r="D4" s="617">
        <v>10800</v>
      </c>
      <c r="E4" s="617">
        <v>17200</v>
      </c>
      <c r="F4" s="617">
        <v>16100</v>
      </c>
      <c r="G4" s="617">
        <v>17400</v>
      </c>
    </row>
    <row r="5" spans="2:7">
      <c r="B5" s="614" t="s">
        <v>286</v>
      </c>
      <c r="C5" s="615">
        <v>23900</v>
      </c>
      <c r="D5" s="615">
        <v>22200</v>
      </c>
      <c r="E5" s="615">
        <v>22800</v>
      </c>
      <c r="F5" s="615">
        <v>23500</v>
      </c>
      <c r="G5" s="615">
        <v>25200</v>
      </c>
    </row>
    <row r="6" spans="2:7">
      <c r="B6" s="616" t="s">
        <v>97</v>
      </c>
      <c r="C6" s="617">
        <v>6500</v>
      </c>
      <c r="D6" s="617">
        <v>5700</v>
      </c>
      <c r="E6" s="617">
        <v>7390</v>
      </c>
      <c r="F6" s="617">
        <v>6630</v>
      </c>
      <c r="G6" s="617">
        <v>7380</v>
      </c>
    </row>
    <row r="7" spans="2:7">
      <c r="B7" s="614" t="s">
        <v>99</v>
      </c>
      <c r="C7" s="615">
        <v>9200</v>
      </c>
      <c r="D7" s="615">
        <v>11900</v>
      </c>
      <c r="E7" s="615">
        <v>12200</v>
      </c>
      <c r="F7" s="615">
        <v>11100</v>
      </c>
      <c r="G7" s="615">
        <v>12400</v>
      </c>
    </row>
    <row r="8" spans="2:7">
      <c r="B8" s="616" t="s">
        <v>100</v>
      </c>
      <c r="C8" s="617">
        <v>7000</v>
      </c>
      <c r="D8" s="617">
        <v>8600</v>
      </c>
      <c r="E8" s="617">
        <v>8830</v>
      </c>
      <c r="F8" s="617">
        <v>8900</v>
      </c>
      <c r="G8" s="617">
        <v>9290</v>
      </c>
    </row>
    <row r="9" spans="2:7">
      <c r="B9" s="614" t="s">
        <v>101</v>
      </c>
      <c r="C9" s="615">
        <v>8700</v>
      </c>
      <c r="D9" s="615">
        <v>10000</v>
      </c>
      <c r="E9" s="615">
        <v>10300</v>
      </c>
      <c r="F9" s="615">
        <v>9540</v>
      </c>
      <c r="G9" s="615">
        <v>10200</v>
      </c>
    </row>
    <row r="10" spans="2:7">
      <c r="B10" s="616" t="s">
        <v>102</v>
      </c>
      <c r="C10" s="617">
        <v>7000</v>
      </c>
      <c r="D10" s="617">
        <v>8600</v>
      </c>
      <c r="E10" s="617">
        <v>8860</v>
      </c>
      <c r="F10" s="617">
        <v>9200</v>
      </c>
      <c r="G10" s="617">
        <v>10000</v>
      </c>
    </row>
    <row r="11" spans="2:7">
      <c r="B11" s="614" t="s">
        <v>103</v>
      </c>
      <c r="C11" s="615"/>
      <c r="D11" s="615"/>
      <c r="E11" s="615"/>
      <c r="F11" s="615">
        <v>2</v>
      </c>
      <c r="G11" s="615"/>
    </row>
    <row r="12" spans="2:7">
      <c r="B12" s="616" t="s">
        <v>104</v>
      </c>
      <c r="C12" s="617">
        <v>7500</v>
      </c>
      <c r="D12" s="617">
        <v>8900</v>
      </c>
      <c r="E12" s="617">
        <v>9160</v>
      </c>
      <c r="F12" s="617">
        <v>8550</v>
      </c>
      <c r="G12" s="617">
        <v>9220</v>
      </c>
    </row>
    <row r="13" spans="2:7">
      <c r="B13" s="614" t="s">
        <v>105</v>
      </c>
      <c r="C13" s="615">
        <v>7400</v>
      </c>
      <c r="D13" s="615">
        <v>9000</v>
      </c>
      <c r="E13" s="615">
        <v>9300</v>
      </c>
      <c r="F13" s="615">
        <v>7910</v>
      </c>
      <c r="G13" s="615">
        <v>8620</v>
      </c>
    </row>
    <row r="14" spans="2:7">
      <c r="B14" s="616" t="s">
        <v>106</v>
      </c>
      <c r="C14" s="617"/>
      <c r="D14" s="617">
        <v>1800</v>
      </c>
      <c r="E14" s="617">
        <v>1400</v>
      </c>
      <c r="F14" s="617">
        <v>1730</v>
      </c>
      <c r="G14" s="617">
        <v>2200</v>
      </c>
    </row>
    <row r="15" spans="2:7">
      <c r="B15" s="614" t="s">
        <v>107</v>
      </c>
      <c r="C15" s="615"/>
      <c r="D15" s="615">
        <v>4600</v>
      </c>
      <c r="E15" s="615">
        <v>4750</v>
      </c>
      <c r="F15" s="615">
        <v>4660</v>
      </c>
      <c r="G15" s="615">
        <v>5560</v>
      </c>
    </row>
    <row r="16" spans="2:7">
      <c r="B16" s="616" t="s">
        <v>68</v>
      </c>
      <c r="C16" s="617"/>
      <c r="D16" s="617">
        <v>10600</v>
      </c>
      <c r="E16" s="617">
        <v>10900</v>
      </c>
      <c r="F16" s="617">
        <v>10200</v>
      </c>
      <c r="G16" s="617">
        <v>11200</v>
      </c>
    </row>
    <row r="17" spans="2:7">
      <c r="B17" s="614" t="s">
        <v>108</v>
      </c>
      <c r="C17" s="615"/>
      <c r="D17" s="615">
        <v>14000</v>
      </c>
      <c r="E17" s="615">
        <v>14400</v>
      </c>
      <c r="F17" s="615">
        <v>13900</v>
      </c>
      <c r="G17" s="615">
        <v>16200</v>
      </c>
    </row>
    <row r="18" spans="2:7">
      <c r="B18" s="616" t="s">
        <v>109</v>
      </c>
      <c r="C18" s="617">
        <v>6500</v>
      </c>
      <c r="D18" s="617">
        <v>5700</v>
      </c>
      <c r="E18" s="617">
        <v>7390</v>
      </c>
      <c r="F18" s="617">
        <v>6630</v>
      </c>
      <c r="G18" s="617">
        <v>7380</v>
      </c>
    </row>
    <row r="19" spans="2:7">
      <c r="B19" s="614" t="s">
        <v>110</v>
      </c>
      <c r="C19" s="615"/>
      <c r="D19" s="615">
        <v>210</v>
      </c>
      <c r="E19" s="615"/>
      <c r="F19" s="615">
        <v>148</v>
      </c>
      <c r="G19" s="615">
        <v>160</v>
      </c>
    </row>
    <row r="20" spans="2:7">
      <c r="B20" s="616" t="s">
        <v>39</v>
      </c>
      <c r="C20" s="617"/>
      <c r="D20" s="617">
        <v>1700</v>
      </c>
      <c r="E20" s="617">
        <v>1810</v>
      </c>
      <c r="F20" s="617">
        <v>1760</v>
      </c>
      <c r="G20" s="617">
        <v>1960</v>
      </c>
    </row>
    <row r="21" spans="2:7">
      <c r="B21" s="614" t="s">
        <v>25</v>
      </c>
      <c r="C21" s="615">
        <v>11700</v>
      </c>
      <c r="D21" s="615">
        <v>12000</v>
      </c>
      <c r="E21" s="615">
        <v>14800</v>
      </c>
      <c r="F21" s="615">
        <v>12400</v>
      </c>
      <c r="G21" s="615">
        <v>14600</v>
      </c>
    </row>
    <row r="22" spans="2:7">
      <c r="B22" s="616" t="s">
        <v>111</v>
      </c>
      <c r="C22" s="617"/>
      <c r="D22" s="617">
        <v>10</v>
      </c>
      <c r="E22" s="617">
        <v>8.6999999999999993</v>
      </c>
      <c r="F22" s="617">
        <v>9</v>
      </c>
      <c r="G22" s="617">
        <v>11.2</v>
      </c>
    </row>
    <row r="23" spans="2:7">
      <c r="B23" s="614" t="s">
        <v>57</v>
      </c>
      <c r="C23" s="615">
        <v>650</v>
      </c>
      <c r="D23" s="615">
        <v>550</v>
      </c>
      <c r="E23" s="615">
        <v>675</v>
      </c>
      <c r="F23" s="615">
        <v>677</v>
      </c>
      <c r="G23" s="615">
        <v>771</v>
      </c>
    </row>
    <row r="24" spans="2:7">
      <c r="B24" s="616" t="s">
        <v>112</v>
      </c>
      <c r="C24" s="617"/>
      <c r="D24" s="617">
        <v>16</v>
      </c>
      <c r="E24" s="617">
        <v>13</v>
      </c>
      <c r="F24" s="617">
        <v>12</v>
      </c>
      <c r="G24" s="617">
        <v>5.54</v>
      </c>
    </row>
    <row r="25" spans="2:7">
      <c r="B25" s="614" t="s">
        <v>113</v>
      </c>
      <c r="C25" s="615">
        <v>150</v>
      </c>
      <c r="D25" s="615">
        <v>97</v>
      </c>
      <c r="E25" s="615">
        <v>92</v>
      </c>
      <c r="F25" s="615">
        <v>116</v>
      </c>
      <c r="G25" s="615">
        <v>135</v>
      </c>
    </row>
    <row r="26" spans="2:7">
      <c r="B26" s="616" t="s">
        <v>114</v>
      </c>
      <c r="C26" s="617">
        <v>1300</v>
      </c>
      <c r="D26" s="617">
        <v>1500</v>
      </c>
      <c r="E26" s="617">
        <v>1640</v>
      </c>
      <c r="F26" s="617">
        <v>1650</v>
      </c>
      <c r="G26" s="617">
        <v>1600</v>
      </c>
    </row>
    <row r="27" spans="2:7">
      <c r="B27" s="614" t="s">
        <v>115</v>
      </c>
      <c r="C27" s="615">
        <v>21</v>
      </c>
      <c r="D27" s="615">
        <v>23</v>
      </c>
      <c r="E27" s="615">
        <v>25</v>
      </c>
      <c r="F27" s="615">
        <v>28</v>
      </c>
      <c r="G27" s="615">
        <v>27.9</v>
      </c>
    </row>
    <row r="28" spans="2:7">
      <c r="B28" s="616" t="s">
        <v>116</v>
      </c>
      <c r="C28" s="617">
        <v>7400</v>
      </c>
      <c r="D28" s="617">
        <v>9000</v>
      </c>
      <c r="E28" s="617">
        <v>9300</v>
      </c>
      <c r="F28" s="617">
        <v>7910</v>
      </c>
      <c r="G28" s="617">
        <v>8620</v>
      </c>
    </row>
    <row r="29" spans="2:7">
      <c r="B29" s="614" t="s">
        <v>117</v>
      </c>
      <c r="C29" s="615"/>
      <c r="D29" s="615">
        <v>6000</v>
      </c>
      <c r="E29" s="615">
        <v>6130</v>
      </c>
      <c r="F29" s="615">
        <v>5820</v>
      </c>
      <c r="G29" s="615">
        <v>6520</v>
      </c>
    </row>
    <row r="30" spans="2:7">
      <c r="B30" s="616" t="s">
        <v>118</v>
      </c>
      <c r="C30" s="617"/>
      <c r="D30" s="617">
        <v>9800</v>
      </c>
      <c r="E30" s="617">
        <v>10000</v>
      </c>
      <c r="F30" s="617">
        <v>8590</v>
      </c>
      <c r="G30" s="617">
        <v>9430</v>
      </c>
    </row>
    <row r="31" spans="2:7">
      <c r="B31" s="614" t="s">
        <v>119</v>
      </c>
      <c r="C31" s="615"/>
      <c r="D31" s="615">
        <v>7200</v>
      </c>
      <c r="E31" s="615">
        <v>7370</v>
      </c>
      <c r="F31" s="615">
        <v>7670</v>
      </c>
      <c r="G31" s="615">
        <v>9600</v>
      </c>
    </row>
    <row r="32" spans="2:7">
      <c r="B32" s="616" t="s">
        <v>120</v>
      </c>
      <c r="C32" s="617">
        <v>9200</v>
      </c>
      <c r="D32" s="617">
        <v>11900</v>
      </c>
      <c r="E32" s="617">
        <v>12200</v>
      </c>
      <c r="F32" s="617">
        <v>11100</v>
      </c>
      <c r="G32" s="617">
        <v>12400</v>
      </c>
    </row>
    <row r="33" spans="2:7" customFormat="1" ht="17" customHeight="1">
      <c r="B33" s="614" t="s">
        <v>121</v>
      </c>
      <c r="C33" s="618"/>
      <c r="D33" s="618"/>
      <c r="E33" s="618"/>
      <c r="F33" s="615">
        <v>59</v>
      </c>
      <c r="G33" s="618">
        <v>56.4</v>
      </c>
    </row>
    <row r="34" spans="2:7">
      <c r="B34" s="616" t="s">
        <v>122</v>
      </c>
      <c r="C34" s="617"/>
      <c r="D34" s="617"/>
      <c r="E34" s="617"/>
      <c r="F34" s="617">
        <v>258</v>
      </c>
      <c r="G34" s="617">
        <v>245</v>
      </c>
    </row>
    <row r="35" spans="2:7">
      <c r="B35" s="614" t="s">
        <v>123</v>
      </c>
      <c r="C35" s="615">
        <v>90</v>
      </c>
      <c r="D35" s="615">
        <v>120</v>
      </c>
      <c r="E35" s="615">
        <v>77</v>
      </c>
      <c r="F35" s="615">
        <v>79</v>
      </c>
      <c r="G35" s="615">
        <v>90.4</v>
      </c>
    </row>
    <row r="36" spans="2:7">
      <c r="B36" s="616" t="s">
        <v>124</v>
      </c>
      <c r="C36" s="617"/>
      <c r="D36" s="617"/>
      <c r="E36" s="617"/>
      <c r="F36" s="617">
        <v>370</v>
      </c>
      <c r="G36" s="617">
        <v>395</v>
      </c>
    </row>
    <row r="37" spans="2:7">
      <c r="B37" s="614" t="s">
        <v>125</v>
      </c>
      <c r="C37" s="615"/>
      <c r="D37" s="615">
        <v>620</v>
      </c>
      <c r="E37" s="615">
        <v>609</v>
      </c>
      <c r="F37" s="615">
        <v>527</v>
      </c>
      <c r="G37" s="615">
        <v>597</v>
      </c>
    </row>
    <row r="38" spans="2:7">
      <c r="B38" s="616" t="s">
        <v>126</v>
      </c>
      <c r="C38" s="617">
        <v>2800</v>
      </c>
      <c r="D38" s="617">
        <v>3400</v>
      </c>
      <c r="E38" s="617">
        <v>3500</v>
      </c>
      <c r="F38" s="617">
        <v>3170</v>
      </c>
      <c r="G38" s="617">
        <v>3740</v>
      </c>
    </row>
    <row r="39" spans="2:7">
      <c r="B39" s="614" t="s">
        <v>127</v>
      </c>
      <c r="C39" s="615"/>
      <c r="D39" s="615">
        <v>1300</v>
      </c>
      <c r="E39" s="615">
        <v>1890</v>
      </c>
      <c r="F39" s="615">
        <v>1750</v>
      </c>
      <c r="G39" s="615">
        <v>1930</v>
      </c>
    </row>
    <row r="40" spans="2:7">
      <c r="B40" s="616" t="s">
        <v>128</v>
      </c>
      <c r="C40" s="617"/>
      <c r="D40" s="617"/>
      <c r="E40" s="617"/>
      <c r="F40" s="617">
        <v>231</v>
      </c>
      <c r="G40" s="617">
        <v>216</v>
      </c>
    </row>
    <row r="41" spans="2:7">
      <c r="B41" s="614" t="s">
        <v>129</v>
      </c>
      <c r="C41" s="615"/>
      <c r="D41" s="615"/>
      <c r="E41" s="615"/>
      <c r="F41" s="615">
        <v>338</v>
      </c>
      <c r="G41" s="615">
        <v>342</v>
      </c>
    </row>
    <row r="42" spans="2:7">
      <c r="B42" s="616" t="s">
        <v>130</v>
      </c>
      <c r="C42" s="617">
        <v>1000</v>
      </c>
      <c r="D42" s="617">
        <v>1100</v>
      </c>
      <c r="E42" s="617">
        <v>1100</v>
      </c>
      <c r="F42" s="617">
        <v>1120</v>
      </c>
      <c r="G42" s="617">
        <v>1260</v>
      </c>
    </row>
    <row r="43" spans="2:7">
      <c r="B43" s="614" t="s">
        <v>7</v>
      </c>
      <c r="C43" s="615">
        <v>1300</v>
      </c>
      <c r="D43" s="615">
        <v>1300</v>
      </c>
      <c r="E43" s="615">
        <v>1430</v>
      </c>
      <c r="F43" s="615">
        <v>1300</v>
      </c>
      <c r="G43" s="615">
        <v>1530</v>
      </c>
    </row>
    <row r="44" spans="2:7">
      <c r="B44" s="616" t="s">
        <v>131</v>
      </c>
      <c r="C44" s="617"/>
      <c r="D44" s="617">
        <v>700</v>
      </c>
      <c r="E44" s="617">
        <v>725</v>
      </c>
      <c r="F44" s="617">
        <v>782</v>
      </c>
      <c r="G44" s="617">
        <v>860</v>
      </c>
    </row>
    <row r="45" spans="2:7">
      <c r="B45" s="614" t="s">
        <v>49</v>
      </c>
      <c r="C45" s="615"/>
      <c r="D45" s="615">
        <v>2400</v>
      </c>
      <c r="E45" s="615">
        <v>2310</v>
      </c>
      <c r="F45" s="615">
        <v>1980</v>
      </c>
      <c r="G45" s="615">
        <v>2300</v>
      </c>
    </row>
    <row r="46" spans="2:7">
      <c r="B46" s="616" t="s">
        <v>132</v>
      </c>
      <c r="C46" s="617">
        <v>300</v>
      </c>
      <c r="D46" s="617">
        <v>330</v>
      </c>
      <c r="E46" s="617">
        <v>353</v>
      </c>
      <c r="F46" s="617">
        <v>328</v>
      </c>
      <c r="G46" s="617">
        <v>364</v>
      </c>
    </row>
    <row r="47" spans="2:7">
      <c r="B47" s="614" t="s">
        <v>133</v>
      </c>
      <c r="C47" s="615">
        <v>3800</v>
      </c>
      <c r="D47" s="615">
        <v>4300</v>
      </c>
      <c r="E47" s="615">
        <v>4470</v>
      </c>
      <c r="F47" s="615">
        <v>4800</v>
      </c>
      <c r="G47" s="615">
        <v>5810</v>
      </c>
    </row>
    <row r="48" spans="2:7">
      <c r="B48" s="616" t="s">
        <v>134</v>
      </c>
      <c r="C48" s="617"/>
      <c r="D48" s="617">
        <v>43</v>
      </c>
      <c r="E48" s="617">
        <v>53</v>
      </c>
      <c r="F48" s="617">
        <v>16</v>
      </c>
      <c r="G48" s="617">
        <v>21.5</v>
      </c>
    </row>
    <row r="49" spans="2:7">
      <c r="B49" s="614" t="s">
        <v>135</v>
      </c>
      <c r="C49" s="615">
        <v>140</v>
      </c>
      <c r="D49" s="615">
        <v>120</v>
      </c>
      <c r="E49" s="615">
        <v>124</v>
      </c>
      <c r="F49" s="615">
        <v>138</v>
      </c>
      <c r="G49" s="615">
        <v>164</v>
      </c>
    </row>
    <row r="50" spans="2:7">
      <c r="B50" s="616" t="s">
        <v>136</v>
      </c>
      <c r="C50" s="617"/>
      <c r="D50" s="617">
        <v>12</v>
      </c>
      <c r="E50" s="617">
        <v>12</v>
      </c>
      <c r="F50" s="617">
        <v>4</v>
      </c>
      <c r="G50" s="617">
        <v>4.84</v>
      </c>
    </row>
    <row r="51" spans="2:7">
      <c r="B51" s="614" t="s">
        <v>137</v>
      </c>
      <c r="C51" s="615">
        <v>7000</v>
      </c>
      <c r="D51" s="615">
        <v>8600</v>
      </c>
      <c r="E51" s="615">
        <v>8830</v>
      </c>
      <c r="F51" s="615">
        <v>8900</v>
      </c>
      <c r="G51" s="615">
        <v>9290</v>
      </c>
    </row>
    <row r="52" spans="2:7">
      <c r="B52" s="616" t="s">
        <v>138</v>
      </c>
      <c r="C52" s="617"/>
      <c r="D52" s="617">
        <v>180</v>
      </c>
      <c r="E52" s="617">
        <v>122</v>
      </c>
      <c r="F52" s="617">
        <v>127</v>
      </c>
      <c r="G52" s="617">
        <v>137</v>
      </c>
    </row>
    <row r="53" spans="2:7">
      <c r="B53" s="614" t="s">
        <v>139</v>
      </c>
      <c r="C53" s="615"/>
      <c r="D53" s="615">
        <v>620</v>
      </c>
      <c r="E53" s="615">
        <v>595</v>
      </c>
      <c r="F53" s="615">
        <v>525</v>
      </c>
      <c r="G53" s="615">
        <v>568</v>
      </c>
    </row>
    <row r="54" spans="2:7">
      <c r="B54" s="616" t="s">
        <v>140</v>
      </c>
      <c r="C54" s="617"/>
      <c r="D54" s="617"/>
      <c r="E54" s="617"/>
      <c r="F54" s="617">
        <v>2640</v>
      </c>
      <c r="G54" s="617">
        <v>2980</v>
      </c>
    </row>
    <row r="55" spans="2:7">
      <c r="B55" s="614" t="s">
        <v>36</v>
      </c>
      <c r="C55" s="615">
        <v>2900</v>
      </c>
      <c r="D55" s="615">
        <v>3500</v>
      </c>
      <c r="E55" s="615">
        <v>3220</v>
      </c>
      <c r="F55" s="615">
        <v>3350</v>
      </c>
      <c r="G55" s="615">
        <v>3600</v>
      </c>
    </row>
    <row r="56" spans="2:7">
      <c r="B56" s="616" t="s">
        <v>141</v>
      </c>
      <c r="C56" s="617"/>
      <c r="D56" s="617">
        <v>470</v>
      </c>
      <c r="E56" s="617"/>
      <c r="F56" s="617">
        <v>376</v>
      </c>
      <c r="G56" s="617">
        <v>380</v>
      </c>
    </row>
    <row r="57" spans="2:7">
      <c r="B57" s="614" t="s">
        <v>142</v>
      </c>
      <c r="C57" s="615"/>
      <c r="D57" s="615">
        <v>1300</v>
      </c>
      <c r="E57" s="615">
        <v>1340</v>
      </c>
      <c r="F57" s="615">
        <v>1210</v>
      </c>
      <c r="G57" s="615">
        <v>1350</v>
      </c>
    </row>
    <row r="58" spans="2:7">
      <c r="B58" s="616" t="s">
        <v>143</v>
      </c>
      <c r="C58" s="617"/>
      <c r="D58" s="617">
        <v>1200</v>
      </c>
      <c r="E58" s="617">
        <v>1370</v>
      </c>
      <c r="F58" s="617">
        <v>1330</v>
      </c>
      <c r="G58" s="617">
        <v>1500</v>
      </c>
    </row>
    <row r="59" spans="2:7">
      <c r="B59" s="614" t="s">
        <v>144</v>
      </c>
      <c r="C59" s="615">
        <v>6300</v>
      </c>
      <c r="D59" s="615">
        <v>9400</v>
      </c>
      <c r="E59" s="615">
        <v>9810</v>
      </c>
      <c r="F59" s="615">
        <v>8060</v>
      </c>
      <c r="G59" s="615">
        <v>8690</v>
      </c>
    </row>
    <row r="60" spans="2:7">
      <c r="B60" s="616" t="s">
        <v>145</v>
      </c>
      <c r="C60" s="617">
        <v>560</v>
      </c>
      <c r="D60" s="617">
        <v>640</v>
      </c>
      <c r="E60" s="617">
        <v>693</v>
      </c>
      <c r="F60" s="617">
        <v>716</v>
      </c>
      <c r="G60" s="617">
        <v>787</v>
      </c>
    </row>
    <row r="61" spans="2:7">
      <c r="B61" s="614" t="s">
        <v>146</v>
      </c>
      <c r="C61" s="615"/>
      <c r="D61" s="615"/>
      <c r="E61" s="615"/>
      <c r="F61" s="615">
        <v>4620</v>
      </c>
      <c r="G61" s="615">
        <v>4550</v>
      </c>
    </row>
    <row r="62" spans="2:7">
      <c r="B62" s="616" t="s">
        <v>147</v>
      </c>
      <c r="C62" s="617"/>
      <c r="D62" s="617"/>
      <c r="E62" s="617"/>
      <c r="F62" s="617">
        <v>235</v>
      </c>
      <c r="G62" s="617">
        <v>255</v>
      </c>
    </row>
    <row r="63" spans="2:7">
      <c r="B63" s="614" t="s">
        <v>148</v>
      </c>
      <c r="C63" s="615"/>
      <c r="D63" s="615"/>
      <c r="E63" s="615"/>
      <c r="F63" s="615">
        <v>290</v>
      </c>
      <c r="G63" s="615">
        <v>325</v>
      </c>
    </row>
    <row r="64" spans="2:7">
      <c r="B64" s="616" t="s">
        <v>149</v>
      </c>
      <c r="C64" s="617"/>
      <c r="D64" s="617">
        <v>950</v>
      </c>
      <c r="E64" s="617">
        <v>1030</v>
      </c>
      <c r="F64" s="617">
        <v>858</v>
      </c>
      <c r="G64" s="617">
        <v>962</v>
      </c>
    </row>
    <row r="65" spans="2:7">
      <c r="B65" s="614" t="s">
        <v>150</v>
      </c>
      <c r="C65" s="615"/>
      <c r="D65" s="615"/>
      <c r="E65" s="615"/>
      <c r="F65" s="615">
        <v>76</v>
      </c>
      <c r="G65" s="615">
        <v>74.8</v>
      </c>
    </row>
    <row r="66" spans="2:7">
      <c r="B66" s="616" t="s">
        <v>151</v>
      </c>
      <c r="C66" s="617"/>
      <c r="D66" s="617"/>
      <c r="E66" s="617"/>
      <c r="F66" s="617">
        <v>144</v>
      </c>
      <c r="G66" s="617">
        <v>599</v>
      </c>
    </row>
    <row r="67" spans="2:7">
      <c r="B67" s="614" t="s">
        <v>56</v>
      </c>
      <c r="C67" s="615"/>
      <c r="D67" s="615"/>
      <c r="E67" s="615"/>
      <c r="F67" s="615"/>
      <c r="G67" s="615"/>
    </row>
    <row r="68" spans="2:7">
      <c r="B68" s="616" t="s">
        <v>152</v>
      </c>
      <c r="C68" s="617"/>
      <c r="D68" s="617"/>
      <c r="E68" s="617"/>
      <c r="F68" s="617">
        <v>2360</v>
      </c>
      <c r="G68" s="617">
        <v>2890</v>
      </c>
    </row>
    <row r="69" spans="2:7">
      <c r="B69" s="614" t="s">
        <v>153</v>
      </c>
      <c r="C69" s="615"/>
      <c r="D69" s="615">
        <v>890</v>
      </c>
      <c r="E69" s="615">
        <v>794</v>
      </c>
      <c r="F69" s="615">
        <v>804</v>
      </c>
      <c r="G69" s="615">
        <v>914</v>
      </c>
    </row>
    <row r="70" spans="2:7">
      <c r="B70" s="616" t="s">
        <v>154</v>
      </c>
      <c r="C70" s="617">
        <v>7000</v>
      </c>
      <c r="D70" s="617">
        <v>8600</v>
      </c>
      <c r="E70" s="617">
        <v>8860</v>
      </c>
      <c r="F70" s="617">
        <v>9200</v>
      </c>
      <c r="G70" s="617">
        <v>10000</v>
      </c>
    </row>
    <row r="71" spans="2:7">
      <c r="B71" s="614" t="s">
        <v>155</v>
      </c>
      <c r="C71" s="615">
        <v>1126.26</v>
      </c>
      <c r="D71" s="615">
        <v>1127.4000000000001</v>
      </c>
      <c r="E71" s="615">
        <v>1182.48</v>
      </c>
      <c r="F71" s="615">
        <v>1129.92</v>
      </c>
      <c r="G71" s="615">
        <v>1263.0999999999999</v>
      </c>
    </row>
    <row r="72" spans="2:7">
      <c r="B72" s="616" t="s">
        <v>156</v>
      </c>
      <c r="C72" s="617">
        <v>1222.92</v>
      </c>
      <c r="D72" s="617">
        <v>1223.8</v>
      </c>
      <c r="E72" s="617">
        <v>1288.26</v>
      </c>
      <c r="F72" s="617">
        <v>1236.3399999999999</v>
      </c>
      <c r="G72" s="617">
        <v>1380.8</v>
      </c>
    </row>
    <row r="73" spans="2:7">
      <c r="B73" s="614" t="s">
        <v>157</v>
      </c>
      <c r="C73" s="615">
        <v>898.68</v>
      </c>
      <c r="D73" s="615">
        <v>901.4</v>
      </c>
      <c r="E73" s="615">
        <v>932.58</v>
      </c>
      <c r="F73" s="615">
        <v>875.54</v>
      </c>
      <c r="G73" s="615">
        <v>981.84</v>
      </c>
    </row>
    <row r="74" spans="2:7">
      <c r="B74" s="616" t="s">
        <v>158</v>
      </c>
      <c r="C74" s="617">
        <v>2326</v>
      </c>
      <c r="D74" s="617">
        <v>2686</v>
      </c>
      <c r="E74" s="617">
        <v>2787.8</v>
      </c>
      <c r="F74" s="617">
        <v>2570.8000000000002</v>
      </c>
      <c r="G74" s="617">
        <v>2988.8</v>
      </c>
    </row>
    <row r="75" spans="2:7">
      <c r="B75" s="614" t="s">
        <v>159</v>
      </c>
      <c r="C75" s="615">
        <v>2084</v>
      </c>
      <c r="D75" s="615">
        <v>2312</v>
      </c>
      <c r="E75" s="615">
        <v>2416</v>
      </c>
      <c r="F75" s="615">
        <v>2260.6</v>
      </c>
      <c r="G75" s="615">
        <v>2597.1999999999998</v>
      </c>
    </row>
    <row r="76" spans="2:7">
      <c r="B76" s="616" t="s">
        <v>160</v>
      </c>
      <c r="C76" s="617">
        <v>1415</v>
      </c>
      <c r="D76" s="617">
        <v>1415</v>
      </c>
      <c r="E76" s="617">
        <v>1534.1</v>
      </c>
      <c r="F76" s="617">
        <v>3100</v>
      </c>
      <c r="G76" s="617">
        <v>3328</v>
      </c>
    </row>
    <row r="77" spans="2:7">
      <c r="B77" s="614" t="s">
        <v>161</v>
      </c>
      <c r="C77" s="615">
        <v>3682</v>
      </c>
      <c r="D77" s="615">
        <v>3682</v>
      </c>
      <c r="E77" s="615">
        <v>4457.3</v>
      </c>
      <c r="F77" s="615">
        <v>4456.6000000000004</v>
      </c>
      <c r="G77" s="615">
        <v>4720.7</v>
      </c>
    </row>
    <row r="78" spans="2:7">
      <c r="B78" s="616" t="s">
        <v>23</v>
      </c>
      <c r="C78" s="617">
        <v>3260</v>
      </c>
      <c r="D78" s="617">
        <v>3784</v>
      </c>
      <c r="E78" s="617">
        <v>3921.6</v>
      </c>
      <c r="F78" s="617">
        <v>3942.8</v>
      </c>
      <c r="G78" s="617">
        <v>4728</v>
      </c>
    </row>
    <row r="79" spans="2:7">
      <c r="B79" s="614" t="s">
        <v>162</v>
      </c>
      <c r="C79" s="615">
        <v>4571.3</v>
      </c>
      <c r="D79" s="615">
        <v>5155.3999999999996</v>
      </c>
      <c r="E79" s="615">
        <v>5327.73</v>
      </c>
      <c r="F79" s="615">
        <v>4965.0600000000004</v>
      </c>
      <c r="G79" s="615">
        <v>5354.98</v>
      </c>
    </row>
    <row r="80" spans="2:7">
      <c r="B80" s="616" t="s">
        <v>163</v>
      </c>
      <c r="C80" s="617">
        <v>1673</v>
      </c>
      <c r="D80" s="617">
        <v>1919</v>
      </c>
      <c r="E80" s="617">
        <v>1942.6</v>
      </c>
      <c r="F80" s="617">
        <v>1779.8</v>
      </c>
      <c r="G80" s="617">
        <v>2021</v>
      </c>
    </row>
    <row r="81" spans="2:7">
      <c r="B81" s="614" t="s">
        <v>66</v>
      </c>
      <c r="C81" s="615">
        <v>1770</v>
      </c>
      <c r="D81" s="615">
        <v>1990</v>
      </c>
      <c r="E81" s="615">
        <v>2107</v>
      </c>
      <c r="F81" s="615">
        <v>1923.4</v>
      </c>
      <c r="G81" s="615">
        <v>2262.1999999999998</v>
      </c>
    </row>
    <row r="82" spans="2:7">
      <c r="B82" s="616" t="s">
        <v>164</v>
      </c>
      <c r="C82" s="617">
        <v>2285</v>
      </c>
      <c r="D82" s="617">
        <v>2695</v>
      </c>
      <c r="E82" s="617">
        <v>2803.5</v>
      </c>
      <c r="F82" s="617">
        <v>2546.6999999999998</v>
      </c>
      <c r="G82" s="617">
        <v>3001.1</v>
      </c>
    </row>
    <row r="83" spans="2:7">
      <c r="B83" s="614" t="s">
        <v>37</v>
      </c>
      <c r="C83" s="615">
        <v>1525.5</v>
      </c>
      <c r="D83" s="615">
        <v>1652.5</v>
      </c>
      <c r="E83" s="615">
        <v>1773.85</v>
      </c>
      <c r="F83" s="615">
        <v>1624.21</v>
      </c>
      <c r="G83" s="615">
        <v>1907.93</v>
      </c>
    </row>
    <row r="84" spans="2:7">
      <c r="B84" s="616" t="s">
        <v>165</v>
      </c>
      <c r="C84" s="617">
        <v>1427.5</v>
      </c>
      <c r="D84" s="617">
        <v>1502.5</v>
      </c>
      <c r="E84" s="617">
        <v>1627.25</v>
      </c>
      <c r="F84" s="617">
        <v>1487.05</v>
      </c>
      <c r="G84" s="617">
        <v>1747.65</v>
      </c>
    </row>
    <row r="85" spans="2:7">
      <c r="B85" s="614" t="s">
        <v>166</v>
      </c>
      <c r="C85" s="615">
        <v>1362.5</v>
      </c>
      <c r="D85" s="615">
        <v>1427.5</v>
      </c>
      <c r="E85" s="615">
        <v>1551.75</v>
      </c>
      <c r="F85" s="615">
        <v>1424.75</v>
      </c>
      <c r="G85" s="615">
        <v>1671.75</v>
      </c>
    </row>
    <row r="86" spans="2:7">
      <c r="B86" s="616" t="s">
        <v>167</v>
      </c>
      <c r="C86" s="617">
        <v>2743</v>
      </c>
      <c r="D86" s="617">
        <v>3015</v>
      </c>
      <c r="E86" s="617">
        <v>3151.9</v>
      </c>
      <c r="F86" s="617">
        <v>3257.1</v>
      </c>
      <c r="G86" s="617">
        <v>3855.6</v>
      </c>
    </row>
    <row r="87" spans="2:7">
      <c r="B87" s="614" t="s">
        <v>168</v>
      </c>
      <c r="C87" s="615">
        <v>1442.25</v>
      </c>
      <c r="D87" s="615">
        <v>1535</v>
      </c>
      <c r="E87" s="615">
        <v>1584.75</v>
      </c>
      <c r="F87" s="615">
        <v>1484.75</v>
      </c>
      <c r="G87" s="615">
        <v>1670.25</v>
      </c>
    </row>
    <row r="88" spans="2:7">
      <c r="B88" s="616" t="s">
        <v>169</v>
      </c>
      <c r="C88" s="617">
        <v>1437.25</v>
      </c>
      <c r="D88" s="617">
        <v>1500</v>
      </c>
      <c r="E88" s="617">
        <v>1559.75</v>
      </c>
      <c r="F88" s="617">
        <v>1473.75</v>
      </c>
      <c r="G88" s="617">
        <v>1653.25</v>
      </c>
    </row>
    <row r="89" spans="2:7">
      <c r="B89" s="614" t="s">
        <v>35</v>
      </c>
      <c r="C89" s="615">
        <v>1725</v>
      </c>
      <c r="D89" s="615">
        <v>1975</v>
      </c>
      <c r="E89" s="615">
        <v>2087.5</v>
      </c>
      <c r="F89" s="615">
        <v>1923.5</v>
      </c>
      <c r="G89" s="615">
        <v>2255.5</v>
      </c>
    </row>
    <row r="90" spans="2:7">
      <c r="B90" s="616" t="s">
        <v>170</v>
      </c>
      <c r="C90" s="617">
        <v>1617.5</v>
      </c>
      <c r="D90" s="617">
        <v>1832.5</v>
      </c>
      <c r="E90" s="617">
        <v>1946.25</v>
      </c>
      <c r="F90" s="617">
        <v>2048.15</v>
      </c>
      <c r="G90" s="617">
        <v>2403.9499999999998</v>
      </c>
    </row>
    <row r="91" spans="2:7">
      <c r="B91" s="614" t="s">
        <v>171</v>
      </c>
      <c r="C91" s="615">
        <v>1502.9</v>
      </c>
      <c r="D91" s="615">
        <v>1500.7</v>
      </c>
      <c r="E91" s="615">
        <v>1597.39</v>
      </c>
      <c r="F91" s="615">
        <v>1555.18</v>
      </c>
      <c r="G91" s="615">
        <v>1733.04</v>
      </c>
    </row>
    <row r="92" spans="2:7">
      <c r="B92" s="616" t="s">
        <v>172</v>
      </c>
      <c r="C92" s="617">
        <v>1602.2</v>
      </c>
      <c r="D92" s="617">
        <v>1601.6</v>
      </c>
      <c r="E92" s="617">
        <v>1705.12</v>
      </c>
      <c r="F92" s="617">
        <v>1658.54</v>
      </c>
      <c r="G92" s="617">
        <v>1847.32</v>
      </c>
    </row>
    <row r="93" spans="2:7">
      <c r="B93" s="614" t="s">
        <v>173</v>
      </c>
      <c r="C93" s="615">
        <v>1625.6</v>
      </c>
      <c r="D93" s="615">
        <v>1625.3</v>
      </c>
      <c r="E93" s="615">
        <v>1730.41</v>
      </c>
      <c r="F93" s="615">
        <v>1682.87</v>
      </c>
      <c r="G93" s="615">
        <v>1874.26</v>
      </c>
    </row>
    <row r="94" spans="2:7">
      <c r="B94" s="616" t="s">
        <v>174</v>
      </c>
      <c r="C94" s="617">
        <v>1990</v>
      </c>
      <c r="D94" s="617">
        <v>2140</v>
      </c>
      <c r="E94" s="617">
        <v>2286</v>
      </c>
      <c r="F94" s="617">
        <v>2172</v>
      </c>
      <c r="G94" s="617">
        <v>2411.5</v>
      </c>
    </row>
    <row r="95" spans="2:7">
      <c r="B95" s="614" t="s">
        <v>175</v>
      </c>
      <c r="C95" s="615">
        <v>1774</v>
      </c>
      <c r="D95" s="615">
        <v>1774</v>
      </c>
      <c r="E95" s="615">
        <v>2053.1</v>
      </c>
      <c r="F95" s="615">
        <v>1945</v>
      </c>
      <c r="G95" s="615">
        <v>980.42</v>
      </c>
    </row>
    <row r="96" spans="2:7">
      <c r="B96" s="616" t="s">
        <v>176</v>
      </c>
      <c r="C96" s="617">
        <v>1337.5650000000001</v>
      </c>
      <c r="D96" s="617">
        <v>1439.7</v>
      </c>
      <c r="E96" s="617">
        <v>1477.8150000000001</v>
      </c>
      <c r="F96" s="617">
        <v>1374.5</v>
      </c>
      <c r="G96" s="617">
        <v>1549.2449999999999</v>
      </c>
    </row>
    <row r="97" spans="2:7">
      <c r="B97" s="614" t="s">
        <v>177</v>
      </c>
      <c r="C97" s="615">
        <v>1258.51</v>
      </c>
      <c r="D97" s="615">
        <v>1319.8</v>
      </c>
      <c r="E97" s="615">
        <v>1361.96</v>
      </c>
      <c r="F97" s="615">
        <v>1273.6300000000001</v>
      </c>
      <c r="G97" s="615">
        <v>1431.33</v>
      </c>
    </row>
    <row r="98" spans="2:7">
      <c r="B98" s="616" t="s">
        <v>178</v>
      </c>
      <c r="C98" s="617">
        <v>1419.2</v>
      </c>
      <c r="D98" s="617">
        <v>1415.6</v>
      </c>
      <c r="E98" s="617">
        <v>1506.52</v>
      </c>
      <c r="F98" s="617">
        <v>1468.04</v>
      </c>
      <c r="G98" s="617">
        <v>1636.72</v>
      </c>
    </row>
    <row r="99" spans="2:7">
      <c r="B99" s="614" t="s">
        <v>179</v>
      </c>
      <c r="C99" s="615">
        <v>530</v>
      </c>
      <c r="D99" s="615">
        <v>515</v>
      </c>
      <c r="E99" s="615">
        <v>545.5</v>
      </c>
      <c r="F99" s="615">
        <v>543.5</v>
      </c>
      <c r="G99" s="615">
        <v>613</v>
      </c>
    </row>
    <row r="100" spans="2:7">
      <c r="B100" s="616" t="s">
        <v>180</v>
      </c>
      <c r="C100" s="617">
        <v>1007.5549999999999</v>
      </c>
      <c r="D100" s="617">
        <v>1011.9</v>
      </c>
      <c r="E100" s="617">
        <v>1084.2550000000001</v>
      </c>
      <c r="F100" s="617">
        <v>975.17</v>
      </c>
      <c r="G100" s="617">
        <v>1138.5150000000001</v>
      </c>
    </row>
    <row r="101" spans="2:7">
      <c r="B101" s="614" t="s">
        <v>181</v>
      </c>
      <c r="C101" s="615">
        <v>1954.8</v>
      </c>
      <c r="D101" s="615">
        <v>2234.4</v>
      </c>
      <c r="E101" s="615">
        <v>2346</v>
      </c>
      <c r="F101" s="615">
        <v>2127.2199999999998</v>
      </c>
      <c r="G101" s="615">
        <v>2507.84</v>
      </c>
    </row>
    <row r="102" spans="2:7">
      <c r="B102" s="616" t="s">
        <v>182</v>
      </c>
      <c r="C102" s="617">
        <v>1635.5</v>
      </c>
      <c r="D102" s="617">
        <v>1635</v>
      </c>
      <c r="E102" s="617">
        <v>1740.7</v>
      </c>
      <c r="F102" s="617">
        <v>1693.05</v>
      </c>
      <c r="G102" s="617">
        <v>1885.7</v>
      </c>
    </row>
    <row r="103" spans="2:7">
      <c r="B103" s="614" t="s">
        <v>183</v>
      </c>
      <c r="C103" s="615">
        <v>2403</v>
      </c>
      <c r="D103" s="615">
        <v>2865</v>
      </c>
      <c r="E103" s="615">
        <v>2966.7</v>
      </c>
      <c r="F103" s="615">
        <v>2687.9</v>
      </c>
      <c r="G103" s="615">
        <v>3170.5</v>
      </c>
    </row>
    <row r="104" spans="2:7">
      <c r="B104" s="616" t="s">
        <v>184</v>
      </c>
      <c r="C104" s="617">
        <v>1360</v>
      </c>
      <c r="D104" s="617">
        <v>1432</v>
      </c>
      <c r="E104" s="617">
        <v>1535.6</v>
      </c>
      <c r="F104" s="617">
        <v>1381.6</v>
      </c>
      <c r="G104" s="617">
        <v>1622.4</v>
      </c>
    </row>
    <row r="105" spans="2:7">
      <c r="B105" s="614" t="s">
        <v>185</v>
      </c>
      <c r="C105" s="615">
        <v>2170</v>
      </c>
      <c r="D105" s="615">
        <v>2518</v>
      </c>
      <c r="E105" s="615">
        <v>2630.6</v>
      </c>
      <c r="F105" s="615">
        <v>2384.6</v>
      </c>
      <c r="G105" s="615">
        <v>2811.8</v>
      </c>
    </row>
    <row r="106" spans="2:7">
      <c r="B106" s="616" t="s">
        <v>186</v>
      </c>
      <c r="C106" s="617">
        <v>2575</v>
      </c>
      <c r="D106" s="617">
        <v>3085</v>
      </c>
      <c r="E106" s="617">
        <v>3189.5</v>
      </c>
      <c r="F106" s="617">
        <v>2889.5</v>
      </c>
      <c r="G106" s="617">
        <v>3408.5</v>
      </c>
    </row>
    <row r="107" spans="2:7">
      <c r="B107" s="614" t="s">
        <v>187</v>
      </c>
      <c r="C107" s="615">
        <v>2532.3000000000002</v>
      </c>
      <c r="D107" s="615">
        <v>3042.9</v>
      </c>
      <c r="E107" s="615">
        <v>3142.95</v>
      </c>
      <c r="F107" s="615">
        <v>2847.17</v>
      </c>
      <c r="G107" s="615">
        <v>3358.69</v>
      </c>
    </row>
    <row r="108" spans="2:7">
      <c r="B108" s="616" t="s">
        <v>188</v>
      </c>
      <c r="C108" s="617">
        <v>2086</v>
      </c>
      <c r="D108" s="617">
        <v>2416</v>
      </c>
      <c r="E108" s="617">
        <v>2525.6</v>
      </c>
      <c r="F108" s="617">
        <v>2289.5</v>
      </c>
      <c r="G108" s="617">
        <v>2699.6</v>
      </c>
    </row>
    <row r="109" spans="2:7">
      <c r="B109" s="614" t="s">
        <v>189</v>
      </c>
      <c r="C109" s="615">
        <v>2491</v>
      </c>
      <c r="D109" s="615">
        <v>2983</v>
      </c>
      <c r="E109" s="615">
        <v>3084.5</v>
      </c>
      <c r="F109" s="615">
        <v>2794.4</v>
      </c>
      <c r="G109" s="615">
        <v>3296.3</v>
      </c>
    </row>
    <row r="110" spans="2:7">
      <c r="B110" s="616" t="s">
        <v>190</v>
      </c>
      <c r="C110" s="619">
        <v>2232.4699999999998</v>
      </c>
      <c r="D110" s="617">
        <v>2623.07</v>
      </c>
      <c r="E110" s="617">
        <v>2729.12</v>
      </c>
      <c r="F110" s="617">
        <v>2473.34</v>
      </c>
      <c r="G110" s="617">
        <v>2916.69</v>
      </c>
    </row>
    <row r="111" spans="2:7">
      <c r="B111" s="614" t="s">
        <v>191</v>
      </c>
      <c r="C111" s="615">
        <v>2060</v>
      </c>
      <c r="D111" s="615">
        <v>2345</v>
      </c>
      <c r="E111" s="615">
        <v>2280.25</v>
      </c>
      <c r="F111" s="615">
        <v>2273.75</v>
      </c>
      <c r="G111" s="615">
        <v>2513.25</v>
      </c>
    </row>
    <row r="112" spans="2:7">
      <c r="B112" s="616" t="s">
        <v>192</v>
      </c>
      <c r="C112" s="617">
        <v>2025.15</v>
      </c>
      <c r="D112" s="617">
        <v>2328.15</v>
      </c>
      <c r="E112" s="617">
        <v>2439.75</v>
      </c>
      <c r="F112" s="617">
        <v>2212</v>
      </c>
      <c r="G112" s="617">
        <v>2607.8000000000002</v>
      </c>
    </row>
    <row r="113" spans="2:7">
      <c r="B113" s="614" t="s">
        <v>193</v>
      </c>
      <c r="C113" s="615">
        <v>1351.88</v>
      </c>
      <c r="D113" s="615">
        <v>1382.48</v>
      </c>
      <c r="E113" s="615">
        <v>1508.48</v>
      </c>
      <c r="F113" s="615">
        <v>1370.75</v>
      </c>
      <c r="G113" s="615">
        <v>1613.64</v>
      </c>
    </row>
    <row r="114" spans="2:7">
      <c r="B114" s="616" t="s">
        <v>194</v>
      </c>
      <c r="C114" s="617">
        <v>1827.5</v>
      </c>
      <c r="D114" s="617">
        <v>2012.5</v>
      </c>
      <c r="E114" s="617">
        <v>2138.25</v>
      </c>
      <c r="F114" s="617">
        <v>2024.05</v>
      </c>
      <c r="G114" s="617">
        <v>2396.65</v>
      </c>
    </row>
    <row r="115" spans="2:7">
      <c r="B115" s="614" t="s">
        <v>195</v>
      </c>
      <c r="C115" s="615">
        <v>2930.12</v>
      </c>
      <c r="D115" s="615">
        <v>3495.12</v>
      </c>
      <c r="E115" s="615">
        <v>3606.62</v>
      </c>
      <c r="F115" s="615">
        <v>3416.87</v>
      </c>
      <c r="G115" s="615">
        <v>4060.5</v>
      </c>
    </row>
    <row r="116" spans="2:7">
      <c r="B116" s="616" t="s">
        <v>196</v>
      </c>
      <c r="C116" s="617">
        <v>2661.68</v>
      </c>
      <c r="D116" s="617">
        <v>3130.88</v>
      </c>
      <c r="E116" s="617">
        <v>3245.48</v>
      </c>
      <c r="F116" s="617">
        <v>3075.52</v>
      </c>
      <c r="G116" s="617">
        <v>8418.66</v>
      </c>
    </row>
    <row r="117" spans="2:7">
      <c r="B117" s="614" t="s">
        <v>197</v>
      </c>
      <c r="C117" s="615">
        <v>1566.57</v>
      </c>
      <c r="D117" s="615">
        <v>1683.57</v>
      </c>
      <c r="E117" s="615">
        <v>1805.12</v>
      </c>
      <c r="F117" s="615">
        <v>1638.72</v>
      </c>
      <c r="G117" s="615">
        <v>1930.35</v>
      </c>
    </row>
    <row r="118" spans="2:7">
      <c r="B118" s="616" t="s">
        <v>198</v>
      </c>
      <c r="C118" s="617">
        <v>1889.97</v>
      </c>
      <c r="D118" s="617">
        <v>2151.4699999999998</v>
      </c>
      <c r="E118" s="617">
        <v>2264.5500000000002</v>
      </c>
      <c r="F118" s="617">
        <v>2058.7600000000002</v>
      </c>
      <c r="G118" s="617">
        <v>2424.7950000000001</v>
      </c>
    </row>
    <row r="119" spans="2:7">
      <c r="B119" s="614" t="s">
        <v>199</v>
      </c>
      <c r="C119" s="615">
        <v>1608.7</v>
      </c>
      <c r="D119" s="615">
        <v>1793.1</v>
      </c>
      <c r="E119" s="615">
        <v>1887.97</v>
      </c>
      <c r="F119" s="615">
        <v>1754.21</v>
      </c>
      <c r="G119" s="615">
        <v>2042.33</v>
      </c>
    </row>
    <row r="120" spans="2:7">
      <c r="B120" s="616" t="s">
        <v>64</v>
      </c>
      <c r="C120" s="617">
        <v>1170.27</v>
      </c>
      <c r="D120" s="617">
        <v>1300</v>
      </c>
      <c r="E120" s="617">
        <v>1386.07</v>
      </c>
      <c r="F120" s="617">
        <v>1273.49</v>
      </c>
      <c r="G120" s="617">
        <v>1494.2601999999999</v>
      </c>
    </row>
    <row r="121" spans="2:7">
      <c r="B121" s="614" t="s">
        <v>38</v>
      </c>
      <c r="C121" s="615">
        <v>1183.9000000000001</v>
      </c>
      <c r="D121" s="615">
        <v>1307.55</v>
      </c>
      <c r="E121" s="615">
        <v>1396.29</v>
      </c>
      <c r="F121" s="615">
        <v>1281.8499999999999</v>
      </c>
      <c r="G121" s="615">
        <v>1505.097</v>
      </c>
    </row>
    <row r="122" spans="2:7">
      <c r="B122" s="616" t="s">
        <v>200</v>
      </c>
      <c r="C122" s="617"/>
      <c r="D122" s="617"/>
      <c r="E122" s="617">
        <v>601.17999999999995</v>
      </c>
      <c r="F122" s="617">
        <v>546.58000000000004</v>
      </c>
      <c r="G122" s="617">
        <v>643.39459999999997</v>
      </c>
    </row>
    <row r="123" spans="2:7">
      <c r="B123" s="614" t="s">
        <v>62</v>
      </c>
      <c r="C123" s="615">
        <v>1723.8</v>
      </c>
      <c r="D123" s="615">
        <v>2066.65</v>
      </c>
      <c r="E123" s="615">
        <v>2139.5500000000002</v>
      </c>
      <c r="F123" s="615">
        <v>2139.5500000000002</v>
      </c>
      <c r="G123" s="615">
        <v>2292.2109999999998</v>
      </c>
    </row>
    <row r="124" spans="2:7">
      <c r="B124" s="616" t="s">
        <v>58</v>
      </c>
      <c r="C124" s="617">
        <v>631.76</v>
      </c>
      <c r="D124" s="617">
        <v>606.76</v>
      </c>
      <c r="E124" s="617">
        <v>697.51</v>
      </c>
      <c r="F124" s="617">
        <v>675.75</v>
      </c>
      <c r="G124" s="617">
        <v>779.13099999999997</v>
      </c>
    </row>
    <row r="125" spans="2:7">
      <c r="B125" s="614" t="s">
        <v>201</v>
      </c>
      <c r="C125" s="615">
        <v>1534.44</v>
      </c>
      <c r="D125" s="615">
        <v>1664.44</v>
      </c>
      <c r="E125" s="615">
        <v>1765.38</v>
      </c>
      <c r="F125" s="615">
        <v>1636.34</v>
      </c>
      <c r="G125" s="615">
        <v>1905.34</v>
      </c>
    </row>
    <row r="126" spans="2:7">
      <c r="B126" s="616" t="s">
        <v>202</v>
      </c>
      <c r="C126" s="617">
        <v>448.16</v>
      </c>
      <c r="D126" s="617">
        <v>379.26</v>
      </c>
      <c r="E126" s="617">
        <v>465.39</v>
      </c>
      <c r="F126" s="617">
        <v>466.76</v>
      </c>
      <c r="G126" s="617">
        <v>531.37481100000002</v>
      </c>
    </row>
    <row r="127" spans="2:7">
      <c r="B127" s="614" t="s">
        <v>203</v>
      </c>
      <c r="C127" s="615">
        <v>1472.75</v>
      </c>
      <c r="D127" s="615">
        <v>1575.85</v>
      </c>
      <c r="E127" s="615">
        <v>1649.96</v>
      </c>
      <c r="F127" s="615">
        <v>1564.4</v>
      </c>
      <c r="G127" s="615">
        <v>1785.2149999999999</v>
      </c>
    </row>
    <row r="128" spans="2:7">
      <c r="B128" s="616" t="s">
        <v>204</v>
      </c>
      <c r="C128" s="617"/>
      <c r="D128" s="617"/>
      <c r="E128" s="617">
        <v>733.65</v>
      </c>
      <c r="F128" s="617">
        <v>696.68</v>
      </c>
      <c r="G128" s="617">
        <v>807.89</v>
      </c>
    </row>
    <row r="129" spans="2:7">
      <c r="B129" s="614" t="s">
        <v>205</v>
      </c>
      <c r="C129" s="615"/>
      <c r="D129" s="615">
        <v>1500</v>
      </c>
      <c r="E129" s="615">
        <v>1640</v>
      </c>
      <c r="F129" s="615">
        <v>1650</v>
      </c>
      <c r="G129" s="615">
        <v>1600</v>
      </c>
    </row>
    <row r="130" spans="2:7">
      <c r="B130" s="616" t="s">
        <v>206</v>
      </c>
      <c r="C130" s="617">
        <v>6014.48</v>
      </c>
      <c r="D130" s="617">
        <v>7854.24</v>
      </c>
      <c r="E130" s="617">
        <v>8076.6880000000001</v>
      </c>
      <c r="F130" s="617">
        <v>7563.76</v>
      </c>
      <c r="G130" s="617">
        <v>8308.5679999999993</v>
      </c>
    </row>
    <row r="131" spans="2:7">
      <c r="B131" s="614" t="s">
        <v>207</v>
      </c>
      <c r="C131" s="615">
        <v>3300</v>
      </c>
      <c r="D131" s="615">
        <v>3925</v>
      </c>
      <c r="E131" s="615">
        <v>4082.5</v>
      </c>
      <c r="F131" s="615">
        <v>3870</v>
      </c>
      <c r="G131" s="615">
        <v>4270</v>
      </c>
    </row>
    <row r="132" spans="2:7">
      <c r="B132" s="616" t="s">
        <v>208</v>
      </c>
      <c r="C132" s="617">
        <v>4516</v>
      </c>
      <c r="D132" s="617">
        <v>4516</v>
      </c>
      <c r="E132" s="617">
        <v>4656.72</v>
      </c>
      <c r="F132" s="617">
        <v>4785.92</v>
      </c>
      <c r="G132" s="617">
        <v>5871.68</v>
      </c>
    </row>
    <row r="133" spans="2:7">
      <c r="B133" s="614" t="s">
        <v>209</v>
      </c>
      <c r="C133" s="615">
        <v>13077.7</v>
      </c>
      <c r="D133" s="615">
        <v>13198</v>
      </c>
      <c r="E133" s="615">
        <v>14560.4</v>
      </c>
      <c r="F133" s="615">
        <v>13298.5</v>
      </c>
      <c r="G133" s="615">
        <v>15558.4</v>
      </c>
    </row>
    <row r="134" spans="2:7">
      <c r="B134" s="616" t="s">
        <v>210</v>
      </c>
      <c r="C134" s="617">
        <v>4042.9</v>
      </c>
      <c r="D134" s="617">
        <v>3994.7</v>
      </c>
      <c r="E134" s="617">
        <v>4143.01</v>
      </c>
      <c r="F134" s="617">
        <v>4299.37</v>
      </c>
      <c r="G134" s="617">
        <v>5344.4219999999996</v>
      </c>
    </row>
    <row r="135" spans="2:7">
      <c r="B135" s="614" t="s">
        <v>211</v>
      </c>
      <c r="C135" s="615">
        <v>8809</v>
      </c>
      <c r="D135" s="615">
        <v>8268</v>
      </c>
      <c r="E135" s="615">
        <v>8502</v>
      </c>
      <c r="F135" s="615">
        <v>7956</v>
      </c>
      <c r="G135" s="615">
        <v>8753.4680000000008</v>
      </c>
    </row>
    <row r="136" spans="2:7">
      <c r="B136" s="616" t="s">
        <v>212</v>
      </c>
      <c r="C136" s="617">
        <v>6891.2</v>
      </c>
      <c r="D136" s="617">
        <v>4400.2</v>
      </c>
      <c r="E136" s="617">
        <v>4490</v>
      </c>
      <c r="F136" s="617">
        <v>3856.91</v>
      </c>
      <c r="G136" s="617">
        <v>4277.8194000000003</v>
      </c>
    </row>
    <row r="137" spans="2:7">
      <c r="B137" s="614" t="s">
        <v>213</v>
      </c>
      <c r="C137" s="615">
        <v>3300</v>
      </c>
      <c r="D137" s="615">
        <v>3850</v>
      </c>
      <c r="E137" s="615">
        <v>3985</v>
      </c>
      <c r="F137" s="615">
        <v>3985</v>
      </c>
      <c r="G137" s="615">
        <v>4775</v>
      </c>
    </row>
    <row r="138" spans="2:7">
      <c r="B138" s="616" t="s">
        <v>214</v>
      </c>
      <c r="C138" s="617">
        <v>3300</v>
      </c>
      <c r="D138" s="617">
        <v>3850</v>
      </c>
      <c r="E138" s="617">
        <v>3985</v>
      </c>
      <c r="F138" s="617">
        <v>3985</v>
      </c>
      <c r="G138" s="617">
        <v>4775</v>
      </c>
    </row>
    <row r="139" spans="2:7">
      <c r="B139" s="614" t="s">
        <v>63</v>
      </c>
      <c r="C139" s="615">
        <v>10175</v>
      </c>
      <c r="D139" s="615">
        <v>11939</v>
      </c>
      <c r="E139" s="615">
        <v>13214</v>
      </c>
      <c r="F139" s="615">
        <v>11607</v>
      </c>
      <c r="G139" s="615">
        <v>13258</v>
      </c>
    </row>
    <row r="140" spans="2:7">
      <c r="B140" s="616" t="s">
        <v>65</v>
      </c>
      <c r="C140" s="617">
        <v>10350</v>
      </c>
      <c r="D140" s="617">
        <v>11946</v>
      </c>
      <c r="E140" s="617">
        <v>13396</v>
      </c>
      <c r="F140" s="617">
        <v>11698</v>
      </c>
      <c r="G140" s="617">
        <v>13412</v>
      </c>
    </row>
    <row r="141" spans="2:7">
      <c r="B141" s="614" t="s">
        <v>215</v>
      </c>
      <c r="C141" s="615">
        <v>4668</v>
      </c>
      <c r="D141" s="615">
        <v>4668</v>
      </c>
      <c r="E141" s="615">
        <v>5741.2</v>
      </c>
      <c r="F141" s="615">
        <v>5758.4</v>
      </c>
      <c r="G141" s="615">
        <v>6064.8</v>
      </c>
    </row>
    <row r="142" spans="2:7">
      <c r="B142" s="616" t="s">
        <v>60</v>
      </c>
      <c r="C142" s="617"/>
      <c r="D142" s="617"/>
      <c r="E142" s="617">
        <v>629.76</v>
      </c>
      <c r="F142" s="617">
        <v>573</v>
      </c>
      <c r="G142" s="617">
        <v>673.48055999999997</v>
      </c>
    </row>
    <row r="143" spans="2:7">
      <c r="B143" s="614" t="s">
        <v>216</v>
      </c>
      <c r="C143" s="615"/>
      <c r="D143" s="615"/>
      <c r="E143" s="615"/>
      <c r="F143" s="615"/>
      <c r="G143" s="615"/>
    </row>
    <row r="144" spans="2:7">
      <c r="B144" s="616" t="s">
        <v>217</v>
      </c>
      <c r="C144" s="617"/>
      <c r="D144" s="617"/>
      <c r="E144" s="617"/>
      <c r="F144" s="617"/>
      <c r="G144" s="617"/>
    </row>
    <row r="145" spans="2:7">
      <c r="B145" s="614" t="s">
        <v>11</v>
      </c>
      <c r="C145" s="615"/>
      <c r="D145" s="615"/>
      <c r="E145" s="615"/>
      <c r="F145" s="615"/>
      <c r="G145" s="615"/>
    </row>
    <row r="146" spans="2:7">
      <c r="B146" s="616" t="s">
        <v>218</v>
      </c>
      <c r="C146" s="617"/>
      <c r="D146" s="617"/>
      <c r="E146" s="617"/>
      <c r="F146" s="617"/>
      <c r="G146" s="617"/>
    </row>
    <row r="147" spans="2:7">
      <c r="B147" s="614" t="s">
        <v>219</v>
      </c>
      <c r="C147" s="615"/>
      <c r="D147" s="615"/>
      <c r="E147" s="615"/>
      <c r="F147" s="615"/>
      <c r="G147" s="615"/>
    </row>
    <row r="148" spans="2:7">
      <c r="B148" s="616" t="s">
        <v>220</v>
      </c>
      <c r="C148" s="617"/>
      <c r="D148" s="617"/>
      <c r="E148" s="617"/>
      <c r="F148" s="617"/>
      <c r="G148" s="617"/>
    </row>
    <row r="149" spans="2:7">
      <c r="B149" s="614" t="s">
        <v>221</v>
      </c>
      <c r="C149" s="615">
        <v>1</v>
      </c>
      <c r="D149" s="615">
        <v>1</v>
      </c>
      <c r="E149" s="615">
        <v>1</v>
      </c>
      <c r="F149" s="615">
        <v>1</v>
      </c>
      <c r="G149" s="615">
        <v>1</v>
      </c>
    </row>
    <row r="150" spans="2:7">
      <c r="B150" s="616" t="s">
        <v>222</v>
      </c>
      <c r="C150" s="617">
        <v>310</v>
      </c>
      <c r="D150" s="617"/>
      <c r="E150" s="617">
        <v>298</v>
      </c>
      <c r="F150" s="617">
        <v>265</v>
      </c>
      <c r="G150" s="617">
        <v>273</v>
      </c>
    </row>
    <row r="151" spans="2:7">
      <c r="B151" s="614" t="s">
        <v>223</v>
      </c>
      <c r="C151" s="615">
        <v>8700</v>
      </c>
      <c r="D151" s="615">
        <v>10000</v>
      </c>
      <c r="E151" s="615">
        <v>10300</v>
      </c>
      <c r="F151" s="615">
        <v>9540</v>
      </c>
      <c r="G151" s="615">
        <v>10200</v>
      </c>
    </row>
    <row r="152" spans="2:7">
      <c r="B152" s="616" t="s">
        <v>224</v>
      </c>
      <c r="C152" s="620"/>
      <c r="D152" s="620">
        <v>480</v>
      </c>
      <c r="E152" s="620">
        <v>575</v>
      </c>
      <c r="F152" s="620">
        <v>530</v>
      </c>
      <c r="G152" s="620"/>
    </row>
    <row r="153" spans="2:7">
      <c r="B153" s="614" t="s">
        <v>225</v>
      </c>
      <c r="C153" s="621"/>
      <c r="D153" s="621">
        <v>1483</v>
      </c>
      <c r="E153" s="621">
        <v>1568.6</v>
      </c>
      <c r="F153" s="621">
        <v>1403.2</v>
      </c>
      <c r="G153" s="621">
        <v>1645.7</v>
      </c>
    </row>
    <row r="154" spans="2:7">
      <c r="B154" s="616" t="s">
        <v>226</v>
      </c>
      <c r="C154" s="620"/>
      <c r="D154" s="620">
        <v>1520</v>
      </c>
      <c r="E154" s="620">
        <v>1606</v>
      </c>
      <c r="F154" s="620">
        <v>1436</v>
      </c>
      <c r="G154" s="620">
        <v>1684</v>
      </c>
    </row>
    <row r="155" spans="2:7">
      <c r="B155" s="614" t="s">
        <v>227</v>
      </c>
      <c r="C155" s="621"/>
      <c r="D155" s="621">
        <v>1625.36</v>
      </c>
      <c r="E155" s="621">
        <v>1730.47</v>
      </c>
      <c r="F155" s="621">
        <v>1682.93</v>
      </c>
      <c r="G155" s="621">
        <v>1874.26</v>
      </c>
    </row>
    <row r="156" spans="2:7">
      <c r="B156" s="616" t="s">
        <v>228</v>
      </c>
      <c r="C156" s="620"/>
      <c r="D156" s="620">
        <v>1849.16</v>
      </c>
      <c r="E156" s="620">
        <v>1892.76</v>
      </c>
      <c r="F156" s="620">
        <v>1757.96</v>
      </c>
      <c r="G156" s="620">
        <v>1987</v>
      </c>
    </row>
    <row r="157" spans="2:7">
      <c r="B157" s="614" t="s">
        <v>229</v>
      </c>
      <c r="C157" s="621"/>
      <c r="D157" s="621">
        <v>2457.1999999999998</v>
      </c>
      <c r="E157" s="621">
        <v>2376.8000000000002</v>
      </c>
      <c r="F157" s="621">
        <v>2358.8000000000002</v>
      </c>
      <c r="G157" s="621">
        <v>2588.6</v>
      </c>
    </row>
    <row r="158" spans="2:7">
      <c r="B158" s="616" t="s">
        <v>230</v>
      </c>
      <c r="C158" s="620">
        <v>3038.17</v>
      </c>
      <c r="D158" s="620">
        <v>3698.17</v>
      </c>
      <c r="E158" s="620">
        <v>3804.87</v>
      </c>
      <c r="F158" s="620">
        <v>3527.37</v>
      </c>
      <c r="G158" s="620">
        <v>4052.5</v>
      </c>
    </row>
    <row r="159" spans="2:7">
      <c r="B159" s="614" t="s">
        <v>231</v>
      </c>
      <c r="C159" s="621"/>
      <c r="D159" s="621">
        <v>2136</v>
      </c>
      <c r="E159" s="621">
        <v>2375.1999999999998</v>
      </c>
      <c r="F159" s="621">
        <v>2210.9</v>
      </c>
      <c r="G159" s="621">
        <v>2502.1999999999998</v>
      </c>
    </row>
    <row r="160" spans="2:7">
      <c r="B160" s="616" t="s">
        <v>1046</v>
      </c>
      <c r="C160" s="620"/>
      <c r="D160" s="620"/>
      <c r="E160" s="620"/>
      <c r="F160" s="620"/>
      <c r="G160" s="620">
        <v>0.501</v>
      </c>
    </row>
    <row r="161" spans="2:7">
      <c r="B161" s="614" t="s">
        <v>95</v>
      </c>
      <c r="C161" s="621">
        <v>2900</v>
      </c>
      <c r="D161" s="621">
        <v>3500</v>
      </c>
      <c r="E161" s="621">
        <v>3220</v>
      </c>
      <c r="F161" s="621">
        <v>3350</v>
      </c>
      <c r="G161" s="621">
        <v>3600</v>
      </c>
    </row>
    <row r="162" spans="2:7">
      <c r="B162" s="616"/>
      <c r="C162" s="620"/>
      <c r="D162" s="620"/>
      <c r="E162" s="620"/>
      <c r="F162" s="620"/>
      <c r="G162" s="620"/>
    </row>
    <row r="163" spans="2:7">
      <c r="B163" s="614"/>
      <c r="C163" s="615"/>
      <c r="D163" s="615"/>
      <c r="E163" s="615"/>
      <c r="F163" s="615"/>
      <c r="G163" s="615"/>
    </row>
    <row r="164" spans="2:7">
      <c r="B164" s="616"/>
      <c r="C164" s="617"/>
      <c r="D164" s="617"/>
      <c r="E164" s="617"/>
      <c r="F164" s="617"/>
      <c r="G164" s="617"/>
    </row>
    <row r="165" spans="2:7">
      <c r="B165" s="614"/>
      <c r="C165" s="615"/>
      <c r="D165" s="615"/>
      <c r="E165" s="615"/>
      <c r="F165" s="615"/>
      <c r="G165" s="615"/>
    </row>
    <row r="166" spans="2:7">
      <c r="B166" s="616"/>
      <c r="C166" s="617"/>
      <c r="D166" s="617"/>
      <c r="E166" s="617"/>
      <c r="F166" s="617"/>
      <c r="G166" s="617"/>
    </row>
    <row r="167" spans="2:7">
      <c r="B167" s="614"/>
      <c r="C167" s="615"/>
      <c r="D167" s="615"/>
      <c r="E167" s="615"/>
      <c r="F167" s="615"/>
      <c r="G167" s="615"/>
    </row>
    <row r="168" spans="2:7">
      <c r="B168" s="616"/>
      <c r="C168" s="617"/>
      <c r="D168" s="617"/>
      <c r="E168" s="617"/>
      <c r="F168" s="617"/>
      <c r="G168" s="617"/>
    </row>
    <row r="169" spans="2:7">
      <c r="B169" s="614"/>
      <c r="C169" s="615"/>
      <c r="D169" s="615"/>
      <c r="E169" s="615"/>
      <c r="F169" s="615"/>
      <c r="G169" s="615"/>
    </row>
    <row r="170" spans="2:7">
      <c r="B170" s="616"/>
      <c r="C170" s="617"/>
      <c r="D170" s="617"/>
      <c r="E170" s="617"/>
      <c r="F170" s="617"/>
      <c r="G170" s="617"/>
    </row>
    <row r="171" spans="2:7">
      <c r="B171" s="614"/>
      <c r="C171" s="615"/>
      <c r="D171" s="615"/>
      <c r="E171" s="615"/>
      <c r="F171" s="615"/>
      <c r="G171" s="615"/>
    </row>
    <row r="172" spans="2:7">
      <c r="B172" s="616"/>
      <c r="C172" s="617"/>
      <c r="D172" s="617"/>
      <c r="E172" s="617"/>
      <c r="F172" s="617"/>
      <c r="G172" s="617"/>
    </row>
    <row r="173" spans="2:7">
      <c r="B173" s="614"/>
      <c r="C173" s="615"/>
      <c r="D173" s="615"/>
      <c r="E173" s="615"/>
      <c r="F173" s="615"/>
      <c r="G173" s="615"/>
    </row>
    <row r="174" spans="2:7">
      <c r="B174" s="131"/>
      <c r="C174" s="131"/>
      <c r="D174" s="131"/>
      <c r="E174" s="131"/>
      <c r="F174" s="131"/>
      <c r="G174" s="131"/>
    </row>
    <row r="175" spans="2:7">
      <c r="B175" s="131"/>
      <c r="C175" s="131"/>
      <c r="D175" s="131"/>
      <c r="E175" s="131"/>
      <c r="F175" s="131"/>
      <c r="G175" s="131"/>
    </row>
    <row r="176" spans="2:7">
      <c r="B176" s="131"/>
      <c r="C176" s="131"/>
      <c r="D176" s="131"/>
      <c r="E176" s="131"/>
      <c r="F176" s="131"/>
      <c r="G176" s="131"/>
    </row>
    <row r="177" spans="2:7">
      <c r="B177" s="131"/>
      <c r="C177" s="131"/>
      <c r="D177" s="131"/>
      <c r="E177" s="131"/>
      <c r="F177" s="131"/>
      <c r="G177" s="131"/>
    </row>
    <row r="178" spans="2:7">
      <c r="B178" s="131"/>
      <c r="C178" s="131"/>
      <c r="D178" s="131"/>
      <c r="E178" s="131"/>
      <c r="F178" s="131"/>
      <c r="G178" s="131"/>
    </row>
    <row r="179" spans="2:7">
      <c r="B179" s="131"/>
      <c r="C179" s="131"/>
      <c r="D179" s="131"/>
      <c r="E179" s="131"/>
      <c r="F179" s="131"/>
      <c r="G179" s="131"/>
    </row>
    <row r="180" spans="2:7">
      <c r="B180" s="131"/>
      <c r="C180" s="131"/>
      <c r="D180" s="131"/>
      <c r="E180" s="131"/>
      <c r="F180" s="131"/>
      <c r="G180" s="131"/>
    </row>
    <row r="181" spans="2:7">
      <c r="B181" s="131"/>
      <c r="C181" s="131"/>
      <c r="D181" s="131"/>
      <c r="E181" s="131"/>
      <c r="F181" s="131"/>
      <c r="G181" s="131"/>
    </row>
    <row r="182" spans="2:7">
      <c r="B182" s="131"/>
      <c r="C182" s="131"/>
      <c r="D182" s="131"/>
      <c r="E182" s="131"/>
      <c r="F182" s="131"/>
      <c r="G182" s="131"/>
    </row>
    <row r="183" spans="2:7">
      <c r="B183" s="131"/>
      <c r="C183" s="131"/>
      <c r="D183" s="131"/>
      <c r="E183" s="131"/>
      <c r="F183" s="131"/>
      <c r="G183" s="131"/>
    </row>
    <row r="184" spans="2:7">
      <c r="B184" s="131"/>
      <c r="C184" s="131"/>
      <c r="D184" s="131"/>
      <c r="E184" s="131"/>
      <c r="F184" s="131"/>
      <c r="G184" s="131"/>
    </row>
    <row r="185" spans="2:7">
      <c r="B185" s="131"/>
      <c r="C185" s="131"/>
      <c r="D185" s="131"/>
      <c r="E185" s="131"/>
      <c r="F185" s="131"/>
      <c r="G185" s="131"/>
    </row>
    <row r="186" spans="2:7">
      <c r="B186" s="131"/>
      <c r="C186" s="131"/>
      <c r="D186" s="131"/>
      <c r="E186" s="131"/>
      <c r="F186" s="131"/>
      <c r="G186" s="131"/>
    </row>
    <row r="187" spans="2:7">
      <c r="B187" s="131"/>
      <c r="C187" s="131"/>
      <c r="D187" s="131"/>
      <c r="E187" s="131"/>
      <c r="F187" s="131"/>
      <c r="G187" s="131"/>
    </row>
    <row r="188" spans="2:7">
      <c r="B188" s="131"/>
      <c r="C188" s="131"/>
      <c r="D188" s="131"/>
      <c r="E188" s="131"/>
      <c r="F188" s="131"/>
      <c r="G188" s="131"/>
    </row>
    <row r="189" spans="2:7">
      <c r="B189" s="131"/>
      <c r="C189" s="131"/>
      <c r="D189" s="131"/>
      <c r="E189" s="131"/>
      <c r="F189" s="131"/>
      <c r="G189" s="131"/>
    </row>
    <row r="190" spans="2:7">
      <c r="B190" s="131"/>
      <c r="C190" s="131"/>
      <c r="D190" s="131"/>
      <c r="E190" s="131"/>
      <c r="F190" s="131"/>
      <c r="G190" s="131"/>
    </row>
  </sheetData>
  <phoneticPr fontId="12"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E659-46F9-4865-965E-E24B343028A9}">
  <dimension ref="B1:B161"/>
  <sheetViews>
    <sheetView workbookViewId="0">
      <pane xSplit="1" ySplit="1" topLeftCell="B2" activePane="bottomRight" state="frozenSplit"/>
      <selection activeCell="B1" sqref="B1"/>
      <selection pane="topRight"/>
      <selection pane="bottomLeft"/>
      <selection pane="bottomRight" activeCell="B1" sqref="B1"/>
    </sheetView>
  </sheetViews>
  <sheetFormatPr defaultRowHeight="17"/>
  <cols>
    <col min="1" max="1" width="9.1796875" customWidth="1"/>
    <col min="2" max="2" width="86.1796875" customWidth="1"/>
    <col min="3" max="3" width="66.08984375" customWidth="1"/>
    <col min="4" max="4" width="82.26953125" customWidth="1"/>
    <col min="5" max="5" width="81.26953125" bestFit="1" customWidth="1"/>
  </cols>
  <sheetData>
    <row r="1" spans="2:2">
      <c r="B1" s="5" t="s">
        <v>1047</v>
      </c>
    </row>
    <row r="2" spans="2:2">
      <c r="B2" t="s">
        <v>1048</v>
      </c>
    </row>
    <row r="13" spans="2:2">
      <c r="B13" t="s">
        <v>1049</v>
      </c>
    </row>
    <row r="25" spans="2:2">
      <c r="B25" t="s">
        <v>1050</v>
      </c>
    </row>
    <row r="39" spans="2:2">
      <c r="B39" t="s">
        <v>1051</v>
      </c>
    </row>
    <row r="52" spans="2:2">
      <c r="B52" t="s">
        <v>1052</v>
      </c>
    </row>
    <row r="65" spans="2:2">
      <c r="B65" t="s">
        <v>1053</v>
      </c>
    </row>
    <row r="78" spans="2:2">
      <c r="B78" t="s">
        <v>1054</v>
      </c>
    </row>
    <row r="94" spans="2:2">
      <c r="B94" t="s">
        <v>1055</v>
      </c>
    </row>
    <row r="114" spans="2:2">
      <c r="B114" t="s">
        <v>1056</v>
      </c>
    </row>
    <row r="129" spans="2:2">
      <c r="B129" t="s">
        <v>1057</v>
      </c>
    </row>
    <row r="146" spans="2:2">
      <c r="B146" t="s">
        <v>1058</v>
      </c>
    </row>
    <row r="161" spans="2:2">
      <c r="B161" t="s">
        <v>461</v>
      </c>
    </row>
  </sheetData>
  <phoneticPr fontId="12" type="noConversion"/>
  <hyperlinks>
    <hyperlink ref="B1" location="'1.GHG Inventory Form'!N131" display="Return 1.GHG Inventory Form" xr:uid="{00000000-0004-0000-0C00-000000000000}"/>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C27C8-72B1-6D4C-AE12-127D846376DD}">
  <sheetPr codeName="工作表12">
    <tabColor theme="0"/>
  </sheetPr>
  <dimension ref="A3:S31"/>
  <sheetViews>
    <sheetView topLeftCell="F1" zoomScale="40" zoomScaleNormal="40" workbookViewId="0">
      <selection activeCell="AH59" sqref="AH59"/>
    </sheetView>
  </sheetViews>
  <sheetFormatPr defaultColWidth="15.90625" defaultRowHeight="17"/>
  <cols>
    <col min="1" max="1" width="11.54296875" hidden="1" customWidth="1"/>
    <col min="2" max="2" width="13.81640625" hidden="1" customWidth="1"/>
    <col min="3" max="4" width="11.54296875" hidden="1" customWidth="1"/>
    <col min="5" max="5" width="30.81640625" hidden="1" customWidth="1"/>
    <col min="6" max="6" width="39.36328125" customWidth="1"/>
    <col min="7" max="7" width="14.453125" bestFit="1" customWidth="1"/>
    <col min="8" max="8" width="10.453125" bestFit="1" customWidth="1"/>
    <col min="9" max="9" width="52.1796875" bestFit="1" customWidth="1"/>
    <col min="10" max="12" width="11.54296875" customWidth="1"/>
    <col min="13" max="13" width="19.36328125" bestFit="1" customWidth="1"/>
    <col min="14" max="14" width="22.1796875" bestFit="1" customWidth="1"/>
    <col min="15" max="15" width="11.54296875" customWidth="1"/>
    <col min="16" max="16" width="15.36328125" bestFit="1" customWidth="1"/>
  </cols>
  <sheetData>
    <row r="3" spans="2:19">
      <c r="F3" t="s">
        <v>1059</v>
      </c>
      <c r="G3" t="s">
        <v>1060</v>
      </c>
      <c r="H3" t="s">
        <v>1061</v>
      </c>
      <c r="I3" t="s">
        <v>1062</v>
      </c>
      <c r="M3" t="s">
        <v>1063</v>
      </c>
      <c r="N3" t="s">
        <v>31</v>
      </c>
      <c r="O3" t="s">
        <v>917</v>
      </c>
      <c r="P3" t="s">
        <v>936</v>
      </c>
      <c r="Q3" t="s">
        <v>52</v>
      </c>
      <c r="S3" t="s">
        <v>1064</v>
      </c>
    </row>
    <row r="4" spans="2:19" ht="27" customHeight="1">
      <c r="B4" t="s">
        <v>1065</v>
      </c>
      <c r="C4" t="s">
        <v>1066</v>
      </c>
      <c r="E4" s="58"/>
      <c r="F4" s="622" t="s">
        <v>1067</v>
      </c>
      <c r="G4" s="623">
        <v>3.0000000000000001E-3</v>
      </c>
      <c r="H4" s="624" t="s">
        <v>1068</v>
      </c>
      <c r="I4" s="624" t="s">
        <v>1069</v>
      </c>
      <c r="M4" t="s">
        <v>0</v>
      </c>
      <c r="N4" t="s">
        <v>43</v>
      </c>
      <c r="O4" t="s">
        <v>16</v>
      </c>
      <c r="P4" t="s">
        <v>4</v>
      </c>
      <c r="Q4" t="s">
        <v>53</v>
      </c>
      <c r="S4" t="s">
        <v>1070</v>
      </c>
    </row>
    <row r="5" spans="2:19" ht="26.5" customHeight="1">
      <c r="B5">
        <v>1</v>
      </c>
      <c r="C5">
        <v>4</v>
      </c>
      <c r="E5" s="58"/>
      <c r="F5" s="622" t="s">
        <v>1071</v>
      </c>
      <c r="G5" s="623">
        <v>0.32500000000000001</v>
      </c>
      <c r="H5" s="624" t="s">
        <v>1072</v>
      </c>
      <c r="I5" s="624" t="s">
        <v>1073</v>
      </c>
      <c r="M5" t="s">
        <v>17</v>
      </c>
      <c r="N5" t="s">
        <v>34</v>
      </c>
      <c r="P5" t="s">
        <v>2</v>
      </c>
    </row>
    <row r="6" spans="2:19" ht="39.5" customHeight="1">
      <c r="B6">
        <v>2</v>
      </c>
      <c r="C6">
        <v>5</v>
      </c>
      <c r="E6" s="58"/>
      <c r="F6" s="622" t="s">
        <v>1074</v>
      </c>
      <c r="G6" s="623">
        <v>0.16</v>
      </c>
      <c r="H6" s="624" t="s">
        <v>1075</v>
      </c>
      <c r="I6" s="624" t="s">
        <v>1076</v>
      </c>
      <c r="M6" t="s">
        <v>30</v>
      </c>
      <c r="N6" t="s">
        <v>44</v>
      </c>
      <c r="P6" t="s">
        <v>10</v>
      </c>
    </row>
    <row r="7" spans="2:19">
      <c r="B7">
        <v>3</v>
      </c>
      <c r="C7">
        <v>6</v>
      </c>
      <c r="E7" s="58"/>
      <c r="F7" s="622" t="s">
        <v>1077</v>
      </c>
      <c r="G7" s="623">
        <v>8.5000000000000006E-2</v>
      </c>
      <c r="H7" s="624" t="s">
        <v>1078</v>
      </c>
      <c r="I7" s="624" t="s">
        <v>1079</v>
      </c>
      <c r="M7" t="s">
        <v>40</v>
      </c>
      <c r="N7" t="s">
        <v>45</v>
      </c>
      <c r="P7" t="s">
        <v>26</v>
      </c>
    </row>
    <row r="8" spans="2:19" ht="40" customHeight="1">
      <c r="E8" s="58"/>
      <c r="F8" s="622" t="s">
        <v>1080</v>
      </c>
      <c r="G8" s="623">
        <v>5.5E-2</v>
      </c>
      <c r="H8" s="624" t="s">
        <v>1081</v>
      </c>
      <c r="I8" s="624" t="s">
        <v>1082</v>
      </c>
      <c r="M8" t="s">
        <v>41</v>
      </c>
      <c r="N8" t="s">
        <v>46</v>
      </c>
      <c r="P8" t="s">
        <v>18</v>
      </c>
    </row>
    <row r="9" spans="2:19">
      <c r="E9" s="58"/>
      <c r="F9" s="622" t="s">
        <v>1083</v>
      </c>
      <c r="G9" s="623">
        <v>0.15</v>
      </c>
      <c r="H9" s="624" t="s">
        <v>1084</v>
      </c>
      <c r="I9" s="624" t="s">
        <v>1085</v>
      </c>
      <c r="M9" t="s">
        <v>42</v>
      </c>
      <c r="N9" t="s">
        <v>47</v>
      </c>
      <c r="P9" t="s">
        <v>13</v>
      </c>
    </row>
    <row r="10" spans="2:19" ht="27" customHeight="1">
      <c r="B10" t="s">
        <v>1086</v>
      </c>
      <c r="C10" t="s">
        <v>1087</v>
      </c>
      <c r="E10" s="58"/>
      <c r="F10" s="625" t="s">
        <v>1088</v>
      </c>
      <c r="G10" s="623">
        <v>0.08</v>
      </c>
      <c r="H10" s="624" t="s">
        <v>1089</v>
      </c>
      <c r="I10" s="624" t="s">
        <v>1090</v>
      </c>
      <c r="M10" t="s">
        <v>75</v>
      </c>
      <c r="N10" t="s">
        <v>48</v>
      </c>
      <c r="P10" t="s">
        <v>8</v>
      </c>
    </row>
    <row r="11" spans="2:19" ht="26.5" customHeight="1">
      <c r="B11">
        <v>1</v>
      </c>
      <c r="C11">
        <v>4</v>
      </c>
      <c r="E11" s="58"/>
      <c r="F11" s="626" t="s">
        <v>1091</v>
      </c>
      <c r="G11" s="627">
        <v>0.22500000000000001</v>
      </c>
      <c r="H11" s="628" t="s">
        <v>1092</v>
      </c>
      <c r="I11" s="624" t="s">
        <v>1093</v>
      </c>
      <c r="M11" t="s">
        <v>6</v>
      </c>
      <c r="P11" t="s">
        <v>9</v>
      </c>
    </row>
    <row r="12" spans="2:19">
      <c r="M12" t="s">
        <v>33</v>
      </c>
      <c r="P12" t="s">
        <v>50</v>
      </c>
    </row>
    <row r="13" spans="2:19">
      <c r="F13" s="277" t="s">
        <v>1094</v>
      </c>
      <c r="M13" t="s">
        <v>51</v>
      </c>
      <c r="P13" t="s">
        <v>14</v>
      </c>
    </row>
    <row r="14" spans="2:19">
      <c r="F14" s="6" t="s">
        <v>1095</v>
      </c>
      <c r="P14" t="s">
        <v>5</v>
      </c>
    </row>
    <row r="15" spans="2:19">
      <c r="P15" t="s">
        <v>12</v>
      </c>
    </row>
    <row r="16" spans="2:19">
      <c r="P16" t="s">
        <v>20</v>
      </c>
    </row>
    <row r="17" spans="16:19">
      <c r="P17" t="s">
        <v>3</v>
      </c>
    </row>
    <row r="18" spans="16:19">
      <c r="P18" t="s">
        <v>1</v>
      </c>
    </row>
    <row r="19" spans="16:19">
      <c r="P19" t="s">
        <v>19</v>
      </c>
    </row>
    <row r="31" spans="16:19">
      <c r="S31" t="s">
        <v>1096</v>
      </c>
    </row>
  </sheetData>
  <phoneticPr fontId="12" type="noConversion"/>
  <pageMargins left="0.7" right="0.7" top="0.75" bottom="0.75" header="0.3" footer="0.3"/>
  <drawing r:id="rId1"/>
  <tableParts count="6">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599B7B5C149F4FA6AA162BFBE17EE3" ma:contentTypeVersion="2" ma:contentTypeDescription="Create a new document." ma:contentTypeScope="" ma:versionID="5faf462d5caeb671b9204ec83ffb6950">
  <xsd:schema xmlns:xsd="http://www.w3.org/2001/XMLSchema" xmlns:xs="http://www.w3.org/2001/XMLSchema" xmlns:p="http://schemas.microsoft.com/office/2006/metadata/properties" xmlns:ns1="http://schemas.microsoft.com/sharepoint/v3" xmlns:ns2="http://schemas.microsoft.com/sharepoint/v4" targetNamespace="http://schemas.microsoft.com/office/2006/metadata/properties" ma:root="true" ma:fieldsID="05456097f330d390441f7db4611e960c" ns1:_="" ns2:_="">
    <xsd:import namespace="http://schemas.microsoft.com/sharepoint/v3"/>
    <xsd:import namespace="http://schemas.microsoft.com/sharepoint/v4"/>
    <xsd:element name="properties">
      <xsd:complexType>
        <xsd:sequence>
          <xsd:element name="documentManagement">
            <xsd:complexType>
              <xsd:all>
                <xsd:element ref="ns1:LargeFileSize" minOccurs="0"/>
                <xsd:element ref="ns2: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rgeFileSize" ma:index="8" nillable="true" ma:displayName="Linked File Size" ma:hidden="true" ma:internalName="LargeFileSiz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conOverlay xmlns="http://schemas.microsoft.com/sharepoint/v4" xsi:nil="true"/>
    <LargeFileSize xmlns="http://schemas.microsoft.com/sharepoint/v3" xsi:nil="true"/>
  </documentManagement>
</p:properties>
</file>

<file path=customXml/itemProps1.xml><?xml version="1.0" encoding="utf-8"?>
<ds:datastoreItem xmlns:ds="http://schemas.openxmlformats.org/officeDocument/2006/customXml" ds:itemID="{4BCBD47E-7670-47F4-9D4E-BA5A94633739}"/>
</file>

<file path=customXml/itemProps2.xml><?xml version="1.0" encoding="utf-8"?>
<ds:datastoreItem xmlns:ds="http://schemas.openxmlformats.org/officeDocument/2006/customXml" ds:itemID="{F5FA5704-83EF-4043-9326-49AA76C4C9D3}"/>
</file>

<file path=customXml/itemProps3.xml><?xml version="1.0" encoding="utf-8"?>
<ds:datastoreItem xmlns:ds="http://schemas.openxmlformats.org/officeDocument/2006/customXml" ds:itemID="{A7F120B1-A202-4378-AD3B-DAADC021D5D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具名範圍</vt:lpstr>
      </vt:variant>
      <vt:variant>
        <vt:i4>32</vt:i4>
      </vt:variant>
    </vt:vector>
  </HeadingPairs>
  <TitlesOfParts>
    <vt:vector size="40" baseType="lpstr">
      <vt:lpstr>1.GHG Inventory Form</vt:lpstr>
      <vt:lpstr>2.Emission Inventory Results</vt:lpstr>
      <vt:lpstr>3.Summary</vt:lpstr>
      <vt:lpstr>4.Default Emission Factor</vt:lpstr>
      <vt:lpstr>5.Electricity factor</vt:lpstr>
      <vt:lpstr>6.GWP</vt:lpstr>
      <vt:lpstr>7.Simapro9.4.0.2</vt:lpstr>
      <vt:lpstr>Other Emission Factor</vt:lpstr>
      <vt:lpstr>'3.Summary'!Africa</vt:lpstr>
      <vt:lpstr>Africa</vt:lpstr>
      <vt:lpstr>'3.Summary'!Americas</vt:lpstr>
      <vt:lpstr>Americas</vt:lpstr>
      <vt:lpstr>'3.Summary'!Asia</vt:lpstr>
      <vt:lpstr>Asia</vt:lpstr>
      <vt:lpstr>'3.Summary'!CO2係數</vt:lpstr>
      <vt:lpstr>CO2係數</vt:lpstr>
      <vt:lpstr>'3.Summary'!Europe</vt:lpstr>
      <vt:lpstr>Europe</vt:lpstr>
      <vt:lpstr>'3.Summary'!Oceania</vt:lpstr>
      <vt:lpstr>Oceania</vt:lpstr>
      <vt:lpstr>region</vt:lpstr>
      <vt:lpstr>title</vt:lpstr>
      <vt:lpstr>title2</vt:lpstr>
      <vt:lpstr>'3.Summary'!國家</vt:lpstr>
      <vt:lpstr>國家</vt:lpstr>
      <vt:lpstr>'3.Summary'!國家電網</vt:lpstr>
      <vt:lpstr>國家電網</vt:lpstr>
      <vt:lpstr>'3.Summary'!溫室氣體種類</vt:lpstr>
      <vt:lpstr>溫室氣體種類</vt:lpstr>
      <vt:lpstr>'3.Summary'!電力係數</vt:lpstr>
      <vt:lpstr>電力係數</vt:lpstr>
      <vt:lpstr>'3.Summary'!電力係數年度</vt:lpstr>
      <vt:lpstr>電力係數年度</vt:lpstr>
      <vt:lpstr>'3.Summary'!電力係數來源</vt:lpstr>
      <vt:lpstr>電力係數來源</vt:lpstr>
      <vt:lpstr>'3.Summary'!電網</vt:lpstr>
      <vt:lpstr>電網</vt:lpstr>
      <vt:lpstr>預設值Default</vt:lpstr>
      <vt:lpstr>'3.Summary'!預設逸散率</vt:lpstr>
      <vt:lpstr>預設逸散率Default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Chanming Chen</dc:creator>
  <cp:lastModifiedBy>TIM.LIEN 連振廷</cp:lastModifiedBy>
  <cp:lastPrinted>2012-03-09T02:14:40Z</cp:lastPrinted>
  <dcterms:created xsi:type="dcterms:W3CDTF">2007-03-28T06:02:09Z</dcterms:created>
  <dcterms:modified xsi:type="dcterms:W3CDTF">2024-06-21T09:52:47Z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0x010100CD599B7B5C149F4FA6AA162BFBE17EE3</vt:lpwstr>
  </property>
</Properties>
</file>