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DieseArbeitsmappe"/>
  <mc:AlternateContent xmlns:mc="http://schemas.openxmlformats.org/markup-compatibility/2006">
    <mc:Choice Requires="x15">
      <x15ac:absPath xmlns:x15ac="http://schemas.microsoft.com/office/spreadsheetml/2010/11/ac" url="\\GFS01\G01a\OE71BAU\05_AG_715\03_Vorhaben\Vh_MIS_Brand\06_Versuchsplanung\Betonage\Betonage Bauteile\"/>
    </mc:Choice>
  </mc:AlternateContent>
  <bookViews>
    <workbookView xWindow="240" yWindow="90" windowWidth="9195" windowHeight="5475" activeTab="2"/>
  </bookViews>
  <sheets>
    <sheet name="Sieblinie PPa-2 (MFI 25)" sheetId="7" r:id="rId1"/>
    <sheet name="Rezeptur PPa-2 (MFI 25)" sheetId="5" r:id="rId2"/>
    <sheet name="Mischanweisung PPa-2 (MFI 25)" sheetId="4" r:id="rId3"/>
  </sheets>
  <externalReferences>
    <externalReference r:id="rId4"/>
  </externalReferences>
  <definedNames>
    <definedName name="_xlnm.Print_Area" localSheetId="2">'Mischanweisung PPa-2 (MFI 25)'!$A$1:$L$40</definedName>
    <definedName name="_xlnm.Print_Area" localSheetId="1">'Rezeptur PPa-2 (MFI 25)'!$A$1:$K$49</definedName>
    <definedName name="_xlnm.Print_Area" localSheetId="0">'Sieblinie PPa-2 (MFI 25)'!$A$1:$M$55</definedName>
  </definedNames>
  <calcPr calcId="171027"/>
</workbook>
</file>

<file path=xl/calcChain.xml><?xml version="1.0" encoding="utf-8"?>
<calcChain xmlns="http://schemas.openxmlformats.org/spreadsheetml/2006/main">
  <c r="C28" i="5" l="1"/>
  <c r="K19" i="4" l="1"/>
  <c r="L38" i="4" l="1"/>
  <c r="K38" i="4"/>
  <c r="J38" i="4"/>
  <c r="I38" i="4"/>
  <c r="G38" i="4"/>
  <c r="E38" i="4"/>
  <c r="J39" i="4" l="1"/>
  <c r="E39" i="4"/>
  <c r="C18" i="4"/>
  <c r="G18" i="4" s="1"/>
  <c r="G27" i="5" l="1"/>
  <c r="E18" i="4"/>
  <c r="K2" i="5" l="1"/>
  <c r="K2" i="4" s="1"/>
  <c r="C9" i="5"/>
  <c r="D6" i="4"/>
  <c r="D5" i="5"/>
  <c r="D5" i="4" s="1"/>
  <c r="D4" i="5"/>
  <c r="D4" i="4" s="1"/>
  <c r="I32" i="5"/>
  <c r="B23" i="4" s="1"/>
  <c r="I33" i="5"/>
  <c r="B24" i="4" s="1"/>
  <c r="I34" i="5"/>
  <c r="B25" i="4" s="1"/>
  <c r="I35" i="5"/>
  <c r="B26" i="4" s="1"/>
  <c r="I36" i="5"/>
  <c r="B27" i="4" s="1"/>
  <c r="I37" i="5"/>
  <c r="B28" i="4" s="1"/>
  <c r="I31" i="5"/>
  <c r="B22" i="4" s="1"/>
  <c r="H33" i="5"/>
  <c r="D24" i="4" s="1"/>
  <c r="H34" i="5"/>
  <c r="D25" i="4" s="1"/>
  <c r="H35" i="5"/>
  <c r="D26" i="4" s="1"/>
  <c r="H36" i="5"/>
  <c r="D27" i="4" s="1"/>
  <c r="H37" i="5"/>
  <c r="D28" i="4" s="1"/>
  <c r="H31" i="5"/>
  <c r="D22" i="4" s="1"/>
  <c r="H32" i="5"/>
  <c r="D23" i="4" s="1"/>
  <c r="G26" i="5"/>
  <c r="I15" i="5"/>
  <c r="H15" i="5"/>
  <c r="G15" i="5"/>
  <c r="F15" i="5"/>
  <c r="E15" i="5"/>
  <c r="D15" i="5"/>
  <c r="C15" i="5"/>
  <c r="M59" i="7"/>
  <c r="L59" i="7"/>
  <c r="K59" i="7"/>
  <c r="J59" i="7"/>
  <c r="I59" i="7"/>
  <c r="H59" i="7"/>
  <c r="G59" i="7"/>
  <c r="F59" i="7"/>
  <c r="M58" i="7"/>
  <c r="M62" i="7" s="1"/>
  <c r="L58" i="7"/>
  <c r="L62" i="7" s="1"/>
  <c r="K58" i="7"/>
  <c r="K62" i="7" s="1"/>
  <c r="J58" i="7"/>
  <c r="J62" i="7" s="1"/>
  <c r="I58" i="7"/>
  <c r="I62" i="7" s="1"/>
  <c r="H58" i="7"/>
  <c r="H62" i="7" s="1"/>
  <c r="G58" i="7"/>
  <c r="G62" i="7" s="1"/>
  <c r="F58" i="7"/>
  <c r="F62" i="7" s="1"/>
  <c r="C35" i="7"/>
  <c r="K33" i="7"/>
  <c r="J33" i="7"/>
  <c r="I33" i="7"/>
  <c r="H33" i="7"/>
  <c r="G33" i="7"/>
  <c r="F33" i="7"/>
  <c r="E33" i="7"/>
  <c r="D33" i="7"/>
  <c r="K32" i="7"/>
  <c r="J32" i="7"/>
  <c r="I32" i="7"/>
  <c r="H32" i="7"/>
  <c r="G32" i="7"/>
  <c r="F32" i="7"/>
  <c r="E32" i="7"/>
  <c r="D32" i="7"/>
  <c r="K31" i="7"/>
  <c r="J31" i="7"/>
  <c r="I31" i="7"/>
  <c r="H31" i="7"/>
  <c r="G31" i="7"/>
  <c r="F31" i="7"/>
  <c r="E31" i="7"/>
  <c r="D31" i="7"/>
  <c r="K30" i="7"/>
  <c r="J30" i="7"/>
  <c r="I30" i="7"/>
  <c r="H30" i="7"/>
  <c r="G30" i="7"/>
  <c r="F30" i="7"/>
  <c r="E30" i="7"/>
  <c r="D30" i="7"/>
  <c r="K29" i="7"/>
  <c r="J29" i="7"/>
  <c r="I29" i="7"/>
  <c r="H29" i="7"/>
  <c r="G29" i="7"/>
  <c r="F29" i="7"/>
  <c r="E29" i="7"/>
  <c r="D29" i="7"/>
  <c r="K28" i="7"/>
  <c r="J28" i="7"/>
  <c r="I28" i="7"/>
  <c r="H28" i="7"/>
  <c r="G28" i="7"/>
  <c r="F28" i="7"/>
  <c r="E28" i="7"/>
  <c r="D28" i="7"/>
  <c r="K27" i="7"/>
  <c r="K35" i="7" s="1"/>
  <c r="J27" i="7"/>
  <c r="J35" i="7" s="1"/>
  <c r="I27" i="7"/>
  <c r="I35" i="7" s="1"/>
  <c r="H27" i="7"/>
  <c r="H35" i="7" s="1"/>
  <c r="G27" i="7"/>
  <c r="G35" i="7" s="1"/>
  <c r="F27" i="7"/>
  <c r="F35" i="7" s="1"/>
  <c r="E27" i="7"/>
  <c r="E35" i="7" s="1"/>
  <c r="D27" i="7"/>
  <c r="D35" i="7" s="1"/>
  <c r="M23" i="7"/>
  <c r="L19" i="4"/>
  <c r="H34" i="4"/>
  <c r="C13" i="4"/>
  <c r="C14" i="4"/>
  <c r="G14" i="4" s="1"/>
  <c r="C17" i="4"/>
  <c r="G17" i="4" s="1"/>
  <c r="G22" i="5"/>
  <c r="G23" i="5"/>
  <c r="E13" i="4" l="1"/>
  <c r="C29" i="5"/>
  <c r="K15" i="5"/>
  <c r="G13" i="4"/>
  <c r="E17" i="4"/>
  <c r="E14" i="4"/>
  <c r="G28" i="5"/>
  <c r="G29" i="5" s="1"/>
  <c r="G30" i="5" s="1"/>
  <c r="C19" i="4"/>
  <c r="C20" i="4" s="1"/>
  <c r="O34" i="7"/>
  <c r="J36" i="7"/>
  <c r="M35" i="7"/>
  <c r="E36" i="7"/>
  <c r="O29" i="7"/>
  <c r="O30" i="7"/>
  <c r="F36" i="7"/>
  <c r="O33" i="7"/>
  <c r="I36" i="7"/>
  <c r="K36" i="7"/>
  <c r="O35" i="7"/>
  <c r="D36" i="7"/>
  <c r="O28" i="7"/>
  <c r="G36" i="7"/>
  <c r="O31" i="7"/>
  <c r="H36" i="7"/>
  <c r="O32" i="7"/>
  <c r="K61" i="7"/>
  <c r="F61" i="7"/>
  <c r="J61" i="7"/>
  <c r="L61" i="7"/>
  <c r="G61" i="7"/>
  <c r="H61" i="7"/>
  <c r="I61" i="7"/>
  <c r="M61" i="7"/>
  <c r="G31" i="5" l="1"/>
  <c r="C31" i="5" s="1"/>
  <c r="C22" i="4" s="1"/>
  <c r="G36" i="5"/>
  <c r="C36" i="5" s="1"/>
  <c r="C27" i="4" s="1"/>
  <c r="E27" i="4" s="1"/>
  <c r="G33" i="5"/>
  <c r="C33" i="5" s="1"/>
  <c r="C24" i="4" s="1"/>
  <c r="E24" i="4" s="1"/>
  <c r="G37" i="5"/>
  <c r="C37" i="5" s="1"/>
  <c r="C28" i="4" s="1"/>
  <c r="E28" i="4" s="1"/>
  <c r="G35" i="5"/>
  <c r="C35" i="5" s="1"/>
  <c r="C26" i="4" s="1"/>
  <c r="E26" i="4" s="1"/>
  <c r="G32" i="5"/>
  <c r="C32" i="5" s="1"/>
  <c r="C23" i="4" s="1"/>
  <c r="E23" i="4" s="1"/>
  <c r="G34" i="5"/>
  <c r="C34" i="5" s="1"/>
  <c r="C25" i="4" s="1"/>
  <c r="E25" i="4" s="1"/>
  <c r="G40" i="5"/>
  <c r="G19" i="4"/>
  <c r="G20" i="4" s="1"/>
  <c r="E19" i="4"/>
  <c r="E20" i="4" s="1"/>
  <c r="M36" i="7"/>
  <c r="M8" i="7"/>
  <c r="I10" i="5" s="1"/>
  <c r="C30" i="5" l="1"/>
  <c r="C40" i="5" s="1"/>
  <c r="C21" i="4"/>
  <c r="C32" i="4" s="1"/>
  <c r="E22" i="4"/>
  <c r="G22" i="4" l="1"/>
  <c r="G23" i="4" s="1"/>
  <c r="G24" i="4" s="1"/>
  <c r="G25" i="4" s="1"/>
  <c r="G26" i="4" s="1"/>
  <c r="G27" i="4" s="1"/>
  <c r="G28" i="4" s="1"/>
  <c r="E21" i="4"/>
  <c r="E32" i="4" s="1"/>
  <c r="G21" i="4" l="1"/>
  <c r="G32" i="4" s="1"/>
</calcChain>
</file>

<file path=xl/sharedStrings.xml><?xml version="1.0" encoding="utf-8"?>
<sst xmlns="http://schemas.openxmlformats.org/spreadsheetml/2006/main" count="253" uniqueCount="170">
  <si>
    <t>BAM</t>
  </si>
  <si>
    <t>Kornzusammensetzung von Zuschlaggemischen für Beton</t>
  </si>
  <si>
    <t xml:space="preserve">  Datum:</t>
  </si>
  <si>
    <t>Rechnerische Ermittlung der Sieblinie und graphische Darstellung</t>
  </si>
  <si>
    <t xml:space="preserve">  Bearbeiter: </t>
  </si>
  <si>
    <t>Antragsteller:</t>
  </si>
  <si>
    <t>Antrags-/ Projekt-Nr.:</t>
  </si>
  <si>
    <t xml:space="preserve">Datei: </t>
  </si>
  <si>
    <t>Betonsorte u. -festigkeitsklasse:</t>
  </si>
  <si>
    <t>Sieblinie: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</si>
  <si>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</si>
  <si>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</si>
  <si>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</si>
  <si>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</si>
  <si>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</si>
  <si>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</si>
  <si>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</si>
  <si>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</si>
  <si>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Quarz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</si>
  <si>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</si>
  <si>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</si>
  <si>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</si>
  <si>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</si>
  <si>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</si>
  <si>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</si>
  <si>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</si>
  <si>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Abweichung in %</t>
  </si>
  <si>
    <t>Betonzusammensetzung, Mischanweisung,</t>
  </si>
  <si>
    <t>Datum:</t>
  </si>
  <si>
    <t>Frischbetonprüfung</t>
  </si>
  <si>
    <t>Name:</t>
  </si>
  <si>
    <t>Bezeichnung der Proben:</t>
  </si>
  <si>
    <t xml:space="preserve"> 1. Betonzusammensetzung und Mischanweisung</t>
  </si>
  <si>
    <t xml:space="preserve">  2. Frischbetonprüfung</t>
  </si>
  <si>
    <t>Stoffart</t>
  </si>
  <si>
    <t>Zusammen-</t>
  </si>
  <si>
    <t>Mischanweisung</t>
  </si>
  <si>
    <t xml:space="preserve">  Betonkonsistenbereich </t>
  </si>
  <si>
    <t>setzung</t>
  </si>
  <si>
    <t>l</t>
  </si>
  <si>
    <t>Einzelkomp.</t>
  </si>
  <si>
    <t>additiv</t>
  </si>
  <si>
    <t xml:space="preserve">Zementwerk: </t>
  </si>
  <si>
    <t>kg/m³</t>
  </si>
  <si>
    <t>kg</t>
  </si>
  <si>
    <t xml:space="preserve">  Setzmaß in cm</t>
  </si>
  <si>
    <t xml:space="preserve">  Zement</t>
  </si>
  <si>
    <t xml:space="preserve">  Wasser (gesamt)</t>
  </si>
  <si>
    <t>Luftgehalt P in Vol.-%:</t>
  </si>
  <si>
    <t xml:space="preserve">  Wasser (wirksam)</t>
  </si>
  <si>
    <t>---</t>
  </si>
  <si>
    <t xml:space="preserve">  Rohdichte im Luftgehaltsprüftopf</t>
  </si>
  <si>
    <t xml:space="preserve">  Luftgehalt</t>
  </si>
  <si>
    <t xml:space="preserve">  Betonmasse in kg</t>
  </si>
  <si>
    <t xml:space="preserve">  Topfvolumen in dm³:</t>
  </si>
  <si>
    <t xml:space="preserve">  Rohdichte in kg/dm³:</t>
  </si>
  <si>
    <t xml:space="preserve">  Gesamt</t>
  </si>
  <si>
    <t xml:space="preserve">  Temperatur  in °C</t>
  </si>
  <si>
    <t xml:space="preserve">  Zuschlag (gesamt)</t>
  </si>
  <si>
    <t>%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</si>
  <si>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</si>
  <si>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</si>
  <si>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</si>
  <si>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</si>
  <si>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</si>
  <si>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</si>
  <si>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</si>
  <si>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</si>
  <si>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</si>
  <si>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</si>
  <si>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</si>
  <si>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 xml:space="preserve">8,0    / 16,0 </t>
  </si>
  <si>
    <t>16,0   / 31,5</t>
  </si>
  <si>
    <t>--</t>
  </si>
  <si>
    <t xml:space="preserve">  Verdichtung des Frischbetons</t>
  </si>
  <si>
    <t xml:space="preserve">  Rütteltisch:</t>
  </si>
  <si>
    <t xml:space="preserve">  Frischbeton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</si>
  <si>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</si>
  <si>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</si>
  <si>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</si>
  <si>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</si>
  <si>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</si>
  <si>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</si>
  <si>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>dm³</t>
  </si>
  <si>
    <t xml:space="preserve"> Frischbetonrohdichte</t>
  </si>
  <si>
    <t>kg/dm³</t>
  </si>
  <si>
    <t xml:space="preserve"> Mittelwert</t>
  </si>
  <si>
    <t>Berechnung der Zusammensetzung von Beton</t>
  </si>
  <si>
    <t>Betonsorte u.-festigkeitsklasse:</t>
  </si>
  <si>
    <t>Wasserzementwert</t>
  </si>
  <si>
    <t>Konsistenz:</t>
  </si>
  <si>
    <t xml:space="preserve">Sieblinie n. DIN 1045:   </t>
  </si>
  <si>
    <t>Körnungsziffer (k-Wert):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</si>
  <si>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</si>
  <si>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</si>
  <si>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</si>
  <si>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</si>
  <si>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</t>
  </si>
  <si>
    <t>Stoffmenge</t>
  </si>
  <si>
    <t>Dichte bzw.</t>
  </si>
  <si>
    <t>Stoffraum</t>
  </si>
  <si>
    <t>Sonstiges/Bemerkungen</t>
  </si>
  <si>
    <t>Rohdichte</t>
  </si>
  <si>
    <t xml:space="preserve">  Zusatzmittel</t>
  </si>
  <si>
    <t>Vol. -%</t>
  </si>
  <si>
    <t xml:space="preserve">  Mehlkornanteil</t>
  </si>
  <si>
    <t xml:space="preserve">  Mörtelanteil</t>
  </si>
  <si>
    <t>Frischbeton</t>
  </si>
  <si>
    <t xml:space="preserve">  Bearbeiter:</t>
  </si>
  <si>
    <t>Fuller</t>
  </si>
  <si>
    <t>Empa</t>
  </si>
  <si>
    <t>Mittel</t>
  </si>
  <si>
    <t>2/3+1/3</t>
  </si>
  <si>
    <t xml:space="preserve">  Ausbreitmaß in mm</t>
  </si>
  <si>
    <t>Mischer:</t>
  </si>
  <si>
    <t>CEM I 42,5 R</t>
  </si>
  <si>
    <t>Rüdersdorf</t>
  </si>
  <si>
    <r>
      <t xml:space="preserve"> </t>
    </r>
    <r>
      <rPr>
        <sz val="8.5"/>
        <rFont val="Arial"/>
        <family val="2"/>
      </rPr>
      <t xml:space="preserve"> Zusatzmittel</t>
    </r>
  </si>
  <si>
    <t>8,0 / 16,0</t>
  </si>
  <si>
    <t>4,0 / 8,0</t>
  </si>
  <si>
    <t>2,0 / 4,0</t>
  </si>
  <si>
    <t>1,0 / 2,0</t>
  </si>
  <si>
    <t>0,5 / 1,0</t>
  </si>
  <si>
    <t>0,1 / 0,5</t>
  </si>
  <si>
    <t>0 / 0,3</t>
  </si>
  <si>
    <t>Zusatzstoff</t>
  </si>
  <si>
    <t>0,5  / 1,0</t>
  </si>
  <si>
    <t>1,0  / 2,0</t>
  </si>
  <si>
    <t>2,0  / 4,0</t>
  </si>
  <si>
    <t>4,0  / 8,0</t>
  </si>
  <si>
    <t>8,0  /16,0</t>
  </si>
  <si>
    <t>A 8</t>
  </si>
  <si>
    <t>B 8</t>
  </si>
  <si>
    <t>C 8</t>
  </si>
  <si>
    <t>U 8</t>
  </si>
  <si>
    <t xml:space="preserve">  0  /  0,3</t>
  </si>
  <si>
    <t>0,5  /  1,0</t>
  </si>
  <si>
    <t>1,0  /  2,0</t>
  </si>
  <si>
    <t>2,0  /  4,0</t>
  </si>
  <si>
    <t>4,0  /  8,0</t>
  </si>
  <si>
    <t>8,0  / 16,0</t>
  </si>
  <si>
    <t>Annahme: V-% gleich M-%</t>
  </si>
  <si>
    <t>Mikrosilika</t>
  </si>
  <si>
    <t>FM 595 BASF</t>
  </si>
  <si>
    <t>BASF FM 595</t>
  </si>
  <si>
    <t>Sand/Kies</t>
  </si>
  <si>
    <t>CEM I 42,5 R "Rüdersdorf"</t>
  </si>
  <si>
    <t>RW Füller (Mikrosilika)</t>
  </si>
  <si>
    <t>7.1</t>
  </si>
  <si>
    <t>F3 bis F4</t>
  </si>
  <si>
    <t>0,1  /  0,5</t>
  </si>
  <si>
    <t>Dorsten 2013</t>
  </si>
  <si>
    <t>0,1 / 0,3</t>
  </si>
  <si>
    <t>PP-Fasern</t>
  </si>
  <si>
    <t>Bemerkung:</t>
  </si>
  <si>
    <t>BAM 7.1 - FE (Stelzner)</t>
  </si>
  <si>
    <t>MIS-Brand</t>
  </si>
  <si>
    <t>AB 8</t>
  </si>
  <si>
    <t>Okrilla  2015</t>
  </si>
  <si>
    <t>Stelzner</t>
  </si>
  <si>
    <t>ohne Schläge</t>
  </si>
  <si>
    <t>mit Schläge</t>
  </si>
  <si>
    <t>Dosierbereich 0,1-3 M.-% v. Zement</t>
  </si>
  <si>
    <t>15 sec.</t>
  </si>
  <si>
    <t>Beton PPa-2 (MFI 25)</t>
  </si>
  <si>
    <t>Fließmittel mit 3,5% überdosiert</t>
  </si>
  <si>
    <t>Sr-PPa-2_326 (MFI 25)</t>
  </si>
  <si>
    <t>45/45</t>
  </si>
  <si>
    <t>59/59</t>
  </si>
  <si>
    <t>Zylinder: 2*10s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</si>
</sst>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#,##0.0"/>
    <numFmt numFmtId="166" formatCode="0.000"/>
    <numFmt numFmtId="167" formatCode="###\ \ \l"/>
    <numFmt numFmtId="168" formatCode="dd/mm/yy;@"/>
    <numFmt numFmtId="169" formatCode="#,##0.00\ [$€];[Red]\-#,##0.00\ [$€]"/>
    <numFmt numFmtId="170" formatCode="dd/mm/yy"/>
  </numFmts>
  <fonts count="19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i/>
      <sz val="8.5"/>
      <name val="Arial"/>
      <family val="2"/>
    </font>
    <font>
      <sz val="11"/>
      <color rgb="FF006100"/>
      <name val="Calibri"/>
      <family val="2"/>
      <scheme val="minor"/>
    </font>
    <font>
      <sz val="12"/>
      <name val="MS Sans Serif"/>
      <family val="2"/>
    </font>
    <font>
      <sz val="8.5"/>
      <name val="MS Sans Serif"/>
      <family val="2"/>
    </font>
    <font>
      <sz val="8"/>
      <name val="MS Sans Serif"/>
      <family val="2"/>
    </font>
    <font>
      <sz val="8"/>
      <color rgb="FFFF0000"/>
      <name val="Arial"/>
      <family val="2"/>
    </font>
    <font>
      <b/>
      <u/>
      <sz val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9" fontId="2" fillId="0" borderId="0" applyFont="0" applyFill="0" applyBorder="0" applyAlignment="0" applyProtection="0"/>
    <xf numFmtId="0" fontId="12" fillId="2" borderId="0" applyNumberFormat="0" applyBorder="0" applyAlignment="0" applyProtection="0"/>
    <xf numFmtId="0" fontId="2" fillId="0" borderId="0"/>
  </cellStyleXfs>
  <cellXfs count="33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Continuous" vertical="center"/>
    </xf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0" fillId="0" borderId="0" xfId="0" applyBorder="1"/>
    <xf numFmtId="2" fontId="0" fillId="0" borderId="0" xfId="0" applyNumberFormat="1"/>
    <xf numFmtId="1" fontId="0" fillId="0" borderId="0" xfId="0" applyNumberFormat="1" applyBorder="1" applyAlignment="1"/>
    <xf numFmtId="167" fontId="0" fillId="0" borderId="0" xfId="0" applyNumberFormat="1" applyBorder="1" applyAlignment="1"/>
    <xf numFmtId="167" fontId="0" fillId="0" borderId="0" xfId="0" applyNumberFormat="1" applyBorder="1"/>
    <xf numFmtId="164" fontId="0" fillId="0" borderId="0" xfId="0" applyNumberFormat="1" applyBorder="1" applyAlignment="1"/>
    <xf numFmtId="1" fontId="0" fillId="0" borderId="0" xfId="0" applyNumberFormat="1" applyBorder="1"/>
    <xf numFmtId="2" fontId="0" fillId="0" borderId="0" xfId="0" applyNumberFormat="1" applyBorder="1"/>
    <xf numFmtId="1" fontId="0" fillId="0" borderId="0" xfId="0" applyNumberFormat="1"/>
    <xf numFmtId="16" fontId="0" fillId="0" borderId="0" xfId="0" applyNumberFormat="1"/>
    <xf numFmtId="0" fontId="6" fillId="0" borderId="5" xfId="0" applyFont="1" applyBorder="1" applyAlignment="1">
      <alignment horizontal="center" vertical="center" wrapText="1"/>
    </xf>
    <xf numFmtId="166" fontId="0" fillId="0" borderId="0" xfId="0" applyNumberFormat="1"/>
    <xf numFmtId="0" fontId="7" fillId="0" borderId="0" xfId="0" applyFont="1"/>
    <xf numFmtId="0" fontId="4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/>
    </xf>
    <xf numFmtId="0" fontId="9" fillId="0" borderId="13" xfId="0" applyFont="1" applyBorder="1" applyAlignment="1">
      <alignment horizontal="center" vertical="center"/>
    </xf>
    <xf numFmtId="168" fontId="7" fillId="0" borderId="14" xfId="0" applyNumberFormat="1" applyFont="1" applyBorder="1" applyAlignment="1">
      <alignment horizontal="centerContinuous" vertical="center"/>
    </xf>
    <xf numFmtId="0" fontId="7" fillId="0" borderId="15" xfId="0" applyFont="1" applyBorder="1" applyAlignment="1">
      <alignment horizontal="centerContinuous" vertical="center"/>
    </xf>
    <xf numFmtId="0" fontId="8" fillId="0" borderId="3" xfId="0" applyFont="1" applyBorder="1" applyAlignment="1">
      <alignment horizontal="centerContinuous" vertical="center"/>
    </xf>
    <xf numFmtId="0" fontId="9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Continuous" vertical="center"/>
    </xf>
    <xf numFmtId="0" fontId="7" fillId="0" borderId="18" xfId="0" applyFont="1" applyBorder="1" applyAlignment="1">
      <alignment horizontal="centerContinuous" vertical="center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horizontal="centerContinuous" vertical="center"/>
    </xf>
    <xf numFmtId="0" fontId="7" fillId="0" borderId="2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center"/>
    </xf>
    <xf numFmtId="0" fontId="10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23" xfId="0" applyFont="1" applyBorder="1" applyAlignment="1">
      <alignment horizontal="centerContinuous" vertical="center"/>
    </xf>
    <xf numFmtId="0" fontId="7" fillId="0" borderId="19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vertical="center"/>
    </xf>
    <xf numFmtId="0" fontId="7" fillId="0" borderId="19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0" fontId="5" fillId="0" borderId="19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0" fontId="9" fillId="0" borderId="17" xfId="0" applyFont="1" applyBorder="1" applyAlignment="1">
      <alignment vertical="center"/>
    </xf>
    <xf numFmtId="0" fontId="7" fillId="0" borderId="28" xfId="0" applyFont="1" applyBorder="1" applyAlignment="1">
      <alignment horizontal="centerContinuous" vertical="center"/>
    </xf>
    <xf numFmtId="0" fontId="7" fillId="0" borderId="27" xfId="0" applyFont="1" applyBorder="1" applyAlignment="1">
      <alignment horizontal="centerContinuous" vertical="center"/>
    </xf>
    <xf numFmtId="2" fontId="7" fillId="0" borderId="19" xfId="0" quotePrefix="1" applyNumberFormat="1" applyFont="1" applyBorder="1" applyAlignment="1">
      <alignment horizontal="centerContinuous" vertical="center"/>
    </xf>
    <xf numFmtId="2" fontId="7" fillId="0" borderId="8" xfId="0" applyNumberFormat="1" applyFont="1" applyBorder="1" applyAlignment="1">
      <alignment horizontal="centerContinuous" vertical="center"/>
    </xf>
    <xf numFmtId="2" fontId="7" fillId="0" borderId="11" xfId="0" applyNumberFormat="1" applyFont="1" applyBorder="1" applyAlignment="1">
      <alignment horizontal="centerContinuous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" fontId="7" fillId="0" borderId="27" xfId="0" applyNumberFormat="1" applyFont="1" applyBorder="1" applyAlignment="1">
      <alignment horizontal="centerContinuous" vertical="center"/>
    </xf>
    <xf numFmtId="1" fontId="7" fillId="0" borderId="11" xfId="0" applyNumberFormat="1" applyFont="1" applyBorder="1" applyAlignment="1">
      <alignment horizontal="centerContinuous" vertical="center"/>
    </xf>
    <xf numFmtId="2" fontId="7" fillId="0" borderId="8" xfId="0" quotePrefix="1" applyNumberFormat="1" applyFont="1" applyBorder="1" applyAlignment="1">
      <alignment horizontal="centerContinuous" vertical="center"/>
    </xf>
    <xf numFmtId="0" fontId="9" fillId="0" borderId="29" xfId="0" applyFont="1" applyBorder="1" applyAlignment="1">
      <alignment horizontal="centerContinuous" vertical="center"/>
    </xf>
    <xf numFmtId="0" fontId="7" fillId="0" borderId="29" xfId="0" applyFont="1" applyBorder="1" applyAlignment="1">
      <alignment horizontal="centerContinuous" vertical="center"/>
    </xf>
    <xf numFmtId="0" fontId="7" fillId="0" borderId="30" xfId="0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Continuous" vertical="center"/>
    </xf>
    <xf numFmtId="0" fontId="11" fillId="0" borderId="1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166" fontId="5" fillId="0" borderId="31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1" fontId="5" fillId="0" borderId="2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1" fontId="7" fillId="0" borderId="32" xfId="0" applyNumberFormat="1" applyFont="1" applyBorder="1" applyAlignment="1">
      <alignment horizontal="center" vertical="center"/>
    </xf>
    <xf numFmtId="9" fontId="7" fillId="0" borderId="33" xfId="0" applyNumberFormat="1" applyFont="1" applyBorder="1" applyAlignment="1">
      <alignment horizontal="centerContinuous" vertical="center"/>
    </xf>
    <xf numFmtId="2" fontId="7" fillId="0" borderId="24" xfId="0" quotePrefix="1" applyNumberFormat="1" applyFont="1" applyBorder="1" applyAlignment="1">
      <alignment horizontal="centerContinuous" vertical="center"/>
    </xf>
    <xf numFmtId="2" fontId="7" fillId="0" borderId="26" xfId="0" applyNumberFormat="1" applyFont="1" applyBorder="1" applyAlignment="1">
      <alignment horizontal="centerContinuous" vertical="center"/>
    </xf>
    <xf numFmtId="0" fontId="5" fillId="0" borderId="24" xfId="0" applyFont="1" applyBorder="1" applyAlignment="1">
      <alignment horizontal="centerContinuous" vertical="center"/>
    </xf>
    <xf numFmtId="0" fontId="5" fillId="0" borderId="31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9" fillId="0" borderId="32" xfId="0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Continuous" vertical="center"/>
    </xf>
    <xf numFmtId="1" fontId="7" fillId="0" borderId="33" xfId="0" applyNumberFormat="1" applyFont="1" applyBorder="1" applyAlignment="1">
      <alignment horizontal="centerContinuous" vertical="center"/>
    </xf>
    <xf numFmtId="2" fontId="7" fillId="0" borderId="31" xfId="0" applyNumberFormat="1" applyFont="1" applyBorder="1" applyAlignment="1">
      <alignment horizontal="centerContinuous" vertical="center"/>
    </xf>
    <xf numFmtId="0" fontId="5" fillId="0" borderId="28" xfId="0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2" fontId="5" fillId="0" borderId="34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5" fillId="0" borderId="37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1" fontId="7" fillId="0" borderId="32" xfId="0" quotePrefix="1" applyNumberFormat="1" applyFont="1" applyBorder="1" applyAlignment="1">
      <alignment horizontal="center" vertical="center"/>
    </xf>
    <xf numFmtId="1" fontId="7" fillId="0" borderId="33" xfId="0" quotePrefix="1" applyNumberFormat="1" applyFont="1" applyBorder="1" applyAlignment="1">
      <alignment horizontal="centerContinuous" vertical="center"/>
    </xf>
    <xf numFmtId="0" fontId="5" fillId="0" borderId="2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9" fillId="0" borderId="26" xfId="0" applyFont="1" applyBorder="1" applyAlignment="1">
      <alignment horizontal="centerContinuous" vertical="center"/>
    </xf>
    <xf numFmtId="0" fontId="7" fillId="0" borderId="33" xfId="0" quotePrefix="1" applyFont="1" applyBorder="1" applyAlignment="1">
      <alignment horizontal="centerContinuous" vertical="center"/>
    </xf>
    <xf numFmtId="2" fontId="7" fillId="0" borderId="31" xfId="0" quotePrefix="1" applyNumberFormat="1" applyFont="1" applyBorder="1" applyAlignment="1">
      <alignment horizontal="centerContinuous" vertical="center"/>
    </xf>
    <xf numFmtId="0" fontId="7" fillId="0" borderId="32" xfId="0" quotePrefix="1" applyFont="1" applyBorder="1" applyAlignment="1">
      <alignment horizontal="centerContinuous" vertical="center"/>
    </xf>
    <xf numFmtId="0" fontId="7" fillId="0" borderId="26" xfId="0" applyFont="1" applyBorder="1" applyAlignment="1">
      <alignment horizontal="centerContinuous" vertical="center"/>
    </xf>
    <xf numFmtId="1" fontId="7" fillId="0" borderId="27" xfId="0" quotePrefix="1" applyNumberFormat="1" applyFont="1" applyBorder="1" applyAlignment="1">
      <alignment horizontal="center" vertical="center"/>
    </xf>
    <xf numFmtId="0" fontId="7" fillId="0" borderId="38" xfId="0" quotePrefix="1" applyFont="1" applyBorder="1" applyAlignment="1">
      <alignment horizontal="centerContinuous"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1" fontId="7" fillId="0" borderId="39" xfId="0" quotePrefix="1" applyNumberFormat="1" applyFont="1" applyBorder="1" applyAlignment="1">
      <alignment horizontal="centerContinuous" vertical="center"/>
    </xf>
    <xf numFmtId="0" fontId="7" fillId="0" borderId="18" xfId="0" quotePrefix="1" applyFont="1" applyBorder="1" applyAlignment="1">
      <alignment horizontal="centerContinuous" vertical="center"/>
    </xf>
    <xf numFmtId="2" fontId="7" fillId="0" borderId="3" xfId="0" quotePrefix="1" applyNumberFormat="1" applyFont="1" applyBorder="1" applyAlignment="1">
      <alignment horizontal="centerContinuous" vertical="center"/>
    </xf>
    <xf numFmtId="2" fontId="7" fillId="0" borderId="28" xfId="0" applyNumberFormat="1" applyFont="1" applyBorder="1" applyAlignment="1">
      <alignment horizontal="centerContinuous" vertical="center"/>
    </xf>
    <xf numFmtId="2" fontId="7" fillId="0" borderId="18" xfId="0" applyNumberFormat="1" applyFont="1" applyBorder="1" applyAlignment="1">
      <alignment horizontal="centerContinuous" vertical="center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horizontal="centerContinuous" vertical="center"/>
    </xf>
    <xf numFmtId="1" fontId="7" fillId="0" borderId="2" xfId="0" applyNumberFormat="1" applyFont="1" applyBorder="1" applyAlignment="1">
      <alignment horizontal="centerContinuous" vertical="center"/>
    </xf>
    <xf numFmtId="0" fontId="9" fillId="0" borderId="2" xfId="0" applyFont="1" applyBorder="1" applyAlignment="1">
      <alignment vertical="center"/>
    </xf>
    <xf numFmtId="0" fontId="7" fillId="0" borderId="2" xfId="0" applyFont="1" applyBorder="1"/>
    <xf numFmtId="0" fontId="7" fillId="0" borderId="21" xfId="0" applyFont="1" applyBorder="1"/>
    <xf numFmtId="0" fontId="5" fillId="0" borderId="4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/>
    </xf>
    <xf numFmtId="0" fontId="5" fillId="0" borderId="41" xfId="0" applyFont="1" applyBorder="1" applyAlignment="1">
      <alignment vertical="center"/>
    </xf>
    <xf numFmtId="0" fontId="5" fillId="0" borderId="35" xfId="0" applyFont="1" applyBorder="1" applyAlignment="1">
      <alignment horizontal="centerContinuous" vertical="center"/>
    </xf>
    <xf numFmtId="0" fontId="7" fillId="0" borderId="42" xfId="0" applyFont="1" applyBorder="1" applyAlignment="1">
      <alignment horizontal="centerContinuous" vertical="center"/>
    </xf>
    <xf numFmtId="0" fontId="5" fillId="0" borderId="43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45" xfId="0" applyFont="1" applyBorder="1" applyAlignment="1">
      <alignment horizontal="centerContinuous" vertical="center"/>
    </xf>
    <xf numFmtId="0" fontId="7" fillId="0" borderId="46" xfId="0" applyFont="1" applyBorder="1" applyAlignment="1">
      <alignment horizontal="centerContinuous" vertical="center"/>
    </xf>
    <xf numFmtId="0" fontId="5" fillId="0" borderId="17" xfId="0" applyFont="1" applyBorder="1" applyAlignment="1">
      <alignment vertical="center"/>
    </xf>
    <xf numFmtId="0" fontId="5" fillId="0" borderId="37" xfId="0" applyFont="1" applyBorder="1" applyAlignment="1">
      <alignment horizontal="centerContinuous" vertical="center"/>
    </xf>
    <xf numFmtId="0" fontId="7" fillId="0" borderId="47" xfId="0" applyFont="1" applyBorder="1" applyAlignment="1">
      <alignment horizontal="centerContinuous" vertical="center"/>
    </xf>
    <xf numFmtId="0" fontId="7" fillId="0" borderId="19" xfId="0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vertical="center"/>
    </xf>
    <xf numFmtId="0" fontId="7" fillId="0" borderId="27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8" xfId="0" applyFont="1" applyBorder="1" applyAlignment="1">
      <alignment horizontal="right" vertical="center"/>
    </xf>
    <xf numFmtId="2" fontId="7" fillId="0" borderId="19" xfId="0" applyNumberFormat="1" applyFont="1" applyBorder="1"/>
    <xf numFmtId="0" fontId="7" fillId="0" borderId="0" xfId="0" applyFont="1" applyBorder="1" applyAlignment="1">
      <alignment horizontal="centerContinuous"/>
    </xf>
    <xf numFmtId="0" fontId="7" fillId="0" borderId="19" xfId="0" applyFont="1" applyBorder="1" applyAlignment="1">
      <alignment horizontal="centerContinuous"/>
    </xf>
    <xf numFmtId="0" fontId="7" fillId="0" borderId="0" xfId="0" applyFont="1" applyBorder="1"/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17" xfId="0" quotePrefix="1" applyFont="1" applyBorder="1" applyAlignment="1">
      <alignment horizontal="centerContinuous" vertical="center"/>
    </xf>
    <xf numFmtId="2" fontId="7" fillId="0" borderId="27" xfId="0" applyNumberFormat="1" applyFont="1" applyBorder="1" applyAlignment="1">
      <alignment horizontal="centerContinuous" vertical="center"/>
    </xf>
    <xf numFmtId="164" fontId="7" fillId="0" borderId="27" xfId="0" applyNumberFormat="1" applyFont="1" applyBorder="1" applyAlignment="1">
      <alignment horizontal="centerContinuous" vertical="center"/>
    </xf>
    <xf numFmtId="164" fontId="7" fillId="0" borderId="11" xfId="0" applyNumberFormat="1" applyFont="1" applyBorder="1" applyAlignment="1">
      <alignment horizontal="centerContinuous" vertical="center"/>
    </xf>
    <xf numFmtId="2" fontId="7" fillId="0" borderId="27" xfId="0" quotePrefix="1" applyNumberFormat="1" applyFont="1" applyBorder="1" applyAlignment="1">
      <alignment horizontal="centerContinuous" vertical="center"/>
    </xf>
    <xf numFmtId="164" fontId="7" fillId="0" borderId="27" xfId="0" quotePrefix="1" applyNumberFormat="1" applyFont="1" applyBorder="1" applyAlignment="1">
      <alignment horizontal="centerContinuous" vertical="center"/>
    </xf>
    <xf numFmtId="1" fontId="7" fillId="0" borderId="32" xfId="0" applyNumberFormat="1" applyFont="1" applyBorder="1" applyAlignment="1">
      <alignment horizontal="centerContinuous" vertical="center"/>
    </xf>
    <xf numFmtId="2" fontId="7" fillId="0" borderId="32" xfId="0" quotePrefix="1" applyNumberFormat="1" applyFont="1" applyBorder="1" applyAlignment="1">
      <alignment horizontal="centerContinuous" vertical="center"/>
    </xf>
    <xf numFmtId="164" fontId="7" fillId="0" borderId="58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2" xfId="0" applyFont="1" applyBorder="1" applyAlignment="1">
      <alignment horizontal="centerContinuous" vertical="center"/>
    </xf>
    <xf numFmtId="2" fontId="7" fillId="0" borderId="32" xfId="0" applyNumberFormat="1" applyFont="1" applyBorder="1" applyAlignment="1">
      <alignment horizontal="centerContinuous" vertical="center"/>
    </xf>
    <xf numFmtId="2" fontId="7" fillId="0" borderId="58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1" fontId="7" fillId="0" borderId="32" xfId="0" quotePrefix="1" applyNumberFormat="1" applyFont="1" applyBorder="1" applyAlignment="1">
      <alignment horizontal="centerContinuous" vertical="center"/>
    </xf>
    <xf numFmtId="164" fontId="7" fillId="0" borderId="58" xfId="0" quotePrefix="1" applyNumberFormat="1" applyFont="1" applyBorder="1" applyAlignment="1">
      <alignment horizontal="center" vertical="center"/>
    </xf>
    <xf numFmtId="164" fontId="7" fillId="0" borderId="26" xfId="0" quotePrefix="1" applyNumberFormat="1" applyFont="1" applyBorder="1" applyAlignment="1">
      <alignment horizontal="center" vertical="center"/>
    </xf>
    <xf numFmtId="1" fontId="7" fillId="0" borderId="27" xfId="0" quotePrefix="1" applyNumberFormat="1" applyFont="1" applyBorder="1" applyAlignment="1">
      <alignment horizontal="centerContinuous" vertical="center"/>
    </xf>
    <xf numFmtId="164" fontId="7" fillId="0" borderId="59" xfId="0" quotePrefix="1" applyNumberFormat="1" applyFont="1" applyBorder="1" applyAlignment="1">
      <alignment horizontal="center" vertical="center"/>
    </xf>
    <xf numFmtId="164" fontId="7" fillId="0" borderId="11" xfId="0" quotePrefix="1" applyNumberFormat="1" applyFont="1" applyBorder="1" applyAlignment="1">
      <alignment horizontal="center" vertical="center"/>
    </xf>
    <xf numFmtId="0" fontId="2" fillId="0" borderId="0" xfId="0" applyFont="1"/>
    <xf numFmtId="0" fontId="5" fillId="0" borderId="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34" xfId="0" applyFont="1" applyBorder="1" applyAlignment="1">
      <alignment horizontal="left" vertical="center" indent="1"/>
    </xf>
    <xf numFmtId="0" fontId="4" fillId="0" borderId="18" xfId="0" applyFont="1" applyBorder="1" applyAlignment="1">
      <alignment vertical="center"/>
    </xf>
    <xf numFmtId="166" fontId="7" fillId="0" borderId="19" xfId="0" quotePrefix="1" applyNumberFormat="1" applyFont="1" applyBorder="1" applyAlignment="1">
      <alignment horizontal="centerContinuous" vertical="center"/>
    </xf>
    <xf numFmtId="166" fontId="7" fillId="0" borderId="8" xfId="0" quotePrefix="1" applyNumberFormat="1" applyFont="1" applyBorder="1" applyAlignment="1">
      <alignment horizontal="centerContinuous" vertical="center"/>
    </xf>
    <xf numFmtId="166" fontId="7" fillId="0" borderId="32" xfId="0" applyNumberFormat="1" applyFont="1" applyBorder="1" applyAlignment="1">
      <alignment vertical="center"/>
    </xf>
    <xf numFmtId="166" fontId="7" fillId="0" borderId="31" xfId="0" applyNumberFormat="1" applyFont="1" applyBorder="1" applyAlignment="1">
      <alignment vertical="center"/>
    </xf>
    <xf numFmtId="166" fontId="7" fillId="0" borderId="24" xfId="0" quotePrefix="1" applyNumberFormat="1" applyFont="1" applyBorder="1" applyAlignment="1">
      <alignment horizontal="centerContinuous" vertical="center"/>
    </xf>
    <xf numFmtId="166" fontId="7" fillId="0" borderId="31" xfId="0" applyNumberFormat="1" applyFont="1" applyBorder="1" applyAlignment="1">
      <alignment horizontal="centerContinuous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Continuous"/>
    </xf>
    <xf numFmtId="0" fontId="13" fillId="0" borderId="2" xfId="0" applyFont="1" applyBorder="1" applyAlignment="1">
      <alignment horizontal="centerContinuous" vertical="center"/>
    </xf>
    <xf numFmtId="0" fontId="14" fillId="0" borderId="13" xfId="0" applyFont="1" applyBorder="1" applyAlignment="1">
      <alignment vertical="center"/>
    </xf>
    <xf numFmtId="14" fontId="0" fillId="0" borderId="14" xfId="0" applyNumberFormat="1" applyBorder="1" applyAlignment="1">
      <alignment horizontal="centerContinuous" vertical="center"/>
    </xf>
    <xf numFmtId="170" fontId="14" fillId="0" borderId="1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Continuous"/>
    </xf>
    <xf numFmtId="0" fontId="13" fillId="0" borderId="3" xfId="0" applyFont="1" applyBorder="1" applyAlignment="1">
      <alignment horizontal="centerContinuous" vertical="center"/>
    </xf>
    <xf numFmtId="0" fontId="14" fillId="0" borderId="17" xfId="0" applyFont="1" applyBorder="1" applyAlignment="1">
      <alignment vertical="center"/>
    </xf>
    <xf numFmtId="0" fontId="0" fillId="0" borderId="48" xfId="0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0" fontId="0" fillId="0" borderId="0" xfId="0" applyAlignment="1"/>
    <xf numFmtId="0" fontId="0" fillId="0" borderId="19" xfId="0" applyBorder="1" applyAlignment="1"/>
    <xf numFmtId="0" fontId="0" fillId="0" borderId="19" xfId="0" applyBorder="1" applyAlignment="1">
      <alignment vertical="center"/>
    </xf>
    <xf numFmtId="0" fontId="0" fillId="0" borderId="0" xfId="0" applyAlignment="1">
      <alignment horizontal="centerContinuous"/>
    </xf>
    <xf numFmtId="0" fontId="0" fillId="0" borderId="19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2" fontId="0" fillId="0" borderId="19" xfId="0" applyNumberForma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15" fillId="0" borderId="14" xfId="0" applyFont="1" applyBorder="1" applyAlignment="1">
      <alignment horizontal="centerContinuous" vertical="center"/>
    </xf>
    <xf numFmtId="0" fontId="15" fillId="0" borderId="12" xfId="0" applyFont="1" applyBorder="1" applyAlignment="1">
      <alignment horizontal="center" vertical="center"/>
    </xf>
    <xf numFmtId="0" fontId="0" fillId="0" borderId="49" xfId="0" applyBorder="1" applyAlignment="1">
      <alignment horizontal="centerContinuous" vertical="center"/>
    </xf>
    <xf numFmtId="0" fontId="0" fillId="0" borderId="48" xfId="0" applyBorder="1" applyAlignment="1">
      <alignment horizontal="centerContinuous" vertical="center"/>
    </xf>
    <xf numFmtId="0" fontId="0" fillId="0" borderId="50" xfId="0" applyBorder="1" applyAlignment="1">
      <alignment horizontal="centerContinuous" vertical="center"/>
    </xf>
    <xf numFmtId="0" fontId="0" fillId="0" borderId="39" xfId="0" applyBorder="1" applyAlignment="1">
      <alignment vertical="center"/>
    </xf>
    <xf numFmtId="0" fontId="0" fillId="0" borderId="47" xfId="0" applyBorder="1" applyAlignment="1">
      <alignment horizontal="centerContinuous" vertical="center"/>
    </xf>
    <xf numFmtId="0" fontId="15" fillId="0" borderId="16" xfId="0" applyFont="1" applyBorder="1" applyAlignment="1">
      <alignment horizontal="center" vertical="center"/>
    </xf>
    <xf numFmtId="0" fontId="0" fillId="0" borderId="40" xfId="0" applyBorder="1" applyAlignment="1">
      <alignment horizontal="centerContinuous" vertical="center"/>
    </xf>
    <xf numFmtId="0" fontId="0" fillId="0" borderId="51" xfId="0" applyBorder="1" applyAlignment="1">
      <alignment horizontal="centerContinuous" vertical="center"/>
    </xf>
    <xf numFmtId="164" fontId="0" fillId="0" borderId="9" xfId="0" applyNumberFormat="1" applyBorder="1" applyAlignment="1">
      <alignment horizontal="center" vertical="center"/>
    </xf>
    <xf numFmtId="2" fontId="15" fillId="0" borderId="52" xfId="0" applyNumberFormat="1" applyFont="1" applyBorder="1" applyAlignment="1">
      <alignment horizontal="center" vertical="center"/>
    </xf>
    <xf numFmtId="164" fontId="0" fillId="0" borderId="9" xfId="0" quotePrefix="1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2" fontId="15" fillId="0" borderId="5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0" fillId="0" borderId="20" xfId="0" applyBorder="1" applyAlignment="1">
      <alignment horizontal="centerContinuous" vertical="center"/>
    </xf>
    <xf numFmtId="0" fontId="0" fillId="0" borderId="21" xfId="0" applyBorder="1" applyAlignment="1">
      <alignment horizontal="centerContinuous" vertical="center"/>
    </xf>
    <xf numFmtId="0" fontId="15" fillId="0" borderId="2" xfId="0" applyFont="1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37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horizontal="centerContinuous" vertical="center"/>
    </xf>
    <xf numFmtId="0" fontId="15" fillId="0" borderId="16" xfId="0" applyFont="1" applyBorder="1" applyAlignment="1">
      <alignment horizontal="centerContinuous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164" fontId="0" fillId="0" borderId="5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12" fillId="2" borderId="19" xfId="2" applyBorder="1" applyAlignment="1">
      <alignment horizontal="center" vertical="center"/>
    </xf>
    <xf numFmtId="0" fontId="12" fillId="2" borderId="8" xfId="2" applyBorder="1" applyAlignment="1">
      <alignment vertical="center"/>
    </xf>
    <xf numFmtId="0" fontId="12" fillId="2" borderId="11" xfId="2" applyBorder="1" applyAlignment="1">
      <alignment vertical="center"/>
    </xf>
    <xf numFmtId="0" fontId="2" fillId="0" borderId="19" xfId="0" applyFont="1" applyBorder="1" applyAlignment="1"/>
    <xf numFmtId="49" fontId="7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0" fontId="0" fillId="0" borderId="0" xfId="0"/>
    <xf numFmtId="164" fontId="0" fillId="0" borderId="7" xfId="0" applyNumberForma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67" xfId="0" applyFont="1" applyBorder="1" applyAlignment="1">
      <alignment vertical="center"/>
    </xf>
    <xf numFmtId="0" fontId="5" fillId="0" borderId="6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166" fontId="7" fillId="0" borderId="31" xfId="0" applyNumberFormat="1" applyFont="1" applyBorder="1" applyAlignment="1">
      <alignment horizontal="center" vertical="center"/>
    </xf>
    <xf numFmtId="166" fontId="5" fillId="0" borderId="26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166" fontId="5" fillId="0" borderId="8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0" fontId="16" fillId="0" borderId="36" xfId="0" applyFont="1" applyBorder="1" applyAlignment="1">
      <alignment vertical="center"/>
    </xf>
    <xf numFmtId="166" fontId="18" fillId="0" borderId="26" xfId="0" applyNumberFormat="1" applyFont="1" applyBorder="1" applyAlignment="1">
      <alignment horizontal="center" vertical="center"/>
    </xf>
    <xf numFmtId="164" fontId="18" fillId="0" borderId="60" xfId="0" applyNumberFormat="1" applyFont="1" applyBorder="1" applyAlignment="1">
      <alignment horizontal="center" vertical="center"/>
    </xf>
    <xf numFmtId="2" fontId="3" fillId="0" borderId="52" xfId="0" applyNumberFormat="1" applyFont="1" applyBorder="1" applyAlignment="1">
      <alignment horizontal="center" vertical="center"/>
    </xf>
    <xf numFmtId="1" fontId="7" fillId="0" borderId="66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left" vertical="center"/>
    </xf>
    <xf numFmtId="14" fontId="7" fillId="0" borderId="14" xfId="0" applyNumberFormat="1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2" fontId="7" fillId="0" borderId="40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51" xfId="0" applyNumberFormat="1" applyFont="1" applyBorder="1" applyAlignment="1">
      <alignment horizontal="center" vertical="center"/>
    </xf>
    <xf numFmtId="0" fontId="7" fillId="0" borderId="40" xfId="0" quotePrefix="1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66" fontId="7" fillId="0" borderId="40" xfId="0" quotePrefix="1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166" fontId="7" fillId="0" borderId="61" xfId="0" applyNumberFormat="1" applyFont="1" applyBorder="1" applyAlignment="1">
      <alignment horizontal="center" vertical="center"/>
    </xf>
    <xf numFmtId="166" fontId="7" fillId="0" borderId="48" xfId="0" applyNumberFormat="1" applyFont="1" applyBorder="1" applyAlignment="1">
      <alignment horizontal="center" vertical="center"/>
    </xf>
    <xf numFmtId="166" fontId="7" fillId="0" borderId="47" xfId="0" applyNumberFormat="1" applyFont="1" applyBorder="1" applyAlignment="1">
      <alignment horizontal="center" vertical="center"/>
    </xf>
    <xf numFmtId="166" fontId="5" fillId="0" borderId="61" xfId="0" applyNumberFormat="1" applyFont="1" applyBorder="1" applyAlignment="1">
      <alignment horizontal="center" vertical="center"/>
    </xf>
    <xf numFmtId="166" fontId="5" fillId="0" borderId="48" xfId="0" applyNumberFormat="1" applyFont="1" applyBorder="1" applyAlignment="1">
      <alignment horizontal="center" vertical="center"/>
    </xf>
    <xf numFmtId="166" fontId="5" fillId="0" borderId="50" xfId="0" applyNumberFormat="1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166" fontId="7" fillId="0" borderId="62" xfId="0" applyNumberFormat="1" applyFont="1" applyBorder="1" applyAlignment="1">
      <alignment horizontal="center" vertical="center"/>
    </xf>
    <xf numFmtId="166" fontId="7" fillId="0" borderId="6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66" fontId="7" fillId="0" borderId="45" xfId="0" applyNumberFormat="1" applyFont="1" applyBorder="1" applyAlignment="1">
      <alignment horizontal="center" vertical="center"/>
    </xf>
    <xf numFmtId="166" fontId="7" fillId="0" borderId="46" xfId="0" applyNumberFormat="1" applyFont="1" applyBorder="1" applyAlignment="1">
      <alignment horizontal="center" vertical="center"/>
    </xf>
    <xf numFmtId="166" fontId="7" fillId="0" borderId="35" xfId="0" applyNumberFormat="1" applyFont="1" applyBorder="1" applyAlignment="1">
      <alignment horizontal="center" vertical="center"/>
    </xf>
    <xf numFmtId="166" fontId="7" fillId="0" borderId="34" xfId="0" applyNumberFormat="1" applyFont="1" applyBorder="1" applyAlignment="1">
      <alignment horizontal="center" vertical="center"/>
    </xf>
    <xf numFmtId="166" fontId="7" fillId="0" borderId="36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</cellXfs>
  <cellStyles count="4">
    <cellStyle name="Euro" xfId="1"/>
    <cellStyle name="Gut" xfId="2" builtinId="26"/>
    <cellStyle name="Standard" xfId="0" builtinId="0"/>
    <cellStyle name="Standard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963"/>
          <c:y val="8.389275491026589E-2"/>
          <c:w val="0.80789946140035962"/>
          <c:h val="0.6711420392821309"/>
        </c:manualLayout>
      </c:layout>
      <c:lineChart>
        <c:grouping val="standard"/>
        <c:varyColors val="0"/>
        <c:ser>
          <c:idx val="0"/>
          <c:order val="0"/>
          <c:tx>
            <c:strRef>
              <c:f>'Sieblinie PPa-2 (MFI 25)'!$O$26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PPa-2 (MFI 25)'!$N$27:$N$35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PPa-2 (MFI 25)'!$O$27:$O$35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0.5</c:v>
                </c:pt>
                <c:pt idx="2">
                  <c:v>8</c:v>
                </c:pt>
                <c:pt idx="3">
                  <c:v>30.5</c:v>
                </c:pt>
                <c:pt idx="4">
                  <c:v>40.200000000000003</c:v>
                </c:pt>
                <c:pt idx="5">
                  <c:v>51.5</c:v>
                </c:pt>
                <c:pt idx="6">
                  <c:v>65.2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F-4DC3-801A-04E28530D0AB}"/>
            </c:ext>
          </c:extLst>
        </c:ser>
        <c:ser>
          <c:idx val="1"/>
          <c:order val="1"/>
          <c:tx>
            <c:strRef>
              <c:f>'Sieblinie PPa-2 (MFI 25)'!$P$26</c:f>
              <c:strCache>
                <c:ptCount val="1"/>
                <c:pt idx="0">
                  <c:v>A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BF-4DC3-801A-04E28530D0A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BF-4DC3-801A-04E28530D0A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BF-4DC3-801A-04E28530D0A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BF-4DC3-801A-04E28530D0AB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BF-4DC3-801A-04E28530D0AB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BF-4DC3-801A-04E28530D0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PPa-2 (MFI 25)'!$N$27:$N$35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PPa-2 (MFI 25)'!$P$27:$P$35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21</c:v>
                </c:pt>
                <c:pt idx="5">
                  <c:v>36</c:v>
                </c:pt>
                <c:pt idx="6">
                  <c:v>61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BF-4DC3-801A-04E28530D0AB}"/>
            </c:ext>
          </c:extLst>
        </c:ser>
        <c:ser>
          <c:idx val="2"/>
          <c:order val="2"/>
          <c:tx>
            <c:strRef>
              <c:f>'Sieblinie PPa-2 (MFI 25)'!$Q$26</c:f>
              <c:strCache>
                <c:ptCount val="1"/>
                <c:pt idx="0">
                  <c:v>B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BF-4DC3-801A-04E28530D0A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BF-4DC3-801A-04E28530D0A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BF-4DC3-801A-04E28530D0A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BF-4DC3-801A-04E28530D0AB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BF-4DC3-801A-04E28530D0AB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4BF-4DC3-801A-04E28530D0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PPa-2 (MFI 25)'!$N$27:$N$35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PPa-2 (MFI 25)'!$Q$27:$Q$35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26</c:v>
                </c:pt>
                <c:pt idx="4">
                  <c:v>42</c:v>
                </c:pt>
                <c:pt idx="5">
                  <c:v>57</c:v>
                </c:pt>
                <c:pt idx="6">
                  <c:v>74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4BF-4DC3-801A-04E28530D0AB}"/>
            </c:ext>
          </c:extLst>
        </c:ser>
        <c:ser>
          <c:idx val="3"/>
          <c:order val="3"/>
          <c:tx>
            <c:strRef>
              <c:f>'Sieblinie PPa-2 (MFI 25)'!$R$26</c:f>
              <c:strCache>
                <c:ptCount val="1"/>
                <c:pt idx="0">
                  <c:v>C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4BF-4DC3-801A-04E28530D0A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4BF-4DC3-801A-04E28530D0A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4BF-4DC3-801A-04E28530D0A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4BF-4DC3-801A-04E28530D0AB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4BF-4DC3-801A-04E28530D0AB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4BF-4DC3-801A-04E28530D0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PPa-2 (MFI 25)'!$N$27:$N$35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PPa-2 (MFI 25)'!$R$27:$R$35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39</c:v>
                </c:pt>
                <c:pt idx="4">
                  <c:v>57</c:v>
                </c:pt>
                <c:pt idx="5">
                  <c:v>71</c:v>
                </c:pt>
                <c:pt idx="6">
                  <c:v>85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4BF-4DC3-801A-04E28530D0AB}"/>
            </c:ext>
          </c:extLst>
        </c:ser>
        <c:ser>
          <c:idx val="4"/>
          <c:order val="4"/>
          <c:tx>
            <c:strRef>
              <c:f>'Sieblinie PPa-2 (MFI 25)'!$S$26</c:f>
              <c:strCache>
                <c:ptCount val="1"/>
                <c:pt idx="0">
                  <c:v>U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4BF-4DC3-801A-04E28530D0A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4BF-4DC3-801A-04E28530D0A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4BF-4DC3-801A-04E28530D0A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4BF-4DC3-801A-04E28530D0AB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4BF-4DC3-801A-04E28530D0AB}"/>
                </c:ext>
              </c:extLst>
            </c:dLbl>
            <c:dLbl>
              <c:idx val="6"/>
              <c:layout>
                <c:manualLayout>
                  <c:x val="-5.0868686297512924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4BF-4DC3-801A-04E28530D0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PPa-2 (MFI 25)'!$N$27:$N$35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PPa-2 (MFI 25)'!$S$27:$S$35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4BF-4DC3-801A-04E28530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36704"/>
        <c:axId val="99880960"/>
      </c:lineChart>
      <c:catAx>
        <c:axId val="98936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923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988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88096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893670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0.4229</cdr:x>
      <cdr:y>0.46327</cdr:y>
    </cdr:to>
    <cdr:sp macro="" textlink="">
      <cdr:nvSpPr>
        <cdr:cNvPr id="2049" name="Line 1">
          <a:extLst xmlns:a="http://schemas.openxmlformats.org/drawingml/2006/main">
            <a:ext uri="{FF2B5EF4-FFF2-40B4-BE49-F238E27FC236}">
              <a16:creationId xmlns:a16="http://schemas.microsoft.com/office/drawing/2014/main" id="{CCEFD387-9B2C-404E-8416-767399AF7BF6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54339" y="1171159"/>
          <a:ext cx="97869" cy="1562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0.68585</cdr:x>
      <cdr:y>0.43258</cdr:y>
    </cdr:from>
    <cdr:to>
      <cdr:x>0.75853</cdr:x>
      <cdr:y>0.49904</cdr:y>
    </cdr:to>
    <cdr:sp macro="" textlink="">
      <cdr:nvSpPr>
        <cdr:cNvPr id="2050" name="Text 2">
          <a:extLst xmlns:a="http://schemas.openxmlformats.org/drawingml/2006/main">
            <a:ext uri="{FF2B5EF4-FFF2-40B4-BE49-F238E27FC236}">
              <a16:creationId xmlns:a16="http://schemas.microsoft.com/office/drawing/2014/main" id="{85A4C64D-7D19-4E50-A2F3-B0430C18872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783" y="1239289"/>
          <a:ext cx="382343" cy="190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8</a:t>
          </a:r>
        </a:p>
      </cdr:txBody>
    </cdr:sp>
  </cdr:relSizeAnchor>
  <cdr:relSizeAnchor xmlns:cdr="http://schemas.openxmlformats.org/drawingml/2006/chartDrawing">
    <cdr:from>
      <cdr:x>0.71016</cdr:x>
      <cdr:y>0.40214</cdr:y>
    </cdr:from>
    <cdr:to>
      <cdr:x>0.72219</cdr:x>
      <cdr:y>0.43331</cdr:y>
    </cdr:to>
    <cdr:sp macro="" textlink="">
      <cdr:nvSpPr>
        <cdr:cNvPr id="2051" name="Line 3">
          <a:extLst xmlns:a="http://schemas.openxmlformats.org/drawingml/2006/main">
            <a:ext uri="{FF2B5EF4-FFF2-40B4-BE49-F238E27FC236}">
              <a16:creationId xmlns:a16="http://schemas.microsoft.com/office/drawing/2014/main" id="{397BD92A-703D-4338-B58D-6D17BC2205D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775056" y="1151890"/>
          <a:ext cx="67856" cy="8946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0.36919</cdr:x>
      <cdr:y>0.35266</cdr:y>
    </cdr:from>
    <cdr:to>
      <cdr:x>0.40518</cdr:x>
      <cdr:y>0.40788</cdr:y>
    </cdr:to>
    <cdr:sp macro="" textlink="">
      <cdr:nvSpPr>
        <cdr:cNvPr id="2052" name="Text 4">
          <a:extLst xmlns:a="http://schemas.openxmlformats.org/drawingml/2006/main">
            <a:ext uri="{FF2B5EF4-FFF2-40B4-BE49-F238E27FC236}">
              <a16:creationId xmlns:a16="http://schemas.microsoft.com/office/drawing/2014/main" id="{DF2D471B-04DB-4B9F-B251-67F9D0CBDFF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7103" y="988916"/>
          <a:ext cx="196592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8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0.61441</cdr:x>
      <cdr:y>0.38136</cdr:y>
    </cdr:to>
    <cdr:sp macro="" textlink="">
      <cdr:nvSpPr>
        <cdr:cNvPr id="2053" name="Line 5">
          <a:extLst xmlns:a="http://schemas.openxmlformats.org/drawingml/2006/main">
            <a:ext uri="{FF2B5EF4-FFF2-40B4-BE49-F238E27FC236}">
              <a16:creationId xmlns:a16="http://schemas.microsoft.com/office/drawing/2014/main" id="{6C4FA703-38DC-45D2-B2F8-4ED130EE9FC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084751" y="794036"/>
          <a:ext cx="183994" cy="2952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>
          <a:extLst xmlns:a="http://schemas.openxmlformats.org/drawingml/2006/main">
            <a:ext uri="{FF2B5EF4-FFF2-40B4-BE49-F238E27FC236}">
              <a16:creationId xmlns:a16="http://schemas.microsoft.com/office/drawing/2014/main" id="{09FA097E-C203-47AC-917B-E8643634792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8</a:t>
          </a:r>
        </a:p>
      </cdr:txBody>
    </cdr:sp>
  </cdr:relSizeAnchor>
  <cdr:relSizeAnchor xmlns:cdr="http://schemas.openxmlformats.org/drawingml/2006/chartDrawing">
    <cdr:from>
      <cdr:x>0.81034</cdr:x>
      <cdr:y>0.26416</cdr:y>
    </cdr:from>
    <cdr:to>
      <cdr:x>0.85085</cdr:x>
      <cdr:y>0.32771</cdr:y>
    </cdr:to>
    <cdr:sp macro="" textlink="">
      <cdr:nvSpPr>
        <cdr:cNvPr id="2055" name="Line 7">
          <a:extLst xmlns:a="http://schemas.openxmlformats.org/drawingml/2006/main">
            <a:ext uri="{FF2B5EF4-FFF2-40B4-BE49-F238E27FC236}">
              <a16:creationId xmlns:a16="http://schemas.microsoft.com/office/drawing/2014/main" id="{8D4E3873-A47A-4E55-A0A4-71ED32BB74E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310075" y="755498"/>
          <a:ext cx="215313" cy="1809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0.82089</cdr:x>
      <cdr:y>0.29775</cdr:y>
    </cdr:from>
    <cdr:to>
      <cdr:x>0.88694</cdr:x>
      <cdr:y>0.35864</cdr:y>
    </cdr:to>
    <cdr:sp macro="" textlink="">
      <cdr:nvSpPr>
        <cdr:cNvPr id="2056" name="Text 8">
          <a:extLst xmlns:a="http://schemas.openxmlformats.org/drawingml/2006/main">
            <a:ext uri="{FF2B5EF4-FFF2-40B4-BE49-F238E27FC236}">
              <a16:creationId xmlns:a16="http://schemas.microsoft.com/office/drawing/2014/main" id="{4C284FAF-4257-456F-9A76-BB27B69C1F9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6187" y="851155"/>
          <a:ext cx="351025" cy="17342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 8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ibrahim\AppData\Local\Microsoft\Windows\Temporary%20Internet%20Files\Content.Outlook\T7MEJUGW\20090507%20Rezeptur_Huisman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"/>
      <sheetName val="Rezeptur MVI"/>
      <sheetName val="Mischanweisung MVI"/>
    </sheetNames>
    <sheetDataSet>
      <sheetData sheetId="0">
        <row r="26">
          <cell r="O26" t="str">
            <v>Istsieblinie</v>
          </cell>
        </row>
        <row r="35">
          <cell r="E35">
            <v>12.6</v>
          </cell>
          <cell r="F35">
            <v>30.3</v>
          </cell>
          <cell r="G35">
            <v>40.200000000000003</v>
          </cell>
          <cell r="H35">
            <v>49.4</v>
          </cell>
          <cell r="I35">
            <v>64.900000000000006</v>
          </cell>
          <cell r="J35">
            <v>97.6</v>
          </cell>
          <cell r="K35">
            <v>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M2" sqref="M2"/>
    </sheetView>
  </sheetViews>
  <sheetFormatPr baseColWidth="10" defaultRowHeight="12.75" x14ac:dyDescent="0.2"/>
  <cols>
    <col min="1" max="1" width="8.140625" customWidth="1"/>
    <col min="2" max="2" width="3.28515625" customWidth="1"/>
    <col min="3" max="3" width="9.140625" customWidth="1"/>
    <col min="4" max="6" width="6.42578125" customWidth="1"/>
    <col min="7" max="7" width="6.5703125" customWidth="1"/>
    <col min="8" max="12" width="6.42578125" customWidth="1"/>
    <col min="13" max="13" width="10.85546875" customWidth="1"/>
  </cols>
  <sheetData>
    <row r="1" spans="1:13" ht="20.100000000000001" customHeight="1" x14ac:dyDescent="0.2">
      <c r="A1" s="196" t="s">
        <v>0</v>
      </c>
      <c r="B1" s="7" t="s">
        <v>1</v>
      </c>
      <c r="C1" s="197"/>
      <c r="D1" s="197"/>
      <c r="E1" s="198"/>
      <c r="F1" s="198"/>
      <c r="G1" s="198"/>
      <c r="H1" s="198"/>
      <c r="I1" s="198"/>
      <c r="J1" s="198"/>
      <c r="K1" s="199" t="s">
        <v>2</v>
      </c>
      <c r="L1" s="200"/>
      <c r="M1" s="201">
        <v>42802</v>
      </c>
    </row>
    <row r="2" spans="1:13" ht="20.100000000000001" customHeight="1" thickBot="1" x14ac:dyDescent="0.25">
      <c r="A2" s="270" t="s">
        <v>148</v>
      </c>
      <c r="B2" s="8" t="s">
        <v>3</v>
      </c>
      <c r="C2" s="202"/>
      <c r="D2" s="202"/>
      <c r="E2" s="203"/>
      <c r="F2" s="203"/>
      <c r="G2" s="203"/>
      <c r="H2" s="203"/>
      <c r="I2" s="203"/>
      <c r="J2" s="203"/>
      <c r="K2" s="204" t="s">
        <v>4</v>
      </c>
      <c r="L2" s="205"/>
      <c r="M2" s="206" t="s">
        <v>159</v>
      </c>
    </row>
    <row r="3" spans="1:13" ht="5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0.100000000000001" customHeight="1" x14ac:dyDescent="0.2">
      <c r="A4" s="207" t="s">
        <v>5</v>
      </c>
      <c r="B4" s="207"/>
      <c r="C4" s="207"/>
      <c r="D4" s="207"/>
      <c r="E4" s="268" t="s">
        <v>155</v>
      </c>
      <c r="F4" s="208"/>
      <c r="G4" s="208"/>
      <c r="H4" s="208"/>
      <c r="I4" s="6"/>
      <c r="J4" s="208" t="s">
        <v>145</v>
      </c>
      <c r="K4" s="208"/>
      <c r="L4" s="209"/>
      <c r="M4" s="209"/>
    </row>
    <row r="5" spans="1:13" ht="20.100000000000001" customHeight="1" x14ac:dyDescent="0.2">
      <c r="A5" s="207" t="s">
        <v>6</v>
      </c>
      <c r="B5" s="207"/>
      <c r="C5" s="207"/>
      <c r="D5" s="207"/>
      <c r="E5" s="268" t="s">
        <v>156</v>
      </c>
      <c r="F5" s="208"/>
      <c r="G5" s="208"/>
      <c r="H5" s="208"/>
      <c r="I5" s="6"/>
      <c r="J5" s="208" t="s">
        <v>7</v>
      </c>
      <c r="K5" s="208"/>
      <c r="L5" s="209"/>
      <c r="M5" s="209"/>
    </row>
    <row r="6" spans="1:13" ht="20.100000000000001" customHeight="1" x14ac:dyDescent="0.2">
      <c r="A6" s="207" t="s">
        <v>8</v>
      </c>
      <c r="B6" s="207"/>
      <c r="C6" s="207"/>
      <c r="D6" s="207"/>
      <c r="F6" s="6"/>
      <c r="G6" s="208"/>
      <c r="H6" s="208"/>
      <c r="I6" s="210" t="s">
        <v>9</v>
      </c>
      <c r="J6" s="210"/>
      <c r="K6" s="211" t="s">
        <v>157</v>
      </c>
      <c r="L6" s="209"/>
      <c r="M6" s="209"/>
    </row>
    <row r="7" spans="1:13" ht="9.9499999999999993" customHeight="1" x14ac:dyDescent="0.2">
      <c r="A7" s="1"/>
      <c r="B7" s="1"/>
      <c r="C7" s="1"/>
      <c r="D7" s="1"/>
      <c r="E7" s="1"/>
      <c r="F7" s="2"/>
      <c r="G7" s="1"/>
      <c r="H7" s="1"/>
      <c r="I7" s="1"/>
      <c r="J7" s="1"/>
      <c r="K7" s="1"/>
      <c r="L7" s="1"/>
      <c r="M7" s="1"/>
    </row>
    <row r="8" spans="1:13" ht="15.95" customHeight="1" x14ac:dyDescent="0.2">
      <c r="A8" s="212" t="s">
        <v>10</v>
      </c>
      <c r="B8" s="1"/>
      <c r="C8" s="1"/>
      <c r="D8" s="1"/>
      <c r="E8" s="1"/>
      <c r="F8" s="1"/>
      <c r="G8" s="1"/>
      <c r="H8" s="1"/>
      <c r="I8" s="213" t="s">
        <v>11</v>
      </c>
      <c r="J8" s="213"/>
      <c r="K8" s="209" t="s">
        <v>12</v>
      </c>
      <c r="L8" s="209"/>
      <c r="M8" s="214">
        <f>M35</f>
        <v>3.0460000000000003</v>
      </c>
    </row>
    <row r="9" spans="1:13" ht="5.0999999999999996" customHeight="1" thickBo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95" customHeight="1" x14ac:dyDescent="0.2">
      <c r="A10" s="215" t="s">
        <v>13</v>
      </c>
      <c r="B10" s="216"/>
      <c r="C10" s="217"/>
      <c r="D10" s="218"/>
      <c r="E10" s="219" t="s">
        <v>14</v>
      </c>
      <c r="F10" s="216"/>
      <c r="G10" s="216"/>
      <c r="H10" s="216"/>
      <c r="I10" s="216"/>
      <c r="J10" s="216"/>
      <c r="K10" s="216"/>
      <c r="L10" s="216"/>
      <c r="M10" s="220" t="s">
        <v>15</v>
      </c>
    </row>
    <row r="11" spans="1:13" ht="15.95" customHeight="1" thickBot="1" x14ac:dyDescent="0.25">
      <c r="A11" s="221" t="s">
        <v>16</v>
      </c>
      <c r="B11" s="222"/>
      <c r="C11" s="223"/>
      <c r="D11" s="224">
        <v>0.125</v>
      </c>
      <c r="E11" s="225">
        <v>0.25</v>
      </c>
      <c r="F11" s="225">
        <v>0.5</v>
      </c>
      <c r="G11" s="225">
        <v>1</v>
      </c>
      <c r="H11" s="225">
        <v>2</v>
      </c>
      <c r="I11" s="225">
        <v>4</v>
      </c>
      <c r="J11" s="225">
        <v>8</v>
      </c>
      <c r="K11" s="225">
        <v>16</v>
      </c>
      <c r="L11" s="225">
        <v>31.5</v>
      </c>
      <c r="M11" s="226" t="s">
        <v>17</v>
      </c>
    </row>
    <row r="12" spans="1:13" ht="15.95" customHeight="1" x14ac:dyDescent="0.2">
      <c r="A12" s="227" t="s">
        <v>124</v>
      </c>
      <c r="B12" s="3"/>
      <c r="C12" s="228"/>
      <c r="D12" s="272">
        <v>52.4</v>
      </c>
      <c r="E12" s="229">
        <v>77</v>
      </c>
      <c r="F12" s="229">
        <v>99.968699948018553</v>
      </c>
      <c r="G12" s="229">
        <v>100</v>
      </c>
      <c r="H12" s="229">
        <v>100</v>
      </c>
      <c r="I12" s="229">
        <v>100</v>
      </c>
      <c r="J12" s="229">
        <v>100</v>
      </c>
      <c r="K12" s="229">
        <v>100</v>
      </c>
      <c r="L12" s="229">
        <v>100</v>
      </c>
      <c r="M12" s="230" t="s">
        <v>18</v>
      </c>
    </row>
    <row r="13" spans="1:13" ht="15.95" customHeight="1" x14ac:dyDescent="0.2">
      <c r="A13" s="227" t="s">
        <v>150</v>
      </c>
      <c r="B13" s="3"/>
      <c r="C13" s="228"/>
      <c r="D13" s="241">
        <v>1.6786673879602603</v>
      </c>
      <c r="E13" s="229">
        <v>26.726167076753626</v>
      </c>
      <c r="F13" s="229">
        <v>99.402527121063144</v>
      </c>
      <c r="G13" s="229">
        <v>99.970001249825032</v>
      </c>
      <c r="H13" s="229">
        <v>100</v>
      </c>
      <c r="I13" s="229">
        <v>100</v>
      </c>
      <c r="J13" s="229">
        <v>100</v>
      </c>
      <c r="K13" s="229">
        <v>100</v>
      </c>
      <c r="L13" s="229">
        <v>100</v>
      </c>
      <c r="M13" s="290" t="s">
        <v>158</v>
      </c>
    </row>
    <row r="14" spans="1:13" ht="15.95" customHeight="1" x14ac:dyDescent="0.2">
      <c r="A14" s="227" t="s">
        <v>126</v>
      </c>
      <c r="B14" s="3"/>
      <c r="C14" s="228"/>
      <c r="D14" s="241">
        <v>8.2499999999996021E-2</v>
      </c>
      <c r="E14" s="229">
        <v>0.14250000000001251</v>
      </c>
      <c r="F14" s="229">
        <v>6.5274999999999892</v>
      </c>
      <c r="G14" s="229">
        <v>98.385000000000005</v>
      </c>
      <c r="H14" s="229">
        <v>100</v>
      </c>
      <c r="I14" s="229">
        <v>100</v>
      </c>
      <c r="J14" s="229">
        <v>100</v>
      </c>
      <c r="K14" s="229">
        <v>100</v>
      </c>
      <c r="L14" s="229">
        <v>100</v>
      </c>
      <c r="M14" s="290" t="s">
        <v>158</v>
      </c>
    </row>
    <row r="15" spans="1:13" ht="15.95" customHeight="1" x14ac:dyDescent="0.2">
      <c r="A15" s="227" t="s">
        <v>127</v>
      </c>
      <c r="B15" s="3"/>
      <c r="C15" s="228"/>
      <c r="D15" s="241">
        <v>2.2000000000005571E-2</v>
      </c>
      <c r="E15" s="231">
        <v>5.5999999999997385E-2</v>
      </c>
      <c r="F15" s="231">
        <v>0.12600000000000477</v>
      </c>
      <c r="G15" s="229">
        <v>2.7279999999999944</v>
      </c>
      <c r="H15" s="229">
        <v>94.213999999999999</v>
      </c>
      <c r="I15" s="229">
        <v>100</v>
      </c>
      <c r="J15" s="229">
        <v>100</v>
      </c>
      <c r="K15" s="229">
        <v>100</v>
      </c>
      <c r="L15" s="229">
        <v>100</v>
      </c>
      <c r="M15" s="290" t="s">
        <v>158</v>
      </c>
    </row>
    <row r="16" spans="1:13" ht="15.95" customHeight="1" x14ac:dyDescent="0.2">
      <c r="A16" s="227" t="s">
        <v>128</v>
      </c>
      <c r="B16" s="3"/>
      <c r="C16" s="228"/>
      <c r="D16" s="241">
        <v>3.2499999999984652E-2</v>
      </c>
      <c r="E16" s="231">
        <v>7.2499999999990905E-2</v>
      </c>
      <c r="F16" s="231">
        <v>0.14749999999999375</v>
      </c>
      <c r="G16" s="231">
        <v>0.37749999999999773</v>
      </c>
      <c r="H16" s="229">
        <v>12.04249999999999</v>
      </c>
      <c r="I16" s="229">
        <v>100</v>
      </c>
      <c r="J16" s="229">
        <v>100</v>
      </c>
      <c r="K16" s="229">
        <v>100</v>
      </c>
      <c r="L16" s="229">
        <v>100</v>
      </c>
      <c r="M16" s="290" t="s">
        <v>158</v>
      </c>
    </row>
    <row r="17" spans="1:19" ht="15.95" customHeight="1" x14ac:dyDescent="0.2">
      <c r="A17" s="227" t="s">
        <v>129</v>
      </c>
      <c r="B17" s="3"/>
      <c r="C17" s="228"/>
      <c r="D17" s="241">
        <v>1.7999450047483379E-2</v>
      </c>
      <c r="E17" s="231">
        <v>2.5999150062489207E-2</v>
      </c>
      <c r="F17" s="231">
        <v>3.4998650102494366E-2</v>
      </c>
      <c r="G17" s="231">
        <v>4.59980001549809E-2</v>
      </c>
      <c r="H17" s="231">
        <v>0.73093135677183341</v>
      </c>
      <c r="I17" s="229">
        <v>0.70295360401961204</v>
      </c>
      <c r="J17" s="229">
        <v>100</v>
      </c>
      <c r="K17" s="229">
        <v>100</v>
      </c>
      <c r="L17" s="229">
        <v>100</v>
      </c>
      <c r="M17" s="290" t="s">
        <v>158</v>
      </c>
    </row>
    <row r="18" spans="1:19" ht="15.95" customHeight="1" x14ac:dyDescent="0.2">
      <c r="A18" s="227" t="s">
        <v>130</v>
      </c>
      <c r="B18" s="3"/>
      <c r="C18" s="228"/>
      <c r="D18" s="241">
        <v>3.7139143396998975E-2</v>
      </c>
      <c r="E18" s="231">
        <v>4.5709735345099034E-2</v>
      </c>
      <c r="F18" s="231">
        <v>5.4280592560232321E-2</v>
      </c>
      <c r="G18" s="231">
        <v>6.4279898775964739E-2</v>
      </c>
      <c r="H18" s="231">
        <v>8.2849939754368052E-2</v>
      </c>
      <c r="I18" s="231">
        <v>0.32068959500830374</v>
      </c>
      <c r="J18" s="229">
        <v>6.4302287379583731</v>
      </c>
      <c r="K18" s="229">
        <v>100</v>
      </c>
      <c r="L18" s="229">
        <v>100</v>
      </c>
      <c r="M18" s="230" t="s">
        <v>151</v>
      </c>
      <c r="O18" s="232"/>
    </row>
    <row r="19" spans="1:19" ht="15.75" customHeight="1" thickBot="1" x14ac:dyDescent="0.25">
      <c r="A19" s="221"/>
      <c r="B19" s="222"/>
      <c r="C19" s="223"/>
      <c r="D19" s="222"/>
      <c r="E19" s="233"/>
      <c r="F19" s="234"/>
      <c r="G19" s="234"/>
      <c r="H19" s="234"/>
      <c r="I19" s="234"/>
      <c r="J19" s="234"/>
      <c r="K19" s="234"/>
      <c r="L19" s="234"/>
      <c r="M19" s="235"/>
    </row>
    <row r="20" spans="1:19" ht="4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</row>
    <row r="21" spans="1:19" ht="15.95" customHeight="1" x14ac:dyDescent="0.2">
      <c r="A21" s="236" t="s">
        <v>19</v>
      </c>
      <c r="B21" s="2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9" ht="5.0999999999999996" customHeight="1" x14ac:dyDescent="0.2">
      <c r="A22" s="2"/>
      <c r="B22" s="2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9" ht="15.95" customHeight="1" x14ac:dyDescent="0.2">
      <c r="A23" s="237" t="s">
        <v>20</v>
      </c>
      <c r="B23" s="238"/>
      <c r="C23" s="239"/>
      <c r="D23" s="240">
        <v>2.5</v>
      </c>
      <c r="E23" s="241">
        <v>10</v>
      </c>
      <c r="F23" s="241">
        <v>30</v>
      </c>
      <c r="G23" s="241">
        <v>40</v>
      </c>
      <c r="H23" s="241">
        <v>50</v>
      </c>
      <c r="I23" s="241">
        <v>65</v>
      </c>
      <c r="J23" s="241">
        <v>100</v>
      </c>
      <c r="K23" s="241">
        <v>100</v>
      </c>
      <c r="L23" s="241"/>
      <c r="M23" s="242">
        <f>(700-SUM(E23:K23))/100</f>
        <v>3.05</v>
      </c>
    </row>
    <row r="24" spans="1:19" ht="3.75" customHeight="1" thickBot="1" x14ac:dyDescent="0.25">
      <c r="A24" s="2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</row>
    <row r="25" spans="1:19" ht="15.95" customHeight="1" x14ac:dyDescent="0.2">
      <c r="A25" s="243" t="s">
        <v>13</v>
      </c>
      <c r="B25" s="218"/>
      <c r="C25" s="244"/>
      <c r="D25" s="218"/>
      <c r="E25" s="245" t="s">
        <v>21</v>
      </c>
      <c r="F25" s="219"/>
      <c r="G25" s="219"/>
      <c r="H25" s="219"/>
      <c r="I25" s="219"/>
      <c r="J25" s="219"/>
      <c r="K25" s="219"/>
      <c r="L25" s="219"/>
      <c r="M25" s="220" t="s">
        <v>22</v>
      </c>
    </row>
    <row r="26" spans="1:19" ht="15.95" customHeight="1" thickBot="1" x14ac:dyDescent="0.25">
      <c r="A26" s="246" t="s">
        <v>16</v>
      </c>
      <c r="B26" s="247"/>
      <c r="C26" s="248" t="s">
        <v>23</v>
      </c>
      <c r="D26" s="249">
        <v>0.125</v>
      </c>
      <c r="E26" s="250">
        <v>0.25</v>
      </c>
      <c r="F26" s="225">
        <v>0.5</v>
      </c>
      <c r="G26" s="225">
        <v>1</v>
      </c>
      <c r="H26" s="225">
        <v>2</v>
      </c>
      <c r="I26" s="225">
        <v>4</v>
      </c>
      <c r="J26" s="225">
        <v>8</v>
      </c>
      <c r="K26" s="225">
        <v>16</v>
      </c>
      <c r="L26" s="225">
        <v>31.5</v>
      </c>
      <c r="M26" s="251" t="s">
        <v>24</v>
      </c>
      <c r="O26" t="s">
        <v>25</v>
      </c>
      <c r="P26" t="s">
        <v>131</v>
      </c>
      <c r="Q26" t="s">
        <v>132</v>
      </c>
      <c r="R26" t="s">
        <v>133</v>
      </c>
      <c r="S26" t="s">
        <v>134</v>
      </c>
    </row>
    <row r="27" spans="1:19" ht="15.95" customHeight="1" x14ac:dyDescent="0.2">
      <c r="A27" s="227" t="s">
        <v>135</v>
      </c>
      <c r="B27" s="3"/>
      <c r="C27" s="252">
        <v>0</v>
      </c>
      <c r="D27" s="253">
        <f t="shared" ref="D27:K33" si="0">ROUND((($C27*D12)/100),1)</f>
        <v>0</v>
      </c>
      <c r="E27" s="253">
        <f t="shared" si="0"/>
        <v>0</v>
      </c>
      <c r="F27" s="229">
        <f t="shared" si="0"/>
        <v>0</v>
      </c>
      <c r="G27" s="229">
        <f t="shared" si="0"/>
        <v>0</v>
      </c>
      <c r="H27" s="229">
        <f t="shared" si="0"/>
        <v>0</v>
      </c>
      <c r="I27" s="229">
        <f t="shared" si="0"/>
        <v>0</v>
      </c>
      <c r="J27" s="229">
        <f t="shared" si="0"/>
        <v>0</v>
      </c>
      <c r="K27" s="229">
        <f t="shared" si="0"/>
        <v>0</v>
      </c>
      <c r="L27" s="229"/>
      <c r="M27" s="242"/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t="15.95" customHeight="1" x14ac:dyDescent="0.2">
      <c r="A28" s="227" t="s">
        <v>150</v>
      </c>
      <c r="B28" s="3"/>
      <c r="C28" s="252">
        <v>30</v>
      </c>
      <c r="D28" s="229">
        <f t="shared" si="0"/>
        <v>0.5</v>
      </c>
      <c r="E28" s="229">
        <f>ROUND((($C28*E13)/100),1)</f>
        <v>8</v>
      </c>
      <c r="F28" s="229">
        <f t="shared" si="0"/>
        <v>29.8</v>
      </c>
      <c r="G28" s="229">
        <f t="shared" si="0"/>
        <v>30</v>
      </c>
      <c r="H28" s="229">
        <f t="shared" si="0"/>
        <v>30</v>
      </c>
      <c r="I28" s="229">
        <f t="shared" si="0"/>
        <v>30</v>
      </c>
      <c r="J28" s="229">
        <f t="shared" si="0"/>
        <v>30</v>
      </c>
      <c r="K28" s="229">
        <f t="shared" si="0"/>
        <v>30</v>
      </c>
      <c r="L28" s="229"/>
      <c r="M28" s="242"/>
      <c r="N28">
        <v>0.125</v>
      </c>
      <c r="O28" s="5">
        <f>D35</f>
        <v>0.5</v>
      </c>
      <c r="P28">
        <v>2</v>
      </c>
      <c r="Q28">
        <v>4</v>
      </c>
      <c r="R28">
        <v>7</v>
      </c>
      <c r="S28">
        <v>2</v>
      </c>
    </row>
    <row r="29" spans="1:19" ht="15.95" customHeight="1" x14ac:dyDescent="0.2">
      <c r="A29" s="227" t="s">
        <v>136</v>
      </c>
      <c r="B29" s="3"/>
      <c r="C29" s="252">
        <v>10</v>
      </c>
      <c r="D29" s="229">
        <f>ROUND((($C29*D14)/100),1)</f>
        <v>0</v>
      </c>
      <c r="E29" s="229">
        <f t="shared" si="0"/>
        <v>0</v>
      </c>
      <c r="F29" s="229">
        <f>ROUND((($C29*F14)/100),1)</f>
        <v>0.7</v>
      </c>
      <c r="G29" s="229">
        <f t="shared" si="0"/>
        <v>9.8000000000000007</v>
      </c>
      <c r="H29" s="229">
        <f t="shared" si="0"/>
        <v>10</v>
      </c>
      <c r="I29" s="229">
        <f t="shared" si="0"/>
        <v>10</v>
      </c>
      <c r="J29" s="229">
        <f t="shared" si="0"/>
        <v>10</v>
      </c>
      <c r="K29" s="229">
        <f t="shared" si="0"/>
        <v>10</v>
      </c>
      <c r="L29" s="229"/>
      <c r="M29" s="242"/>
      <c r="N29">
        <v>0.25</v>
      </c>
      <c r="O29" s="5">
        <f>E$35</f>
        <v>8</v>
      </c>
      <c r="P29">
        <v>5</v>
      </c>
      <c r="Q29">
        <v>11</v>
      </c>
      <c r="R29">
        <v>21</v>
      </c>
      <c r="S29">
        <v>5</v>
      </c>
    </row>
    <row r="30" spans="1:19" ht="15.95" customHeight="1" x14ac:dyDescent="0.2">
      <c r="A30" s="227" t="s">
        <v>137</v>
      </c>
      <c r="B30" s="3"/>
      <c r="C30" s="252">
        <v>10</v>
      </c>
      <c r="D30" s="229">
        <f t="shared" si="0"/>
        <v>0</v>
      </c>
      <c r="E30" s="229">
        <f t="shared" si="0"/>
        <v>0</v>
      </c>
      <c r="F30" s="229">
        <f t="shared" si="0"/>
        <v>0</v>
      </c>
      <c r="G30" s="229">
        <f t="shared" si="0"/>
        <v>0.3</v>
      </c>
      <c r="H30" s="229">
        <f t="shared" si="0"/>
        <v>9.4</v>
      </c>
      <c r="I30" s="229">
        <f t="shared" si="0"/>
        <v>10</v>
      </c>
      <c r="J30" s="229">
        <f t="shared" si="0"/>
        <v>10</v>
      </c>
      <c r="K30" s="229">
        <f t="shared" si="0"/>
        <v>10</v>
      </c>
      <c r="L30" s="229"/>
      <c r="M30" s="242"/>
      <c r="N30">
        <v>0.5</v>
      </c>
      <c r="O30" s="5">
        <f>F$35</f>
        <v>30.5</v>
      </c>
      <c r="P30">
        <v>14</v>
      </c>
      <c r="Q30">
        <v>26</v>
      </c>
      <c r="R30">
        <v>39</v>
      </c>
      <c r="S30">
        <v>17</v>
      </c>
    </row>
    <row r="31" spans="1:19" ht="15.95" customHeight="1" x14ac:dyDescent="0.2">
      <c r="A31" s="227" t="s">
        <v>138</v>
      </c>
      <c r="B31" s="3"/>
      <c r="C31" s="252">
        <v>15</v>
      </c>
      <c r="D31" s="229">
        <f t="shared" si="0"/>
        <v>0</v>
      </c>
      <c r="E31" s="229">
        <f t="shared" si="0"/>
        <v>0</v>
      </c>
      <c r="F31" s="229">
        <f t="shared" si="0"/>
        <v>0</v>
      </c>
      <c r="G31" s="229">
        <f t="shared" si="0"/>
        <v>0.1</v>
      </c>
      <c r="H31" s="229">
        <f t="shared" si="0"/>
        <v>1.8</v>
      </c>
      <c r="I31" s="229">
        <f t="shared" si="0"/>
        <v>15</v>
      </c>
      <c r="J31" s="229">
        <f t="shared" si="0"/>
        <v>15</v>
      </c>
      <c r="K31" s="229">
        <f t="shared" si="0"/>
        <v>15</v>
      </c>
      <c r="L31" s="229"/>
      <c r="M31" s="242"/>
      <c r="N31">
        <v>1</v>
      </c>
      <c r="O31" s="5">
        <f>G$35</f>
        <v>40.200000000000003</v>
      </c>
      <c r="P31">
        <v>21</v>
      </c>
      <c r="Q31">
        <v>42</v>
      </c>
      <c r="R31">
        <v>57</v>
      </c>
      <c r="S31">
        <v>30</v>
      </c>
    </row>
    <row r="32" spans="1:19" ht="16.5" customHeight="1" x14ac:dyDescent="0.2">
      <c r="A32" s="227" t="s">
        <v>139</v>
      </c>
      <c r="B32" s="3"/>
      <c r="C32" s="252">
        <v>35</v>
      </c>
      <c r="D32" s="229">
        <f t="shared" si="0"/>
        <v>0</v>
      </c>
      <c r="E32" s="229">
        <f t="shared" si="0"/>
        <v>0</v>
      </c>
      <c r="F32" s="229">
        <f t="shared" si="0"/>
        <v>0</v>
      </c>
      <c r="G32" s="229">
        <f t="shared" si="0"/>
        <v>0</v>
      </c>
      <c r="H32" s="229">
        <f t="shared" si="0"/>
        <v>0.3</v>
      </c>
      <c r="I32" s="229">
        <f t="shared" si="0"/>
        <v>0.2</v>
      </c>
      <c r="J32" s="229">
        <f t="shared" si="0"/>
        <v>35</v>
      </c>
      <c r="K32" s="229">
        <f t="shared" si="0"/>
        <v>35</v>
      </c>
      <c r="L32" s="229"/>
      <c r="M32" s="242"/>
      <c r="N32">
        <v>2</v>
      </c>
      <c r="O32" s="5">
        <f>H$35</f>
        <v>51.5</v>
      </c>
      <c r="P32">
        <v>36</v>
      </c>
      <c r="Q32">
        <v>57</v>
      </c>
      <c r="R32">
        <v>71</v>
      </c>
      <c r="S32">
        <v>30</v>
      </c>
    </row>
    <row r="33" spans="1:22" ht="15.95" customHeight="1" x14ac:dyDescent="0.2">
      <c r="A33" s="227" t="s">
        <v>140</v>
      </c>
      <c r="B33" s="3"/>
      <c r="C33" s="252">
        <v>0</v>
      </c>
      <c r="D33" s="229">
        <f t="shared" si="0"/>
        <v>0</v>
      </c>
      <c r="E33" s="229">
        <f t="shared" si="0"/>
        <v>0</v>
      </c>
      <c r="F33" s="229">
        <f t="shared" si="0"/>
        <v>0</v>
      </c>
      <c r="G33" s="229">
        <f t="shared" si="0"/>
        <v>0</v>
      </c>
      <c r="H33" s="229">
        <f t="shared" si="0"/>
        <v>0</v>
      </c>
      <c r="I33" s="229">
        <f t="shared" si="0"/>
        <v>0</v>
      </c>
      <c r="J33" s="229">
        <f t="shared" si="0"/>
        <v>0</v>
      </c>
      <c r="K33" s="229">
        <f t="shared" si="0"/>
        <v>0</v>
      </c>
      <c r="L33" s="229"/>
      <c r="M33" s="242"/>
      <c r="N33">
        <v>4</v>
      </c>
      <c r="O33" s="5">
        <f>I$35</f>
        <v>65.2</v>
      </c>
      <c r="P33">
        <v>61</v>
      </c>
      <c r="Q33">
        <v>74</v>
      </c>
      <c r="R33">
        <v>85</v>
      </c>
      <c r="S33">
        <v>30</v>
      </c>
    </row>
    <row r="34" spans="1:22" ht="15.95" customHeight="1" thickBot="1" x14ac:dyDescent="0.25">
      <c r="A34" s="221"/>
      <c r="B34" s="222"/>
      <c r="C34" s="254"/>
      <c r="D34" s="255"/>
      <c r="E34" s="234"/>
      <c r="F34" s="234"/>
      <c r="G34" s="234"/>
      <c r="H34" s="234"/>
      <c r="I34" s="234"/>
      <c r="J34" s="234"/>
      <c r="K34" s="234"/>
      <c r="L34" s="234"/>
      <c r="M34" s="256"/>
      <c r="N34">
        <v>8</v>
      </c>
      <c r="O34" s="5">
        <f>J$35</f>
        <v>100</v>
      </c>
      <c r="P34">
        <v>100</v>
      </c>
      <c r="Q34">
        <v>100</v>
      </c>
      <c r="R34">
        <v>100</v>
      </c>
      <c r="S34">
        <v>100</v>
      </c>
    </row>
    <row r="35" spans="1:22" ht="15.95" customHeight="1" x14ac:dyDescent="0.2">
      <c r="A35" s="257" t="s">
        <v>25</v>
      </c>
      <c r="B35" s="258"/>
      <c r="C35" s="252">
        <f>SUM(C27:C33)</f>
        <v>100</v>
      </c>
      <c r="D35" s="229">
        <f>ROUND((SUM(D27:D33)),1)</f>
        <v>0.5</v>
      </c>
      <c r="E35" s="229">
        <f t="shared" ref="E35:K35" si="1">ROUND((SUM(E27:E33)),1)</f>
        <v>8</v>
      </c>
      <c r="F35" s="229">
        <f t="shared" si="1"/>
        <v>30.5</v>
      </c>
      <c r="G35" s="229">
        <f t="shared" si="1"/>
        <v>40.200000000000003</v>
      </c>
      <c r="H35" s="229">
        <f t="shared" si="1"/>
        <v>51.5</v>
      </c>
      <c r="I35" s="229">
        <f t="shared" si="1"/>
        <v>65.2</v>
      </c>
      <c r="J35" s="229">
        <f t="shared" si="1"/>
        <v>100</v>
      </c>
      <c r="K35" s="229">
        <f t="shared" si="1"/>
        <v>100</v>
      </c>
      <c r="L35" s="229"/>
      <c r="M35" s="242">
        <f>(700-SUM(E35:K35))/100</f>
        <v>3.0460000000000003</v>
      </c>
      <c r="N35">
        <v>16</v>
      </c>
      <c r="O35" s="5">
        <f>K$35</f>
        <v>100</v>
      </c>
      <c r="P35">
        <v>100</v>
      </c>
      <c r="Q35">
        <v>100</v>
      </c>
      <c r="R35">
        <v>100</v>
      </c>
      <c r="S35">
        <v>100</v>
      </c>
    </row>
    <row r="36" spans="1:22" ht="15.95" customHeight="1" thickBot="1" x14ac:dyDescent="0.25">
      <c r="A36" s="259" t="s">
        <v>26</v>
      </c>
      <c r="B36" s="260"/>
      <c r="C36" s="261"/>
      <c r="D36" s="234">
        <f t="shared" ref="D36:K36" si="2">D35-D23</f>
        <v>-2</v>
      </c>
      <c r="E36" s="234">
        <f t="shared" si="2"/>
        <v>-2</v>
      </c>
      <c r="F36" s="234">
        <f t="shared" si="2"/>
        <v>0.5</v>
      </c>
      <c r="G36" s="234">
        <f t="shared" si="2"/>
        <v>0.20000000000000284</v>
      </c>
      <c r="H36" s="234">
        <f t="shared" si="2"/>
        <v>1.5</v>
      </c>
      <c r="I36" s="234">
        <f t="shared" si="2"/>
        <v>0.20000000000000284</v>
      </c>
      <c r="J36" s="234">
        <f t="shared" si="2"/>
        <v>0</v>
      </c>
      <c r="K36" s="234">
        <f t="shared" si="2"/>
        <v>0</v>
      </c>
      <c r="L36" s="234"/>
      <c r="M36" s="256">
        <f>M35-M23</f>
        <v>-3.9999999999995595E-3</v>
      </c>
    </row>
    <row r="37" spans="1:22" ht="15.9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t="s">
        <v>141</v>
      </c>
    </row>
    <row r="39" spans="1:22" x14ac:dyDescent="0.2">
      <c r="E39" s="4"/>
    </row>
    <row r="42" spans="1:22" x14ac:dyDescent="0.2">
      <c r="V42">
        <v>100</v>
      </c>
    </row>
    <row r="44" spans="1:22" x14ac:dyDescent="0.2">
      <c r="O44" s="10"/>
    </row>
    <row r="57" spans="3:13" x14ac:dyDescent="0.2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2">
      <c r="C58" t="s">
        <v>109</v>
      </c>
      <c r="F58">
        <f>POWER((F57/16),0.5)*100</f>
        <v>8.8388347648318444</v>
      </c>
      <c r="G58">
        <f t="shared" ref="G58:M58" si="3">POWER((G57/16),0.5)*100</f>
        <v>12.5</v>
      </c>
      <c r="H58">
        <f t="shared" si="3"/>
        <v>17.677669529663689</v>
      </c>
      <c r="I58">
        <f t="shared" si="3"/>
        <v>25</v>
      </c>
      <c r="J58">
        <f t="shared" si="3"/>
        <v>35.355339059327378</v>
      </c>
      <c r="K58">
        <f t="shared" si="3"/>
        <v>50</v>
      </c>
      <c r="L58">
        <f t="shared" si="3"/>
        <v>70.710678118654755</v>
      </c>
      <c r="M58">
        <f t="shared" si="3"/>
        <v>100</v>
      </c>
    </row>
    <row r="59" spans="3:13" x14ac:dyDescent="0.2">
      <c r="C59" t="s">
        <v>110</v>
      </c>
      <c r="F59">
        <f t="shared" ref="F59:M59" si="4">(F57/16+POWER(F57/16,0.5))*50</f>
        <v>4.8100423824159222</v>
      </c>
      <c r="G59">
        <f t="shared" si="4"/>
        <v>7.03125</v>
      </c>
      <c r="H59">
        <f t="shared" si="4"/>
        <v>10.401334764831844</v>
      </c>
      <c r="I59">
        <f t="shared" si="4"/>
        <v>15.625</v>
      </c>
      <c r="J59">
        <f t="shared" si="4"/>
        <v>23.927669529663689</v>
      </c>
      <c r="K59">
        <f t="shared" si="4"/>
        <v>37.5</v>
      </c>
      <c r="L59">
        <f t="shared" si="4"/>
        <v>60.35533905932737</v>
      </c>
      <c r="M59">
        <f t="shared" si="4"/>
        <v>100</v>
      </c>
    </row>
    <row r="61" spans="3:13" x14ac:dyDescent="0.2">
      <c r="C61" t="s">
        <v>111</v>
      </c>
      <c r="F61">
        <f>(F58+F59)/2</f>
        <v>6.8244385736238833</v>
      </c>
      <c r="G61">
        <f t="shared" ref="G61:M61" si="5">(G58+G59)/2</f>
        <v>9.765625</v>
      </c>
      <c r="H61">
        <f t="shared" si="5"/>
        <v>14.039502147247767</v>
      </c>
      <c r="I61">
        <f t="shared" si="5"/>
        <v>20.3125</v>
      </c>
      <c r="J61">
        <f t="shared" si="5"/>
        <v>29.641504294495533</v>
      </c>
      <c r="K61">
        <f t="shared" si="5"/>
        <v>43.75</v>
      </c>
      <c r="L61">
        <f t="shared" si="5"/>
        <v>65.533008588991066</v>
      </c>
      <c r="M61">
        <f t="shared" si="5"/>
        <v>100</v>
      </c>
    </row>
    <row r="62" spans="3:13" x14ac:dyDescent="0.2">
      <c r="C62" t="s">
        <v>112</v>
      </c>
      <c r="F62">
        <f t="shared" ref="F62:M62" si="6">(2*F58+F59)/3</f>
        <v>7.4959039706932034</v>
      </c>
      <c r="G62">
        <f t="shared" si="6"/>
        <v>10.677083333333334</v>
      </c>
      <c r="H62">
        <f t="shared" si="6"/>
        <v>15.252224608053075</v>
      </c>
      <c r="I62">
        <f t="shared" si="6"/>
        <v>21.875</v>
      </c>
      <c r="J62">
        <f t="shared" si="6"/>
        <v>31.546115882772813</v>
      </c>
      <c r="K62">
        <f t="shared" si="6"/>
        <v>45.833333333333336</v>
      </c>
      <c r="L62">
        <f t="shared" si="6"/>
        <v>67.258898432212291</v>
      </c>
      <c r="M62">
        <f t="shared" si="6"/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C28" sqref="C28"/>
    </sheetView>
  </sheetViews>
  <sheetFormatPr baseColWidth="10" defaultRowHeight="12.75" x14ac:dyDescent="0.2"/>
  <cols>
    <col min="1" max="1" width="9.140625" customWidth="1"/>
    <col min="2" max="2" width="10" customWidth="1"/>
    <col min="3" max="6" width="6.7109375" customWidth="1"/>
    <col min="7" max="7" width="7.28515625" customWidth="1"/>
    <col min="8" max="8" width="6.7109375" customWidth="1"/>
    <col min="9" max="9" width="7.7109375" customWidth="1"/>
    <col min="10" max="10" width="10.140625" bestFit="1" customWidth="1"/>
    <col min="11" max="11" width="8" customWidth="1"/>
    <col min="12" max="12" width="8.7109375" customWidth="1"/>
  </cols>
  <sheetData>
    <row r="1" spans="1:11" ht="17.100000000000001" customHeight="1" x14ac:dyDescent="0.2">
      <c r="A1" s="23" t="s">
        <v>0</v>
      </c>
      <c r="B1" s="24" t="s">
        <v>87</v>
      </c>
      <c r="C1" s="24"/>
      <c r="D1" s="24"/>
      <c r="E1" s="24"/>
      <c r="F1" s="24"/>
      <c r="G1" s="24"/>
      <c r="H1" s="24"/>
      <c r="I1" s="152" t="s">
        <v>2</v>
      </c>
      <c r="J1" s="293">
        <v>42802</v>
      </c>
      <c r="K1" s="27"/>
    </row>
    <row r="2" spans="1:11" ht="17.100000000000001" customHeight="1" thickBot="1" x14ac:dyDescent="0.25">
      <c r="A2" s="269" t="s">
        <v>148</v>
      </c>
      <c r="B2" s="153"/>
      <c r="C2" s="153"/>
      <c r="D2" s="153"/>
      <c r="E2" s="153"/>
      <c r="F2" s="153"/>
      <c r="G2" s="153"/>
      <c r="H2" s="153"/>
      <c r="I2" s="120" t="s">
        <v>108</v>
      </c>
      <c r="J2" s="154"/>
      <c r="K2" s="155" t="str">
        <f>'Sieblinie PPa-2 (MFI 25)'!M2</f>
        <v>Stelzner</v>
      </c>
    </row>
    <row r="3" spans="1:11" ht="8.1" customHeigh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ht="18" customHeight="1" x14ac:dyDescent="0.2">
      <c r="A4" s="33" t="s">
        <v>5</v>
      </c>
      <c r="B4" s="33"/>
      <c r="C4" s="21"/>
      <c r="D4" s="34" t="str">
        <f>'Sieblinie PPa-2 (MFI 25)'!$E$4</f>
        <v>BAM 7.1 - FE (Stelzner)</v>
      </c>
      <c r="E4" s="34"/>
      <c r="F4" s="34"/>
      <c r="G4" s="34"/>
      <c r="H4" s="34"/>
      <c r="I4" s="34"/>
      <c r="J4" s="34"/>
      <c r="K4" s="34"/>
    </row>
    <row r="5" spans="1:11" ht="18" customHeight="1" x14ac:dyDescent="0.2">
      <c r="A5" s="33" t="s">
        <v>6</v>
      </c>
      <c r="B5" s="33"/>
      <c r="C5" s="21"/>
      <c r="D5" s="34" t="str">
        <f>'Sieblinie PPa-2 (MFI 25)'!$E$5</f>
        <v>MIS-Brand</v>
      </c>
      <c r="E5" s="34"/>
      <c r="F5" s="34"/>
      <c r="G5" s="34"/>
      <c r="H5" s="34"/>
      <c r="I5" s="34"/>
      <c r="J5" s="34"/>
      <c r="K5" s="34"/>
    </row>
    <row r="6" spans="1:11" ht="18" customHeight="1" x14ac:dyDescent="0.2">
      <c r="A6" s="33" t="s">
        <v>31</v>
      </c>
      <c r="B6" s="33"/>
      <c r="C6" s="33"/>
      <c r="D6" s="34" t="s">
        <v>166</v>
      </c>
      <c r="E6" s="34"/>
      <c r="F6" s="34"/>
      <c r="G6" s="34"/>
      <c r="H6" s="34"/>
      <c r="I6" s="34"/>
      <c r="J6" s="34"/>
      <c r="K6" s="34"/>
    </row>
    <row r="7" spans="1:11" ht="3.7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1" ht="18" customHeight="1" x14ac:dyDescent="0.2">
      <c r="A8" s="33" t="s">
        <v>88</v>
      </c>
      <c r="B8" s="33"/>
      <c r="C8" s="33"/>
      <c r="D8" s="33"/>
      <c r="E8" s="34"/>
      <c r="F8" s="34"/>
      <c r="G8" s="34"/>
      <c r="H8" s="34"/>
      <c r="I8" s="34"/>
      <c r="J8" s="34"/>
      <c r="K8" s="34"/>
    </row>
    <row r="9" spans="1:11" ht="18" customHeight="1" x14ac:dyDescent="0.2">
      <c r="A9" s="33" t="s">
        <v>89</v>
      </c>
      <c r="B9" s="33"/>
      <c r="C9" s="156">
        <f>C23/C22</f>
        <v>0.2982758620689655</v>
      </c>
      <c r="D9" s="34"/>
      <c r="E9" s="147"/>
      <c r="F9" s="157" t="s">
        <v>90</v>
      </c>
      <c r="G9" s="148"/>
      <c r="H9" s="34" t="s">
        <v>149</v>
      </c>
      <c r="I9" s="34"/>
      <c r="J9" s="34"/>
      <c r="K9" s="34"/>
    </row>
    <row r="10" spans="1:11" ht="18" customHeight="1" x14ac:dyDescent="0.2">
      <c r="A10" s="21" t="s">
        <v>91</v>
      </c>
      <c r="B10" s="21"/>
      <c r="C10" s="158"/>
      <c r="D10" s="158"/>
      <c r="E10" s="159"/>
      <c r="F10" s="148" t="s">
        <v>92</v>
      </c>
      <c r="G10" s="148"/>
      <c r="H10" s="148"/>
      <c r="I10" s="156">
        <f>'Sieblinie PPa-2 (MFI 25)'!$M$8</f>
        <v>3.0460000000000003</v>
      </c>
      <c r="J10" s="34"/>
      <c r="K10" s="34"/>
    </row>
    <row r="11" spans="1:11" ht="5.25" customHeight="1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</row>
    <row r="12" spans="1:11" ht="17.100000000000001" customHeight="1" x14ac:dyDescent="0.2">
      <c r="A12" s="149" t="s">
        <v>93</v>
      </c>
      <c r="B12" s="149"/>
      <c r="C12" s="149"/>
      <c r="D12" s="32"/>
      <c r="E12" s="32"/>
      <c r="F12" s="32"/>
      <c r="G12" s="32"/>
      <c r="H12" s="32"/>
      <c r="I12" s="32"/>
      <c r="J12" s="32"/>
      <c r="K12" s="32"/>
    </row>
    <row r="13" spans="1:11" ht="3" customHeight="1" thickBo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</row>
    <row r="14" spans="1:11" ht="20.100000000000001" customHeight="1" x14ac:dyDescent="0.2">
      <c r="A14" s="152" t="s">
        <v>94</v>
      </c>
      <c r="B14" s="44"/>
      <c r="C14" s="160">
        <v>0.25</v>
      </c>
      <c r="D14" s="161">
        <v>0.5</v>
      </c>
      <c r="E14" s="161">
        <v>1</v>
      </c>
      <c r="F14" s="161">
        <v>2</v>
      </c>
      <c r="G14" s="161">
        <v>4</v>
      </c>
      <c r="H14" s="161">
        <v>8</v>
      </c>
      <c r="I14" s="161">
        <v>16</v>
      </c>
      <c r="J14" s="161">
        <v>31.5</v>
      </c>
      <c r="K14" s="162" t="s">
        <v>95</v>
      </c>
    </row>
    <row r="15" spans="1:11" ht="20.100000000000001" customHeight="1" thickBot="1" x14ac:dyDescent="0.25">
      <c r="A15" s="120" t="s">
        <v>96</v>
      </c>
      <c r="B15" s="154"/>
      <c r="C15" s="262">
        <f>[1]Sieblinie!E35</f>
        <v>12.6</v>
      </c>
      <c r="D15" s="263">
        <f>[1]Sieblinie!F35</f>
        <v>30.3</v>
      </c>
      <c r="E15" s="263">
        <f>[1]Sieblinie!G35</f>
        <v>40.200000000000003</v>
      </c>
      <c r="F15" s="263">
        <f>[1]Sieblinie!H35</f>
        <v>49.4</v>
      </c>
      <c r="G15" s="263">
        <f>[1]Sieblinie!I35</f>
        <v>64.900000000000006</v>
      </c>
      <c r="H15" s="263">
        <f>[1]Sieblinie!J35</f>
        <v>97.6</v>
      </c>
      <c r="I15" s="263">
        <f>[1]Sieblinie!K35</f>
        <v>100</v>
      </c>
      <c r="J15" s="263">
        <v>100</v>
      </c>
      <c r="K15" s="264">
        <f>(700-SUM(C15:I15))/100</f>
        <v>3.05</v>
      </c>
    </row>
    <row r="16" spans="1:11" ht="5.25" customHeight="1" x14ac:dyDescent="0.2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6" ht="17.100000000000001" customHeight="1" x14ac:dyDescent="0.2">
      <c r="A17" s="149" t="s">
        <v>97</v>
      </c>
      <c r="B17" s="149"/>
      <c r="C17" s="149"/>
      <c r="D17" s="149"/>
      <c r="E17" s="149"/>
      <c r="F17" s="32"/>
      <c r="G17" s="32"/>
      <c r="H17" s="32"/>
      <c r="I17" s="32"/>
      <c r="J17" s="32"/>
      <c r="K17" s="32"/>
    </row>
    <row r="18" spans="1:16" ht="3" customHeight="1" thickBo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6" ht="17.100000000000001" customHeight="1" x14ac:dyDescent="0.2">
      <c r="A19" s="40" t="s">
        <v>34</v>
      </c>
      <c r="B19" s="41"/>
      <c r="C19" s="42" t="s">
        <v>98</v>
      </c>
      <c r="D19" s="41"/>
      <c r="E19" s="42" t="s">
        <v>99</v>
      </c>
      <c r="F19" s="41"/>
      <c r="G19" s="42" t="s">
        <v>100</v>
      </c>
      <c r="H19" s="41"/>
      <c r="I19" s="40" t="s">
        <v>101</v>
      </c>
      <c r="J19" s="42"/>
      <c r="K19" s="41"/>
    </row>
    <row r="20" spans="1:16" ht="17.100000000000001" customHeight="1" x14ac:dyDescent="0.2">
      <c r="A20" s="55"/>
      <c r="B20" s="51"/>
      <c r="C20" s="56"/>
      <c r="D20" s="57"/>
      <c r="E20" s="56" t="s">
        <v>102</v>
      </c>
      <c r="F20" s="57"/>
      <c r="G20" s="50"/>
      <c r="H20" s="163"/>
      <c r="I20" s="150"/>
      <c r="J20" s="151"/>
      <c r="K20" s="164"/>
    </row>
    <row r="21" spans="1:16" ht="20.100000000000001" customHeight="1" thickBot="1" x14ac:dyDescent="0.25">
      <c r="A21" s="120"/>
      <c r="B21" s="121"/>
      <c r="C21" s="30" t="s">
        <v>43</v>
      </c>
      <c r="D21" s="31"/>
      <c r="E21" s="30" t="s">
        <v>85</v>
      </c>
      <c r="F21" s="31"/>
      <c r="G21" s="30" t="s">
        <v>83</v>
      </c>
      <c r="H21" s="31"/>
      <c r="I21" s="165" t="s">
        <v>50</v>
      </c>
      <c r="J21" s="30"/>
      <c r="K21" s="31"/>
      <c r="P21" s="281"/>
    </row>
    <row r="22" spans="1:16" ht="20.100000000000001" customHeight="1" x14ac:dyDescent="0.2">
      <c r="A22" s="294" t="s">
        <v>46</v>
      </c>
      <c r="B22" s="295"/>
      <c r="C22" s="63">
        <v>580</v>
      </c>
      <c r="D22" s="57"/>
      <c r="E22" s="166">
        <v>3.1230000000000002</v>
      </c>
      <c r="F22" s="66"/>
      <c r="G22" s="167">
        <f>ROUND((C22/E22),1)</f>
        <v>185.7</v>
      </c>
      <c r="H22" s="168"/>
      <c r="I22" s="301" t="s">
        <v>146</v>
      </c>
      <c r="J22" s="302"/>
      <c r="K22" s="303"/>
    </row>
    <row r="23" spans="1:16" ht="20.100000000000001" customHeight="1" x14ac:dyDescent="0.2">
      <c r="A23" s="55" t="s">
        <v>47</v>
      </c>
      <c r="B23" s="51"/>
      <c r="C23" s="71">
        <v>173</v>
      </c>
      <c r="D23" s="72"/>
      <c r="E23" s="166">
        <v>1</v>
      </c>
      <c r="F23" s="66"/>
      <c r="G23" s="167">
        <f>C23</f>
        <v>173</v>
      </c>
      <c r="H23" s="168"/>
      <c r="I23" s="298"/>
      <c r="J23" s="299"/>
      <c r="K23" s="300"/>
    </row>
    <row r="24" spans="1:16" ht="20.100000000000001" customHeight="1" x14ac:dyDescent="0.2">
      <c r="A24" s="55" t="s">
        <v>49</v>
      </c>
      <c r="B24" s="51"/>
      <c r="C24" s="77" t="s">
        <v>50</v>
      </c>
      <c r="D24" s="57"/>
      <c r="E24" s="169" t="s">
        <v>50</v>
      </c>
      <c r="F24" s="66"/>
      <c r="G24" s="170" t="s">
        <v>50</v>
      </c>
      <c r="H24" s="168"/>
      <c r="I24" s="298"/>
      <c r="J24" s="299"/>
      <c r="K24" s="300"/>
    </row>
    <row r="25" spans="1:16" ht="20.100000000000001" customHeight="1" x14ac:dyDescent="0.2">
      <c r="A25" s="55" t="s">
        <v>52</v>
      </c>
      <c r="B25" s="51"/>
      <c r="C25" s="77" t="s">
        <v>50</v>
      </c>
      <c r="D25" s="57"/>
      <c r="E25" s="169" t="s">
        <v>50</v>
      </c>
      <c r="F25" s="66"/>
      <c r="G25" s="167">
        <v>20</v>
      </c>
      <c r="H25" s="168"/>
      <c r="I25" s="298"/>
      <c r="J25" s="299"/>
      <c r="K25" s="300"/>
    </row>
    <row r="26" spans="1:16" ht="20.100000000000001" customHeight="1" x14ac:dyDescent="0.2">
      <c r="A26" s="55" t="s">
        <v>125</v>
      </c>
      <c r="B26" s="51" t="s">
        <v>142</v>
      </c>
      <c r="C26" s="77">
        <v>63.8</v>
      </c>
      <c r="D26" s="57"/>
      <c r="E26" s="169">
        <v>2.39</v>
      </c>
      <c r="F26" s="66"/>
      <c r="G26" s="167">
        <f>ROUND((C26/E26),1)</f>
        <v>26.7</v>
      </c>
      <c r="H26" s="168"/>
      <c r="I26" s="298" t="s">
        <v>147</v>
      </c>
      <c r="J26" s="299"/>
      <c r="K26" s="300"/>
    </row>
    <row r="27" spans="1:16" ht="20.100000000000001" customHeight="1" x14ac:dyDescent="0.2">
      <c r="A27" s="55" t="s">
        <v>125</v>
      </c>
      <c r="B27" s="51" t="s">
        <v>153</v>
      </c>
      <c r="C27" s="77">
        <v>2</v>
      </c>
      <c r="D27" s="57"/>
      <c r="E27" s="169">
        <v>0.91</v>
      </c>
      <c r="F27" s="66"/>
      <c r="G27" s="167">
        <f>ROUND((C27/E27),1)</f>
        <v>2.2000000000000002</v>
      </c>
      <c r="H27" s="168"/>
      <c r="I27" s="298" t="s">
        <v>153</v>
      </c>
      <c r="J27" s="299"/>
      <c r="K27" s="300"/>
    </row>
    <row r="28" spans="1:16" ht="20.100000000000001" customHeight="1" x14ac:dyDescent="0.2">
      <c r="A28" s="55" t="s">
        <v>103</v>
      </c>
      <c r="B28" s="51"/>
      <c r="C28" s="77">
        <f>0.035*C22</f>
        <v>20.3</v>
      </c>
      <c r="D28" s="57"/>
      <c r="E28" s="169">
        <v>1.05</v>
      </c>
      <c r="F28" s="66"/>
      <c r="G28" s="167">
        <f>ROUND((C28/E28),1)</f>
        <v>19.3</v>
      </c>
      <c r="H28" s="168"/>
      <c r="I28" s="298" t="s">
        <v>143</v>
      </c>
      <c r="J28" s="299"/>
      <c r="K28" s="300"/>
    </row>
    <row r="29" spans="1:16" ht="20.100000000000001" customHeight="1" x14ac:dyDescent="0.2">
      <c r="A29" s="296" t="s">
        <v>56</v>
      </c>
      <c r="B29" s="297"/>
      <c r="C29" s="63">
        <f>SUM(C22:C28)</f>
        <v>839.09999999999991</v>
      </c>
      <c r="D29" s="57"/>
      <c r="E29" s="169" t="s">
        <v>50</v>
      </c>
      <c r="F29" s="66"/>
      <c r="G29" s="170">
        <f>SUM(G22:G28)</f>
        <v>426.9</v>
      </c>
      <c r="H29" s="168"/>
      <c r="I29" s="298"/>
      <c r="J29" s="299"/>
      <c r="K29" s="300"/>
    </row>
    <row r="30" spans="1:16" ht="20.100000000000001" customHeight="1" x14ac:dyDescent="0.2">
      <c r="A30" s="87" t="s">
        <v>58</v>
      </c>
      <c r="B30" s="88"/>
      <c r="C30" s="171">
        <f>SUM(C31:C39)</f>
        <v>1508</v>
      </c>
      <c r="D30" s="117"/>
      <c r="E30" s="172" t="s">
        <v>50</v>
      </c>
      <c r="F30" s="92"/>
      <c r="G30" s="173">
        <f>1000-G29</f>
        <v>573.1</v>
      </c>
      <c r="H30" s="174" t="s">
        <v>104</v>
      </c>
      <c r="I30" s="298"/>
      <c r="J30" s="299"/>
      <c r="K30" s="300"/>
    </row>
    <row r="31" spans="1:16" ht="20.100000000000001" customHeight="1" x14ac:dyDescent="0.2">
      <c r="A31" s="175" t="s">
        <v>152</v>
      </c>
      <c r="B31" s="117"/>
      <c r="C31" s="171">
        <f t="shared" ref="C31:C37" si="0">ROUND((G31*E31),0)</f>
        <v>0</v>
      </c>
      <c r="D31" s="117"/>
      <c r="E31" s="176">
        <v>2.65</v>
      </c>
      <c r="F31" s="92"/>
      <c r="G31" s="177">
        <f t="shared" ref="G31:G37" si="1">ROUND(((G$30*H31)/100),2)</f>
        <v>0</v>
      </c>
      <c r="H31" s="178">
        <f>'Sieblinie PPa-2 (MFI 25)'!C27</f>
        <v>0</v>
      </c>
      <c r="I31" s="307" t="str">
        <f>'Sieblinie PPa-2 (MFI 25)'!M12</f>
        <v>Quarz</v>
      </c>
      <c r="J31" s="308"/>
      <c r="K31" s="309"/>
    </row>
    <row r="32" spans="1:16" ht="20.100000000000001" customHeight="1" x14ac:dyDescent="0.2">
      <c r="A32" s="175" t="s">
        <v>123</v>
      </c>
      <c r="B32" s="117"/>
      <c r="C32" s="171">
        <f t="shared" si="0"/>
        <v>452</v>
      </c>
      <c r="D32" s="117"/>
      <c r="E32" s="176">
        <v>2.63</v>
      </c>
      <c r="F32" s="92"/>
      <c r="G32" s="177">
        <f t="shared" si="1"/>
        <v>171.93</v>
      </c>
      <c r="H32" s="178">
        <f>'Sieblinie PPa-2 (MFI 25)'!C28</f>
        <v>30</v>
      </c>
      <c r="I32" s="307" t="str">
        <f>'Sieblinie PPa-2 (MFI 25)'!M13</f>
        <v>Okrilla  2015</v>
      </c>
      <c r="J32" s="308"/>
      <c r="K32" s="309"/>
      <c r="M32" s="18"/>
    </row>
    <row r="33" spans="1:13" ht="20.100000000000001" customHeight="1" x14ac:dyDescent="0.2">
      <c r="A33" s="175" t="s">
        <v>122</v>
      </c>
      <c r="B33" s="117"/>
      <c r="C33" s="171">
        <f t="shared" si="0"/>
        <v>151</v>
      </c>
      <c r="D33" s="117"/>
      <c r="E33" s="176">
        <v>2.63</v>
      </c>
      <c r="F33" s="92"/>
      <c r="G33" s="177">
        <f t="shared" si="1"/>
        <v>57.31</v>
      </c>
      <c r="H33" s="178">
        <f>'Sieblinie PPa-2 (MFI 25)'!C29</f>
        <v>10</v>
      </c>
      <c r="I33" s="307" t="str">
        <f>'Sieblinie PPa-2 (MFI 25)'!M14</f>
        <v>Okrilla  2015</v>
      </c>
      <c r="J33" s="308"/>
      <c r="K33" s="309"/>
      <c r="M33" s="10"/>
    </row>
    <row r="34" spans="1:13" ht="20.100000000000001" customHeight="1" x14ac:dyDescent="0.2">
      <c r="A34" s="175" t="s">
        <v>121</v>
      </c>
      <c r="B34" s="117"/>
      <c r="C34" s="171">
        <f t="shared" si="0"/>
        <v>151</v>
      </c>
      <c r="D34" s="117"/>
      <c r="E34" s="176">
        <v>2.63</v>
      </c>
      <c r="F34" s="92"/>
      <c r="G34" s="177">
        <f t="shared" si="1"/>
        <v>57.31</v>
      </c>
      <c r="H34" s="178">
        <f>'Sieblinie PPa-2 (MFI 25)'!C30</f>
        <v>10</v>
      </c>
      <c r="I34" s="307" t="str">
        <f>'Sieblinie PPa-2 (MFI 25)'!M15</f>
        <v>Okrilla  2015</v>
      </c>
      <c r="J34" s="308"/>
      <c r="K34" s="309"/>
    </row>
    <row r="35" spans="1:13" ht="20.100000000000001" customHeight="1" x14ac:dyDescent="0.2">
      <c r="A35" s="175" t="s">
        <v>120</v>
      </c>
      <c r="B35" s="117"/>
      <c r="C35" s="171">
        <f t="shared" si="0"/>
        <v>226</v>
      </c>
      <c r="D35" s="117"/>
      <c r="E35" s="176">
        <v>2.63</v>
      </c>
      <c r="F35" s="92"/>
      <c r="G35" s="177">
        <f t="shared" si="1"/>
        <v>85.97</v>
      </c>
      <c r="H35" s="178">
        <f>'Sieblinie PPa-2 (MFI 25)'!C31</f>
        <v>15</v>
      </c>
      <c r="I35" s="307" t="str">
        <f>'Sieblinie PPa-2 (MFI 25)'!M16</f>
        <v>Okrilla  2015</v>
      </c>
      <c r="J35" s="308"/>
      <c r="K35" s="309"/>
    </row>
    <row r="36" spans="1:13" ht="20.100000000000001" customHeight="1" x14ac:dyDescent="0.2">
      <c r="A36" s="175" t="s">
        <v>119</v>
      </c>
      <c r="B36" s="117"/>
      <c r="C36" s="171">
        <f t="shared" si="0"/>
        <v>528</v>
      </c>
      <c r="D36" s="117"/>
      <c r="E36" s="176">
        <v>2.63</v>
      </c>
      <c r="F36" s="92"/>
      <c r="G36" s="177">
        <f t="shared" si="1"/>
        <v>200.59</v>
      </c>
      <c r="H36" s="178">
        <f>'Sieblinie PPa-2 (MFI 25)'!C32</f>
        <v>35</v>
      </c>
      <c r="I36" s="307" t="str">
        <f>'Sieblinie PPa-2 (MFI 25)'!M17</f>
        <v>Okrilla  2015</v>
      </c>
      <c r="J36" s="308"/>
      <c r="K36" s="309"/>
    </row>
    <row r="37" spans="1:13" ht="20.100000000000001" customHeight="1" x14ac:dyDescent="0.2">
      <c r="A37" s="175" t="s">
        <v>118</v>
      </c>
      <c r="B37" s="117"/>
      <c r="C37" s="171">
        <f t="shared" si="0"/>
        <v>0</v>
      </c>
      <c r="D37" s="117"/>
      <c r="E37" s="176">
        <v>2.63</v>
      </c>
      <c r="F37" s="92"/>
      <c r="G37" s="177">
        <f t="shared" si="1"/>
        <v>0</v>
      </c>
      <c r="H37" s="178">
        <f>'Sieblinie PPa-2 (MFI 25)'!C33</f>
        <v>0</v>
      </c>
      <c r="I37" s="307" t="str">
        <f>'Sieblinie PPa-2 (MFI 25)'!M18</f>
        <v>Dorsten 2013</v>
      </c>
      <c r="J37" s="308"/>
      <c r="K37" s="309"/>
      <c r="M37" s="18"/>
    </row>
    <row r="38" spans="1:13" ht="20.100000000000001" customHeight="1" x14ac:dyDescent="0.2">
      <c r="A38" s="175"/>
      <c r="B38" s="117"/>
      <c r="C38" s="179" t="s">
        <v>50</v>
      </c>
      <c r="D38" s="117"/>
      <c r="E38" s="172" t="s">
        <v>50</v>
      </c>
      <c r="F38" s="92"/>
      <c r="G38" s="180" t="s">
        <v>73</v>
      </c>
      <c r="H38" s="181" t="s">
        <v>73</v>
      </c>
      <c r="I38" s="298"/>
      <c r="J38" s="299"/>
      <c r="K38" s="300"/>
      <c r="M38" s="10"/>
    </row>
    <row r="39" spans="1:13" ht="20.100000000000001" customHeight="1" x14ac:dyDescent="0.2">
      <c r="A39" s="63"/>
      <c r="B39" s="57"/>
      <c r="C39" s="182" t="s">
        <v>50</v>
      </c>
      <c r="D39" s="57"/>
      <c r="E39" s="169" t="s">
        <v>50</v>
      </c>
      <c r="F39" s="66"/>
      <c r="G39" s="183" t="s">
        <v>73</v>
      </c>
      <c r="H39" s="184" t="s">
        <v>73</v>
      </c>
      <c r="I39" s="298"/>
      <c r="J39" s="299"/>
      <c r="K39" s="300"/>
    </row>
    <row r="40" spans="1:13" ht="20.100000000000001" customHeight="1" x14ac:dyDescent="0.2">
      <c r="A40" s="55" t="s">
        <v>76</v>
      </c>
      <c r="B40" s="51"/>
      <c r="C40" s="71">
        <f>SUM(C22:C28)+C30</f>
        <v>2347.1</v>
      </c>
      <c r="D40" s="57"/>
      <c r="E40" s="169" t="s">
        <v>50</v>
      </c>
      <c r="F40" s="66"/>
      <c r="G40" s="71">
        <f>SUM(G22,G23,G25,G26,G28,G30)</f>
        <v>997.8</v>
      </c>
      <c r="H40" s="72"/>
      <c r="I40" s="298"/>
      <c r="J40" s="299"/>
      <c r="K40" s="300"/>
    </row>
    <row r="41" spans="1:13" ht="20.100000000000001" customHeight="1" x14ac:dyDescent="0.2">
      <c r="A41" s="55" t="s">
        <v>105</v>
      </c>
      <c r="B41" s="51"/>
      <c r="C41" s="77" t="s">
        <v>50</v>
      </c>
      <c r="D41" s="57"/>
      <c r="E41" s="77" t="s">
        <v>50</v>
      </c>
      <c r="F41" s="66"/>
      <c r="G41" s="77" t="s">
        <v>50</v>
      </c>
      <c r="H41" s="57"/>
      <c r="I41" s="298"/>
      <c r="J41" s="299"/>
      <c r="K41" s="300"/>
    </row>
    <row r="42" spans="1:13" ht="20.100000000000001" customHeight="1" thickBot="1" x14ac:dyDescent="0.25">
      <c r="A42" s="120" t="s">
        <v>106</v>
      </c>
      <c r="B42" s="121"/>
      <c r="C42" s="165" t="s">
        <v>50</v>
      </c>
      <c r="D42" s="31"/>
      <c r="E42" s="165" t="s">
        <v>50</v>
      </c>
      <c r="F42" s="126"/>
      <c r="G42" s="165" t="s">
        <v>50</v>
      </c>
      <c r="H42" s="31"/>
      <c r="I42" s="304"/>
      <c r="J42" s="305"/>
      <c r="K42" s="306"/>
    </row>
    <row r="43" spans="1:13" ht="6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3" ht="1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13"/>
    </row>
    <row r="45" spans="1:13" ht="15" customHeight="1" x14ac:dyDescent="0.2">
      <c r="A45" s="6"/>
      <c r="B45" s="6"/>
      <c r="C45" s="11"/>
      <c r="D45" s="6"/>
      <c r="E45" s="12"/>
      <c r="F45" s="6"/>
      <c r="G45" s="9"/>
      <c r="H45" s="11"/>
      <c r="I45" s="11"/>
      <c r="J45" s="16"/>
      <c r="K45" s="6"/>
      <c r="L45" s="9"/>
    </row>
    <row r="46" spans="1:13" ht="15" customHeight="1" x14ac:dyDescent="0.2">
      <c r="A46" s="6"/>
      <c r="B46" s="6"/>
      <c r="C46" s="6"/>
      <c r="D46" s="6"/>
      <c r="E46" s="12"/>
      <c r="F46" s="11"/>
      <c r="G46" s="11"/>
      <c r="H46" s="6"/>
      <c r="I46" s="14"/>
      <c r="J46" s="12"/>
      <c r="K46" s="6"/>
      <c r="L46" s="15"/>
    </row>
    <row r="47" spans="1:13" ht="15" customHeight="1" x14ac:dyDescent="0.2">
      <c r="A47" s="9"/>
      <c r="B47" s="9"/>
      <c r="C47" s="15"/>
      <c r="D47" s="6"/>
      <c r="E47" s="13"/>
      <c r="F47" s="9"/>
      <c r="G47" s="9"/>
      <c r="H47" s="9"/>
      <c r="I47" s="9"/>
      <c r="J47" s="16"/>
      <c r="K47" s="9"/>
      <c r="L47" s="9"/>
    </row>
    <row r="48" spans="1:13" ht="15" customHeight="1" x14ac:dyDescent="0.2">
      <c r="A48" s="6"/>
      <c r="B48" s="9"/>
      <c r="C48" s="11"/>
      <c r="D48" s="6"/>
      <c r="E48" s="13"/>
      <c r="F48" s="9"/>
      <c r="G48" s="9"/>
      <c r="H48" s="9"/>
      <c r="I48" s="9"/>
      <c r="J48" s="16"/>
      <c r="K48" s="9"/>
    </row>
    <row r="49" spans="1:7" x14ac:dyDescent="0.2">
      <c r="A49" s="9"/>
      <c r="C49" s="16"/>
    </row>
    <row r="52" spans="1:7" x14ac:dyDescent="0.2">
      <c r="G52" s="17"/>
    </row>
  </sheetData>
  <mergeCells count="23">
    <mergeCell ref="I35:K35"/>
    <mergeCell ref="I37:K37"/>
    <mergeCell ref="I36:K36"/>
    <mergeCell ref="I30:K30"/>
    <mergeCell ref="I31:K31"/>
    <mergeCell ref="I32:K32"/>
    <mergeCell ref="I33:K33"/>
    <mergeCell ref="I34:K34"/>
    <mergeCell ref="I42:K42"/>
    <mergeCell ref="I38:K38"/>
    <mergeCell ref="I39:K39"/>
    <mergeCell ref="I40:K40"/>
    <mergeCell ref="I41:K41"/>
    <mergeCell ref="A22:B22"/>
    <mergeCell ref="A29:B29"/>
    <mergeCell ref="I28:K28"/>
    <mergeCell ref="I22:K22"/>
    <mergeCell ref="I23:K23"/>
    <mergeCell ref="I24:K24"/>
    <mergeCell ref="I25:K25"/>
    <mergeCell ref="I29:K29"/>
    <mergeCell ref="I26:K26"/>
    <mergeCell ref="I27:K27"/>
  </mergeCells>
  <phoneticPr fontId="3" type="noConversion"/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E37" sqref="E37:L37"/>
    </sheetView>
  </sheetViews>
  <sheetFormatPr baseColWidth="10" defaultRowHeight="12.75" x14ac:dyDescent="0.2"/>
  <cols>
    <col min="1" max="1" width="10.42578125" customWidth="1"/>
    <col min="2" max="2" width="11.28515625" customWidth="1"/>
    <col min="3" max="3" width="8" customWidth="1"/>
    <col min="4" max="4" width="3.85546875" customWidth="1"/>
    <col min="5" max="5" width="7.28515625" customWidth="1"/>
    <col min="6" max="6" width="1.140625" customWidth="1"/>
    <col min="7" max="7" width="7.28515625" customWidth="1"/>
    <col min="8" max="8" width="1.140625" customWidth="1"/>
    <col min="9" max="9" width="8.28515625" customWidth="1"/>
    <col min="10" max="10" width="7.7109375" customWidth="1"/>
    <col min="11" max="11" width="8" customWidth="1"/>
    <col min="12" max="12" width="11.85546875" customWidth="1"/>
  </cols>
  <sheetData>
    <row r="1" spans="1:12" ht="17.100000000000001" customHeight="1" x14ac:dyDescent="0.2">
      <c r="A1" s="23" t="s">
        <v>0</v>
      </c>
      <c r="B1" s="24" t="s">
        <v>27</v>
      </c>
      <c r="C1" s="24"/>
      <c r="D1" s="24"/>
      <c r="E1" s="24"/>
      <c r="F1" s="24"/>
      <c r="G1" s="24"/>
      <c r="H1" s="24"/>
      <c r="I1" s="24"/>
      <c r="J1" s="25" t="s">
        <v>28</v>
      </c>
      <c r="K1" s="26">
        <v>42802</v>
      </c>
      <c r="L1" s="27"/>
    </row>
    <row r="2" spans="1:12" ht="17.100000000000001" customHeight="1" thickBot="1" x14ac:dyDescent="0.25">
      <c r="A2" s="269" t="s">
        <v>148</v>
      </c>
      <c r="B2" s="28" t="s">
        <v>29</v>
      </c>
      <c r="C2" s="28"/>
      <c r="D2" s="28"/>
      <c r="E2" s="28"/>
      <c r="F2" s="28"/>
      <c r="G2" s="28"/>
      <c r="H2" s="28"/>
      <c r="I2" s="28"/>
      <c r="J2" s="29" t="s">
        <v>30</v>
      </c>
      <c r="K2" s="30" t="str">
        <f>'Rezeptur PPa-2 (MFI 25)'!K2</f>
        <v>Stelzner</v>
      </c>
      <c r="L2" s="31"/>
    </row>
    <row r="3" spans="1:12" ht="8.1" customHeigh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18" customHeight="1" x14ac:dyDescent="0.2">
      <c r="A4" s="33" t="s">
        <v>5</v>
      </c>
      <c r="B4" s="33"/>
      <c r="C4" s="21"/>
      <c r="D4" s="34" t="str">
        <f>'Rezeptur PPa-2 (MFI 25)'!$D$4</f>
        <v>BAM 7.1 - FE (Stelzner)</v>
      </c>
      <c r="E4" s="34"/>
      <c r="F4" s="34"/>
      <c r="G4" s="34"/>
      <c r="H4" s="34"/>
      <c r="I4" s="34"/>
      <c r="J4" s="35" t="s">
        <v>164</v>
      </c>
      <c r="K4" s="35"/>
      <c r="L4" s="34"/>
    </row>
    <row r="5" spans="1:12" ht="18" customHeight="1" x14ac:dyDescent="0.2">
      <c r="A5" s="33" t="s">
        <v>6</v>
      </c>
      <c r="B5" s="33"/>
      <c r="C5" s="21"/>
      <c r="D5" s="34" t="str">
        <f>'Rezeptur PPa-2 (MFI 25)'!$D$5</f>
        <v>MIS-Brand</v>
      </c>
      <c r="E5" s="34"/>
      <c r="F5" s="34"/>
      <c r="G5" s="34"/>
      <c r="H5" s="34"/>
      <c r="I5" s="34"/>
      <c r="J5" s="34" t="s">
        <v>114</v>
      </c>
      <c r="K5" s="34"/>
      <c r="L5" s="34"/>
    </row>
    <row r="6" spans="1:12" ht="18" customHeight="1" x14ac:dyDescent="0.2">
      <c r="A6" s="33" t="s">
        <v>31</v>
      </c>
      <c r="B6" s="33"/>
      <c r="C6" s="33"/>
      <c r="D6" s="34" t="str">
        <f>'Rezeptur PPa-2 (MFI 25)'!$D$6</f>
        <v>Sr-PPa-2_326 (MFI 25)</v>
      </c>
      <c r="E6" s="34"/>
      <c r="F6" s="34"/>
      <c r="G6" s="34"/>
      <c r="H6" s="34"/>
      <c r="I6" s="34"/>
      <c r="J6" s="34"/>
      <c r="K6" s="34"/>
      <c r="L6" s="34"/>
    </row>
    <row r="7" spans="1:12" ht="12.75" customHeight="1" thickBo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ht="17.100000000000001" customHeight="1" thickBot="1" x14ac:dyDescent="0.25">
      <c r="A8" s="36" t="s">
        <v>32</v>
      </c>
      <c r="B8" s="37"/>
      <c r="C8" s="37"/>
      <c r="D8" s="37"/>
      <c r="E8" s="37"/>
      <c r="F8" s="37"/>
      <c r="G8" s="37"/>
      <c r="H8" s="38"/>
      <c r="I8" s="37" t="s">
        <v>33</v>
      </c>
      <c r="J8" s="39"/>
      <c r="K8" s="39"/>
      <c r="L8" s="38"/>
    </row>
    <row r="9" spans="1:12" ht="17.100000000000001" customHeight="1" x14ac:dyDescent="0.2">
      <c r="A9" s="40" t="s">
        <v>34</v>
      </c>
      <c r="B9" s="41"/>
      <c r="C9" s="42" t="s">
        <v>35</v>
      </c>
      <c r="D9" s="41"/>
      <c r="E9" s="42" t="s">
        <v>36</v>
      </c>
      <c r="F9" s="42"/>
      <c r="G9" s="42"/>
      <c r="H9" s="41"/>
      <c r="I9" s="43" t="s">
        <v>37</v>
      </c>
      <c r="J9" s="44"/>
      <c r="K9" s="44"/>
      <c r="L9" s="45"/>
    </row>
    <row r="10" spans="1:12" ht="17.100000000000001" customHeight="1" x14ac:dyDescent="0.2">
      <c r="A10" s="46"/>
      <c r="B10" s="47"/>
      <c r="C10" s="48" t="s">
        <v>38</v>
      </c>
      <c r="D10" s="49"/>
      <c r="E10" s="265">
        <v>230</v>
      </c>
      <c r="F10" s="266" t="s">
        <v>39</v>
      </c>
      <c r="G10" s="265">
        <v>230</v>
      </c>
      <c r="H10" s="267" t="s">
        <v>39</v>
      </c>
      <c r="I10" s="52" t="s">
        <v>113</v>
      </c>
      <c r="J10" s="52"/>
      <c r="K10" s="53" t="s">
        <v>167</v>
      </c>
      <c r="L10" s="292" t="s">
        <v>160</v>
      </c>
    </row>
    <row r="11" spans="1:12" ht="17.100000000000001" customHeight="1" x14ac:dyDescent="0.2">
      <c r="A11" s="55"/>
      <c r="B11" s="51"/>
      <c r="C11" s="56"/>
      <c r="D11" s="57"/>
      <c r="E11" s="58" t="s">
        <v>40</v>
      </c>
      <c r="F11" s="59"/>
      <c r="G11" s="58" t="s">
        <v>41</v>
      </c>
      <c r="H11" s="60"/>
      <c r="I11" s="52" t="s">
        <v>113</v>
      </c>
      <c r="J11" s="52"/>
      <c r="K11" s="53" t="s">
        <v>168</v>
      </c>
      <c r="L11" s="292" t="s">
        <v>161</v>
      </c>
    </row>
    <row r="12" spans="1:12" ht="20.100000000000001" customHeight="1" thickBot="1" x14ac:dyDescent="0.25">
      <c r="A12" s="61" t="s">
        <v>42</v>
      </c>
      <c r="B12" s="189" t="s">
        <v>116</v>
      </c>
      <c r="C12" s="30" t="s">
        <v>43</v>
      </c>
      <c r="D12" s="31"/>
      <c r="E12" s="30" t="s">
        <v>44</v>
      </c>
      <c r="F12" s="62"/>
      <c r="G12" s="30" t="s">
        <v>44</v>
      </c>
      <c r="H12" s="31"/>
      <c r="I12" s="52" t="s">
        <v>45</v>
      </c>
      <c r="J12" s="52"/>
      <c r="K12" s="53"/>
      <c r="L12" s="54"/>
    </row>
    <row r="13" spans="1:12" ht="20.100000000000001" customHeight="1" thickBot="1" x14ac:dyDescent="0.25">
      <c r="A13" s="55" t="s">
        <v>46</v>
      </c>
      <c r="B13" s="22" t="s">
        <v>115</v>
      </c>
      <c r="C13" s="63">
        <f>'Rezeptur PPa-2 (MFI 25)'!C22</f>
        <v>580</v>
      </c>
      <c r="D13" s="57"/>
      <c r="E13" s="64">
        <f>ROUND(((C13*E$10)/1000),2)</f>
        <v>133.4</v>
      </c>
      <c r="F13" s="65"/>
      <c r="G13" s="64">
        <f>ROUND(((C13*E$10)/1000),2)</f>
        <v>133.4</v>
      </c>
      <c r="H13" s="66"/>
      <c r="I13" s="67"/>
      <c r="J13" s="68"/>
      <c r="K13" s="69"/>
      <c r="L13" s="70"/>
    </row>
    <row r="14" spans="1:12" ht="20.100000000000001" customHeight="1" thickBot="1" x14ac:dyDescent="0.25">
      <c r="A14" s="55" t="s">
        <v>47</v>
      </c>
      <c r="B14" s="51"/>
      <c r="C14" s="71">
        <f>'Rezeptur PPa-2 (MFI 25)'!C23</f>
        <v>173</v>
      </c>
      <c r="D14" s="72"/>
      <c r="E14" s="64">
        <f>ROUND(((C14*E$10)/1000),2)</f>
        <v>39.79</v>
      </c>
      <c r="F14" s="73"/>
      <c r="G14" s="64">
        <f>ROUND(((C14*G$10)/1000),2)</f>
        <v>39.79</v>
      </c>
      <c r="H14" s="66"/>
      <c r="I14" s="74" t="s">
        <v>48</v>
      </c>
      <c r="J14" s="75"/>
      <c r="K14" s="76">
        <v>2.1</v>
      </c>
      <c r="L14" s="289"/>
    </row>
    <row r="15" spans="1:12" ht="20.100000000000001" customHeight="1" x14ac:dyDescent="0.2">
      <c r="A15" s="55" t="s">
        <v>49</v>
      </c>
      <c r="B15" s="51"/>
      <c r="C15" s="77" t="s">
        <v>50</v>
      </c>
      <c r="D15" s="57"/>
      <c r="E15" s="64" t="s">
        <v>50</v>
      </c>
      <c r="F15" s="73"/>
      <c r="G15" s="64" t="s">
        <v>50</v>
      </c>
      <c r="H15" s="66"/>
      <c r="I15" s="78" t="s">
        <v>51</v>
      </c>
      <c r="J15" s="79"/>
      <c r="K15" s="79"/>
      <c r="L15" s="51"/>
    </row>
    <row r="16" spans="1:12" ht="20.100000000000001" customHeight="1" x14ac:dyDescent="0.2">
      <c r="A16" s="55" t="s">
        <v>52</v>
      </c>
      <c r="B16" s="51"/>
      <c r="C16" s="77" t="s">
        <v>50</v>
      </c>
      <c r="D16" s="57"/>
      <c r="E16" s="64" t="s">
        <v>50</v>
      </c>
      <c r="F16" s="73"/>
      <c r="G16" s="64" t="s">
        <v>50</v>
      </c>
      <c r="H16" s="66"/>
      <c r="I16" s="52" t="s">
        <v>53</v>
      </c>
      <c r="J16" s="80"/>
      <c r="K16" s="81">
        <v>18.727</v>
      </c>
      <c r="L16" s="288"/>
    </row>
    <row r="17" spans="1:15" ht="20.100000000000001" customHeight="1" x14ac:dyDescent="0.2">
      <c r="A17" s="55" t="s">
        <v>125</v>
      </c>
      <c r="B17" s="22" t="s">
        <v>142</v>
      </c>
      <c r="C17" s="77">
        <f>'Rezeptur PPa-2 (MFI 25)'!C26</f>
        <v>63.8</v>
      </c>
      <c r="D17" s="57"/>
      <c r="E17" s="190">
        <f>C17*E$10/1000</f>
        <v>14.673999999999999</v>
      </c>
      <c r="F17" s="191"/>
      <c r="G17" s="190">
        <f>C17*E$10/1000</f>
        <v>14.673999999999999</v>
      </c>
      <c r="H17" s="66"/>
      <c r="I17" s="52" t="s">
        <v>54</v>
      </c>
      <c r="J17" s="80"/>
      <c r="K17" s="82">
        <v>8</v>
      </c>
      <c r="L17" s="273">
        <v>8</v>
      </c>
    </row>
    <row r="18" spans="1:15" s="271" customFormat="1" ht="20.100000000000001" customHeight="1" x14ac:dyDescent="0.2">
      <c r="A18" s="55" t="s">
        <v>125</v>
      </c>
      <c r="B18" s="22" t="s">
        <v>153</v>
      </c>
      <c r="C18" s="310">
        <f>'Rezeptur PPa-2 (MFI 25)'!C27</f>
        <v>2</v>
      </c>
      <c r="D18" s="311"/>
      <c r="E18" s="312">
        <f>C18*E$10/1000</f>
        <v>0.46</v>
      </c>
      <c r="F18" s="313"/>
      <c r="G18" s="190">
        <f>C18*E$10/1000</f>
        <v>0.46</v>
      </c>
      <c r="H18" s="66"/>
      <c r="I18" s="274"/>
      <c r="J18" s="275"/>
      <c r="K18" s="276"/>
      <c r="L18" s="277"/>
    </row>
    <row r="19" spans="1:15" ht="20.100000000000001" customHeight="1" thickBot="1" x14ac:dyDescent="0.25">
      <c r="A19" s="55" t="s">
        <v>117</v>
      </c>
      <c r="B19" s="22" t="s">
        <v>143</v>
      </c>
      <c r="C19" s="77">
        <f>'Rezeptur PPa-2 (MFI 25)'!C28</f>
        <v>20.3</v>
      </c>
      <c r="D19" s="57"/>
      <c r="E19" s="190">
        <f>ROUND(((C19*E$10)/1000),3)</f>
        <v>4.6689999999999996</v>
      </c>
      <c r="F19" s="191"/>
      <c r="G19" s="190">
        <f>ROUND(((C19*E$10)/1000),3)</f>
        <v>4.6689999999999996</v>
      </c>
      <c r="H19" s="66"/>
      <c r="I19" s="83" t="s">
        <v>55</v>
      </c>
      <c r="J19" s="84"/>
      <c r="K19" s="85">
        <f>ROUND(K16/K17*1000,-1)</f>
        <v>2340</v>
      </c>
      <c r="L19" s="291">
        <f>ROUND(L16/L17*1000,-1)</f>
        <v>0</v>
      </c>
    </row>
    <row r="20" spans="1:15" ht="20.100000000000001" customHeight="1" x14ac:dyDescent="0.2">
      <c r="A20" s="55" t="s">
        <v>56</v>
      </c>
      <c r="B20" s="51"/>
      <c r="C20" s="77">
        <f>SUM(C13:C19)</f>
        <v>839.09999999999991</v>
      </c>
      <c r="D20" s="57"/>
      <c r="E20" s="190">
        <f>SUM(E13:E19)</f>
        <v>192.99300000000002</v>
      </c>
      <c r="F20" s="191"/>
      <c r="G20" s="190">
        <f>SUM(G13:G19)</f>
        <v>192.99300000000002</v>
      </c>
      <c r="H20" s="66"/>
      <c r="I20" s="86" t="s">
        <v>57</v>
      </c>
      <c r="J20" s="79"/>
      <c r="K20" s="79"/>
      <c r="L20" s="51"/>
      <c r="N20" s="185"/>
    </row>
    <row r="21" spans="1:15" ht="20.100000000000001" customHeight="1" x14ac:dyDescent="0.2">
      <c r="A21" s="87" t="s">
        <v>58</v>
      </c>
      <c r="B21" s="88"/>
      <c r="C21" s="89">
        <f>SUM(C22:C28)</f>
        <v>1508</v>
      </c>
      <c r="D21" s="90" t="s">
        <v>59</v>
      </c>
      <c r="E21" s="192">
        <f>SUM(E22:E31)</f>
        <v>346.84</v>
      </c>
      <c r="F21" s="193"/>
      <c r="G21" s="194">
        <f>E21</f>
        <v>346.84</v>
      </c>
      <c r="H21" s="92"/>
      <c r="I21" s="93" t="s">
        <v>107</v>
      </c>
      <c r="J21" s="94"/>
      <c r="K21" s="93" t="s">
        <v>60</v>
      </c>
      <c r="L21" s="95"/>
    </row>
    <row r="22" spans="1:15" ht="20.100000000000001" customHeight="1" thickBot="1" x14ac:dyDescent="0.25">
      <c r="A22" s="96" t="s">
        <v>61</v>
      </c>
      <c r="B22" s="97" t="str">
        <f>'Rezeptur PPa-2 (MFI 25)'!I31</f>
        <v>Quarz</v>
      </c>
      <c r="C22" s="89">
        <f>'Rezeptur PPa-2 (MFI 25)'!C31</f>
        <v>0</v>
      </c>
      <c r="D22" s="98">
        <f>'Rezeptur PPa-2 (MFI 25)'!H31</f>
        <v>0</v>
      </c>
      <c r="E22" s="194">
        <f>ROUND(((C22*E$10)/1000),32)</f>
        <v>0</v>
      </c>
      <c r="F22" s="195"/>
      <c r="G22" s="194">
        <f>ROUND((E22),3)</f>
        <v>0</v>
      </c>
      <c r="H22" s="92"/>
      <c r="I22" s="100"/>
      <c r="J22" s="100"/>
      <c r="K22" s="100"/>
      <c r="L22" s="101"/>
    </row>
    <row r="23" spans="1:15" ht="20.100000000000001" customHeight="1" x14ac:dyDescent="0.2">
      <c r="A23" s="96" t="s">
        <v>62</v>
      </c>
      <c r="B23" s="97" t="str">
        <f>'Rezeptur PPa-2 (MFI 25)'!I32</f>
        <v>Okrilla  2015</v>
      </c>
      <c r="C23" s="89">
        <f>'Rezeptur PPa-2 (MFI 25)'!C32</f>
        <v>452</v>
      </c>
      <c r="D23" s="98">
        <f>'Rezeptur PPa-2 (MFI 25)'!H32</f>
        <v>30</v>
      </c>
      <c r="E23" s="194">
        <f>ROUND(((C23*E$10)/1000),3)</f>
        <v>103.96</v>
      </c>
      <c r="F23" s="195"/>
      <c r="G23" s="194">
        <f>ROUND((G22+E23),3)</f>
        <v>103.96</v>
      </c>
      <c r="H23" s="92"/>
      <c r="I23" s="86" t="s">
        <v>63</v>
      </c>
      <c r="J23" s="79"/>
      <c r="K23" s="79"/>
      <c r="L23" s="51"/>
    </row>
    <row r="24" spans="1:15" ht="20.100000000000001" customHeight="1" x14ac:dyDescent="0.2">
      <c r="A24" s="96" t="s">
        <v>64</v>
      </c>
      <c r="B24" s="97" t="str">
        <f>'Rezeptur PPa-2 (MFI 25)'!I33</f>
        <v>Okrilla  2015</v>
      </c>
      <c r="C24" s="89">
        <f>'Rezeptur PPa-2 (MFI 25)'!C33</f>
        <v>151</v>
      </c>
      <c r="D24" s="98">
        <f>'Rezeptur PPa-2 (MFI 25)'!H33</f>
        <v>10</v>
      </c>
      <c r="E24" s="194">
        <f>ROUND(((C24*E$10)/1000),3)</f>
        <v>34.729999999999997</v>
      </c>
      <c r="F24" s="195"/>
      <c r="G24" s="194">
        <f>ROUND((G23+E24),3)</f>
        <v>138.69</v>
      </c>
      <c r="H24" s="92"/>
      <c r="I24" s="102" t="s">
        <v>65</v>
      </c>
      <c r="J24" s="103"/>
      <c r="K24" s="104"/>
      <c r="L24" s="105"/>
    </row>
    <row r="25" spans="1:15" ht="20.100000000000001" customHeight="1" thickBot="1" x14ac:dyDescent="0.25">
      <c r="A25" s="96" t="s">
        <v>66</v>
      </c>
      <c r="B25" s="97" t="str">
        <f>'Rezeptur PPa-2 (MFI 25)'!I34</f>
        <v>Okrilla  2015</v>
      </c>
      <c r="C25" s="89">
        <f>'Rezeptur PPa-2 (MFI 25)'!C34</f>
        <v>151</v>
      </c>
      <c r="D25" s="98">
        <f>'Rezeptur PPa-2 (MFI 25)'!H34</f>
        <v>10</v>
      </c>
      <c r="E25" s="194">
        <f t="shared" ref="E25:E28" si="0">ROUND(((C25*E$10)/1000),3)</f>
        <v>34.729999999999997</v>
      </c>
      <c r="F25" s="195"/>
      <c r="G25" s="194">
        <f>ROUND((G24+E25),3)</f>
        <v>173.42</v>
      </c>
      <c r="H25" s="92"/>
      <c r="I25" s="106" t="s">
        <v>67</v>
      </c>
      <c r="J25" s="107"/>
      <c r="K25" s="83"/>
      <c r="L25" s="101"/>
    </row>
    <row r="26" spans="1:15" ht="20.100000000000001" customHeight="1" x14ac:dyDescent="0.2">
      <c r="A26" s="96" t="s">
        <v>68</v>
      </c>
      <c r="B26" s="97" t="str">
        <f>'Rezeptur PPa-2 (MFI 25)'!I35</f>
        <v>Okrilla  2015</v>
      </c>
      <c r="C26" s="89">
        <f>'Rezeptur PPa-2 (MFI 25)'!C35</f>
        <v>226</v>
      </c>
      <c r="D26" s="98">
        <f>'Rezeptur PPa-2 (MFI 25)'!H35</f>
        <v>15</v>
      </c>
      <c r="E26" s="194">
        <f t="shared" si="0"/>
        <v>51.98</v>
      </c>
      <c r="F26" s="195"/>
      <c r="G26" s="194">
        <f>ROUND((G25+E26),2)</f>
        <v>225.4</v>
      </c>
      <c r="H26" s="92"/>
      <c r="I26" s="78" t="s">
        <v>69</v>
      </c>
      <c r="J26" s="108"/>
      <c r="K26" s="108"/>
      <c r="L26" s="51"/>
    </row>
    <row r="27" spans="1:15" ht="20.100000000000001" customHeight="1" x14ac:dyDescent="0.2">
      <c r="A27" s="96" t="s">
        <v>70</v>
      </c>
      <c r="B27" s="97" t="str">
        <f>'Rezeptur PPa-2 (MFI 25)'!I36</f>
        <v>Okrilla  2015</v>
      </c>
      <c r="C27" s="109">
        <f>'Rezeptur PPa-2 (MFI 25)'!C36</f>
        <v>528</v>
      </c>
      <c r="D27" s="110">
        <f>'Rezeptur PPa-2 (MFI 25)'!H36</f>
        <v>35</v>
      </c>
      <c r="E27" s="194">
        <f t="shared" si="0"/>
        <v>121.44</v>
      </c>
      <c r="F27" s="195"/>
      <c r="G27" s="194">
        <f>ROUND((G26+E27),3)</f>
        <v>346.84</v>
      </c>
      <c r="H27" s="92"/>
      <c r="I27" s="187" t="s">
        <v>144</v>
      </c>
      <c r="J27" s="68"/>
      <c r="K27" s="68"/>
      <c r="L27" s="111"/>
    </row>
    <row r="28" spans="1:15" ht="20.100000000000001" customHeight="1" x14ac:dyDescent="0.2">
      <c r="A28" s="96" t="s">
        <v>71</v>
      </c>
      <c r="B28" s="97" t="str">
        <f>'Rezeptur PPa-2 (MFI 25)'!I37</f>
        <v>Dorsten 2013</v>
      </c>
      <c r="C28" s="89">
        <f>'Rezeptur PPa-2 (MFI 25)'!C37</f>
        <v>0</v>
      </c>
      <c r="D28" s="98">
        <f>'Rezeptur PPa-2 (MFI 25)'!H37</f>
        <v>0</v>
      </c>
      <c r="E28" s="194">
        <f t="shared" si="0"/>
        <v>0</v>
      </c>
      <c r="F28" s="195"/>
      <c r="G28" s="194">
        <f>ROUND((G27+E28),3)</f>
        <v>346.84</v>
      </c>
      <c r="H28" s="92"/>
      <c r="I28" s="188" t="s">
        <v>162</v>
      </c>
      <c r="J28" s="112"/>
      <c r="K28" s="112"/>
      <c r="L28" s="105"/>
      <c r="O28" s="20"/>
    </row>
    <row r="29" spans="1:15" ht="20.100000000000001" customHeight="1" thickBot="1" x14ac:dyDescent="0.25">
      <c r="A29" s="96" t="s">
        <v>72</v>
      </c>
      <c r="B29" s="113"/>
      <c r="C29" s="109" t="s">
        <v>50</v>
      </c>
      <c r="D29" s="114" t="s">
        <v>73</v>
      </c>
      <c r="E29" s="91" t="s">
        <v>50</v>
      </c>
      <c r="F29" s="115"/>
      <c r="G29" s="91" t="s">
        <v>50</v>
      </c>
      <c r="H29" s="92"/>
      <c r="I29" s="186"/>
      <c r="J29" s="83"/>
      <c r="K29" s="83"/>
      <c r="L29" s="101"/>
      <c r="O29" s="20"/>
    </row>
    <row r="30" spans="1:15" ht="20.100000000000001" customHeight="1" x14ac:dyDescent="0.2">
      <c r="A30" s="116" t="s">
        <v>50</v>
      </c>
      <c r="B30" s="117"/>
      <c r="C30" s="109" t="s">
        <v>50</v>
      </c>
      <c r="D30" s="114" t="s">
        <v>73</v>
      </c>
      <c r="E30" s="91" t="s">
        <v>50</v>
      </c>
      <c r="F30" s="99"/>
      <c r="G30" s="91" t="s">
        <v>50</v>
      </c>
      <c r="H30" s="92"/>
      <c r="I30" s="78" t="s">
        <v>74</v>
      </c>
      <c r="J30" s="108"/>
      <c r="K30" s="79"/>
      <c r="L30" s="51"/>
      <c r="O30" s="20"/>
    </row>
    <row r="31" spans="1:15" ht="20.100000000000001" customHeight="1" x14ac:dyDescent="0.2">
      <c r="A31" s="77" t="s">
        <v>50</v>
      </c>
      <c r="B31" s="57"/>
      <c r="C31" s="118" t="s">
        <v>50</v>
      </c>
      <c r="D31" s="119" t="s">
        <v>73</v>
      </c>
      <c r="E31" s="64" t="s">
        <v>50</v>
      </c>
      <c r="F31" s="73"/>
      <c r="G31" s="64" t="s">
        <v>50</v>
      </c>
      <c r="H31" s="66"/>
      <c r="I31" s="112" t="s">
        <v>75</v>
      </c>
      <c r="J31" s="112"/>
      <c r="K31" s="112" t="s">
        <v>163</v>
      </c>
      <c r="L31" s="287"/>
      <c r="O31" s="20"/>
    </row>
    <row r="32" spans="1:15" ht="20.100000000000001" customHeight="1" thickBot="1" x14ac:dyDescent="0.25">
      <c r="A32" s="120" t="s">
        <v>76</v>
      </c>
      <c r="B32" s="121"/>
      <c r="C32" s="122">
        <f>ROUND((C20+C21),2)</f>
        <v>2347.1</v>
      </c>
      <c r="D32" s="123" t="s">
        <v>73</v>
      </c>
      <c r="E32" s="124">
        <f>ROUND((E20+E21),2)</f>
        <v>539.83000000000004</v>
      </c>
      <c r="F32" s="125"/>
      <c r="G32" s="124">
        <f>ROUND((SUM(G13,G14,G17,G18,G19,G21)),2)</f>
        <v>539.83000000000004</v>
      </c>
      <c r="H32" s="126"/>
      <c r="I32" s="330" t="s">
        <v>169</v>
      </c>
      <c r="J32" s="83"/>
      <c r="K32" s="83"/>
      <c r="L32" s="101"/>
      <c r="O32" s="20"/>
    </row>
    <row r="33" spans="1:17" ht="5.25" customHeight="1" thickBot="1" x14ac:dyDescent="0.25">
      <c r="A33" s="127"/>
      <c r="B33" s="127"/>
      <c r="C33" s="128"/>
      <c r="D33" s="48"/>
      <c r="E33" s="21"/>
      <c r="F33" s="21"/>
      <c r="G33" s="21"/>
      <c r="H33" s="21"/>
      <c r="I33" s="21"/>
      <c r="J33" s="21"/>
      <c r="K33" s="21"/>
      <c r="L33" s="21"/>
    </row>
    <row r="34" spans="1:17" ht="20.100000000000001" customHeight="1" x14ac:dyDescent="0.2">
      <c r="A34" s="36" t="s">
        <v>77</v>
      </c>
      <c r="B34" s="39"/>
      <c r="C34" s="129"/>
      <c r="D34" s="42"/>
      <c r="E34" s="130" t="s">
        <v>78</v>
      </c>
      <c r="F34" s="131"/>
      <c r="G34" s="131"/>
      <c r="H34" s="320">
        <f>K1</f>
        <v>42802</v>
      </c>
      <c r="I34" s="320"/>
      <c r="J34" s="320"/>
      <c r="K34" s="131"/>
      <c r="L34" s="132"/>
    </row>
    <row r="35" spans="1:17" ht="18.95" customHeight="1" x14ac:dyDescent="0.2">
      <c r="A35" s="133" t="s">
        <v>79</v>
      </c>
      <c r="B35" s="134"/>
      <c r="C35" s="135" t="s">
        <v>80</v>
      </c>
      <c r="D35" s="136"/>
      <c r="E35" s="323">
        <v>1</v>
      </c>
      <c r="F35" s="324"/>
      <c r="G35" s="323">
        <v>2</v>
      </c>
      <c r="H35" s="324"/>
      <c r="I35" s="19">
        <v>3</v>
      </c>
      <c r="J35" s="19">
        <v>4</v>
      </c>
      <c r="K35" s="19">
        <v>5</v>
      </c>
      <c r="L35" s="19">
        <v>6</v>
      </c>
    </row>
    <row r="36" spans="1:17" ht="18.95" customHeight="1" x14ac:dyDescent="0.2">
      <c r="A36" s="137" t="s">
        <v>81</v>
      </c>
      <c r="B36" s="112"/>
      <c r="C36" s="138" t="s">
        <v>44</v>
      </c>
      <c r="D36" s="139"/>
      <c r="E36" s="321">
        <v>7.8609999999999998</v>
      </c>
      <c r="F36" s="322"/>
      <c r="G36" s="321">
        <v>7.9180000000000001</v>
      </c>
      <c r="H36" s="322"/>
      <c r="I36" s="282">
        <v>7.8460000000000001</v>
      </c>
      <c r="J36" s="81">
        <v>7.8289999999999997</v>
      </c>
      <c r="K36" s="81">
        <v>7.8710000000000004</v>
      </c>
      <c r="L36" s="283">
        <v>7.819</v>
      </c>
    </row>
    <row r="37" spans="1:17" ht="18.95" customHeight="1" x14ac:dyDescent="0.2">
      <c r="A37" s="137" t="s">
        <v>82</v>
      </c>
      <c r="B37" s="112"/>
      <c r="C37" s="138" t="s">
        <v>83</v>
      </c>
      <c r="D37" s="139"/>
      <c r="E37" s="327">
        <v>3.375</v>
      </c>
      <c r="F37" s="328"/>
      <c r="G37" s="328"/>
      <c r="H37" s="328"/>
      <c r="I37" s="328"/>
      <c r="J37" s="328"/>
      <c r="K37" s="328"/>
      <c r="L37" s="329"/>
    </row>
    <row r="38" spans="1:17" ht="18.95" customHeight="1" x14ac:dyDescent="0.2">
      <c r="A38" s="140" t="s">
        <v>84</v>
      </c>
      <c r="B38" s="141"/>
      <c r="C38" s="142" t="s">
        <v>85</v>
      </c>
      <c r="D38" s="143"/>
      <c r="E38" s="325">
        <f>ROUND(E36/E37,3)</f>
        <v>2.3290000000000002</v>
      </c>
      <c r="F38" s="326"/>
      <c r="G38" s="325">
        <f>ROUND(G36/E37,3)</f>
        <v>2.3460000000000001</v>
      </c>
      <c r="H38" s="326"/>
      <c r="I38" s="284">
        <f>ROUND(I36/E37,3)</f>
        <v>2.3250000000000002</v>
      </c>
      <c r="J38" s="285">
        <f>ROUND(J36/E37,3)</f>
        <v>2.3199999999999998</v>
      </c>
      <c r="K38" s="285">
        <f>ROUND(K36/E37,3)</f>
        <v>2.3319999999999999</v>
      </c>
      <c r="L38" s="286">
        <f>ROUND(L36/E37,3)</f>
        <v>2.3170000000000002</v>
      </c>
    </row>
    <row r="39" spans="1:17" ht="18.95" customHeight="1" thickBot="1" x14ac:dyDescent="0.25">
      <c r="A39" s="144" t="s">
        <v>86</v>
      </c>
      <c r="B39" s="83"/>
      <c r="C39" s="145" t="s">
        <v>85</v>
      </c>
      <c r="D39" s="146"/>
      <c r="E39" s="314">
        <f>ROUND(AVERAGE(E38:I38),3)</f>
        <v>2.3330000000000002</v>
      </c>
      <c r="F39" s="315"/>
      <c r="G39" s="315"/>
      <c r="H39" s="315"/>
      <c r="I39" s="316"/>
      <c r="J39" s="317">
        <f>ROUND(AVERAGE(J38:L38),3)</f>
        <v>2.323</v>
      </c>
      <c r="K39" s="318"/>
      <c r="L39" s="319"/>
    </row>
    <row r="40" spans="1:17" ht="6.75" customHeight="1" x14ac:dyDescent="0.2">
      <c r="A40" s="39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</row>
    <row r="41" spans="1:17" x14ac:dyDescent="0.2">
      <c r="A41" s="279" t="s">
        <v>154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71"/>
      <c r="N41" s="271"/>
      <c r="O41" s="271"/>
      <c r="P41" s="271"/>
      <c r="Q41" s="271"/>
    </row>
    <row r="42" spans="1:17" x14ac:dyDescent="0.2">
      <c r="A42" s="278" t="s">
        <v>165</v>
      </c>
      <c r="B42" s="281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0"/>
      <c r="N42" s="280"/>
      <c r="O42" s="280"/>
      <c r="P42" s="280"/>
      <c r="Q42" s="280"/>
    </row>
    <row r="43" spans="1:17" x14ac:dyDescent="0.2">
      <c r="A43" s="278"/>
    </row>
  </sheetData>
  <mergeCells count="12">
    <mergeCell ref="C18:D18"/>
    <mergeCell ref="E18:F18"/>
    <mergeCell ref="E39:I39"/>
    <mergeCell ref="J39:L39"/>
    <mergeCell ref="H34:J34"/>
    <mergeCell ref="E36:F36"/>
    <mergeCell ref="G36:H36"/>
    <mergeCell ref="E35:F35"/>
    <mergeCell ref="G35:H35"/>
    <mergeCell ref="E38:F38"/>
    <mergeCell ref="G38:H38"/>
    <mergeCell ref="E37:L37"/>
  </mergeCells>
  <phoneticPr fontId="3" type="noConversion"/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 PPa-2 (MFI 25)</vt:lpstr>
      <vt:lpstr>Rezeptur PPa-2 (MFI 25)</vt:lpstr>
      <vt:lpstr>Mischanweisung PPa-2 (MFI 25)</vt:lpstr>
      <vt:lpstr>'Mischanweisung PPa-2 (MFI 25)'!Druckbereich</vt:lpstr>
      <vt:lpstr>'Rezeptur PPa-2 (MFI 25)'!Druckbereich</vt:lpstr>
      <vt:lpstr>'Sieblinie PPa-2 (MFI 25)'!Druckbereich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Stelzner, Ludwig</cp:lastModifiedBy>
  <cp:lastPrinted>2016-12-20T08:52:06Z</cp:lastPrinted>
  <dcterms:created xsi:type="dcterms:W3CDTF">2002-01-23T14:42:05Z</dcterms:created>
  <dcterms:modified xsi:type="dcterms:W3CDTF">2017-03-08T10:35:50Z</dcterms:modified>
</cp:coreProperties>
</file>