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240" yWindow="90" windowWidth="9195" windowHeight="5475" firstSheet="10" activeTab="8"/>
  </bookViews>
  <sheets>
    <sheet name="Sieblinie MI-V" sheetId="8" r:id="rId1"/>
    <sheet name="Sieblinie MVI" sheetId="7" r:id="rId2"/>
    <sheet name="RezepturMI" sheetId="9" r:id="rId3"/>
    <sheet name="RezepturMII" sheetId="10" r:id="rId4"/>
    <sheet name="RezepturMIII" sheetId="11" r:id="rId5"/>
    <sheet name="RezepturMIV" sheetId="12" r:id="rId6"/>
    <sheet name="RezepturMV" sheetId="13" r:id="rId7"/>
    <sheet name="RezepturMVI" sheetId="5" r:id="rId8"/>
    <sheet name="MischanweisungMI" sheetId="14" r:id="rId9"/>
    <sheet name="MischanweisungMII" sheetId="15" r:id="rId10"/>
    <sheet name="MischanweisungMIII" sheetId="16" r:id="rId11"/>
    <sheet name="MischanweisungMIV" sheetId="17" r:id="rId12"/>
    <sheet name="MischanweisungMV" sheetId="18" r:id="rId13"/>
    <sheet name="MischanweisungMVI" sheetId="4" r:id="rId14"/>
  </sheets>
  <externalReferences>
    <externalReference r:id="rId15"/>
  </externalReferences>
  <definedNames>
    <definedName name="_xlnm.Print_Area" localSheetId="8">MischanweisungMI!$A$1:$L$43</definedName>
    <definedName name="_xlnm.Print_Area" localSheetId="9">MischanweisungMII!$A$1:$L$43</definedName>
    <definedName name="_xlnm.Print_Area" localSheetId="10">MischanweisungMIII!$A$1:$L$43</definedName>
    <definedName name="_xlnm.Print_Area" localSheetId="11">MischanweisungMIV!$A$1:$L$43</definedName>
    <definedName name="_xlnm.Print_Area" localSheetId="12">MischanweisungMV!$A$1:$L$43</definedName>
    <definedName name="_xlnm.Print_Area" localSheetId="13">MischanweisungMVI!$A$1:$L$43</definedName>
    <definedName name="_xlnm.Print_Area" localSheetId="2">RezepturMI!$A$1:$K$48</definedName>
    <definedName name="_xlnm.Print_Area" localSheetId="3">RezepturMII!$A$1:$K$48</definedName>
    <definedName name="_xlnm.Print_Area" localSheetId="4">RezepturMIII!$A$1:$K$48</definedName>
    <definedName name="_xlnm.Print_Area" localSheetId="5">RezepturMIV!$A$1:$K$48</definedName>
    <definedName name="_xlnm.Print_Area" localSheetId="6">RezepturMV!$A$1:$K$48</definedName>
    <definedName name="_xlnm.Print_Area" localSheetId="7">RezepturMVI!$A$1:$K$48</definedName>
    <definedName name="_xlnm.Print_Area" localSheetId="0">'Sieblinie MI-V'!$A$1:$M$55</definedName>
    <definedName name="_xlnm.Print_Area" localSheetId="1">'Sieblinie MVI'!$A$1:$M$55</definedName>
  </definedNames>
  <calcPr calcId="145621"/>
</workbook>
</file>

<file path=xl/calcChain.xml><?xml version="1.0" encoding="utf-8"?>
<calcChain xmlns="http://schemas.openxmlformats.org/spreadsheetml/2006/main">
  <c r="G18" i="18" l="1"/>
  <c r="C18" i="14"/>
  <c r="E18" i="14" s="1"/>
  <c r="C17" i="18"/>
  <c r="E17" i="18" s="1"/>
  <c r="C14" i="18"/>
  <c r="C13" i="18"/>
  <c r="G13" i="18" s="1"/>
  <c r="D6" i="18"/>
  <c r="L37" i="18"/>
  <c r="K37" i="18"/>
  <c r="J37" i="18"/>
  <c r="J38" i="18" s="1"/>
  <c r="I37" i="18"/>
  <c r="G37" i="18"/>
  <c r="E37" i="18"/>
  <c r="H33" i="18"/>
  <c r="I28" i="18"/>
  <c r="L18" i="18"/>
  <c r="K18" i="18"/>
  <c r="G17" i="18"/>
  <c r="G14" i="18"/>
  <c r="E14" i="18"/>
  <c r="C18" i="17"/>
  <c r="E18" i="17" s="1"/>
  <c r="C17" i="17"/>
  <c r="G17" i="17" s="1"/>
  <c r="C14" i="17"/>
  <c r="G14" i="17" s="1"/>
  <c r="C13" i="17"/>
  <c r="G13" i="17" s="1"/>
  <c r="D6" i="17"/>
  <c r="L37" i="17"/>
  <c r="K37" i="17"/>
  <c r="J37" i="17"/>
  <c r="J38" i="17" s="1"/>
  <c r="I37" i="17"/>
  <c r="G37" i="17"/>
  <c r="E37" i="17"/>
  <c r="E38" i="17" s="1"/>
  <c r="H33" i="17"/>
  <c r="I28" i="17"/>
  <c r="L18" i="17"/>
  <c r="K18" i="17"/>
  <c r="G18" i="17"/>
  <c r="E13" i="17"/>
  <c r="D6" i="15"/>
  <c r="D6" i="16"/>
  <c r="C18" i="16"/>
  <c r="G18" i="16" s="1"/>
  <c r="C17" i="16"/>
  <c r="G17" i="16" s="1"/>
  <c r="C14" i="16"/>
  <c r="G14" i="16" s="1"/>
  <c r="C13" i="16"/>
  <c r="G13" i="16" s="1"/>
  <c r="L37" i="16"/>
  <c r="K37" i="16"/>
  <c r="J37" i="16"/>
  <c r="J38" i="16" s="1"/>
  <c r="I37" i="16"/>
  <c r="G37" i="16"/>
  <c r="E37" i="16"/>
  <c r="E38" i="16" s="1"/>
  <c r="H33" i="16"/>
  <c r="I28" i="16"/>
  <c r="L18" i="16"/>
  <c r="K18" i="16"/>
  <c r="E18" i="16"/>
  <c r="C18" i="15"/>
  <c r="G18" i="15" s="1"/>
  <c r="C17" i="15"/>
  <c r="E17" i="15" s="1"/>
  <c r="C14" i="15"/>
  <c r="G14" i="15" s="1"/>
  <c r="C13" i="15"/>
  <c r="L37" i="15"/>
  <c r="K37" i="15"/>
  <c r="J37" i="15"/>
  <c r="I37" i="15"/>
  <c r="G37" i="15"/>
  <c r="E37" i="15"/>
  <c r="H33" i="15"/>
  <c r="I28" i="15"/>
  <c r="L18" i="15"/>
  <c r="K18" i="15"/>
  <c r="G17" i="15"/>
  <c r="G13" i="15"/>
  <c r="C17" i="14"/>
  <c r="G17" i="14" s="1"/>
  <c r="C14" i="14"/>
  <c r="G14" i="14" s="1"/>
  <c r="C13" i="14"/>
  <c r="G13" i="14" s="1"/>
  <c r="D6" i="14"/>
  <c r="L37" i="14"/>
  <c r="K37" i="14"/>
  <c r="J37" i="14"/>
  <c r="J38" i="14" s="1"/>
  <c r="I37" i="14"/>
  <c r="G37" i="14"/>
  <c r="E37" i="14"/>
  <c r="H33" i="14"/>
  <c r="I28" i="14"/>
  <c r="L18" i="14"/>
  <c r="K18" i="14"/>
  <c r="E13" i="14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C28" i="13"/>
  <c r="G27" i="13"/>
  <c r="G26" i="13"/>
  <c r="G23" i="13"/>
  <c r="G22" i="13"/>
  <c r="K15" i="13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C28" i="12"/>
  <c r="G27" i="12"/>
  <c r="G26" i="12"/>
  <c r="G23" i="12"/>
  <c r="G22" i="12"/>
  <c r="K15" i="12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C28" i="11"/>
  <c r="G27" i="11"/>
  <c r="G26" i="11"/>
  <c r="G23" i="11"/>
  <c r="G22" i="11"/>
  <c r="K15" i="11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C28" i="10"/>
  <c r="G27" i="10"/>
  <c r="G26" i="10"/>
  <c r="G23" i="10"/>
  <c r="G22" i="10"/>
  <c r="K15" i="10"/>
  <c r="H31" i="9"/>
  <c r="D22" i="15" s="1"/>
  <c r="H32" i="9"/>
  <c r="D23" i="18" s="1"/>
  <c r="H33" i="9"/>
  <c r="D24" i="15" s="1"/>
  <c r="H34" i="9"/>
  <c r="D25" i="14" s="1"/>
  <c r="H35" i="9"/>
  <c r="D26" i="15" s="1"/>
  <c r="H36" i="9"/>
  <c r="D27" i="18" s="1"/>
  <c r="H30" i="9"/>
  <c r="D21" i="17" s="1"/>
  <c r="I36" i="9"/>
  <c r="I35" i="9"/>
  <c r="I34" i="9"/>
  <c r="I33" i="9"/>
  <c r="I32" i="9"/>
  <c r="I31" i="9"/>
  <c r="I30" i="9"/>
  <c r="C28" i="9"/>
  <c r="G27" i="9"/>
  <c r="G26" i="9"/>
  <c r="G23" i="9"/>
  <c r="G22" i="9"/>
  <c r="K15" i="9"/>
  <c r="M59" i="8"/>
  <c r="L59" i="8"/>
  <c r="K59" i="8"/>
  <c r="J59" i="8"/>
  <c r="I59" i="8"/>
  <c r="H59" i="8"/>
  <c r="G59" i="8"/>
  <c r="F59" i="8"/>
  <c r="M58" i="8"/>
  <c r="M62" i="8" s="1"/>
  <c r="L58" i="8"/>
  <c r="L62" i="8" s="1"/>
  <c r="K58" i="8"/>
  <c r="K62" i="8" s="1"/>
  <c r="J58" i="8"/>
  <c r="J62" i="8" s="1"/>
  <c r="I58" i="8"/>
  <c r="I62" i="8" s="1"/>
  <c r="H58" i="8"/>
  <c r="H62" i="8" s="1"/>
  <c r="G58" i="8"/>
  <c r="G62" i="8" s="1"/>
  <c r="F58" i="8"/>
  <c r="F62" i="8" s="1"/>
  <c r="C35" i="8"/>
  <c r="K33" i="8"/>
  <c r="J33" i="8"/>
  <c r="I33" i="8"/>
  <c r="H33" i="8"/>
  <c r="G33" i="8"/>
  <c r="F33" i="8"/>
  <c r="E33" i="8"/>
  <c r="D33" i="8"/>
  <c r="K32" i="8"/>
  <c r="J32" i="8"/>
  <c r="I32" i="8"/>
  <c r="H32" i="8"/>
  <c r="G32" i="8"/>
  <c r="F32" i="8"/>
  <c r="E32" i="8"/>
  <c r="D32" i="8"/>
  <c r="K31" i="8"/>
  <c r="J31" i="8"/>
  <c r="I31" i="8"/>
  <c r="H31" i="8"/>
  <c r="G31" i="8"/>
  <c r="F31" i="8"/>
  <c r="E31" i="8"/>
  <c r="D31" i="8"/>
  <c r="K30" i="8"/>
  <c r="J30" i="8"/>
  <c r="I30" i="8"/>
  <c r="H30" i="8"/>
  <c r="G30" i="8"/>
  <c r="F30" i="8"/>
  <c r="E30" i="8"/>
  <c r="D30" i="8"/>
  <c r="K29" i="8"/>
  <c r="J29" i="8"/>
  <c r="I29" i="8"/>
  <c r="H29" i="8"/>
  <c r="G29" i="8"/>
  <c r="F29" i="8"/>
  <c r="E29" i="8"/>
  <c r="D29" i="8"/>
  <c r="K28" i="8"/>
  <c r="J28" i="8"/>
  <c r="I28" i="8"/>
  <c r="H28" i="8"/>
  <c r="G28" i="8"/>
  <c r="F28" i="8"/>
  <c r="E28" i="8"/>
  <c r="D28" i="8"/>
  <c r="K27" i="8"/>
  <c r="K35" i="8" s="1"/>
  <c r="J27" i="8"/>
  <c r="I27" i="8"/>
  <c r="H27" i="8"/>
  <c r="G27" i="8"/>
  <c r="F27" i="8"/>
  <c r="E27" i="8"/>
  <c r="D27" i="8"/>
  <c r="M23" i="8"/>
  <c r="I31" i="5"/>
  <c r="B22" i="4" s="1"/>
  <c r="I32" i="5"/>
  <c r="B23" i="4" s="1"/>
  <c r="I33" i="5"/>
  <c r="B24" i="4" s="1"/>
  <c r="I34" i="5"/>
  <c r="B25" i="4" s="1"/>
  <c r="I35" i="5"/>
  <c r="B26" i="4" s="1"/>
  <c r="I36" i="5"/>
  <c r="B27" i="4" s="1"/>
  <c r="I30" i="5"/>
  <c r="B21" i="4" s="1"/>
  <c r="H32" i="5"/>
  <c r="D23" i="4" s="1"/>
  <c r="H33" i="5"/>
  <c r="D24" i="4" s="1"/>
  <c r="H34" i="5"/>
  <c r="D25" i="4" s="1"/>
  <c r="H35" i="5"/>
  <c r="D26" i="4" s="1"/>
  <c r="H36" i="5"/>
  <c r="H30" i="5"/>
  <c r="D21" i="4" s="1"/>
  <c r="H31" i="5"/>
  <c r="G26" i="5"/>
  <c r="I15" i="5"/>
  <c r="H15" i="5"/>
  <c r="G15" i="5"/>
  <c r="F15" i="5"/>
  <c r="E15" i="5"/>
  <c r="D15" i="5"/>
  <c r="C15" i="5"/>
  <c r="M59" i="7"/>
  <c r="L59" i="7"/>
  <c r="K59" i="7"/>
  <c r="J59" i="7"/>
  <c r="I59" i="7"/>
  <c r="H59" i="7"/>
  <c r="G59" i="7"/>
  <c r="F59" i="7"/>
  <c r="M58" i="7"/>
  <c r="M62" i="7" s="1"/>
  <c r="L58" i="7"/>
  <c r="L62" i="7" s="1"/>
  <c r="K58" i="7"/>
  <c r="K62" i="7" s="1"/>
  <c r="J58" i="7"/>
  <c r="J62" i="7" s="1"/>
  <c r="I58" i="7"/>
  <c r="I62" i="7" s="1"/>
  <c r="H58" i="7"/>
  <c r="H62" i="7" s="1"/>
  <c r="G58" i="7"/>
  <c r="G62" i="7" s="1"/>
  <c r="F58" i="7"/>
  <c r="F62" i="7" s="1"/>
  <c r="C35" i="7"/>
  <c r="K33" i="7"/>
  <c r="J33" i="7"/>
  <c r="I33" i="7"/>
  <c r="H33" i="7"/>
  <c r="G33" i="7"/>
  <c r="F33" i="7"/>
  <c r="E33" i="7"/>
  <c r="D33" i="7"/>
  <c r="K32" i="7"/>
  <c r="J32" i="7"/>
  <c r="I32" i="7"/>
  <c r="H32" i="7"/>
  <c r="G32" i="7"/>
  <c r="F32" i="7"/>
  <c r="E32" i="7"/>
  <c r="D32" i="7"/>
  <c r="K31" i="7"/>
  <c r="J31" i="7"/>
  <c r="I31" i="7"/>
  <c r="H31" i="7"/>
  <c r="G31" i="7"/>
  <c r="F31" i="7"/>
  <c r="E31" i="7"/>
  <c r="D31" i="7"/>
  <c r="K30" i="7"/>
  <c r="J30" i="7"/>
  <c r="I30" i="7"/>
  <c r="H30" i="7"/>
  <c r="G30" i="7"/>
  <c r="F30" i="7"/>
  <c r="E30" i="7"/>
  <c r="D30" i="7"/>
  <c r="K29" i="7"/>
  <c r="J29" i="7"/>
  <c r="I29" i="7"/>
  <c r="H29" i="7"/>
  <c r="G29" i="7"/>
  <c r="F29" i="7"/>
  <c r="E29" i="7"/>
  <c r="D29" i="7"/>
  <c r="K28" i="7"/>
  <c r="J28" i="7"/>
  <c r="I28" i="7"/>
  <c r="H28" i="7"/>
  <c r="G28" i="7"/>
  <c r="F28" i="7"/>
  <c r="E28" i="7"/>
  <c r="D28" i="7"/>
  <c r="K27" i="7"/>
  <c r="K35" i="7" s="1"/>
  <c r="J27" i="7"/>
  <c r="J35" i="7" s="1"/>
  <c r="I27" i="7"/>
  <c r="I35" i="7" s="1"/>
  <c r="H27" i="7"/>
  <c r="H35" i="7" s="1"/>
  <c r="G27" i="7"/>
  <c r="G35" i="7" s="1"/>
  <c r="F27" i="7"/>
  <c r="F35" i="7" s="1"/>
  <c r="E27" i="7"/>
  <c r="E35" i="7" s="1"/>
  <c r="D27" i="7"/>
  <c r="D35" i="7" s="1"/>
  <c r="M23" i="7"/>
  <c r="L18" i="4"/>
  <c r="H33" i="4"/>
  <c r="C28" i="5"/>
  <c r="I28" i="4"/>
  <c r="A2" i="5"/>
  <c r="K18" i="4"/>
  <c r="C13" i="4"/>
  <c r="E13" i="4" s="1"/>
  <c r="C14" i="4"/>
  <c r="G14" i="4" s="1"/>
  <c r="C17" i="4"/>
  <c r="G17" i="4" s="1"/>
  <c r="D22" i="4"/>
  <c r="D27" i="4"/>
  <c r="D6" i="4"/>
  <c r="L37" i="4"/>
  <c r="K37" i="4"/>
  <c r="J37" i="4"/>
  <c r="J38" i="4" s="1"/>
  <c r="I37" i="4"/>
  <c r="G37" i="4"/>
  <c r="E37" i="4"/>
  <c r="G22" i="5"/>
  <c r="G23" i="5"/>
  <c r="D23" i="14" l="1"/>
  <c r="B23" i="15"/>
  <c r="D25" i="16"/>
  <c r="D25" i="17"/>
  <c r="B23" i="14"/>
  <c r="E38" i="14"/>
  <c r="D27" i="14"/>
  <c r="B25" i="15"/>
  <c r="J38" i="15"/>
  <c r="D27" i="16"/>
  <c r="D27" i="17"/>
  <c r="E38" i="18"/>
  <c r="E38" i="4"/>
  <c r="B27" i="14"/>
  <c r="B27" i="15"/>
  <c r="E14" i="15"/>
  <c r="E13" i="16"/>
  <c r="D23" i="16"/>
  <c r="D23" i="17"/>
  <c r="B21" i="14"/>
  <c r="B25" i="14"/>
  <c r="D24" i="14"/>
  <c r="B22" i="15"/>
  <c r="B24" i="15"/>
  <c r="B26" i="15"/>
  <c r="D22" i="16"/>
  <c r="D24" i="16"/>
  <c r="D26" i="16"/>
  <c r="B21" i="17"/>
  <c r="D22" i="17"/>
  <c r="D24" i="17"/>
  <c r="D26" i="17"/>
  <c r="D22" i="18"/>
  <c r="D24" i="18"/>
  <c r="D26" i="18"/>
  <c r="B24" i="14"/>
  <c r="D21" i="15"/>
  <c r="D23" i="15"/>
  <c r="D25" i="15"/>
  <c r="D27" i="15"/>
  <c r="B22" i="16"/>
  <c r="B24" i="16"/>
  <c r="B26" i="16"/>
  <c r="B22" i="17"/>
  <c r="B24" i="17"/>
  <c r="B26" i="17"/>
  <c r="B22" i="18"/>
  <c r="B24" i="18"/>
  <c r="B26" i="18"/>
  <c r="D21" i="18"/>
  <c r="D25" i="18"/>
  <c r="D22" i="14"/>
  <c r="D26" i="14"/>
  <c r="B21" i="15"/>
  <c r="D21" i="16"/>
  <c r="B22" i="14"/>
  <c r="B26" i="14"/>
  <c r="D21" i="14"/>
  <c r="B21" i="16"/>
  <c r="B23" i="16"/>
  <c r="B25" i="16"/>
  <c r="B27" i="16"/>
  <c r="B23" i="17"/>
  <c r="B25" i="17"/>
  <c r="B27" i="17"/>
  <c r="B21" i="18"/>
  <c r="B23" i="18"/>
  <c r="B25" i="18"/>
  <c r="B27" i="18"/>
  <c r="K15" i="5"/>
  <c r="H35" i="8"/>
  <c r="H36" i="8" s="1"/>
  <c r="E35" i="8"/>
  <c r="O29" i="8" s="1"/>
  <c r="G19" i="18"/>
  <c r="C19" i="18"/>
  <c r="E13" i="18"/>
  <c r="E18" i="18"/>
  <c r="G19" i="17"/>
  <c r="E14" i="17"/>
  <c r="C19" i="17"/>
  <c r="E17" i="17"/>
  <c r="G19" i="16"/>
  <c r="E14" i="16"/>
  <c r="C19" i="16"/>
  <c r="E17" i="16"/>
  <c r="E38" i="15"/>
  <c r="G19" i="15"/>
  <c r="C19" i="15"/>
  <c r="E13" i="15"/>
  <c r="E18" i="15"/>
  <c r="E14" i="14"/>
  <c r="G18" i="14"/>
  <c r="G19" i="14" s="1"/>
  <c r="E17" i="14"/>
  <c r="C19" i="14"/>
  <c r="G28" i="13"/>
  <c r="G28" i="12"/>
  <c r="G28" i="11"/>
  <c r="G28" i="10"/>
  <c r="G13" i="4"/>
  <c r="E17" i="4"/>
  <c r="E14" i="4"/>
  <c r="G28" i="9"/>
  <c r="J35" i="8"/>
  <c r="O34" i="8" s="1"/>
  <c r="I35" i="8"/>
  <c r="O33" i="8" s="1"/>
  <c r="G35" i="8"/>
  <c r="G36" i="8" s="1"/>
  <c r="D35" i="8"/>
  <c r="D36" i="8" s="1"/>
  <c r="F35" i="8"/>
  <c r="K36" i="8"/>
  <c r="O35" i="8"/>
  <c r="F61" i="8"/>
  <c r="G61" i="8"/>
  <c r="H61" i="8"/>
  <c r="I61" i="8"/>
  <c r="J61" i="8"/>
  <c r="K61" i="8"/>
  <c r="L61" i="8"/>
  <c r="M61" i="8"/>
  <c r="G27" i="5"/>
  <c r="G28" i="5" s="1"/>
  <c r="G29" i="5" s="1"/>
  <c r="C18" i="4"/>
  <c r="O34" i="7"/>
  <c r="J36" i="7"/>
  <c r="M35" i="7"/>
  <c r="E36" i="7"/>
  <c r="O29" i="7"/>
  <c r="O30" i="7"/>
  <c r="F36" i="7"/>
  <c r="O33" i="7"/>
  <c r="I36" i="7"/>
  <c r="K36" i="7"/>
  <c r="O35" i="7"/>
  <c r="D36" i="7"/>
  <c r="O28" i="7"/>
  <c r="G36" i="7"/>
  <c r="O31" i="7"/>
  <c r="H36" i="7"/>
  <c r="O32" i="7"/>
  <c r="K61" i="7"/>
  <c r="F61" i="7"/>
  <c r="J61" i="7"/>
  <c r="L61" i="7"/>
  <c r="G61" i="7"/>
  <c r="H61" i="7"/>
  <c r="I61" i="7"/>
  <c r="M61" i="7"/>
  <c r="G29" i="9" l="1"/>
  <c r="G39" i="9" s="1"/>
  <c r="K12" i="9"/>
  <c r="I36" i="8"/>
  <c r="O32" i="8"/>
  <c r="E36" i="8"/>
  <c r="E19" i="18"/>
  <c r="E19" i="17"/>
  <c r="E19" i="16"/>
  <c r="E19" i="15"/>
  <c r="E19" i="14"/>
  <c r="G29" i="13"/>
  <c r="K12" i="13" s="1"/>
  <c r="G29" i="12"/>
  <c r="G29" i="11"/>
  <c r="G29" i="10"/>
  <c r="G39" i="10" s="1"/>
  <c r="G35" i="9"/>
  <c r="C35" i="9" s="1"/>
  <c r="C26" i="14" s="1"/>
  <c r="E26" i="14" s="1"/>
  <c r="G33" i="9"/>
  <c r="C33" i="9" s="1"/>
  <c r="C24" i="14" s="1"/>
  <c r="E24" i="14" s="1"/>
  <c r="G31" i="9"/>
  <c r="C31" i="9" s="1"/>
  <c r="C22" i="14" s="1"/>
  <c r="E22" i="14" s="1"/>
  <c r="G36" i="9"/>
  <c r="C36" i="9" s="1"/>
  <c r="C27" i="14" s="1"/>
  <c r="E27" i="14" s="1"/>
  <c r="G34" i="9"/>
  <c r="C34" i="9" s="1"/>
  <c r="C25" i="14" s="1"/>
  <c r="E25" i="14" s="1"/>
  <c r="G32" i="9"/>
  <c r="C32" i="9" s="1"/>
  <c r="C23" i="14" s="1"/>
  <c r="E23" i="14" s="1"/>
  <c r="G30" i="9"/>
  <c r="C30" i="9" s="1"/>
  <c r="C21" i="14" s="1"/>
  <c r="J36" i="8"/>
  <c r="O31" i="8"/>
  <c r="M35" i="8"/>
  <c r="O28" i="8"/>
  <c r="F36" i="8"/>
  <c r="O30" i="8"/>
  <c r="G30" i="5"/>
  <c r="C30" i="5" s="1"/>
  <c r="C21" i="4" s="1"/>
  <c r="G35" i="5"/>
  <c r="C35" i="5" s="1"/>
  <c r="C26" i="4" s="1"/>
  <c r="E26" i="4" s="1"/>
  <c r="G32" i="5"/>
  <c r="C32" i="5" s="1"/>
  <c r="C23" i="4" s="1"/>
  <c r="E23" i="4" s="1"/>
  <c r="G36" i="5"/>
  <c r="C36" i="5" s="1"/>
  <c r="C27" i="4" s="1"/>
  <c r="E27" i="4" s="1"/>
  <c r="G34" i="5"/>
  <c r="C34" i="5" s="1"/>
  <c r="C25" i="4" s="1"/>
  <c r="E25" i="4" s="1"/>
  <c r="G31" i="5"/>
  <c r="C31" i="5" s="1"/>
  <c r="C22" i="4" s="1"/>
  <c r="E22" i="4" s="1"/>
  <c r="G33" i="5"/>
  <c r="C33" i="5" s="1"/>
  <c r="C24" i="4" s="1"/>
  <c r="E24" i="4" s="1"/>
  <c r="G39" i="5"/>
  <c r="G18" i="4"/>
  <c r="G19" i="4" s="1"/>
  <c r="E18" i="4"/>
  <c r="E19" i="4" s="1"/>
  <c r="C19" i="4"/>
  <c r="M36" i="7"/>
  <c r="M8" i="7"/>
  <c r="K12" i="10" l="1"/>
  <c r="G30" i="10"/>
  <c r="C30" i="10" s="1"/>
  <c r="C21" i="15" s="1"/>
  <c r="E21" i="15" s="1"/>
  <c r="G21" i="15" s="1"/>
  <c r="E21" i="14"/>
  <c r="C20" i="14"/>
  <c r="C31" i="14" s="1"/>
  <c r="G35" i="13"/>
  <c r="C35" i="13" s="1"/>
  <c r="C26" i="18" s="1"/>
  <c r="E26" i="18" s="1"/>
  <c r="G33" i="13"/>
  <c r="C33" i="13" s="1"/>
  <c r="C24" i="18" s="1"/>
  <c r="E24" i="18" s="1"/>
  <c r="G31" i="13"/>
  <c r="C31" i="13" s="1"/>
  <c r="C22" i="18" s="1"/>
  <c r="G36" i="13"/>
  <c r="C36" i="13" s="1"/>
  <c r="C27" i="18" s="1"/>
  <c r="E27" i="18" s="1"/>
  <c r="G34" i="13"/>
  <c r="C34" i="13" s="1"/>
  <c r="C25" i="18" s="1"/>
  <c r="E25" i="18" s="1"/>
  <c r="G32" i="13"/>
  <c r="C32" i="13" s="1"/>
  <c r="C23" i="18" s="1"/>
  <c r="E23" i="18" s="1"/>
  <c r="G30" i="13"/>
  <c r="C30" i="13" s="1"/>
  <c r="C21" i="18" s="1"/>
  <c r="E21" i="18" s="1"/>
  <c r="G21" i="18" s="1"/>
  <c r="G39" i="13"/>
  <c r="G35" i="12"/>
  <c r="C35" i="12" s="1"/>
  <c r="C26" i="17" s="1"/>
  <c r="E26" i="17" s="1"/>
  <c r="G33" i="12"/>
  <c r="C33" i="12" s="1"/>
  <c r="C24" i="17" s="1"/>
  <c r="E24" i="17" s="1"/>
  <c r="G31" i="12"/>
  <c r="C31" i="12" s="1"/>
  <c r="C22" i="17" s="1"/>
  <c r="G36" i="12"/>
  <c r="C36" i="12" s="1"/>
  <c r="C27" i="17" s="1"/>
  <c r="E27" i="17" s="1"/>
  <c r="G34" i="12"/>
  <c r="C34" i="12" s="1"/>
  <c r="C25" i="17" s="1"/>
  <c r="E25" i="17" s="1"/>
  <c r="G32" i="12"/>
  <c r="C32" i="12" s="1"/>
  <c r="C23" i="17" s="1"/>
  <c r="E23" i="17" s="1"/>
  <c r="G30" i="12"/>
  <c r="C30" i="12" s="1"/>
  <c r="C21" i="17" s="1"/>
  <c r="E21" i="17" s="1"/>
  <c r="G21" i="17" s="1"/>
  <c r="G39" i="12"/>
  <c r="K12" i="12"/>
  <c r="G35" i="11"/>
  <c r="C35" i="11" s="1"/>
  <c r="C26" i="16" s="1"/>
  <c r="E26" i="16" s="1"/>
  <c r="G33" i="11"/>
  <c r="C33" i="11" s="1"/>
  <c r="C24" i="16" s="1"/>
  <c r="E24" i="16" s="1"/>
  <c r="G31" i="11"/>
  <c r="C31" i="11" s="1"/>
  <c r="C22" i="16" s="1"/>
  <c r="E22" i="16" s="1"/>
  <c r="G36" i="11"/>
  <c r="C36" i="11" s="1"/>
  <c r="C27" i="16" s="1"/>
  <c r="E27" i="16" s="1"/>
  <c r="G34" i="11"/>
  <c r="C34" i="11" s="1"/>
  <c r="C25" i="16" s="1"/>
  <c r="E25" i="16" s="1"/>
  <c r="G32" i="11"/>
  <c r="C32" i="11" s="1"/>
  <c r="C23" i="16" s="1"/>
  <c r="E23" i="16" s="1"/>
  <c r="G30" i="11"/>
  <c r="C30" i="11" s="1"/>
  <c r="C21" i="16" s="1"/>
  <c r="G39" i="11"/>
  <c r="K12" i="11"/>
  <c r="G32" i="10"/>
  <c r="C32" i="10" s="1"/>
  <c r="G34" i="10"/>
  <c r="C34" i="10" s="1"/>
  <c r="C25" i="15" s="1"/>
  <c r="E25" i="15" s="1"/>
  <c r="G36" i="10"/>
  <c r="C36" i="10" s="1"/>
  <c r="C27" i="15" s="1"/>
  <c r="E27" i="15" s="1"/>
  <c r="G31" i="10"/>
  <c r="C31" i="10" s="1"/>
  <c r="C22" i="15" s="1"/>
  <c r="G33" i="10"/>
  <c r="C33" i="10" s="1"/>
  <c r="C24" i="15" s="1"/>
  <c r="E24" i="15" s="1"/>
  <c r="G35" i="10"/>
  <c r="C35" i="10" s="1"/>
  <c r="C26" i="15" s="1"/>
  <c r="E26" i="15" s="1"/>
  <c r="C29" i="9"/>
  <c r="C39" i="9" s="1"/>
  <c r="M36" i="8"/>
  <c r="M8" i="8"/>
  <c r="C29" i="5"/>
  <c r="C39" i="5" s="1"/>
  <c r="C20" i="4"/>
  <c r="C31" i="4" s="1"/>
  <c r="E21" i="4"/>
  <c r="E22" i="18" l="1"/>
  <c r="C20" i="18"/>
  <c r="C31" i="18" s="1"/>
  <c r="C20" i="17"/>
  <c r="C31" i="17" s="1"/>
  <c r="E22" i="17"/>
  <c r="E21" i="16"/>
  <c r="C20" i="16"/>
  <c r="C31" i="16" s="1"/>
  <c r="E22" i="15"/>
  <c r="C29" i="10"/>
  <c r="C39" i="10" s="1"/>
  <c r="C23" i="15"/>
  <c r="E23" i="15" s="1"/>
  <c r="G21" i="14"/>
  <c r="G22" i="14" s="1"/>
  <c r="G23" i="14" s="1"/>
  <c r="G24" i="14" s="1"/>
  <c r="G25" i="14" s="1"/>
  <c r="G26" i="14" s="1"/>
  <c r="G27" i="14" s="1"/>
  <c r="E20" i="14"/>
  <c r="C29" i="13"/>
  <c r="C39" i="13" s="1"/>
  <c r="C29" i="12"/>
  <c r="C39" i="12" s="1"/>
  <c r="C29" i="11"/>
  <c r="C39" i="11" s="1"/>
  <c r="G21" i="4"/>
  <c r="G22" i="4" s="1"/>
  <c r="G23" i="4" s="1"/>
  <c r="G24" i="4" s="1"/>
  <c r="G25" i="4" s="1"/>
  <c r="G26" i="4" s="1"/>
  <c r="G27" i="4" s="1"/>
  <c r="E20" i="4"/>
  <c r="E20" i="18" l="1"/>
  <c r="G22" i="18"/>
  <c r="G23" i="18" s="1"/>
  <c r="G24" i="18" s="1"/>
  <c r="G25" i="18" s="1"/>
  <c r="G26" i="18" s="1"/>
  <c r="G27" i="18" s="1"/>
  <c r="E20" i="17"/>
  <c r="G22" i="17"/>
  <c r="G23" i="17" s="1"/>
  <c r="G24" i="17" s="1"/>
  <c r="G25" i="17" s="1"/>
  <c r="G26" i="17" s="1"/>
  <c r="G27" i="17" s="1"/>
  <c r="G21" i="16"/>
  <c r="G22" i="16" s="1"/>
  <c r="G23" i="16" s="1"/>
  <c r="G24" i="16" s="1"/>
  <c r="G25" i="16" s="1"/>
  <c r="G26" i="16" s="1"/>
  <c r="G27" i="16" s="1"/>
  <c r="E20" i="16"/>
  <c r="C20" i="15"/>
  <c r="C31" i="15" s="1"/>
  <c r="E20" i="15"/>
  <c r="G22" i="15"/>
  <c r="G23" i="15" s="1"/>
  <c r="G24" i="15" s="1"/>
  <c r="G25" i="15" s="1"/>
  <c r="G26" i="15" s="1"/>
  <c r="G27" i="15" s="1"/>
  <c r="G20" i="14"/>
  <c r="G31" i="14" s="1"/>
  <c r="E31" i="14"/>
  <c r="G20" i="4"/>
  <c r="G31" i="4" s="1"/>
  <c r="E31" i="4"/>
  <c r="G20" i="18" l="1"/>
  <c r="G31" i="18" s="1"/>
  <c r="E31" i="18"/>
  <c r="G20" i="17"/>
  <c r="G31" i="17" s="1"/>
  <c r="E31" i="17"/>
  <c r="G20" i="16"/>
  <c r="G31" i="16" s="1"/>
  <c r="E31" i="16"/>
  <c r="G20" i="15"/>
  <c r="G31" i="15" s="1"/>
  <c r="E31" i="15"/>
</calcChain>
</file>

<file path=xl/sharedStrings.xml><?xml version="1.0" encoding="utf-8"?>
<sst xmlns="http://schemas.openxmlformats.org/spreadsheetml/2006/main" count="1243" uniqueCount="187">
  <si>
    <t>BAM</t>
  </si>
  <si>
    <t>Kornzusammensetzung von Zuschlaggemischen für Beton</t>
  </si>
  <si>
    <t xml:space="preserve">  Datum:</t>
  </si>
  <si>
    <t>Rechnerische Ermittlung der Sieblinie und graphische Darstellung</t>
  </si>
  <si>
    <t xml:space="preserve">  Bearbeiter: </t>
  </si>
  <si>
    <t>Antragsteller:</t>
  </si>
  <si>
    <t>Antrags-/ Projekt-Nr.:</t>
  </si>
  <si>
    <t xml:space="preserve">Datei: </t>
  </si>
  <si>
    <t>Betonsorte u. -festigkeitsklasse:</t>
  </si>
  <si>
    <t>Sieblinie:</t>
  </si>
  <si>
    <t>Zusammensetzung der Korngruppen</t>
  </si>
  <si>
    <t>Kennwert:</t>
  </si>
  <si>
    <t>Körnungsziffer</t>
  </si>
  <si>
    <t>Korngruppe</t>
  </si>
  <si>
    <t>Durchgang in M.-% durch die Siebe (Maschen-bzw. Lochweite in mm)</t>
  </si>
  <si>
    <t>Material-</t>
  </si>
  <si>
    <t>mm</t>
  </si>
  <si>
    <t>herkunft</t>
  </si>
  <si>
    <t>Quarz</t>
  </si>
  <si>
    <t>Berechnung der Sieblinie</t>
  </si>
  <si>
    <t>Sollsieblinie</t>
  </si>
  <si>
    <t>Durchgang in M-% durch die Siebe (Maschen-bzw. Lochweite in mm)</t>
  </si>
  <si>
    <t>Körnungs-</t>
  </si>
  <si>
    <t>Anteil in %</t>
  </si>
  <si>
    <t>ziffer</t>
  </si>
  <si>
    <t>Istsieblinie</t>
  </si>
  <si>
    <t>Abweichung in %</t>
  </si>
  <si>
    <t>Betonzusammensetzung, Mischanweisung,</t>
  </si>
  <si>
    <t>Datum:</t>
  </si>
  <si>
    <t>Frischbetonprüfung</t>
  </si>
  <si>
    <t>Name:</t>
  </si>
  <si>
    <t>Bezeichnung der Proben:</t>
  </si>
  <si>
    <t xml:space="preserve"> 1. Betonzusammensetzung und Mischanweisung</t>
  </si>
  <si>
    <t xml:space="preserve">  2. Frischbetonprüfung</t>
  </si>
  <si>
    <t>Stoffart</t>
  </si>
  <si>
    <t>Zusammen-</t>
  </si>
  <si>
    <t>Mischanweisung</t>
  </si>
  <si>
    <t xml:space="preserve">  Betonkonsistenbereich </t>
  </si>
  <si>
    <t>setzung</t>
  </si>
  <si>
    <t>l</t>
  </si>
  <si>
    <t>Einzelkomp.</t>
  </si>
  <si>
    <t>additiv</t>
  </si>
  <si>
    <t xml:space="preserve">  Verdichtungsmaß:</t>
  </si>
  <si>
    <t xml:space="preserve">Zementwerk: </t>
  </si>
  <si>
    <t>kg/m³</t>
  </si>
  <si>
    <t>kg</t>
  </si>
  <si>
    <t xml:space="preserve">  Setzmaß in cm</t>
  </si>
  <si>
    <t xml:space="preserve">  Zement</t>
  </si>
  <si>
    <t xml:space="preserve">  Wasser (gesamt)</t>
  </si>
  <si>
    <t>Luftgehalt P in Vol.-%:</t>
  </si>
  <si>
    <t xml:space="preserve">  Wasser (wirksam)</t>
  </si>
  <si>
    <t>---</t>
  </si>
  <si>
    <t xml:space="preserve">  Rohdichte im Luftgehaltsprüftopf</t>
  </si>
  <si>
    <t xml:space="preserve">  Luftgehalt</t>
  </si>
  <si>
    <t xml:space="preserve">  Betonmasse in kg</t>
  </si>
  <si>
    <t xml:space="preserve">  Topfvolumen in dm³:</t>
  </si>
  <si>
    <t xml:space="preserve">  Rohdichte in kg/dm³:</t>
  </si>
  <si>
    <t xml:space="preserve">  Gesamt</t>
  </si>
  <si>
    <t xml:space="preserve">  Temperatur  in °C</t>
  </si>
  <si>
    <t xml:space="preserve">  Zuschlag (gesamt)</t>
  </si>
  <si>
    <t>%</t>
  </si>
  <si>
    <t>Luft</t>
  </si>
  <si>
    <t>0        /   0,3</t>
  </si>
  <si>
    <t>0        /   0,5</t>
  </si>
  <si>
    <t xml:space="preserve">  Wasserzementwert  W/Z</t>
  </si>
  <si>
    <t>0,50  /   1,0</t>
  </si>
  <si>
    <t>W/Z - Soll</t>
  </si>
  <si>
    <t>1,0    /   2,0</t>
  </si>
  <si>
    <t>W/Z - Ist</t>
  </si>
  <si>
    <t>2,0    /   4,0</t>
  </si>
  <si>
    <t xml:space="preserve">  Beurteilung der Verarbeitbarkeit</t>
  </si>
  <si>
    <t>4,0    /   8,0</t>
  </si>
  <si>
    <t xml:space="preserve">8,0    / 16,0 </t>
  </si>
  <si>
    <t>16,0   / 31,5</t>
  </si>
  <si>
    <t>--</t>
  </si>
  <si>
    <t xml:space="preserve">  Verdichtung des Frischbetons</t>
  </si>
  <si>
    <t xml:space="preserve">  Rütteltisch:</t>
  </si>
  <si>
    <t xml:space="preserve">  Frischbeton</t>
  </si>
  <si>
    <t xml:space="preserve"> 3. Frischbetonrohdichten</t>
  </si>
  <si>
    <t>Hergestellt am:</t>
  </si>
  <si>
    <t xml:space="preserve"> Probenbezeichnung</t>
  </si>
  <si>
    <t>Nr.</t>
  </si>
  <si>
    <t xml:space="preserve"> Masse des Probekörpers</t>
  </si>
  <si>
    <t xml:space="preserve"> Volumen des Probekörpers</t>
  </si>
  <si>
    <t>dm³</t>
  </si>
  <si>
    <t xml:space="preserve"> Frischbetonrohdichte</t>
  </si>
  <si>
    <t>kg/dm³</t>
  </si>
  <si>
    <t xml:space="preserve"> Mittelwert</t>
  </si>
  <si>
    <t>Berechnung der Zusammensetzung von Beton</t>
  </si>
  <si>
    <t>Betonsorte u.-festigkeitsklasse:</t>
  </si>
  <si>
    <t>Wasserzementwert</t>
  </si>
  <si>
    <t>Konsistenz:</t>
  </si>
  <si>
    <t xml:space="preserve">Sieblinie n. DIN 1045:   </t>
  </si>
  <si>
    <t>Körnungsziffer (k-Wert):</t>
  </si>
  <si>
    <t>Sieblinie des Zuschlags:</t>
  </si>
  <si>
    <t xml:space="preserve"> Sieblochweite in mm</t>
  </si>
  <si>
    <t>k-Wert</t>
  </si>
  <si>
    <t xml:space="preserve"> Durchgang in Vol. -% </t>
  </si>
  <si>
    <t>Berechnung der Betonzusammensetzung</t>
  </si>
  <si>
    <t>Stoffmenge</t>
  </si>
  <si>
    <t>Dichte bzw.</t>
  </si>
  <si>
    <t>Stoffraum</t>
  </si>
  <si>
    <t>Sonstiges/Bemerkungen</t>
  </si>
  <si>
    <t>Rohdichte</t>
  </si>
  <si>
    <t xml:space="preserve">  Zusatzmittel</t>
  </si>
  <si>
    <t>Vol. -%</t>
  </si>
  <si>
    <t xml:space="preserve">  Mehlkornanteil</t>
  </si>
  <si>
    <t xml:space="preserve">  Mörtelanteil</t>
  </si>
  <si>
    <t>Frischbeton</t>
  </si>
  <si>
    <t xml:space="preserve">  Bearbeiter:</t>
  </si>
  <si>
    <t>Fuller</t>
  </si>
  <si>
    <t>Empa</t>
  </si>
  <si>
    <t>Mittel</t>
  </si>
  <si>
    <t>2/3+1/3</t>
  </si>
  <si>
    <t xml:space="preserve">  Ausbreitmaß in mm</t>
  </si>
  <si>
    <t>15 sec.</t>
  </si>
  <si>
    <t>Mischer:</t>
  </si>
  <si>
    <t>-</t>
  </si>
  <si>
    <t>CEM I 42,5 R</t>
  </si>
  <si>
    <t>AB 16</t>
  </si>
  <si>
    <t>Rüdersdorf</t>
  </si>
  <si>
    <r>
      <t xml:space="preserve"> </t>
    </r>
    <r>
      <rPr>
        <sz val="8.5"/>
        <rFont val="Arial"/>
        <family val="2"/>
      </rPr>
      <t xml:space="preserve"> Zusatzmittel</t>
    </r>
  </si>
  <si>
    <t>Dosierbereich 0,1-2,3 M.-% v. Zement</t>
  </si>
  <si>
    <t>8,0 / 16,0</t>
  </si>
  <si>
    <t>4,0 / 8,0</t>
  </si>
  <si>
    <t>2,0 / 4,0</t>
  </si>
  <si>
    <t>1,0 / 2,0</t>
  </si>
  <si>
    <t>0,5 / 1,0</t>
  </si>
  <si>
    <t>0,1 / 0,5</t>
  </si>
  <si>
    <t>0 / 0,3</t>
  </si>
  <si>
    <t>Zusatzstoff</t>
  </si>
  <si>
    <t>BAM 7.0</t>
  </si>
  <si>
    <t>7 - FE</t>
  </si>
  <si>
    <t>VII.1</t>
  </si>
  <si>
    <t>Haa</t>
  </si>
  <si>
    <t>BA-Losert</t>
  </si>
  <si>
    <t>0  /  0,5</t>
  </si>
  <si>
    <t>0,5  / 1,0</t>
  </si>
  <si>
    <t>1,0  / 2,0</t>
  </si>
  <si>
    <t>2,0  / 4,0</t>
  </si>
  <si>
    <t>4,0  / 8,0</t>
  </si>
  <si>
    <t>8,0  /16,0</t>
  </si>
  <si>
    <t>A 8</t>
  </si>
  <si>
    <t>B 8</t>
  </si>
  <si>
    <t>C 8</t>
  </si>
  <si>
    <t>U 8</t>
  </si>
  <si>
    <t xml:space="preserve">  0  /  0,3</t>
  </si>
  <si>
    <t>0,5  /  1,0</t>
  </si>
  <si>
    <t>1,0  /  2,0</t>
  </si>
  <si>
    <t>2,0  /  4,0</t>
  </si>
  <si>
    <t>4,0  /  8,0</t>
  </si>
  <si>
    <t>8,0  / 16,0</t>
  </si>
  <si>
    <t>Annahme: V-% gleich M-%</t>
  </si>
  <si>
    <t>BA-Losert MVI</t>
  </si>
  <si>
    <t>Mikrosilika</t>
  </si>
  <si>
    <t>FM 595 BASF</t>
  </si>
  <si>
    <t>BASF FM 595</t>
  </si>
  <si>
    <t>We</t>
  </si>
  <si>
    <t>7.0</t>
  </si>
  <si>
    <t>Werner</t>
  </si>
  <si>
    <t>BAM 7.0 (Werner)</t>
  </si>
  <si>
    <t>Sand/Kies</t>
  </si>
  <si>
    <t>SVB</t>
  </si>
  <si>
    <t xml:space="preserve">Okrilla  </t>
  </si>
  <si>
    <t>Wer</t>
  </si>
  <si>
    <t>SVB (aus BA-Zivkov)</t>
  </si>
  <si>
    <t>BA-Losert MI</t>
  </si>
  <si>
    <t>0,53 w/b = 0,29</t>
  </si>
  <si>
    <t>Kalksteinmehl</t>
  </si>
  <si>
    <t>Medenbach</t>
  </si>
  <si>
    <t>Vol Leim/Zuschlag</t>
  </si>
  <si>
    <t>BA-Losert MII</t>
  </si>
  <si>
    <t>0,53 w/b = 0,32</t>
  </si>
  <si>
    <t>BA-Losert MIII</t>
  </si>
  <si>
    <t>0,53 w/b = 0,37</t>
  </si>
  <si>
    <t>BA-Losert MIV</t>
  </si>
  <si>
    <t>0,53 w/b = 0,43</t>
  </si>
  <si>
    <t>BA-Losert MV</t>
  </si>
  <si>
    <t>0,53 w/b = 0,53</t>
  </si>
  <si>
    <t>zusatzstoff</t>
  </si>
  <si>
    <t>30.06.</t>
  </si>
  <si>
    <t>A16</t>
  </si>
  <si>
    <t>B16</t>
  </si>
  <si>
    <t>C16</t>
  </si>
  <si>
    <t>U16</t>
  </si>
  <si>
    <t xml:space="preserve"> </t>
  </si>
  <si>
    <t>FM: 5,55 kg/m³  =&gt; 0,111g FM auf 20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</si>
</sst>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#,##0.0"/>
    <numFmt numFmtId="166" formatCode="0.000"/>
    <numFmt numFmtId="167" formatCode="###\ \ \l"/>
    <numFmt numFmtId="168" formatCode="dd/mm/yy;@"/>
    <numFmt numFmtId="169" formatCode="#,##0.00\ [$€];[Red]\-#,##0.00\ [$€]"/>
    <numFmt numFmtId="170" formatCode="dd/mm/yy"/>
  </numFmts>
  <fonts count="1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8"/>
      <name val="Arial"/>
      <family val="2"/>
    </font>
    <font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.5"/>
      <name val="Arial"/>
      <family val="2"/>
    </font>
    <font>
      <b/>
      <sz val="8.5"/>
      <name val="Arial"/>
      <family val="2"/>
    </font>
    <font>
      <b/>
      <i/>
      <sz val="8.5"/>
      <name val="Arial"/>
      <family val="2"/>
    </font>
    <font>
      <sz val="11"/>
      <color rgb="FF006100"/>
      <name val="Calibri"/>
      <family val="2"/>
      <scheme val="minor"/>
    </font>
    <font>
      <sz val="12"/>
      <name val="MS Sans Serif"/>
      <family val="2"/>
    </font>
    <font>
      <sz val="8.5"/>
      <name val="MS Sans Serif"/>
      <family val="2"/>
    </font>
    <font>
      <sz val="8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9" fontId="2" fillId="0" borderId="0" applyFont="0" applyFill="0" applyBorder="0" applyAlignment="0" applyProtection="0"/>
    <xf numFmtId="0" fontId="12" fillId="2" borderId="0" applyNumberFormat="0" applyBorder="0" applyAlignment="0" applyProtection="0"/>
  </cellStyleXfs>
  <cellXfs count="31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Continuous" vertical="center"/>
    </xf>
    <xf numFmtId="165" fontId="0" fillId="0" borderId="0" xfId="0" applyNumberFormat="1"/>
    <xf numFmtId="164" fontId="0" fillId="0" borderId="0" xfId="0" applyNumberFormat="1"/>
    <xf numFmtId="0" fontId="0" fillId="0" borderId="0" xfId="0" applyBorder="1" applyAlignment="1"/>
    <xf numFmtId="0" fontId="4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0" fillId="0" borderId="0" xfId="0" applyBorder="1"/>
    <xf numFmtId="2" fontId="0" fillId="0" borderId="0" xfId="0" applyNumberFormat="1"/>
    <xf numFmtId="1" fontId="0" fillId="0" borderId="0" xfId="0" applyNumberFormat="1" applyBorder="1" applyAlignment="1"/>
    <xf numFmtId="167" fontId="0" fillId="0" borderId="0" xfId="0" applyNumberFormat="1" applyBorder="1" applyAlignment="1"/>
    <xf numFmtId="167" fontId="0" fillId="0" borderId="0" xfId="0" applyNumberFormat="1" applyBorder="1"/>
    <xf numFmtId="164" fontId="0" fillId="0" borderId="0" xfId="0" applyNumberFormat="1" applyBorder="1" applyAlignment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16" fontId="0" fillId="0" borderId="0" xfId="0" applyNumberFormat="1"/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66" fontId="0" fillId="0" borderId="0" xfId="0" applyNumberFormat="1"/>
    <xf numFmtId="0" fontId="7" fillId="0" borderId="0" xfId="0" applyFont="1"/>
    <xf numFmtId="0" fontId="7" fillId="0" borderId="1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/>
    </xf>
    <xf numFmtId="0" fontId="9" fillId="0" borderId="13" xfId="0" applyFont="1" applyBorder="1" applyAlignment="1">
      <alignment horizontal="center" vertical="center"/>
    </xf>
    <xf numFmtId="168" fontId="7" fillId="0" borderId="14" xfId="0" applyNumberFormat="1" applyFont="1" applyBorder="1" applyAlignment="1">
      <alignment horizontal="centerContinuous" vertical="center"/>
    </xf>
    <xf numFmtId="0" fontId="7" fillId="0" borderId="15" xfId="0" applyFont="1" applyBorder="1" applyAlignment="1">
      <alignment horizontal="centerContinuous" vertical="center"/>
    </xf>
    <xf numFmtId="16" fontId="7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Continuous" vertical="center"/>
    </xf>
    <xf numFmtId="0" fontId="9" fillId="0" borderId="17" xfId="0" applyFont="1" applyBorder="1" applyAlignment="1">
      <alignment horizontal="center" vertical="center"/>
    </xf>
    <xf numFmtId="0" fontId="7" fillId="0" borderId="3" xfId="0" applyFont="1" applyBorder="1" applyAlignment="1">
      <alignment horizontal="centerContinuous" vertical="center"/>
    </xf>
    <xf numFmtId="0" fontId="7" fillId="0" borderId="18" xfId="0" applyFont="1" applyBorder="1" applyAlignment="1">
      <alignment horizontal="centerContinuous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7" fillId="0" borderId="19" xfId="0" applyFont="1" applyBorder="1" applyAlignment="1"/>
    <xf numFmtId="0" fontId="8" fillId="0" borderId="19" xfId="0" applyFont="1" applyBorder="1" applyAlignment="1"/>
    <xf numFmtId="0" fontId="8" fillId="0" borderId="20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0" xfId="0" applyFont="1" applyBorder="1" applyAlignment="1">
      <alignment horizontal="centerContinuous" vertical="center"/>
    </xf>
    <xf numFmtId="0" fontId="7" fillId="0" borderId="2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Continuous" vertical="center"/>
    </xf>
    <xf numFmtId="0" fontId="10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23" xfId="0" applyFont="1" applyBorder="1" applyAlignment="1">
      <alignment horizontal="centerContinuous" vertical="center"/>
    </xf>
    <xf numFmtId="0" fontId="7" fillId="0" borderId="19" xfId="0" applyFont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vertical="center"/>
    </xf>
    <xf numFmtId="0" fontId="7" fillId="0" borderId="19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Continuous" vertical="center"/>
    </xf>
    <xf numFmtId="0" fontId="5" fillId="0" borderId="19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Continuous" vertical="center"/>
    </xf>
    <xf numFmtId="0" fontId="5" fillId="0" borderId="11" xfId="0" applyFont="1" applyBorder="1" applyAlignment="1">
      <alignment horizontal="centerContinuous" vertical="center"/>
    </xf>
    <xf numFmtId="2" fontId="5" fillId="0" borderId="25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vertical="center"/>
    </xf>
    <xf numFmtId="0" fontId="7" fillId="0" borderId="28" xfId="0" applyFont="1" applyBorder="1" applyAlignment="1">
      <alignment horizontal="centerContinuous" vertical="center"/>
    </xf>
    <xf numFmtId="0" fontId="7" fillId="0" borderId="27" xfId="0" applyFont="1" applyBorder="1" applyAlignment="1">
      <alignment horizontal="centerContinuous" vertical="center"/>
    </xf>
    <xf numFmtId="2" fontId="7" fillId="0" borderId="19" xfId="0" quotePrefix="1" applyNumberFormat="1" applyFont="1" applyBorder="1" applyAlignment="1">
      <alignment horizontal="centerContinuous" vertical="center"/>
    </xf>
    <xf numFmtId="2" fontId="7" fillId="0" borderId="8" xfId="0" applyNumberFormat="1" applyFont="1" applyBorder="1" applyAlignment="1">
      <alignment horizontal="centerContinuous" vertical="center"/>
    </xf>
    <xf numFmtId="2" fontId="7" fillId="0" borderId="11" xfId="0" applyNumberFormat="1" applyFont="1" applyBorder="1" applyAlignment="1">
      <alignment horizontal="centerContinuous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23" xfId="0" applyFont="1" applyBorder="1" applyAlignment="1">
      <alignment horizontal="center" vertical="center"/>
    </xf>
    <xf numFmtId="1" fontId="7" fillId="0" borderId="27" xfId="0" applyNumberFormat="1" applyFont="1" applyBorder="1" applyAlignment="1">
      <alignment horizontal="centerContinuous" vertical="center"/>
    </xf>
    <xf numFmtId="1" fontId="7" fillId="0" borderId="11" xfId="0" applyNumberFormat="1" applyFont="1" applyBorder="1" applyAlignment="1">
      <alignment horizontal="centerContinuous" vertical="center"/>
    </xf>
    <xf numFmtId="2" fontId="7" fillId="0" borderId="8" xfId="0" quotePrefix="1" applyNumberFormat="1" applyFont="1" applyBorder="1" applyAlignment="1">
      <alignment horizontal="centerContinuous" vertical="center"/>
    </xf>
    <xf numFmtId="0" fontId="9" fillId="0" borderId="29" xfId="0" applyFont="1" applyBorder="1" applyAlignment="1">
      <alignment horizontal="centerContinuous" vertical="center"/>
    </xf>
    <xf numFmtId="0" fontId="7" fillId="0" borderId="29" xfId="0" applyFont="1" applyBorder="1" applyAlignment="1">
      <alignment horizontal="centerContinuous" vertical="center"/>
    </xf>
    <xf numFmtId="0" fontId="7" fillId="0" borderId="30" xfId="0" applyFont="1" applyBorder="1" applyAlignment="1">
      <alignment horizontal="center" vertical="center"/>
    </xf>
    <xf numFmtId="0" fontId="7" fillId="0" borderId="27" xfId="0" quotePrefix="1" applyFont="1" applyBorder="1" applyAlignment="1">
      <alignment horizontal="centerContinuous" vertical="center"/>
    </xf>
    <xf numFmtId="0" fontId="11" fillId="0" borderId="1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166" fontId="5" fillId="0" borderId="31" xfId="0" applyNumberFormat="1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8" xfId="0" applyFont="1" applyBorder="1" applyAlignment="1">
      <alignment vertical="center"/>
    </xf>
    <xf numFmtId="1" fontId="5" fillId="0" borderId="2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1" fontId="7" fillId="0" borderId="32" xfId="0" applyNumberFormat="1" applyFont="1" applyBorder="1" applyAlignment="1">
      <alignment horizontal="center" vertical="center"/>
    </xf>
    <xf numFmtId="9" fontId="7" fillId="0" borderId="33" xfId="0" applyNumberFormat="1" applyFont="1" applyBorder="1" applyAlignment="1">
      <alignment horizontal="centerContinuous" vertical="center"/>
    </xf>
    <xf numFmtId="2" fontId="7" fillId="0" borderId="24" xfId="0" quotePrefix="1" applyNumberFormat="1" applyFont="1" applyBorder="1" applyAlignment="1">
      <alignment horizontal="centerContinuous" vertical="center"/>
    </xf>
    <xf numFmtId="2" fontId="7" fillId="0" borderId="26" xfId="0" applyNumberFormat="1" applyFont="1" applyBorder="1" applyAlignment="1">
      <alignment horizontal="centerContinuous" vertical="center"/>
    </xf>
    <xf numFmtId="0" fontId="5" fillId="0" borderId="24" xfId="0" applyFont="1" applyBorder="1" applyAlignment="1">
      <alignment horizontal="centerContinuous" vertical="center"/>
    </xf>
    <xf numFmtId="0" fontId="5" fillId="0" borderId="31" xfId="0" applyFont="1" applyBorder="1" applyAlignment="1">
      <alignment horizontal="centerContinuous" vertical="center"/>
    </xf>
    <xf numFmtId="0" fontId="5" fillId="0" borderId="26" xfId="0" applyFont="1" applyBorder="1" applyAlignment="1">
      <alignment horizontal="centerContinuous" vertical="center"/>
    </xf>
    <xf numFmtId="0" fontId="9" fillId="0" borderId="32" xfId="0" applyFont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Continuous" vertical="center"/>
    </xf>
    <xf numFmtId="1" fontId="7" fillId="0" borderId="33" xfId="0" applyNumberFormat="1" applyFont="1" applyBorder="1" applyAlignment="1">
      <alignment horizontal="centerContinuous" vertical="center"/>
    </xf>
    <xf numFmtId="2" fontId="7" fillId="0" borderId="31" xfId="0" applyNumberFormat="1" applyFont="1" applyBorder="1" applyAlignment="1">
      <alignment horizontal="centerContinuous" vertical="center"/>
    </xf>
    <xf numFmtId="0" fontId="5" fillId="0" borderId="28" xfId="0" applyFont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vertical="center"/>
    </xf>
    <xf numFmtId="2" fontId="5" fillId="0" borderId="34" xfId="0" applyNumberFormat="1" applyFont="1" applyBorder="1" applyAlignment="1">
      <alignment horizontal="center" vertical="center"/>
    </xf>
    <xf numFmtId="0" fontId="5" fillId="0" borderId="36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5" fillId="0" borderId="37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1" fontId="7" fillId="0" borderId="32" xfId="0" quotePrefix="1" applyNumberFormat="1" applyFont="1" applyBorder="1" applyAlignment="1">
      <alignment horizontal="center" vertical="center"/>
    </xf>
    <xf numFmtId="1" fontId="7" fillId="0" borderId="33" xfId="0" quotePrefix="1" applyNumberFormat="1" applyFont="1" applyBorder="1" applyAlignment="1">
      <alignment horizontal="centerContinuous" vertical="center"/>
    </xf>
    <xf numFmtId="0" fontId="5" fillId="0" borderId="23" xfId="0" applyFont="1" applyBorder="1" applyAlignment="1">
      <alignment vertical="center"/>
    </xf>
    <xf numFmtId="0" fontId="5" fillId="0" borderId="34" xfId="0" applyFont="1" applyBorder="1" applyAlignment="1">
      <alignment vertical="center"/>
    </xf>
    <xf numFmtId="0" fontId="9" fillId="0" borderId="26" xfId="0" applyFont="1" applyBorder="1" applyAlignment="1">
      <alignment horizontal="centerContinuous" vertical="center"/>
    </xf>
    <xf numFmtId="0" fontId="7" fillId="0" borderId="33" xfId="0" quotePrefix="1" applyFont="1" applyBorder="1" applyAlignment="1">
      <alignment horizontal="centerContinuous" vertical="center"/>
    </xf>
    <xf numFmtId="2" fontId="7" fillId="0" borderId="31" xfId="0" quotePrefix="1" applyNumberFormat="1" applyFont="1" applyBorder="1" applyAlignment="1">
      <alignment horizontal="centerContinuous" vertical="center"/>
    </xf>
    <xf numFmtId="0" fontId="7" fillId="0" borderId="32" xfId="0" quotePrefix="1" applyFont="1" applyBorder="1" applyAlignment="1">
      <alignment horizontal="centerContinuous" vertical="center"/>
    </xf>
    <xf numFmtId="0" fontId="7" fillId="0" borderId="26" xfId="0" applyFont="1" applyBorder="1" applyAlignment="1">
      <alignment horizontal="centerContinuous" vertical="center"/>
    </xf>
    <xf numFmtId="1" fontId="7" fillId="0" borderId="27" xfId="0" quotePrefix="1" applyNumberFormat="1" applyFont="1" applyBorder="1" applyAlignment="1">
      <alignment horizontal="center" vertical="center"/>
    </xf>
    <xf numFmtId="0" fontId="7" fillId="0" borderId="38" xfId="0" quotePrefix="1" applyFont="1" applyBorder="1" applyAlignment="1">
      <alignment horizontal="centerContinuous" vertical="center"/>
    </xf>
    <xf numFmtId="0" fontId="7" fillId="0" borderId="17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1" fontId="7" fillId="0" borderId="39" xfId="0" quotePrefix="1" applyNumberFormat="1" applyFont="1" applyBorder="1" applyAlignment="1">
      <alignment horizontal="centerContinuous" vertical="center"/>
    </xf>
    <xf numFmtId="0" fontId="7" fillId="0" borderId="18" xfId="0" quotePrefix="1" applyFont="1" applyBorder="1" applyAlignment="1">
      <alignment horizontal="centerContinuous" vertical="center"/>
    </xf>
    <xf numFmtId="2" fontId="7" fillId="0" borderId="3" xfId="0" quotePrefix="1" applyNumberFormat="1" applyFont="1" applyBorder="1" applyAlignment="1">
      <alignment horizontal="centerContinuous" vertical="center"/>
    </xf>
    <xf numFmtId="2" fontId="7" fillId="0" borderId="28" xfId="0" applyNumberFormat="1" applyFont="1" applyBorder="1" applyAlignment="1">
      <alignment horizontal="centerContinuous" vertical="center"/>
    </xf>
    <xf numFmtId="2" fontId="7" fillId="0" borderId="18" xfId="0" applyNumberFormat="1" applyFont="1" applyBorder="1" applyAlignment="1">
      <alignment horizontal="centerContinuous" vertical="center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horizontal="centerContinuous" vertical="center"/>
    </xf>
    <xf numFmtId="1" fontId="7" fillId="0" borderId="2" xfId="0" applyNumberFormat="1" applyFont="1" applyBorder="1" applyAlignment="1">
      <alignment horizontal="centerContinuous" vertical="center"/>
    </xf>
    <xf numFmtId="0" fontId="9" fillId="0" borderId="2" xfId="0" applyFont="1" applyBorder="1" applyAlignment="1">
      <alignment vertical="center"/>
    </xf>
    <xf numFmtId="0" fontId="7" fillId="0" borderId="2" xfId="0" applyFont="1" applyBorder="1"/>
    <xf numFmtId="0" fontId="7" fillId="0" borderId="21" xfId="0" applyFont="1" applyBorder="1"/>
    <xf numFmtId="0" fontId="5" fillId="0" borderId="4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Continuous" vertical="center"/>
    </xf>
    <xf numFmtId="0" fontId="7" fillId="0" borderId="9" xfId="0" applyFont="1" applyBorder="1" applyAlignment="1">
      <alignment horizontal="centerContinuous"/>
    </xf>
    <xf numFmtId="0" fontId="5" fillId="0" borderId="41" xfId="0" applyFont="1" applyBorder="1" applyAlignment="1">
      <alignment vertical="center"/>
    </xf>
    <xf numFmtId="0" fontId="5" fillId="0" borderId="35" xfId="0" applyFont="1" applyBorder="1" applyAlignment="1">
      <alignment horizontal="centerContinuous" vertical="center"/>
    </xf>
    <xf numFmtId="0" fontId="7" fillId="0" borderId="42" xfId="0" applyFont="1" applyBorder="1" applyAlignment="1">
      <alignment horizontal="centerContinuous" vertical="center"/>
    </xf>
    <xf numFmtId="0" fontId="5" fillId="0" borderId="43" xfId="0" applyFont="1" applyBorder="1" applyAlignment="1">
      <alignment vertical="center"/>
    </xf>
    <xf numFmtId="0" fontId="5" fillId="0" borderId="44" xfId="0" applyFont="1" applyBorder="1" applyAlignment="1">
      <alignment vertical="center"/>
    </xf>
    <xf numFmtId="0" fontId="5" fillId="0" borderId="45" xfId="0" applyFont="1" applyBorder="1" applyAlignment="1">
      <alignment horizontal="centerContinuous" vertical="center"/>
    </xf>
    <xf numFmtId="0" fontId="7" fillId="0" borderId="46" xfId="0" applyFont="1" applyBorder="1" applyAlignment="1">
      <alignment horizontal="centerContinuous" vertical="center"/>
    </xf>
    <xf numFmtId="0" fontId="5" fillId="0" borderId="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7" xfId="0" applyFont="1" applyBorder="1" applyAlignment="1">
      <alignment vertical="center"/>
    </xf>
    <xf numFmtId="0" fontId="5" fillId="0" borderId="37" xfId="0" applyFont="1" applyBorder="1" applyAlignment="1">
      <alignment horizontal="centerContinuous" vertical="center"/>
    </xf>
    <xf numFmtId="0" fontId="7" fillId="0" borderId="47" xfId="0" applyFont="1" applyBorder="1" applyAlignment="1">
      <alignment horizontal="centerContinuous" vertical="center"/>
    </xf>
    <xf numFmtId="0" fontId="7" fillId="0" borderId="19" xfId="0" applyFont="1" applyBorder="1"/>
    <xf numFmtId="0" fontId="7" fillId="0" borderId="1" xfId="0" applyFont="1" applyBorder="1"/>
    <xf numFmtId="14" fontId="7" fillId="0" borderId="14" xfId="0" applyNumberFormat="1" applyFont="1" applyBorder="1" applyAlignment="1">
      <alignment horizontal="centerContinuous" vertical="center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vertical="center"/>
    </xf>
    <xf numFmtId="0" fontId="7" fillId="0" borderId="27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8" xfId="0" applyFont="1" applyBorder="1" applyAlignment="1">
      <alignment horizontal="right" vertical="center"/>
    </xf>
    <xf numFmtId="2" fontId="7" fillId="0" borderId="19" xfId="0" applyNumberFormat="1" applyFont="1" applyBorder="1"/>
    <xf numFmtId="0" fontId="7" fillId="0" borderId="0" xfId="0" applyFont="1" applyBorder="1" applyAlignment="1">
      <alignment horizontal="centerContinuous"/>
    </xf>
    <xf numFmtId="0" fontId="7" fillId="0" borderId="19" xfId="0" applyFont="1" applyBorder="1" applyAlignment="1">
      <alignment horizontal="centerContinuous"/>
    </xf>
    <xf numFmtId="0" fontId="7" fillId="0" borderId="0" xfId="0" applyFont="1" applyBorder="1"/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7" xfId="0" quotePrefix="1" applyFont="1" applyBorder="1" applyAlignment="1">
      <alignment horizontal="centerContinuous" vertical="center"/>
    </xf>
    <xf numFmtId="2" fontId="7" fillId="0" borderId="27" xfId="0" applyNumberFormat="1" applyFont="1" applyBorder="1" applyAlignment="1">
      <alignment horizontal="centerContinuous" vertical="center"/>
    </xf>
    <xf numFmtId="164" fontId="7" fillId="0" borderId="27" xfId="0" applyNumberFormat="1" applyFont="1" applyBorder="1" applyAlignment="1">
      <alignment horizontal="centerContinuous" vertical="center"/>
    </xf>
    <xf numFmtId="164" fontId="7" fillId="0" borderId="11" xfId="0" applyNumberFormat="1" applyFont="1" applyBorder="1" applyAlignment="1">
      <alignment horizontal="centerContinuous" vertical="center"/>
    </xf>
    <xf numFmtId="2" fontId="7" fillId="0" borderId="27" xfId="0" quotePrefix="1" applyNumberFormat="1" applyFont="1" applyBorder="1" applyAlignment="1">
      <alignment horizontal="centerContinuous" vertical="center"/>
    </xf>
    <xf numFmtId="164" fontId="7" fillId="0" borderId="27" xfId="0" quotePrefix="1" applyNumberFormat="1" applyFont="1" applyBorder="1" applyAlignment="1">
      <alignment horizontal="centerContinuous" vertical="center"/>
    </xf>
    <xf numFmtId="1" fontId="7" fillId="0" borderId="32" xfId="0" applyNumberFormat="1" applyFont="1" applyBorder="1" applyAlignment="1">
      <alignment horizontal="centerContinuous" vertical="center"/>
    </xf>
    <xf numFmtId="2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Continuous" vertical="center"/>
    </xf>
    <xf numFmtId="2" fontId="7" fillId="0" borderId="32" xfId="0" applyNumberFormat="1" applyFont="1" applyBorder="1" applyAlignment="1">
      <alignment horizontal="centerContinuous" vertical="center"/>
    </xf>
    <xf numFmtId="2" fontId="7" fillId="0" borderId="58" xfId="0" applyNumberFormat="1" applyFont="1" applyBorder="1" applyAlignment="1">
      <alignment horizontal="center" vertical="center"/>
    </xf>
    <xf numFmtId="164" fontId="7" fillId="0" borderId="26" xfId="0" applyNumberFormat="1" applyFont="1" applyBorder="1" applyAlignment="1">
      <alignment horizontal="center" vertical="center"/>
    </xf>
    <xf numFmtId="1" fontId="7" fillId="0" borderId="32" xfId="0" quotePrefix="1" applyNumberFormat="1" applyFont="1" applyBorder="1" applyAlignment="1">
      <alignment horizontal="centerContinuous" vertical="center"/>
    </xf>
    <xf numFmtId="164" fontId="7" fillId="0" borderId="58" xfId="0" quotePrefix="1" applyNumberFormat="1" applyFont="1" applyBorder="1" applyAlignment="1">
      <alignment horizontal="center" vertical="center"/>
    </xf>
    <xf numFmtId="164" fontId="7" fillId="0" borderId="26" xfId="0" quotePrefix="1" applyNumberFormat="1" applyFont="1" applyBorder="1" applyAlignment="1">
      <alignment horizontal="center" vertical="center"/>
    </xf>
    <xf numFmtId="1" fontId="7" fillId="0" borderId="27" xfId="0" quotePrefix="1" applyNumberFormat="1" applyFont="1" applyBorder="1" applyAlignment="1">
      <alignment horizontal="centerContinuous" vertical="center"/>
    </xf>
    <xf numFmtId="164" fontId="7" fillId="0" borderId="59" xfId="0" quotePrefix="1" applyNumberFormat="1" applyFont="1" applyBorder="1" applyAlignment="1">
      <alignment horizontal="center" vertical="center"/>
    </xf>
    <xf numFmtId="164" fontId="7" fillId="0" borderId="11" xfId="0" quotePrefix="1" applyNumberFormat="1" applyFont="1" applyBorder="1" applyAlignment="1">
      <alignment horizontal="center" vertical="center"/>
    </xf>
    <xf numFmtId="0" fontId="2" fillId="0" borderId="0" xfId="0" applyFont="1"/>
    <xf numFmtId="0" fontId="5" fillId="0" borderId="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5" fillId="0" borderId="34" xfId="0" applyFont="1" applyBorder="1" applyAlignment="1">
      <alignment horizontal="left" vertical="center" indent="1"/>
    </xf>
    <xf numFmtId="0" fontId="4" fillId="0" borderId="18" xfId="0" applyFont="1" applyBorder="1" applyAlignment="1">
      <alignment vertical="center"/>
    </xf>
    <xf numFmtId="166" fontId="7" fillId="0" borderId="19" xfId="0" quotePrefix="1" applyNumberFormat="1" applyFont="1" applyBorder="1" applyAlignment="1">
      <alignment horizontal="centerContinuous" vertical="center"/>
    </xf>
    <xf numFmtId="166" fontId="7" fillId="0" borderId="8" xfId="0" quotePrefix="1" applyNumberFormat="1" applyFont="1" applyBorder="1" applyAlignment="1">
      <alignment horizontal="centerContinuous" vertical="center"/>
    </xf>
    <xf numFmtId="166" fontId="7" fillId="0" borderId="32" xfId="0" applyNumberFormat="1" applyFont="1" applyBorder="1" applyAlignment="1">
      <alignment vertical="center"/>
    </xf>
    <xf numFmtId="166" fontId="7" fillId="0" borderId="31" xfId="0" applyNumberFormat="1" applyFont="1" applyBorder="1" applyAlignment="1">
      <alignment vertical="center"/>
    </xf>
    <xf numFmtId="166" fontId="7" fillId="0" borderId="24" xfId="0" quotePrefix="1" applyNumberFormat="1" applyFont="1" applyBorder="1" applyAlignment="1">
      <alignment horizontal="centerContinuous" vertical="center"/>
    </xf>
    <xf numFmtId="166" fontId="7" fillId="0" borderId="31" xfId="0" applyNumberFormat="1" applyFont="1" applyBorder="1" applyAlignment="1">
      <alignment horizontal="centerContinuous" vertical="center"/>
    </xf>
    <xf numFmtId="164" fontId="7" fillId="0" borderId="60" xfId="0" applyNumberFormat="1" applyFont="1" applyBorder="1" applyAlignment="1">
      <alignment horizontal="center" vertical="center"/>
    </xf>
    <xf numFmtId="166" fontId="7" fillId="0" borderId="26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31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Continuous"/>
    </xf>
    <xf numFmtId="0" fontId="13" fillId="0" borderId="2" xfId="0" applyFont="1" applyBorder="1" applyAlignment="1">
      <alignment horizontal="centerContinuous" vertical="center"/>
    </xf>
    <xf numFmtId="0" fontId="14" fillId="0" borderId="13" xfId="0" applyFont="1" applyBorder="1" applyAlignment="1">
      <alignment vertical="center"/>
    </xf>
    <xf numFmtId="14" fontId="0" fillId="0" borderId="14" xfId="0" applyNumberFormat="1" applyBorder="1" applyAlignment="1">
      <alignment horizontal="centerContinuous" vertical="center"/>
    </xf>
    <xf numFmtId="170" fontId="14" fillId="0" borderId="15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Continuous"/>
    </xf>
    <xf numFmtId="0" fontId="13" fillId="0" borderId="3" xfId="0" applyFont="1" applyBorder="1" applyAlignment="1">
      <alignment horizontal="centerContinuous" vertical="center"/>
    </xf>
    <xf numFmtId="0" fontId="14" fillId="0" borderId="17" xfId="0" applyFont="1" applyBorder="1" applyAlignment="1">
      <alignment vertical="center"/>
    </xf>
    <xf numFmtId="0" fontId="0" fillId="0" borderId="48" xfId="0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0" fontId="0" fillId="0" borderId="0" xfId="0" applyAlignment="1"/>
    <xf numFmtId="0" fontId="0" fillId="0" borderId="19" xfId="0" applyBorder="1" applyAlignment="1"/>
    <xf numFmtId="0" fontId="0" fillId="0" borderId="19" xfId="0" applyBorder="1" applyAlignment="1">
      <alignment vertical="center"/>
    </xf>
    <xf numFmtId="0" fontId="0" fillId="0" borderId="0" xfId="0" applyAlignment="1">
      <alignment horizontal="centerContinuous"/>
    </xf>
    <xf numFmtId="0" fontId="0" fillId="0" borderId="19" xfId="0" applyBorder="1"/>
    <xf numFmtId="0" fontId="1" fillId="0" borderId="0" xfId="0" applyFont="1" applyAlignment="1">
      <alignment vertical="center"/>
    </xf>
    <xf numFmtId="0" fontId="0" fillId="0" borderId="0" xfId="0" applyAlignment="1">
      <alignment horizontal="centerContinuous" vertical="center"/>
    </xf>
    <xf numFmtId="2" fontId="0" fillId="0" borderId="19" xfId="0" applyNumberFormat="1" applyBorder="1" applyAlignment="1">
      <alignment horizontal="center" vertical="center"/>
    </xf>
    <xf numFmtId="0" fontId="0" fillId="0" borderId="13" xfId="0" applyBorder="1" applyAlignment="1">
      <alignment horizontal="centerContinuous" vertical="center"/>
    </xf>
    <xf numFmtId="0" fontId="0" fillId="0" borderId="14" xfId="0" applyBorder="1" applyAlignment="1">
      <alignment horizontal="centerContinuous" vertical="center"/>
    </xf>
    <xf numFmtId="0" fontId="0" fillId="0" borderId="15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15" fillId="0" borderId="14" xfId="0" applyFont="1" applyBorder="1" applyAlignment="1">
      <alignment horizontal="centerContinuous" vertical="center"/>
    </xf>
    <xf numFmtId="0" fontId="15" fillId="0" borderId="12" xfId="0" applyFont="1" applyBorder="1" applyAlignment="1">
      <alignment horizontal="center" vertical="center"/>
    </xf>
    <xf numFmtId="0" fontId="0" fillId="0" borderId="49" xfId="0" applyBorder="1" applyAlignment="1">
      <alignment horizontal="centerContinuous" vertical="center"/>
    </xf>
    <xf numFmtId="0" fontId="0" fillId="0" borderId="48" xfId="0" applyBorder="1" applyAlignment="1">
      <alignment horizontal="centerContinuous" vertical="center"/>
    </xf>
    <xf numFmtId="0" fontId="0" fillId="0" borderId="50" xfId="0" applyBorder="1" applyAlignment="1">
      <alignment horizontal="centerContinuous" vertical="center"/>
    </xf>
    <xf numFmtId="0" fontId="0" fillId="0" borderId="39" xfId="0" applyBorder="1" applyAlignment="1">
      <alignment vertical="center"/>
    </xf>
    <xf numFmtId="0" fontId="0" fillId="0" borderId="47" xfId="0" applyBorder="1" applyAlignment="1">
      <alignment horizontal="centerContinuous" vertical="center"/>
    </xf>
    <xf numFmtId="0" fontId="15" fillId="0" borderId="16" xfId="0" applyFont="1" applyBorder="1" applyAlignment="1">
      <alignment horizontal="center" vertical="center"/>
    </xf>
    <xf numFmtId="0" fontId="0" fillId="0" borderId="40" xfId="0" applyBorder="1" applyAlignment="1">
      <alignment horizontal="centerContinuous" vertical="center"/>
    </xf>
    <xf numFmtId="0" fontId="0" fillId="0" borderId="51" xfId="0" applyBorder="1" applyAlignment="1">
      <alignment horizontal="centerContinuous" vertical="center"/>
    </xf>
    <xf numFmtId="164" fontId="0" fillId="0" borderId="7" xfId="0" applyNumberFormat="1" applyBorder="1" applyAlignment="1">
      <alignment vertical="center"/>
    </xf>
    <xf numFmtId="164" fontId="0" fillId="0" borderId="9" xfId="0" applyNumberFormat="1" applyBorder="1" applyAlignment="1">
      <alignment horizontal="center" vertical="center"/>
    </xf>
    <xf numFmtId="2" fontId="15" fillId="0" borderId="52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vertical="center"/>
    </xf>
    <xf numFmtId="164" fontId="0" fillId="0" borderId="9" xfId="0" quotePrefix="1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64" xfId="0" applyNumberFormat="1" applyBorder="1" applyAlignment="1">
      <alignment horizontal="center" vertical="center"/>
    </xf>
    <xf numFmtId="164" fontId="0" fillId="0" borderId="47" xfId="0" applyNumberFormat="1" applyBorder="1" applyAlignment="1">
      <alignment horizontal="center" vertical="center"/>
    </xf>
    <xf numFmtId="2" fontId="15" fillId="0" borderId="5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0" fontId="0" fillId="0" borderId="20" xfId="0" applyBorder="1" applyAlignment="1">
      <alignment horizontal="centerContinuous" vertical="center"/>
    </xf>
    <xf numFmtId="0" fontId="0" fillId="0" borderId="21" xfId="0" applyBorder="1" applyAlignment="1">
      <alignment horizontal="centerContinuous" vertical="center"/>
    </xf>
    <xf numFmtId="0" fontId="15" fillId="0" borderId="2" xfId="0" applyFont="1" applyBorder="1" applyAlignment="1">
      <alignment horizontal="centerContinuous" vertical="center"/>
    </xf>
    <xf numFmtId="0" fontId="0" fillId="0" borderId="17" xfId="0" applyBorder="1" applyAlignment="1">
      <alignment horizontal="centerContinuous" vertical="center"/>
    </xf>
    <xf numFmtId="0" fontId="0" fillId="0" borderId="3" xfId="0" applyBorder="1" applyAlignment="1">
      <alignment horizontal="centerContinuous" vertical="center"/>
    </xf>
    <xf numFmtId="0" fontId="0" fillId="0" borderId="3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4" xfId="0" applyBorder="1" applyAlignment="1">
      <alignment horizontal="centerContinuous" vertical="center"/>
    </xf>
    <xf numFmtId="0" fontId="15" fillId="0" borderId="16" xfId="0" applyFont="1" applyBorder="1" applyAlignment="1">
      <alignment horizontal="centerContinuous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54" xfId="0" applyNumberFormat="1" applyBorder="1" applyAlignment="1">
      <alignment horizontal="center" vertical="center"/>
    </xf>
    <xf numFmtId="164" fontId="0" fillId="0" borderId="48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0" fontId="0" fillId="0" borderId="4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164" fontId="0" fillId="0" borderId="57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12" fillId="2" borderId="19" xfId="2" applyBorder="1" applyAlignment="1">
      <alignment horizontal="center" vertical="center"/>
    </xf>
    <xf numFmtId="0" fontId="12" fillId="2" borderId="8" xfId="2" applyBorder="1" applyAlignment="1">
      <alignment vertical="center"/>
    </xf>
    <xf numFmtId="0" fontId="12" fillId="2" borderId="11" xfId="2" applyBorder="1" applyAlignment="1">
      <alignment vertical="center"/>
    </xf>
    <xf numFmtId="2" fontId="7" fillId="0" borderId="40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51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40" xfId="0" applyFont="1" applyBorder="1" applyAlignment="1">
      <alignment horizontal="left" vertical="center"/>
    </xf>
    <xf numFmtId="0" fontId="7" fillId="0" borderId="51" xfId="0" applyFont="1" applyBorder="1" applyAlignment="1">
      <alignment horizontal="left" vertical="center"/>
    </xf>
    <xf numFmtId="0" fontId="7" fillId="0" borderId="49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47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14" fontId="7" fillId="0" borderId="1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0" fillId="0" borderId="34" xfId="0" applyBorder="1"/>
    <xf numFmtId="0" fontId="0" fillId="0" borderId="36" xfId="0" applyBorder="1"/>
  </cellXfs>
  <cellStyles count="3">
    <cellStyle name="Euro" xfId="1"/>
    <cellStyle name="Gut" xfId="2" builtinId="26"/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MI-V'!$O$26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0.6</c:v>
                </c:pt>
                <c:pt idx="2">
                  <c:v>8.4</c:v>
                </c:pt>
                <c:pt idx="3">
                  <c:v>20.399999999999999</c:v>
                </c:pt>
                <c:pt idx="4">
                  <c:v>31.8</c:v>
                </c:pt>
                <c:pt idx="5">
                  <c:v>42.4</c:v>
                </c:pt>
                <c:pt idx="6">
                  <c:v>50.7</c:v>
                </c:pt>
                <c:pt idx="7">
                  <c:v>60.5</c:v>
                </c:pt>
                <c:pt idx="8">
                  <c:v>99.5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'Sieblinie MI-V'!$P$26</c:f>
              <c:strCache>
                <c:ptCount val="1"/>
                <c:pt idx="0">
                  <c:v>A16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MI-V'!$P$27:$P$35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21</c:v>
                </c:pt>
                <c:pt idx="6">
                  <c:v>36</c:v>
                </c:pt>
                <c:pt idx="7">
                  <c:v>60</c:v>
                </c:pt>
                <c:pt idx="8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'Sieblinie MI-V'!$Q$26</c:f>
              <c:strCache>
                <c:ptCount val="1"/>
                <c:pt idx="0">
                  <c:v>B16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MI-V'!$Q$27:$Q$35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20</c:v>
                </c:pt>
                <c:pt idx="4">
                  <c:v>32</c:v>
                </c:pt>
                <c:pt idx="5">
                  <c:v>42</c:v>
                </c:pt>
                <c:pt idx="6">
                  <c:v>56</c:v>
                </c:pt>
                <c:pt idx="7">
                  <c:v>76</c:v>
                </c:pt>
                <c:pt idx="8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'Sieblinie MI-V'!$R$26</c:f>
              <c:strCache>
                <c:ptCount val="1"/>
                <c:pt idx="0">
                  <c:v>C16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MI-V'!$R$27:$R$35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34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88</c:v>
                </c:pt>
                <c:pt idx="8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'Sieblinie MI-V'!$S$26</c:f>
              <c:strCache>
                <c:ptCount val="1"/>
                <c:pt idx="0">
                  <c:v>U16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MI-V'!$N$27:$N$35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MI-V'!$S$27:$S$35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99520"/>
        <c:axId val="43913984"/>
      </c:lineChart>
      <c:catAx>
        <c:axId val="438995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913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3913984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3899520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44524236983857"/>
          <c:y val="8.389275491026589E-2"/>
          <c:w val="0.80789946140035951"/>
          <c:h val="0.67114203928212768"/>
        </c:manualLayout>
      </c:layout>
      <c:lineChart>
        <c:grouping val="standard"/>
        <c:varyColors val="0"/>
        <c:ser>
          <c:idx val="0"/>
          <c:order val="0"/>
          <c:tx>
            <c:strRef>
              <c:f>'Sieblinie MVI'!$O$26</c:f>
              <c:strCache>
                <c:ptCount val="1"/>
                <c:pt idx="0">
                  <c:v>Istsieblinie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MVI'!$O$27:$O$35</c:f>
              <c:numCache>
                <c:formatCode>0.0</c:formatCode>
                <c:ptCount val="9"/>
                <c:pt idx="0" formatCode="General">
                  <c:v>0</c:v>
                </c:pt>
                <c:pt idx="1">
                  <c:v>0.9</c:v>
                </c:pt>
                <c:pt idx="2">
                  <c:v>12.6</c:v>
                </c:pt>
                <c:pt idx="3">
                  <c:v>30.3</c:v>
                </c:pt>
                <c:pt idx="4">
                  <c:v>40.200000000000003</c:v>
                </c:pt>
                <c:pt idx="5">
                  <c:v>49.4</c:v>
                </c:pt>
                <c:pt idx="6">
                  <c:v>64.900000000000006</c:v>
                </c:pt>
                <c:pt idx="7">
                  <c:v>97.6</c:v>
                </c:pt>
                <c:pt idx="8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'Sieblinie MVI'!$P$26</c:f>
              <c:strCache>
                <c:ptCount val="1"/>
                <c:pt idx="0">
                  <c:v>A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MVI'!$P$27:$P$35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14</c:v>
                </c:pt>
                <c:pt idx="4">
                  <c:v>21</c:v>
                </c:pt>
                <c:pt idx="5">
                  <c:v>36</c:v>
                </c:pt>
                <c:pt idx="6">
                  <c:v>61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'Sieblinie MVI'!$Q$26</c:f>
              <c:strCache>
                <c:ptCount val="1"/>
                <c:pt idx="0">
                  <c:v>B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MVI'!$Q$27:$Q$35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26</c:v>
                </c:pt>
                <c:pt idx="4">
                  <c:v>42</c:v>
                </c:pt>
                <c:pt idx="5">
                  <c:v>57</c:v>
                </c:pt>
                <c:pt idx="6">
                  <c:v>74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'Sieblinie MVI'!$R$26</c:f>
              <c:strCache>
                <c:ptCount val="1"/>
                <c:pt idx="0">
                  <c:v>C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MVI'!$R$27:$R$35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21</c:v>
                </c:pt>
                <c:pt idx="3">
                  <c:v>39</c:v>
                </c:pt>
                <c:pt idx="4">
                  <c:v>57</c:v>
                </c:pt>
                <c:pt idx="5">
                  <c:v>71</c:v>
                </c:pt>
                <c:pt idx="6">
                  <c:v>85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'Sieblinie MVI'!$S$26</c:f>
              <c:strCache>
                <c:ptCount val="1"/>
                <c:pt idx="0">
                  <c:v>U 8</c:v>
                </c:pt>
              </c:strCache>
            </c:strRef>
          </c:tx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5.0868686297512863E-3"/>
                  <c:y val="2.884835257598183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'Sieblinie MVI'!$N$27:$N$35</c:f>
              <c:numCache>
                <c:formatCode>General</c:formatCode>
                <c:ptCount val="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16</c:v>
                </c:pt>
              </c:numCache>
            </c:numRef>
          </c:cat>
          <c:val>
            <c:numRef>
              <c:f>'Sieblinie MVI'!$S$27:$S$35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17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5696"/>
        <c:axId val="45760512"/>
      </c:lineChart>
      <c:catAx>
        <c:axId val="443656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Maschen-/Lochweite der Siebe [mm]</a:t>
                </a:r>
              </a:p>
            </c:rich>
          </c:tx>
          <c:layout>
            <c:manualLayout>
              <c:xMode val="edge"/>
              <c:yMode val="edge"/>
              <c:x val="0.31059239979939762"/>
              <c:y val="0.8590618937578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576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5760512"/>
        <c:scaling>
          <c:orientation val="minMax"/>
          <c:max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de-DE"/>
                  <a:t>Siebdurchgang [M-%]</a:t>
                </a:r>
              </a:p>
            </c:rich>
          </c:tx>
          <c:layout>
            <c:manualLayout>
              <c:xMode val="edge"/>
              <c:yMode val="edge"/>
              <c:x val="3.590657339380695E-2"/>
              <c:y val="0.16107426109779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de-DE"/>
          </a:p>
        </c:txPr>
        <c:crossAx val="44365696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de-DE"/>
    </a:p>
  </c:txPr>
  <c:printSettings>
    <c:headerFooter alignWithMargins="0">
      <c:oddHeader>&amp;N</c:oddHeader>
      <c:oddFooter>Seite &amp;S</c:oddFooter>
    </c:headerFooter>
    <c:pageMargins b="0.98425196899999956" l="0.78740157499999996" r="0.78740157499999996" t="0.98425196899999956" header="0.51181102300000003" footer="0.51181102300000003"/>
    <c:pageSetup paperSize="9" orientation="portrait" horizontalDpi="-4" verticalDpi="-4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0.46443</cdr:x>
      <cdr:y>0.4837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209946" y="1146648"/>
          <a:ext cx="327513" cy="20971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0.60775</cdr:x>
      <cdr:y>0.63095</cdr:y>
    </cdr:from>
    <cdr:to>
      <cdr:x>0.68043</cdr:x>
      <cdr:y>0.69741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20449" y="1769284"/>
          <a:ext cx="397090" cy="1863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16</a:t>
          </a:r>
        </a:p>
      </cdr:txBody>
    </cdr:sp>
  </cdr:relSizeAnchor>
  <cdr:relSizeAnchor xmlns:cdr="http://schemas.openxmlformats.org/drawingml/2006/chartDrawing">
    <cdr:from>
      <cdr:x>0.36397</cdr:x>
      <cdr:y>0.35266</cdr:y>
    </cdr:from>
    <cdr:to>
      <cdr:x>0.4104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88571" y="988913"/>
          <a:ext cx="253659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16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0.71967</cdr:x>
      <cdr:y>0.39402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167706" y="778687"/>
          <a:ext cx="764214" cy="3262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16</a:t>
          </a:r>
        </a:p>
      </cdr:txBody>
    </cdr:sp>
  </cdr:relSizeAnchor>
  <cdr:relSizeAnchor xmlns:cdr="http://schemas.openxmlformats.org/drawingml/2006/chartDrawing">
    <cdr:from>
      <cdr:x>0.8697</cdr:x>
      <cdr:y>0.50155</cdr:y>
    </cdr:from>
    <cdr:to>
      <cdr:x>0.93575</cdr:x>
      <cdr:y>0.56244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1665" y="1406439"/>
          <a:ext cx="360867" cy="170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U16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198120</xdr:colOff>
      <xdr:row>36</xdr:row>
      <xdr:rowOff>76200</xdr:rowOff>
    </xdr:from>
    <xdr:to>
      <xdr:col>12</xdr:col>
      <xdr:colOff>403860</xdr:colOff>
      <xdr:row>53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0.40449</cdr:x>
      <cdr:y>0.40891</cdr:y>
    </cdr:from>
    <cdr:to>
      <cdr:x>0.4229</cdr:x>
      <cdr:y>0.46327</cdr:y>
    </cdr:to>
    <cdr:sp macro="" textlink="">
      <cdr:nvSpPr>
        <cdr:cNvPr id="204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2154339" y="1171159"/>
          <a:ext cx="97869" cy="1562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0.68585</cdr:x>
      <cdr:y>0.43258</cdr:y>
    </cdr:from>
    <cdr:to>
      <cdr:x>0.75853</cdr:x>
      <cdr:y>0.49904</cdr:y>
    </cdr:to>
    <cdr:sp macro="" textlink="">
      <cdr:nvSpPr>
        <cdr:cNvPr id="2050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9783" y="1239289"/>
          <a:ext cx="382343" cy="190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A 8</a:t>
          </a:r>
        </a:p>
      </cdr:txBody>
    </cdr:sp>
  </cdr:relSizeAnchor>
  <cdr:relSizeAnchor xmlns:cdr="http://schemas.openxmlformats.org/drawingml/2006/chartDrawing">
    <cdr:from>
      <cdr:x>0.71016</cdr:x>
      <cdr:y>0.40214</cdr:y>
    </cdr:from>
    <cdr:to>
      <cdr:x>0.72219</cdr:x>
      <cdr:y>0.43331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775056" y="1151890"/>
          <a:ext cx="67856" cy="8946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0.36919</cdr:x>
      <cdr:y>0.35266</cdr:y>
    </cdr:from>
    <cdr:to>
      <cdr:x>0.40518</cdr:x>
      <cdr:y>0.40788</cdr:y>
    </cdr:to>
    <cdr:sp macro="" textlink="">
      <cdr:nvSpPr>
        <cdr:cNvPr id="2052" name="Text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17103" y="988916"/>
          <a:ext cx="196592" cy="15485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wrap="none" lIns="18288" tIns="18288" rIns="18288" bIns="18288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C 8</a:t>
          </a:r>
        </a:p>
      </cdr:txBody>
    </cdr:sp>
  </cdr:relSizeAnchor>
  <cdr:relSizeAnchor xmlns:cdr="http://schemas.openxmlformats.org/drawingml/2006/chartDrawing">
    <cdr:from>
      <cdr:x>0.57979</cdr:x>
      <cdr:y>0.27769</cdr:y>
    </cdr:from>
    <cdr:to>
      <cdr:x>0.61441</cdr:x>
      <cdr:y>0.38136</cdr:y>
    </cdr:to>
    <cdr:sp macro="" textlink="">
      <cdr:nvSpPr>
        <cdr:cNvPr id="2053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084751" y="794036"/>
          <a:ext cx="183994" cy="29523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0.52652</cdr:x>
      <cdr:y>0.20399</cdr:y>
    </cdr:from>
    <cdr:to>
      <cdr:x>0.60189</cdr:x>
      <cdr:y>0.29775</cdr:y>
    </cdr:to>
    <cdr:sp macro="" textlink="">
      <cdr:nvSpPr>
        <cdr:cNvPr id="2054" name="Text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1582" y="584140"/>
          <a:ext cx="400612" cy="2670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B 8</a:t>
          </a:r>
        </a:p>
      </cdr:txBody>
    </cdr:sp>
  </cdr:relSizeAnchor>
  <cdr:relSizeAnchor xmlns:cdr="http://schemas.openxmlformats.org/drawingml/2006/chartDrawing">
    <cdr:from>
      <cdr:x>0.81034</cdr:x>
      <cdr:y>0.26416</cdr:y>
    </cdr:from>
    <cdr:to>
      <cdr:x>0.85085</cdr:x>
      <cdr:y>0.32771</cdr:y>
    </cdr:to>
    <cdr:sp macro="" textlink="">
      <cdr:nvSpPr>
        <cdr:cNvPr id="2055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4310075" y="755498"/>
          <a:ext cx="215313" cy="18099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 type="none" w="med" len="sm"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0.82089</cdr:x>
      <cdr:y>0.29775</cdr:y>
    </cdr:from>
    <cdr:to>
      <cdr:x>0.88694</cdr:x>
      <cdr:y>0.35864</cdr:y>
    </cdr:to>
    <cdr:sp macro="" textlink="">
      <cdr:nvSpPr>
        <cdr:cNvPr id="2056" name="Text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366187" y="851155"/>
          <a:ext cx="351025" cy="1734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1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MS Sans Serif"/>
            </a:rPr>
            <a:t>U 8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osert\AppData\Local\Microsoft\Windows\Temporary%20Internet%20Files\Content.Outlook\9U3PCEJK\20090507%20Rezeptur_Huisman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eblinie"/>
      <sheetName val="Rezeptur"/>
      <sheetName val="Mischanweisung"/>
      <sheetName val="Prüfauftrag "/>
      <sheetName val="Mischvorgang"/>
    </sheetNames>
    <sheetDataSet>
      <sheetData sheetId="0">
        <row r="35">
          <cell r="E35">
            <v>12.6</v>
          </cell>
          <cell r="F35">
            <v>30.3</v>
          </cell>
          <cell r="G35">
            <v>40.200000000000003</v>
          </cell>
          <cell r="H35">
            <v>49.4</v>
          </cell>
          <cell r="I35">
            <v>64.900000000000006</v>
          </cell>
          <cell r="J35">
            <v>97.6</v>
          </cell>
          <cell r="K35">
            <v>100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workbookViewId="0">
      <selection activeCell="M37" sqref="M37"/>
    </sheetView>
  </sheetViews>
  <sheetFormatPr baseColWidth="10" defaultRowHeight="12.75" x14ac:dyDescent="0.2"/>
  <cols>
    <col min="1" max="1" width="6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3" ht="20.100000000000001" customHeight="1" x14ac:dyDescent="0.2">
      <c r="A1" s="210" t="s">
        <v>0</v>
      </c>
      <c r="B1" s="7" t="s">
        <v>1</v>
      </c>
      <c r="C1" s="211"/>
      <c r="D1" s="211"/>
      <c r="E1" s="212"/>
      <c r="F1" s="212"/>
      <c r="G1" s="212"/>
      <c r="H1" s="212"/>
      <c r="I1" s="212"/>
      <c r="J1" s="212"/>
      <c r="K1" s="213" t="s">
        <v>2</v>
      </c>
      <c r="L1" s="214"/>
      <c r="M1" s="215">
        <v>38667</v>
      </c>
    </row>
    <row r="2" spans="1:13" ht="20.100000000000001" customHeight="1" thickBot="1" x14ac:dyDescent="0.25">
      <c r="A2" s="216" t="s">
        <v>133</v>
      </c>
      <c r="B2" s="8" t="s">
        <v>3</v>
      </c>
      <c r="C2" s="217"/>
      <c r="D2" s="217"/>
      <c r="E2" s="218"/>
      <c r="F2" s="218"/>
      <c r="G2" s="218"/>
      <c r="H2" s="218"/>
      <c r="I2" s="218"/>
      <c r="J2" s="218"/>
      <c r="K2" s="219" t="s">
        <v>4</v>
      </c>
      <c r="L2" s="220"/>
      <c r="M2" s="221" t="s">
        <v>164</v>
      </c>
    </row>
    <row r="3" spans="1:13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">
      <c r="A4" s="222" t="s">
        <v>5</v>
      </c>
      <c r="B4" s="222"/>
      <c r="C4" s="222"/>
      <c r="D4" s="222"/>
      <c r="E4" s="223" t="s">
        <v>160</v>
      </c>
      <c r="F4" s="223"/>
      <c r="G4" s="223"/>
      <c r="H4" s="223"/>
      <c r="I4" s="6"/>
      <c r="J4" s="223" t="s">
        <v>161</v>
      </c>
      <c r="K4" s="223"/>
      <c r="L4" s="224"/>
      <c r="M4" s="224"/>
    </row>
    <row r="5" spans="1:13" ht="20.100000000000001" customHeight="1" x14ac:dyDescent="0.2">
      <c r="A5" s="222" t="s">
        <v>6</v>
      </c>
      <c r="B5" s="222"/>
      <c r="C5" s="222"/>
      <c r="D5" s="222"/>
      <c r="E5" s="223" t="s">
        <v>135</v>
      </c>
      <c r="F5" s="223"/>
      <c r="G5" s="223"/>
      <c r="H5" s="223"/>
      <c r="I5" s="6"/>
      <c r="J5" s="223" t="s">
        <v>7</v>
      </c>
      <c r="K5" s="223"/>
      <c r="L5" s="224"/>
      <c r="M5" s="224"/>
    </row>
    <row r="6" spans="1:13" ht="20.100000000000001" customHeight="1" x14ac:dyDescent="0.2">
      <c r="A6" s="222" t="s">
        <v>8</v>
      </c>
      <c r="B6" s="222"/>
      <c r="C6" s="222"/>
      <c r="D6" s="222"/>
      <c r="F6" s="6"/>
      <c r="G6" s="223"/>
      <c r="H6" s="223"/>
      <c r="I6" s="225" t="s">
        <v>9</v>
      </c>
      <c r="J6" s="225"/>
      <c r="K6" s="226" t="s">
        <v>165</v>
      </c>
      <c r="L6" s="224"/>
      <c r="M6" s="224"/>
    </row>
    <row r="7" spans="1:13" ht="9.9499999999999993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</row>
    <row r="8" spans="1:13" ht="15.95" customHeight="1" x14ac:dyDescent="0.2">
      <c r="A8" s="227" t="s">
        <v>10</v>
      </c>
      <c r="B8" s="1"/>
      <c r="C8" s="1"/>
      <c r="D8" s="1"/>
      <c r="E8" s="1"/>
      <c r="F8" s="1"/>
      <c r="G8" s="1"/>
      <c r="H8" s="1"/>
      <c r="I8" s="228" t="s">
        <v>11</v>
      </c>
      <c r="J8" s="228"/>
      <c r="K8" s="224" t="s">
        <v>12</v>
      </c>
      <c r="L8" s="224"/>
      <c r="M8" s="229">
        <f>M35</f>
        <v>3.863</v>
      </c>
    </row>
    <row r="9" spans="1:13" ht="5.0999999999999996" customHeight="1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95" customHeight="1" x14ac:dyDescent="0.2">
      <c r="A10" s="230" t="s">
        <v>13</v>
      </c>
      <c r="B10" s="231"/>
      <c r="C10" s="232"/>
      <c r="D10" s="233"/>
      <c r="E10" s="234" t="s">
        <v>14</v>
      </c>
      <c r="F10" s="231"/>
      <c r="G10" s="231"/>
      <c r="H10" s="231"/>
      <c r="I10" s="231"/>
      <c r="J10" s="231"/>
      <c r="K10" s="231"/>
      <c r="L10" s="231"/>
      <c r="M10" s="235" t="s">
        <v>15</v>
      </c>
    </row>
    <row r="11" spans="1:13" ht="15.95" customHeight="1" thickBot="1" x14ac:dyDescent="0.25">
      <c r="A11" s="236" t="s">
        <v>16</v>
      </c>
      <c r="B11" s="237"/>
      <c r="C11" s="238"/>
      <c r="D11" s="239">
        <v>0.125</v>
      </c>
      <c r="E11" s="240">
        <v>0.25</v>
      </c>
      <c r="F11" s="240">
        <v>0.5</v>
      </c>
      <c r="G11" s="240">
        <v>1</v>
      </c>
      <c r="H11" s="240">
        <v>2</v>
      </c>
      <c r="I11" s="240">
        <v>4</v>
      </c>
      <c r="J11" s="240">
        <v>8</v>
      </c>
      <c r="K11" s="240">
        <v>16</v>
      </c>
      <c r="L11" s="240">
        <v>31.5</v>
      </c>
      <c r="M11" s="241" t="s">
        <v>17</v>
      </c>
    </row>
    <row r="12" spans="1:13" ht="15.95" customHeight="1" x14ac:dyDescent="0.2">
      <c r="A12" s="242" t="s">
        <v>129</v>
      </c>
      <c r="B12" s="3"/>
      <c r="C12" s="243"/>
      <c r="D12" s="244">
        <v>52.4</v>
      </c>
      <c r="E12" s="245">
        <v>77</v>
      </c>
      <c r="F12" s="245">
        <v>99.968699948018553</v>
      </c>
      <c r="G12" s="245">
        <v>100</v>
      </c>
      <c r="H12" s="245">
        <v>100</v>
      </c>
      <c r="I12" s="245">
        <v>100</v>
      </c>
      <c r="J12" s="245">
        <v>100</v>
      </c>
      <c r="K12" s="245">
        <v>100</v>
      </c>
      <c r="L12" s="245">
        <v>100</v>
      </c>
      <c r="M12" s="246" t="s">
        <v>18</v>
      </c>
    </row>
    <row r="13" spans="1:13" ht="15.95" customHeight="1" x14ac:dyDescent="0.2">
      <c r="A13" s="242" t="s">
        <v>136</v>
      </c>
      <c r="B13" s="3"/>
      <c r="C13" s="243"/>
      <c r="D13" s="247">
        <v>2.9</v>
      </c>
      <c r="E13" s="245">
        <v>41.7</v>
      </c>
      <c r="F13" s="245">
        <v>99.8</v>
      </c>
      <c r="G13" s="245">
        <v>100</v>
      </c>
      <c r="H13" s="245">
        <v>100</v>
      </c>
      <c r="I13" s="245">
        <v>100</v>
      </c>
      <c r="J13" s="245">
        <v>100</v>
      </c>
      <c r="K13" s="245">
        <v>100</v>
      </c>
      <c r="L13" s="245">
        <v>100</v>
      </c>
      <c r="M13" s="246" t="s">
        <v>163</v>
      </c>
    </row>
    <row r="14" spans="1:13" ht="15.95" customHeight="1" x14ac:dyDescent="0.2">
      <c r="A14" s="242" t="s">
        <v>137</v>
      </c>
      <c r="B14" s="3"/>
      <c r="C14" s="243"/>
      <c r="D14" s="247">
        <v>0.3</v>
      </c>
      <c r="E14" s="245">
        <v>1.1000000000000001</v>
      </c>
      <c r="F14" s="245">
        <v>3.6</v>
      </c>
      <c r="G14" s="245">
        <v>99.1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6" t="s">
        <v>163</v>
      </c>
    </row>
    <row r="15" spans="1:13" ht="15.95" customHeight="1" x14ac:dyDescent="0.2">
      <c r="A15" s="242" t="s">
        <v>138</v>
      </c>
      <c r="B15" s="3"/>
      <c r="C15" s="243"/>
      <c r="D15" s="247">
        <v>0.1</v>
      </c>
      <c r="E15" s="248">
        <v>0.1</v>
      </c>
      <c r="F15" s="248">
        <v>0.2</v>
      </c>
      <c r="G15" s="245">
        <v>3.1</v>
      </c>
      <c r="H15" s="245">
        <v>93.1</v>
      </c>
      <c r="I15" s="245">
        <v>100</v>
      </c>
      <c r="J15" s="245">
        <v>100</v>
      </c>
      <c r="K15" s="245">
        <v>100</v>
      </c>
      <c r="L15" s="245">
        <v>100</v>
      </c>
      <c r="M15" s="246" t="s">
        <v>163</v>
      </c>
    </row>
    <row r="16" spans="1:13" ht="15.95" customHeight="1" x14ac:dyDescent="0.2">
      <c r="A16" s="242" t="s">
        <v>139</v>
      </c>
      <c r="B16" s="3"/>
      <c r="C16" s="243"/>
      <c r="D16" s="247">
        <v>6.4489099453481913E-3</v>
      </c>
      <c r="E16" s="248">
        <v>0</v>
      </c>
      <c r="F16" s="248">
        <v>0</v>
      </c>
      <c r="G16" s="248">
        <v>0</v>
      </c>
      <c r="H16" s="245">
        <v>0.5</v>
      </c>
      <c r="I16" s="245">
        <v>97.8</v>
      </c>
      <c r="J16" s="245">
        <v>100</v>
      </c>
      <c r="K16" s="245">
        <v>100</v>
      </c>
      <c r="L16" s="245">
        <v>100</v>
      </c>
      <c r="M16" s="246" t="s">
        <v>163</v>
      </c>
    </row>
    <row r="17" spans="1:19" ht="15.95" customHeight="1" x14ac:dyDescent="0.2">
      <c r="A17" s="242" t="s">
        <v>140</v>
      </c>
      <c r="B17" s="3"/>
      <c r="C17" s="243"/>
      <c r="D17" s="247">
        <v>1.5879434670367232E-2</v>
      </c>
      <c r="E17" s="248">
        <v>0.3</v>
      </c>
      <c r="F17" s="248">
        <v>0.3</v>
      </c>
      <c r="G17" s="248">
        <v>0.4</v>
      </c>
      <c r="H17" s="248">
        <v>0.8</v>
      </c>
      <c r="I17" s="245">
        <v>0.7</v>
      </c>
      <c r="J17" s="245">
        <v>93.2</v>
      </c>
      <c r="K17" s="245">
        <v>100</v>
      </c>
      <c r="L17" s="245">
        <v>100</v>
      </c>
      <c r="M17" s="246" t="s">
        <v>163</v>
      </c>
    </row>
    <row r="18" spans="1:19" ht="15.95" customHeight="1" x14ac:dyDescent="0.2">
      <c r="A18" s="242" t="s">
        <v>141</v>
      </c>
      <c r="B18" s="3"/>
      <c r="C18" s="243"/>
      <c r="D18" s="247">
        <v>4.3344736856695931E-2</v>
      </c>
      <c r="E18" s="248">
        <v>0.1</v>
      </c>
      <c r="F18" s="248">
        <v>0.1</v>
      </c>
      <c r="G18" s="248">
        <v>0.1</v>
      </c>
      <c r="H18" s="248">
        <v>0.3</v>
      </c>
      <c r="I18" s="248">
        <v>0.8</v>
      </c>
      <c r="J18" s="245">
        <v>7.2</v>
      </c>
      <c r="K18" s="245">
        <v>98.9</v>
      </c>
      <c r="L18" s="245">
        <v>100</v>
      </c>
      <c r="M18" s="246" t="s">
        <v>163</v>
      </c>
      <c r="O18" s="249"/>
    </row>
    <row r="19" spans="1:19" ht="15.75" customHeight="1" thickBot="1" x14ac:dyDescent="0.25">
      <c r="A19" s="236"/>
      <c r="B19" s="237"/>
      <c r="C19" s="238"/>
      <c r="D19" s="237"/>
      <c r="E19" s="250"/>
      <c r="F19" s="251"/>
      <c r="G19" s="251"/>
      <c r="H19" s="251"/>
      <c r="I19" s="251"/>
      <c r="J19" s="251"/>
      <c r="K19" s="251"/>
      <c r="L19" s="251"/>
      <c r="M19" s="252"/>
    </row>
    <row r="20" spans="1:19" ht="4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9" ht="15.95" customHeight="1" x14ac:dyDescent="0.2">
      <c r="A21" s="253" t="s">
        <v>19</v>
      </c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9" ht="5.0999999999999996" customHeight="1" x14ac:dyDescent="0.2">
      <c r="A22" s="2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9" ht="15.95" customHeight="1" x14ac:dyDescent="0.2">
      <c r="A23" s="254" t="s">
        <v>20</v>
      </c>
      <c r="B23" s="255"/>
      <c r="C23" s="256"/>
      <c r="D23" s="257">
        <v>0</v>
      </c>
      <c r="E23" s="258">
        <v>8</v>
      </c>
      <c r="F23" s="258">
        <v>20</v>
      </c>
      <c r="G23" s="258">
        <v>32</v>
      </c>
      <c r="H23" s="258">
        <v>44</v>
      </c>
      <c r="I23" s="258">
        <v>52</v>
      </c>
      <c r="J23" s="258">
        <v>61</v>
      </c>
      <c r="K23" s="258">
        <v>99</v>
      </c>
      <c r="L23" s="258">
        <v>100</v>
      </c>
      <c r="M23" s="259">
        <f>(700-SUM(E23:K23))/100</f>
        <v>3.84</v>
      </c>
    </row>
    <row r="24" spans="1:19" ht="3.75" customHeight="1" thickBot="1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</row>
    <row r="25" spans="1:19" ht="15.95" customHeight="1" x14ac:dyDescent="0.2">
      <c r="A25" s="260" t="s">
        <v>13</v>
      </c>
      <c r="B25" s="233"/>
      <c r="C25" s="261"/>
      <c r="D25" s="233"/>
      <c r="E25" s="262" t="s">
        <v>21</v>
      </c>
      <c r="F25" s="234"/>
      <c r="G25" s="234"/>
      <c r="H25" s="234"/>
      <c r="I25" s="234"/>
      <c r="J25" s="234"/>
      <c r="K25" s="234"/>
      <c r="L25" s="234"/>
      <c r="M25" s="235" t="s">
        <v>22</v>
      </c>
    </row>
    <row r="26" spans="1:19" ht="15.95" customHeight="1" thickBot="1" x14ac:dyDescent="0.25">
      <c r="A26" s="263" t="s">
        <v>16</v>
      </c>
      <c r="B26" s="264"/>
      <c r="C26" s="265" t="s">
        <v>23</v>
      </c>
      <c r="D26" s="266">
        <v>0.125</v>
      </c>
      <c r="E26" s="267">
        <v>0.25</v>
      </c>
      <c r="F26" s="240">
        <v>0.5</v>
      </c>
      <c r="G26" s="240">
        <v>1</v>
      </c>
      <c r="H26" s="240">
        <v>2</v>
      </c>
      <c r="I26" s="240">
        <v>4</v>
      </c>
      <c r="J26" s="240">
        <v>8</v>
      </c>
      <c r="K26" s="240">
        <v>16</v>
      </c>
      <c r="L26" s="240">
        <v>31.5</v>
      </c>
      <c r="M26" s="268" t="s">
        <v>24</v>
      </c>
      <c r="O26" t="s">
        <v>25</v>
      </c>
      <c r="P26" s="193" t="s">
        <v>181</v>
      </c>
      <c r="Q26" s="193" t="s">
        <v>182</v>
      </c>
      <c r="R26" s="193" t="s">
        <v>183</v>
      </c>
      <c r="S26" s="193" t="s">
        <v>184</v>
      </c>
    </row>
    <row r="27" spans="1:19" ht="15.95" customHeight="1" x14ac:dyDescent="0.2">
      <c r="A27" s="242" t="s">
        <v>146</v>
      </c>
      <c r="B27" s="3"/>
      <c r="C27" s="269">
        <v>0</v>
      </c>
      <c r="D27" s="270">
        <f t="shared" ref="D27:K33" si="0">ROUND((($C27*D12)/100),1)</f>
        <v>0</v>
      </c>
      <c r="E27" s="270">
        <f t="shared" si="0"/>
        <v>0</v>
      </c>
      <c r="F27" s="245">
        <f t="shared" si="0"/>
        <v>0</v>
      </c>
      <c r="G27" s="245">
        <f t="shared" si="0"/>
        <v>0</v>
      </c>
      <c r="H27" s="245">
        <f t="shared" si="0"/>
        <v>0</v>
      </c>
      <c r="I27" s="245">
        <f t="shared" si="0"/>
        <v>0</v>
      </c>
      <c r="J27" s="245">
        <f t="shared" si="0"/>
        <v>0</v>
      </c>
      <c r="K27" s="245">
        <f t="shared" si="0"/>
        <v>0</v>
      </c>
      <c r="L27" s="245"/>
      <c r="M27" s="259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.95" customHeight="1" x14ac:dyDescent="0.2">
      <c r="A28" s="242" t="s">
        <v>136</v>
      </c>
      <c r="B28" s="3"/>
      <c r="C28" s="269">
        <v>20</v>
      </c>
      <c r="D28" s="245">
        <f t="shared" si="0"/>
        <v>0.6</v>
      </c>
      <c r="E28" s="245">
        <f>ROUND((($C28*E13)/100),1)</f>
        <v>8.3000000000000007</v>
      </c>
      <c r="F28" s="245">
        <f t="shared" si="0"/>
        <v>20</v>
      </c>
      <c r="G28" s="245">
        <f t="shared" si="0"/>
        <v>20</v>
      </c>
      <c r="H28" s="245">
        <f t="shared" si="0"/>
        <v>20</v>
      </c>
      <c r="I28" s="245">
        <f t="shared" si="0"/>
        <v>20</v>
      </c>
      <c r="J28" s="245">
        <f t="shared" si="0"/>
        <v>20</v>
      </c>
      <c r="K28" s="245">
        <f t="shared" si="0"/>
        <v>20</v>
      </c>
      <c r="L28" s="245"/>
      <c r="M28" s="259"/>
      <c r="N28">
        <v>0.125</v>
      </c>
      <c r="O28" s="5">
        <f>D35</f>
        <v>0.6</v>
      </c>
      <c r="P28">
        <v>0</v>
      </c>
      <c r="Q28">
        <v>0</v>
      </c>
      <c r="R28">
        <v>0</v>
      </c>
      <c r="S28">
        <v>0</v>
      </c>
    </row>
    <row r="29" spans="1:19" ht="15.95" customHeight="1" x14ac:dyDescent="0.2">
      <c r="A29" s="242" t="s">
        <v>147</v>
      </c>
      <c r="B29" s="3"/>
      <c r="C29" s="269">
        <v>11.5</v>
      </c>
      <c r="D29" s="245">
        <f>ROUND((($C29*D14)/100),1)</f>
        <v>0</v>
      </c>
      <c r="E29" s="245">
        <f t="shared" si="0"/>
        <v>0.1</v>
      </c>
      <c r="F29" s="245">
        <f>ROUND((($C29*F14)/100),1)</f>
        <v>0.4</v>
      </c>
      <c r="G29" s="245">
        <f t="shared" si="0"/>
        <v>11.4</v>
      </c>
      <c r="H29" s="245">
        <f t="shared" si="0"/>
        <v>11.5</v>
      </c>
      <c r="I29" s="245">
        <f t="shared" si="0"/>
        <v>11.5</v>
      </c>
      <c r="J29" s="245">
        <f t="shared" si="0"/>
        <v>11.5</v>
      </c>
      <c r="K29" s="245">
        <f t="shared" si="0"/>
        <v>11.5</v>
      </c>
      <c r="L29" s="245"/>
      <c r="M29" s="259"/>
      <c r="N29">
        <v>0.25</v>
      </c>
      <c r="O29" s="5">
        <f>E$35</f>
        <v>8.4</v>
      </c>
      <c r="P29">
        <v>3</v>
      </c>
      <c r="Q29">
        <v>8</v>
      </c>
      <c r="R29">
        <v>18</v>
      </c>
      <c r="S29">
        <v>3</v>
      </c>
    </row>
    <row r="30" spans="1:19" ht="15.95" customHeight="1" x14ac:dyDescent="0.2">
      <c r="A30" s="242" t="s">
        <v>148</v>
      </c>
      <c r="B30" s="3"/>
      <c r="C30" s="269">
        <v>11.5</v>
      </c>
      <c r="D30" s="245">
        <f t="shared" si="0"/>
        <v>0</v>
      </c>
      <c r="E30" s="245">
        <f t="shared" si="0"/>
        <v>0</v>
      </c>
      <c r="F30" s="245">
        <f t="shared" si="0"/>
        <v>0</v>
      </c>
      <c r="G30" s="245">
        <f t="shared" si="0"/>
        <v>0.4</v>
      </c>
      <c r="H30" s="245">
        <f t="shared" si="0"/>
        <v>10.7</v>
      </c>
      <c r="I30" s="245">
        <f t="shared" si="0"/>
        <v>11.5</v>
      </c>
      <c r="J30" s="245">
        <f t="shared" si="0"/>
        <v>11.5</v>
      </c>
      <c r="K30" s="245">
        <f t="shared" si="0"/>
        <v>11.5</v>
      </c>
      <c r="L30" s="245"/>
      <c r="M30" s="259"/>
      <c r="N30">
        <v>0.5</v>
      </c>
      <c r="O30" s="5">
        <f>F$35</f>
        <v>20.399999999999999</v>
      </c>
      <c r="P30">
        <v>8</v>
      </c>
      <c r="Q30">
        <v>20</v>
      </c>
      <c r="R30">
        <v>34</v>
      </c>
      <c r="S30">
        <v>8</v>
      </c>
    </row>
    <row r="31" spans="1:19" ht="15.95" customHeight="1" x14ac:dyDescent="0.2">
      <c r="A31" s="242" t="s">
        <v>149</v>
      </c>
      <c r="B31" s="3"/>
      <c r="C31" s="269">
        <v>7.5</v>
      </c>
      <c r="D31" s="245">
        <f t="shared" si="0"/>
        <v>0</v>
      </c>
      <c r="E31" s="245">
        <f t="shared" si="0"/>
        <v>0</v>
      </c>
      <c r="F31" s="245">
        <f t="shared" si="0"/>
        <v>0</v>
      </c>
      <c r="G31" s="245">
        <f t="shared" si="0"/>
        <v>0</v>
      </c>
      <c r="H31" s="245">
        <f t="shared" si="0"/>
        <v>0</v>
      </c>
      <c r="I31" s="245">
        <f t="shared" si="0"/>
        <v>7.3</v>
      </c>
      <c r="J31" s="245">
        <f t="shared" si="0"/>
        <v>7.5</v>
      </c>
      <c r="K31" s="245">
        <f t="shared" si="0"/>
        <v>7.5</v>
      </c>
      <c r="L31" s="245"/>
      <c r="M31" s="259"/>
      <c r="N31">
        <v>1</v>
      </c>
      <c r="O31" s="5">
        <f>G$35</f>
        <v>31.8</v>
      </c>
      <c r="P31">
        <v>12</v>
      </c>
      <c r="Q31">
        <v>32</v>
      </c>
      <c r="R31">
        <v>49</v>
      </c>
      <c r="S31">
        <v>12</v>
      </c>
    </row>
    <row r="32" spans="1:19" ht="16.5" customHeight="1" x14ac:dyDescent="0.2">
      <c r="A32" s="242" t="s">
        <v>150</v>
      </c>
      <c r="B32" s="3"/>
      <c r="C32" s="269">
        <v>7.5</v>
      </c>
      <c r="D32" s="245">
        <f t="shared" si="0"/>
        <v>0</v>
      </c>
      <c r="E32" s="245">
        <f t="shared" si="0"/>
        <v>0</v>
      </c>
      <c r="F32" s="245">
        <f t="shared" si="0"/>
        <v>0</v>
      </c>
      <c r="G32" s="245">
        <f t="shared" si="0"/>
        <v>0</v>
      </c>
      <c r="H32" s="245">
        <f t="shared" si="0"/>
        <v>0.1</v>
      </c>
      <c r="I32" s="245">
        <f t="shared" si="0"/>
        <v>0.1</v>
      </c>
      <c r="J32" s="245">
        <f t="shared" si="0"/>
        <v>7</v>
      </c>
      <c r="K32" s="245">
        <f t="shared" si="0"/>
        <v>7.5</v>
      </c>
      <c r="L32" s="245"/>
      <c r="M32" s="259"/>
      <c r="N32">
        <v>2</v>
      </c>
      <c r="O32" s="5">
        <f>H$35</f>
        <v>42.4</v>
      </c>
      <c r="P32">
        <v>21</v>
      </c>
      <c r="Q32">
        <v>42</v>
      </c>
      <c r="R32">
        <v>62</v>
      </c>
      <c r="S32">
        <v>30</v>
      </c>
    </row>
    <row r="33" spans="1:19" ht="15.95" customHeight="1" x14ac:dyDescent="0.2">
      <c r="A33" s="242" t="s">
        <v>151</v>
      </c>
      <c r="B33" s="3"/>
      <c r="C33" s="269">
        <v>42</v>
      </c>
      <c r="D33" s="245">
        <f t="shared" si="0"/>
        <v>0</v>
      </c>
      <c r="E33" s="245">
        <f t="shared" si="0"/>
        <v>0</v>
      </c>
      <c r="F33" s="245">
        <f t="shared" si="0"/>
        <v>0</v>
      </c>
      <c r="G33" s="245">
        <f t="shared" si="0"/>
        <v>0</v>
      </c>
      <c r="H33" s="245">
        <f t="shared" si="0"/>
        <v>0.1</v>
      </c>
      <c r="I33" s="245">
        <f t="shared" si="0"/>
        <v>0.3</v>
      </c>
      <c r="J33" s="245">
        <f t="shared" si="0"/>
        <v>3</v>
      </c>
      <c r="K33" s="245">
        <f t="shared" si="0"/>
        <v>41.5</v>
      </c>
      <c r="L33" s="245"/>
      <c r="M33" s="259"/>
      <c r="N33">
        <v>4</v>
      </c>
      <c r="O33" s="5">
        <f>I$35</f>
        <v>50.7</v>
      </c>
      <c r="P33">
        <v>36</v>
      </c>
      <c r="Q33">
        <v>56</v>
      </c>
      <c r="R33">
        <v>74</v>
      </c>
      <c r="S33">
        <v>30</v>
      </c>
    </row>
    <row r="34" spans="1:19" ht="15.95" customHeight="1" thickBot="1" x14ac:dyDescent="0.25">
      <c r="A34" s="236"/>
      <c r="B34" s="237"/>
      <c r="C34" s="271"/>
      <c r="D34" s="272"/>
      <c r="E34" s="251"/>
      <c r="F34" s="251"/>
      <c r="G34" s="251"/>
      <c r="H34" s="251"/>
      <c r="I34" s="251"/>
      <c r="J34" s="251"/>
      <c r="K34" s="251"/>
      <c r="L34" s="251"/>
      <c r="M34" s="273"/>
      <c r="N34">
        <v>8</v>
      </c>
      <c r="O34" s="5">
        <f>J$35</f>
        <v>60.5</v>
      </c>
      <c r="P34">
        <v>60</v>
      </c>
      <c r="Q34">
        <v>76</v>
      </c>
      <c r="R34">
        <v>88</v>
      </c>
      <c r="S34">
        <v>30</v>
      </c>
    </row>
    <row r="35" spans="1:19" ht="15.95" customHeight="1" x14ac:dyDescent="0.2">
      <c r="A35" s="274" t="s">
        <v>25</v>
      </c>
      <c r="B35" s="275"/>
      <c r="C35" s="269">
        <f>SUM(C27:C33)</f>
        <v>100</v>
      </c>
      <c r="D35" s="245">
        <f>ROUND((SUM(D27:D33)),1)</f>
        <v>0.6</v>
      </c>
      <c r="E35" s="245">
        <f t="shared" ref="E35:K35" si="1">ROUND((SUM(E27:E33)),1)</f>
        <v>8.4</v>
      </c>
      <c r="F35" s="245">
        <f t="shared" si="1"/>
        <v>20.399999999999999</v>
      </c>
      <c r="G35" s="245">
        <f t="shared" si="1"/>
        <v>31.8</v>
      </c>
      <c r="H35" s="245">
        <f t="shared" si="1"/>
        <v>42.4</v>
      </c>
      <c r="I35" s="245">
        <f t="shared" si="1"/>
        <v>50.7</v>
      </c>
      <c r="J35" s="245">
        <f t="shared" si="1"/>
        <v>60.5</v>
      </c>
      <c r="K35" s="245">
        <f t="shared" si="1"/>
        <v>99.5</v>
      </c>
      <c r="L35" s="245"/>
      <c r="M35" s="259">
        <f>(700-SUM(E35:K35))/100</f>
        <v>3.863</v>
      </c>
      <c r="N35">
        <v>16</v>
      </c>
      <c r="O35" s="5">
        <f>K$35</f>
        <v>99.5</v>
      </c>
      <c r="P35">
        <v>100</v>
      </c>
      <c r="Q35">
        <v>100</v>
      </c>
      <c r="R35">
        <v>100</v>
      </c>
      <c r="S35">
        <v>100</v>
      </c>
    </row>
    <row r="36" spans="1:19" ht="15.95" customHeight="1" thickBot="1" x14ac:dyDescent="0.25">
      <c r="A36" s="276" t="s">
        <v>26</v>
      </c>
      <c r="B36" s="277"/>
      <c r="C36" s="278"/>
      <c r="D36" s="251">
        <f t="shared" ref="D36:K36" si="2">D35-D23</f>
        <v>0.6</v>
      </c>
      <c r="E36" s="251">
        <f t="shared" si="2"/>
        <v>0.40000000000000036</v>
      </c>
      <c r="F36" s="251">
        <f t="shared" si="2"/>
        <v>0.39999999999999858</v>
      </c>
      <c r="G36" s="251">
        <f t="shared" si="2"/>
        <v>-0.19999999999999929</v>
      </c>
      <c r="H36" s="251">
        <f t="shared" si="2"/>
        <v>-1.6000000000000014</v>
      </c>
      <c r="I36" s="251">
        <f t="shared" si="2"/>
        <v>-1.2999999999999972</v>
      </c>
      <c r="J36" s="251">
        <f t="shared" si="2"/>
        <v>-0.5</v>
      </c>
      <c r="K36" s="251">
        <f t="shared" si="2"/>
        <v>0.5</v>
      </c>
      <c r="L36" s="251"/>
      <c r="M36" s="273">
        <f>M35-M23</f>
        <v>2.3000000000000131E-2</v>
      </c>
    </row>
    <row r="37" spans="1:19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t="s">
        <v>152</v>
      </c>
    </row>
    <row r="39" spans="1:19" x14ac:dyDescent="0.2">
      <c r="E39" s="4"/>
    </row>
    <row r="44" spans="1:19" x14ac:dyDescent="0.2">
      <c r="O44" s="10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110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111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112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113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G11" sqref="G11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RezepturMII!D6</f>
        <v>BA-Losert MII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RezepturMII!C22</f>
        <v>330</v>
      </c>
      <c r="D13" s="60"/>
      <c r="E13" s="68">
        <f>ROUND(((C13*E$10)/1000),2)</f>
        <v>28.05</v>
      </c>
      <c r="F13" s="69"/>
      <c r="G13" s="68">
        <f>ROUND(((C13*E$10)/1000),2)</f>
        <v>28.05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75">
        <f>RezepturMII!C23</f>
        <v>175</v>
      </c>
      <c r="D14" s="76"/>
      <c r="E14" s="68">
        <f>ROUND(((C14*E$10)/1000),2)</f>
        <v>14.88</v>
      </c>
      <c r="F14" s="77"/>
      <c r="G14" s="68">
        <f>ROUND(((C14*G$10)/1000),2)</f>
        <v>14.88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130</v>
      </c>
      <c r="B17" s="24" t="s">
        <v>168</v>
      </c>
      <c r="C17" s="81">
        <f>RezepturMII!C26</f>
        <v>212</v>
      </c>
      <c r="D17" s="60"/>
      <c r="E17" s="198">
        <f>C17*E$10/1000</f>
        <v>18.02</v>
      </c>
      <c r="F17" s="199"/>
      <c r="G17" s="198">
        <f>C17*E$10/1000</f>
        <v>18.02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f>RezepturMII!C27</f>
        <v>6.6</v>
      </c>
      <c r="D18" s="60"/>
      <c r="E18" s="198">
        <f>ROUND(((C18*E$10)/1000),3)</f>
        <v>0.56100000000000005</v>
      </c>
      <c r="F18" s="199"/>
      <c r="G18" s="198">
        <f>ROUND(((C18*E$10)/1000),3)</f>
        <v>0.56100000000000005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</row>
    <row r="19" spans="1:15" ht="20.100000000000001" customHeight="1" x14ac:dyDescent="0.2">
      <c r="A19" s="58" t="s">
        <v>57</v>
      </c>
      <c r="B19" s="54"/>
      <c r="C19" s="81">
        <f>SUM(C13:C18)</f>
        <v>723.6</v>
      </c>
      <c r="D19" s="60"/>
      <c r="E19" s="198">
        <f>SUM(E13:E18)</f>
        <v>61.511000000000003</v>
      </c>
      <c r="F19" s="199"/>
      <c r="G19" s="198">
        <f>SUM(G13:G18)</f>
        <v>61.511000000000003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1618</v>
      </c>
      <c r="D20" s="94" t="s">
        <v>60</v>
      </c>
      <c r="E20" s="200">
        <f>SUM(E21:E30)</f>
        <v>137.53</v>
      </c>
      <c r="F20" s="201"/>
      <c r="G20" s="202">
        <f>E20</f>
        <v>137.53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RezepturMII!C30</f>
        <v>0</v>
      </c>
      <c r="D21" s="102">
        <f>RezepturMI!H30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RezepturMII!C31</f>
        <v>324</v>
      </c>
      <c r="D22" s="102">
        <f>RezepturMI!H31</f>
        <v>20</v>
      </c>
      <c r="E22" s="202">
        <f t="shared" ref="E22:E27" si="0">ROUND(((C22*E$10)/1000),3)</f>
        <v>27.54</v>
      </c>
      <c r="F22" s="203"/>
      <c r="G22" s="202">
        <f>ROUND((G21+E22),3)</f>
        <v>27.54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RezepturMII!C32</f>
        <v>186</v>
      </c>
      <c r="D23" s="102">
        <f>RezepturMI!H32</f>
        <v>11.5</v>
      </c>
      <c r="E23" s="202">
        <f t="shared" si="0"/>
        <v>15.81</v>
      </c>
      <c r="F23" s="203"/>
      <c r="G23" s="202">
        <f>ROUND((G22+E23),3)</f>
        <v>43.35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RezepturMII!C33</f>
        <v>186</v>
      </c>
      <c r="D24" s="102">
        <f>RezepturMI!H33</f>
        <v>11.5</v>
      </c>
      <c r="E24" s="202">
        <f t="shared" si="0"/>
        <v>15.81</v>
      </c>
      <c r="F24" s="203"/>
      <c r="G24" s="202">
        <f>ROUND((G23+E24),3)</f>
        <v>59.16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RezepturMII!C34</f>
        <v>121</v>
      </c>
      <c r="D25" s="102">
        <f>RezepturMI!H34</f>
        <v>7.5</v>
      </c>
      <c r="E25" s="202">
        <f t="shared" si="0"/>
        <v>10.285</v>
      </c>
      <c r="F25" s="203"/>
      <c r="G25" s="202">
        <f>ROUND((G24+E25),2)</f>
        <v>69.45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113">
        <f>RezepturMII!C35</f>
        <v>121</v>
      </c>
      <c r="D26" s="114">
        <f>RezepturMI!H35</f>
        <v>7.5</v>
      </c>
      <c r="E26" s="202">
        <f t="shared" si="0"/>
        <v>10.285</v>
      </c>
      <c r="F26" s="203"/>
      <c r="G26" s="202">
        <f>ROUND((G25+E26),3)</f>
        <v>79.734999999999999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RezepturMII!C36</f>
        <v>680</v>
      </c>
      <c r="D27" s="102">
        <f>RezepturMI!H36</f>
        <v>42</v>
      </c>
      <c r="E27" s="202">
        <f t="shared" si="0"/>
        <v>57.8</v>
      </c>
      <c r="F27" s="203"/>
      <c r="G27" s="202">
        <f>ROUND((G26+E27),3)</f>
        <v>137.535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2341.6</v>
      </c>
      <c r="D31" s="127" t="s">
        <v>74</v>
      </c>
      <c r="E31" s="128">
        <f>ROUND((E19+E20),2)</f>
        <v>199.04</v>
      </c>
      <c r="F31" s="129"/>
      <c r="G31" s="128">
        <f>ROUND((SUM(G13,G14,G17,G18,G20)),2)</f>
        <v>199.04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Q13" sqref="Q13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RezepturMIII!D6</f>
        <v>BA-Losert MIII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RezepturMIII!C22</f>
        <v>330</v>
      </c>
      <c r="D13" s="60"/>
      <c r="E13" s="68">
        <f>ROUND(((C13*E$10)/1000),2)</f>
        <v>28.05</v>
      </c>
      <c r="F13" s="69"/>
      <c r="G13" s="68">
        <f>ROUND(((C13*E$10)/1000),2)</f>
        <v>28.05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75">
        <f>RezepturMIII!C23</f>
        <v>175</v>
      </c>
      <c r="D14" s="76"/>
      <c r="E14" s="68">
        <f>ROUND(((C14*E$10)/1000),2)</f>
        <v>14.88</v>
      </c>
      <c r="F14" s="77"/>
      <c r="G14" s="68">
        <f>ROUND(((C14*G$10)/1000),2)</f>
        <v>14.88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130</v>
      </c>
      <c r="B17" s="24" t="s">
        <v>168</v>
      </c>
      <c r="C17" s="81">
        <f>RezepturMIII!C26</f>
        <v>147</v>
      </c>
      <c r="D17" s="60"/>
      <c r="E17" s="198">
        <f>C17*E$10/1000</f>
        <v>12.494999999999999</v>
      </c>
      <c r="F17" s="199"/>
      <c r="G17" s="198">
        <f>C17*E$10/1000</f>
        <v>12.494999999999999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f>RezepturMIII!C27</f>
        <v>4.95</v>
      </c>
      <c r="D18" s="60"/>
      <c r="E18" s="198">
        <f>ROUND(((C18*E$10)/1000),3)</f>
        <v>0.42099999999999999</v>
      </c>
      <c r="F18" s="199"/>
      <c r="G18" s="198">
        <f>ROUND(((C18*E$10)/1000),3)</f>
        <v>0.42099999999999999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</row>
    <row r="19" spans="1:15" ht="20.100000000000001" customHeight="1" x14ac:dyDescent="0.2">
      <c r="A19" s="58" t="s">
        <v>57</v>
      </c>
      <c r="B19" s="54"/>
      <c r="C19" s="81">
        <f>SUM(C13:C18)</f>
        <v>656.95</v>
      </c>
      <c r="D19" s="60"/>
      <c r="E19" s="198">
        <f>SUM(E13:E18)</f>
        <v>55.845999999999997</v>
      </c>
      <c r="F19" s="199"/>
      <c r="G19" s="198">
        <f>SUM(G13:G18)</f>
        <v>55.845999999999997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1685</v>
      </c>
      <c r="D20" s="94" t="s">
        <v>60</v>
      </c>
      <c r="E20" s="200">
        <f>SUM(E21:E30)</f>
        <v>143.22500000000002</v>
      </c>
      <c r="F20" s="201"/>
      <c r="G20" s="202">
        <f>E20</f>
        <v>143.22500000000002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RezepturMIII!C30</f>
        <v>0</v>
      </c>
      <c r="D21" s="102">
        <f>RezepturMI!H30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RezepturMIII!C31</f>
        <v>337</v>
      </c>
      <c r="D22" s="102">
        <f>RezepturMI!H31</f>
        <v>20</v>
      </c>
      <c r="E22" s="202">
        <f t="shared" ref="E22:E27" si="0">ROUND(((C22*E$10)/1000),3)</f>
        <v>28.645</v>
      </c>
      <c r="F22" s="203"/>
      <c r="G22" s="202">
        <f>ROUND((G21+E22),3)</f>
        <v>28.645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RezepturMIII!C32</f>
        <v>194</v>
      </c>
      <c r="D23" s="102">
        <f>RezepturMI!H32</f>
        <v>11.5</v>
      </c>
      <c r="E23" s="202">
        <f t="shared" si="0"/>
        <v>16.489999999999998</v>
      </c>
      <c r="F23" s="203"/>
      <c r="G23" s="202">
        <f>ROUND((G22+E23),3)</f>
        <v>45.134999999999998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RezepturMIII!C33</f>
        <v>194</v>
      </c>
      <c r="D24" s="102">
        <f>RezepturMI!H33</f>
        <v>11.5</v>
      </c>
      <c r="E24" s="202">
        <f t="shared" si="0"/>
        <v>16.489999999999998</v>
      </c>
      <c r="F24" s="203"/>
      <c r="G24" s="202">
        <f>ROUND((G23+E24),3)</f>
        <v>61.625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RezepturMIII!C34</f>
        <v>126</v>
      </c>
      <c r="D25" s="102">
        <f>RezepturMI!H34</f>
        <v>7.5</v>
      </c>
      <c r="E25" s="202">
        <f t="shared" si="0"/>
        <v>10.71</v>
      </c>
      <c r="F25" s="203"/>
      <c r="G25" s="202">
        <f>ROUND((G24+E25),2)</f>
        <v>72.34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93">
        <f>RezepturMIII!C35</f>
        <v>126</v>
      </c>
      <c r="D26" s="114">
        <f>RezepturMI!H35</f>
        <v>7.5</v>
      </c>
      <c r="E26" s="202">
        <f t="shared" si="0"/>
        <v>10.71</v>
      </c>
      <c r="F26" s="203"/>
      <c r="G26" s="202">
        <f>ROUND((G25+E26),3)</f>
        <v>83.05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RezepturMIII!C36</f>
        <v>708</v>
      </c>
      <c r="D27" s="102">
        <f>RezepturMI!H36</f>
        <v>42</v>
      </c>
      <c r="E27" s="202">
        <f t="shared" si="0"/>
        <v>60.18</v>
      </c>
      <c r="F27" s="203"/>
      <c r="G27" s="202">
        <f>ROUND((G26+E27),3)</f>
        <v>143.22999999999999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2341.9499999999998</v>
      </c>
      <c r="D31" s="127" t="s">
        <v>74</v>
      </c>
      <c r="E31" s="128">
        <f>ROUND((E19+E20),2)</f>
        <v>199.07</v>
      </c>
      <c r="F31" s="129"/>
      <c r="G31" s="128">
        <f>ROUND((SUM(G13,G14,G17,G18,G20)),2)</f>
        <v>199.07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G11" sqref="G11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RezepturMIV!D6</f>
        <v>BA-Losert MIV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RezepturMIV!C22</f>
        <v>330</v>
      </c>
      <c r="D13" s="60"/>
      <c r="E13" s="68">
        <f>ROUND(((C13*E$10)/1000),2)</f>
        <v>28.05</v>
      </c>
      <c r="F13" s="69"/>
      <c r="G13" s="68">
        <f>ROUND(((C13*E$10)/1000),2)</f>
        <v>28.05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67">
        <f>RezepturMIV!C23</f>
        <v>175</v>
      </c>
      <c r="D14" s="76"/>
      <c r="E14" s="68">
        <f>ROUND(((C14*E$10)/1000),2)</f>
        <v>14.88</v>
      </c>
      <c r="F14" s="77"/>
      <c r="G14" s="68">
        <f>ROUND(((C14*G$10)/1000),2)</f>
        <v>14.88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130</v>
      </c>
      <c r="B17" s="24" t="s">
        <v>168</v>
      </c>
      <c r="C17" s="81">
        <f>RezepturMIV!C26</f>
        <v>76</v>
      </c>
      <c r="D17" s="60"/>
      <c r="E17" s="198">
        <f>C17*E$10/1000</f>
        <v>6.46</v>
      </c>
      <c r="F17" s="199"/>
      <c r="G17" s="198">
        <f>C17*E$10/1000</f>
        <v>6.46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f>RezepturMIV!C27</f>
        <v>4.62</v>
      </c>
      <c r="D18" s="60"/>
      <c r="E18" s="198">
        <f>ROUND(((C18*E$10)/1000),3)</f>
        <v>0.39300000000000002</v>
      </c>
      <c r="F18" s="199"/>
      <c r="G18" s="198">
        <f>ROUND(((C18*E$10)/1000),3)</f>
        <v>0.39300000000000002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</row>
    <row r="19" spans="1:15" ht="20.100000000000001" customHeight="1" x14ac:dyDescent="0.2">
      <c r="A19" s="58" t="s">
        <v>57</v>
      </c>
      <c r="B19" s="54"/>
      <c r="C19" s="81">
        <f>SUM(C13:C18)</f>
        <v>585.62</v>
      </c>
      <c r="D19" s="60"/>
      <c r="E19" s="198">
        <f>SUM(E13:E18)</f>
        <v>49.783000000000001</v>
      </c>
      <c r="F19" s="199"/>
      <c r="G19" s="198">
        <f>SUM(G13:G18)</f>
        <v>49.783000000000001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1756</v>
      </c>
      <c r="D20" s="94" t="s">
        <v>60</v>
      </c>
      <c r="E20" s="200">
        <f>SUM(E21:E30)</f>
        <v>149.26000000000002</v>
      </c>
      <c r="F20" s="201"/>
      <c r="G20" s="202">
        <f>E20</f>
        <v>149.26000000000002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RezepturMIV!C30</f>
        <v>0</v>
      </c>
      <c r="D21" s="102">
        <f>RezepturMI!H30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RezepturMIV!C31</f>
        <v>351</v>
      </c>
      <c r="D22" s="102">
        <f>RezepturMI!H31</f>
        <v>20</v>
      </c>
      <c r="E22" s="202">
        <f t="shared" ref="E22:E27" si="0">ROUND(((C22*E$10)/1000),3)</f>
        <v>29.835000000000001</v>
      </c>
      <c r="F22" s="203"/>
      <c r="G22" s="202">
        <f>ROUND((G21+E22),3)</f>
        <v>29.835000000000001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RezepturMIV!C32</f>
        <v>202</v>
      </c>
      <c r="D23" s="102">
        <f>RezepturMI!H32</f>
        <v>11.5</v>
      </c>
      <c r="E23" s="202">
        <f t="shared" si="0"/>
        <v>17.170000000000002</v>
      </c>
      <c r="F23" s="203"/>
      <c r="G23" s="202">
        <f>ROUND((G22+E23),3)</f>
        <v>47.005000000000003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RezepturMIV!C33</f>
        <v>202</v>
      </c>
      <c r="D24" s="102">
        <f>RezepturMI!H33</f>
        <v>11.5</v>
      </c>
      <c r="E24" s="202">
        <f t="shared" si="0"/>
        <v>17.170000000000002</v>
      </c>
      <c r="F24" s="203"/>
      <c r="G24" s="202">
        <f>ROUND((G23+E24),3)</f>
        <v>64.174999999999997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RezepturMIV!C34</f>
        <v>132</v>
      </c>
      <c r="D25" s="102">
        <f>RezepturMI!H34</f>
        <v>7.5</v>
      </c>
      <c r="E25" s="202">
        <f t="shared" si="0"/>
        <v>11.22</v>
      </c>
      <c r="F25" s="203"/>
      <c r="G25" s="202">
        <f>ROUND((G24+E25),2)</f>
        <v>75.400000000000006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93">
        <f>RezepturMIV!C35</f>
        <v>132</v>
      </c>
      <c r="D26" s="114">
        <f>RezepturMI!H35</f>
        <v>7.5</v>
      </c>
      <c r="E26" s="202">
        <f t="shared" si="0"/>
        <v>11.22</v>
      </c>
      <c r="F26" s="203"/>
      <c r="G26" s="202">
        <f>ROUND((G25+E26),3)</f>
        <v>86.62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RezepturMIV!C36</f>
        <v>737</v>
      </c>
      <c r="D27" s="102">
        <f>RezepturMI!H36</f>
        <v>42</v>
      </c>
      <c r="E27" s="202">
        <f t="shared" si="0"/>
        <v>62.645000000000003</v>
      </c>
      <c r="F27" s="203"/>
      <c r="G27" s="202">
        <f>ROUND((G26+E27),3)</f>
        <v>149.26499999999999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2341.62</v>
      </c>
      <c r="D31" s="127" t="s">
        <v>74</v>
      </c>
      <c r="E31" s="128">
        <f>ROUND((E19+E20),2)</f>
        <v>199.04</v>
      </c>
      <c r="F31" s="129"/>
      <c r="G31" s="128">
        <f>ROUND((SUM(G13,G14,G17,G18,G20)),2)</f>
        <v>199.04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N10" sqref="N10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RezepturMV!D6</f>
        <v>BA-Losert MV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RezepturMV!C22</f>
        <v>330</v>
      </c>
      <c r="D13" s="60"/>
      <c r="E13" s="68">
        <f>ROUND(((C13*E$10)/1000),2)</f>
        <v>28.05</v>
      </c>
      <c r="F13" s="69"/>
      <c r="G13" s="68">
        <f>ROUND(((C13*E$10)/1000),2)</f>
        <v>28.05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75">
        <f>RezepturMV!C23</f>
        <v>175</v>
      </c>
      <c r="D14" s="76"/>
      <c r="E14" s="68">
        <f>ROUND(((C14*E$10)/1000),2)</f>
        <v>14.88</v>
      </c>
      <c r="F14" s="77"/>
      <c r="G14" s="68">
        <f>ROUND(((C14*G$10)/1000),2)</f>
        <v>14.88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130</v>
      </c>
      <c r="B17" s="24" t="s">
        <v>168</v>
      </c>
      <c r="C17" s="81">
        <f>RezepturMV!C26</f>
        <v>0</v>
      </c>
      <c r="D17" s="60"/>
      <c r="E17" s="198">
        <f>C17*E$10/1000</f>
        <v>0</v>
      </c>
      <c r="F17" s="199"/>
      <c r="G17" s="198">
        <f>C17*E$10/1000</f>
        <v>0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v>5.55</v>
      </c>
      <c r="D18" s="60"/>
      <c r="E18" s="198">
        <f>ROUND(((C18*E$10)/1000),3)</f>
        <v>0.47199999999999998</v>
      </c>
      <c r="F18" s="199"/>
      <c r="G18" s="198">
        <f>ROUND(((C18*E$10)/1000),3)</f>
        <v>0.47199999999999998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  <c r="M18" t="s">
        <v>185</v>
      </c>
      <c r="N18" t="s">
        <v>186</v>
      </c>
    </row>
    <row r="19" spans="1:15" ht="20.100000000000001" customHeight="1" x14ac:dyDescent="0.2">
      <c r="A19" s="58" t="s">
        <v>57</v>
      </c>
      <c r="B19" s="54"/>
      <c r="C19" s="81">
        <f>SUM(C13:C18)</f>
        <v>510.55</v>
      </c>
      <c r="D19" s="60"/>
      <c r="E19" s="198">
        <f>SUM(E13:E18)</f>
        <v>43.402000000000001</v>
      </c>
      <c r="F19" s="199"/>
      <c r="G19" s="198">
        <f>SUM(G13:G18)</f>
        <v>43.402000000000001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1831</v>
      </c>
      <c r="D20" s="94" t="s">
        <v>60</v>
      </c>
      <c r="E20" s="200">
        <f>SUM(E21:E30)</f>
        <v>155.63499999999999</v>
      </c>
      <c r="F20" s="201"/>
      <c r="G20" s="202">
        <f>E20</f>
        <v>155.63499999999999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RezepturMV!C30</f>
        <v>0</v>
      </c>
      <c r="D21" s="102">
        <f>RezepturMI!H30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RezepturMV!C31</f>
        <v>366</v>
      </c>
      <c r="D22" s="102">
        <f>RezepturMI!H31</f>
        <v>20</v>
      </c>
      <c r="E22" s="202">
        <f t="shared" ref="E22:E27" si="0">ROUND(((C22*E$10)/1000),3)</f>
        <v>31.11</v>
      </c>
      <c r="F22" s="203"/>
      <c r="G22" s="202">
        <f>ROUND((G21+E22),3)</f>
        <v>31.11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RezepturMV!C32</f>
        <v>211</v>
      </c>
      <c r="D23" s="102">
        <f>RezepturMI!H32</f>
        <v>11.5</v>
      </c>
      <c r="E23" s="202">
        <f t="shared" si="0"/>
        <v>17.934999999999999</v>
      </c>
      <c r="F23" s="203"/>
      <c r="G23" s="202">
        <f>ROUND((G22+E23),3)</f>
        <v>49.045000000000002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RezepturMV!C33</f>
        <v>211</v>
      </c>
      <c r="D24" s="102">
        <f>RezepturMI!H33</f>
        <v>11.5</v>
      </c>
      <c r="E24" s="202">
        <f t="shared" si="0"/>
        <v>17.934999999999999</v>
      </c>
      <c r="F24" s="203"/>
      <c r="G24" s="202">
        <f>ROUND((G23+E24),3)</f>
        <v>66.98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RezepturMV!C34</f>
        <v>137</v>
      </c>
      <c r="D25" s="102">
        <f>RezepturMI!H34</f>
        <v>7.5</v>
      </c>
      <c r="E25" s="202">
        <f t="shared" si="0"/>
        <v>11.645</v>
      </c>
      <c r="F25" s="203"/>
      <c r="G25" s="202">
        <f>ROUND((G24+E25),2)</f>
        <v>78.63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93">
        <f>RezepturMV!C35</f>
        <v>137</v>
      </c>
      <c r="D26" s="114">
        <f>RezepturMI!H35</f>
        <v>7.5</v>
      </c>
      <c r="E26" s="202">
        <f t="shared" si="0"/>
        <v>11.645</v>
      </c>
      <c r="F26" s="203"/>
      <c r="G26" s="202">
        <f>ROUND((G25+E26),3)</f>
        <v>90.275000000000006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RezepturMV!C36</f>
        <v>769</v>
      </c>
      <c r="D27" s="102">
        <f>RezepturMI!H36</f>
        <v>42</v>
      </c>
      <c r="E27" s="202">
        <f t="shared" si="0"/>
        <v>65.364999999999995</v>
      </c>
      <c r="F27" s="203"/>
      <c r="G27" s="202">
        <f>ROUND((G26+E27),3)</f>
        <v>155.63999999999999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2341.5500000000002</v>
      </c>
      <c r="D31" s="127" t="s">
        <v>74</v>
      </c>
      <c r="E31" s="128">
        <f>ROUND((E19+E20),2)</f>
        <v>199.04</v>
      </c>
      <c r="F31" s="129"/>
      <c r="G31" s="128">
        <f>ROUND((SUM(G13,G14,G17,G18,G20)),2)</f>
        <v>199.04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G11" sqref="G11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RezepturMVI!D6</f>
        <v>BA-Losert MVI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RezepturMVI!C22</f>
        <v>580</v>
      </c>
      <c r="D13" s="60"/>
      <c r="E13" s="68">
        <f>ROUND(((C13*E$10)/1000),2)</f>
        <v>49.3</v>
      </c>
      <c r="F13" s="69"/>
      <c r="G13" s="68">
        <f>ROUND(((C13*E$10)/1000),2)</f>
        <v>49.3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75">
        <f>RezepturMVI!C23</f>
        <v>173</v>
      </c>
      <c r="D14" s="76"/>
      <c r="E14" s="68">
        <f>ROUND(((C14*E$10)/1000),2)</f>
        <v>14.71</v>
      </c>
      <c r="F14" s="77"/>
      <c r="G14" s="68">
        <f>ROUND(((C14*G$10)/1000),2)</f>
        <v>14.71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179</v>
      </c>
      <c r="B17" s="24" t="s">
        <v>154</v>
      </c>
      <c r="C17" s="81">
        <f>RezepturMVI!C26</f>
        <v>63.8</v>
      </c>
      <c r="D17" s="60"/>
      <c r="E17" s="198">
        <f>C17*E$10/1000</f>
        <v>5.423</v>
      </c>
      <c r="F17" s="199"/>
      <c r="G17" s="198">
        <f>C17*E$10/1000</f>
        <v>5.423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f>RezepturMVI!C27</f>
        <v>5.61</v>
      </c>
      <c r="D18" s="60"/>
      <c r="E18" s="198">
        <f>ROUND(((C18*E$10)/1000),3)</f>
        <v>0.47699999999999998</v>
      </c>
      <c r="F18" s="199"/>
      <c r="G18" s="198">
        <f>ROUND(((C18*E$10)/1000),3)</f>
        <v>0.47699999999999998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</row>
    <row r="19" spans="1:15" ht="20.100000000000001" customHeight="1" x14ac:dyDescent="0.2">
      <c r="A19" s="58" t="s">
        <v>57</v>
      </c>
      <c r="B19" s="54"/>
      <c r="C19" s="81">
        <f>SUM(C13:C18)</f>
        <v>822.41</v>
      </c>
      <c r="D19" s="60"/>
      <c r="E19" s="198">
        <f>SUM(E13:E18)</f>
        <v>69.91</v>
      </c>
      <c r="F19" s="199"/>
      <c r="G19" s="198">
        <f>SUM(G13:G18)</f>
        <v>69.91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1549</v>
      </c>
      <c r="D20" s="94" t="s">
        <v>60</v>
      </c>
      <c r="E20" s="200">
        <f>SUM(E21:E30)</f>
        <v>131.66499999999999</v>
      </c>
      <c r="F20" s="201"/>
      <c r="G20" s="202">
        <f>E20</f>
        <v>131.66499999999999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RezepturMVI!C30</f>
        <v>0</v>
      </c>
      <c r="D21" s="102">
        <f>RezepturMVI!H30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RezepturMVI!C31</f>
        <v>465</v>
      </c>
      <c r="D22" s="102">
        <f>RezepturMVI!H31</f>
        <v>30</v>
      </c>
      <c r="E22" s="202">
        <f t="shared" ref="E22:E27" si="0">ROUND(((C22*E$10)/1000),3)</f>
        <v>39.524999999999999</v>
      </c>
      <c r="F22" s="203"/>
      <c r="G22" s="202">
        <f>ROUND((G21+E22),3)</f>
        <v>39.524999999999999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RezepturMVI!C32</f>
        <v>155</v>
      </c>
      <c r="D23" s="102">
        <f>RezepturMVI!H32</f>
        <v>10</v>
      </c>
      <c r="E23" s="202">
        <f t="shared" si="0"/>
        <v>13.175000000000001</v>
      </c>
      <c r="F23" s="203"/>
      <c r="G23" s="202">
        <f>ROUND((G22+E23),3)</f>
        <v>52.7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RezepturMVI!C33</f>
        <v>155</v>
      </c>
      <c r="D24" s="102">
        <f>RezepturMVI!H33</f>
        <v>10</v>
      </c>
      <c r="E24" s="202">
        <f t="shared" si="0"/>
        <v>13.175000000000001</v>
      </c>
      <c r="F24" s="203"/>
      <c r="G24" s="202">
        <f>ROUND((G23+E24),3)</f>
        <v>65.875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RezepturMVI!C34</f>
        <v>232</v>
      </c>
      <c r="D25" s="102">
        <f>RezepturMVI!H34</f>
        <v>15</v>
      </c>
      <c r="E25" s="202">
        <f t="shared" si="0"/>
        <v>19.72</v>
      </c>
      <c r="F25" s="203"/>
      <c r="G25" s="202">
        <f>ROUND((G24+E25),2)</f>
        <v>85.6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113">
        <f>RezepturMVI!C35</f>
        <v>542</v>
      </c>
      <c r="D26" s="114">
        <f>RezepturMVI!H35</f>
        <v>35</v>
      </c>
      <c r="E26" s="202">
        <f t="shared" si="0"/>
        <v>46.07</v>
      </c>
      <c r="F26" s="203"/>
      <c r="G26" s="202">
        <f>ROUND((G25+E26),3)</f>
        <v>131.66999999999999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RezepturMVI!C36</f>
        <v>0</v>
      </c>
      <c r="D27" s="102">
        <f>RezepturMVI!H36</f>
        <v>0</v>
      </c>
      <c r="E27" s="202">
        <f t="shared" si="0"/>
        <v>0</v>
      </c>
      <c r="F27" s="203"/>
      <c r="G27" s="202">
        <f>ROUND((G26+E27),3)</f>
        <v>131.66999999999999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2371.41</v>
      </c>
      <c r="D31" s="127" t="s">
        <v>74</v>
      </c>
      <c r="E31" s="128">
        <f>ROUND((E19+E20),2)</f>
        <v>201.58</v>
      </c>
      <c r="F31" s="129"/>
      <c r="G31" s="128">
        <f>ROUND((SUM(G13,G14,G17,G18,G20)),2)</f>
        <v>201.58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8:I38"/>
    <mergeCell ref="J38:L38"/>
    <mergeCell ref="H33:J33"/>
    <mergeCell ref="E35:F35"/>
    <mergeCell ref="G35:H35"/>
    <mergeCell ref="E34:F34"/>
    <mergeCell ref="G34:H34"/>
    <mergeCell ref="E37:F37"/>
    <mergeCell ref="G37:H37"/>
    <mergeCell ref="E36:L36"/>
  </mergeCells>
  <phoneticPr fontId="3" type="noConversion"/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7" workbookViewId="0">
      <selection activeCell="M29" sqref="M29"/>
    </sheetView>
  </sheetViews>
  <sheetFormatPr baseColWidth="10" defaultRowHeight="12.75" x14ac:dyDescent="0.2"/>
  <cols>
    <col min="1" max="1" width="6.140625" customWidth="1"/>
    <col min="2" max="2" width="3.28515625" customWidth="1"/>
    <col min="3" max="3" width="9.140625" customWidth="1"/>
    <col min="4" max="6" width="6.42578125" customWidth="1"/>
    <col min="7" max="7" width="6.5703125" customWidth="1"/>
    <col min="8" max="12" width="6.42578125" customWidth="1"/>
    <col min="13" max="13" width="10.85546875" customWidth="1"/>
  </cols>
  <sheetData>
    <row r="1" spans="1:13" ht="20.100000000000001" customHeight="1" x14ac:dyDescent="0.2">
      <c r="A1" s="210" t="s">
        <v>0</v>
      </c>
      <c r="B1" s="7" t="s">
        <v>1</v>
      </c>
      <c r="C1" s="211"/>
      <c r="D1" s="211"/>
      <c r="E1" s="212"/>
      <c r="F1" s="212"/>
      <c r="G1" s="212"/>
      <c r="H1" s="212"/>
      <c r="I1" s="212"/>
      <c r="J1" s="212"/>
      <c r="K1" s="213" t="s">
        <v>2</v>
      </c>
      <c r="L1" s="214"/>
      <c r="M1" s="215">
        <v>38667</v>
      </c>
    </row>
    <row r="2" spans="1:13" ht="20.100000000000001" customHeight="1" thickBot="1" x14ac:dyDescent="0.25">
      <c r="A2" s="216" t="s">
        <v>133</v>
      </c>
      <c r="B2" s="8" t="s">
        <v>3</v>
      </c>
      <c r="C2" s="217"/>
      <c r="D2" s="217"/>
      <c r="E2" s="218"/>
      <c r="F2" s="218"/>
      <c r="G2" s="218"/>
      <c r="H2" s="218"/>
      <c r="I2" s="218"/>
      <c r="J2" s="218"/>
      <c r="K2" s="219" t="s">
        <v>4</v>
      </c>
      <c r="L2" s="220"/>
      <c r="M2" s="221" t="s">
        <v>134</v>
      </c>
    </row>
    <row r="3" spans="1:13" ht="5.25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ht="20.100000000000001" customHeight="1" x14ac:dyDescent="0.2">
      <c r="A4" s="222" t="s">
        <v>5</v>
      </c>
      <c r="B4" s="222"/>
      <c r="C4" s="222"/>
      <c r="D4" s="222"/>
      <c r="E4" s="223" t="s">
        <v>160</v>
      </c>
      <c r="F4" s="223"/>
      <c r="G4" s="223"/>
      <c r="H4" s="223"/>
      <c r="I4" s="6"/>
      <c r="J4" s="223" t="s">
        <v>161</v>
      </c>
      <c r="K4" s="223"/>
      <c r="L4" s="224"/>
      <c r="M4" s="224"/>
    </row>
    <row r="5" spans="1:13" ht="20.100000000000001" customHeight="1" x14ac:dyDescent="0.2">
      <c r="A5" s="222" t="s">
        <v>6</v>
      </c>
      <c r="B5" s="222"/>
      <c r="C5" s="222"/>
      <c r="D5" s="222"/>
      <c r="E5" s="223" t="s">
        <v>135</v>
      </c>
      <c r="F5" s="223"/>
      <c r="G5" s="223"/>
      <c r="H5" s="223"/>
      <c r="I5" s="6"/>
      <c r="J5" s="223" t="s">
        <v>7</v>
      </c>
      <c r="K5" s="223"/>
      <c r="L5" s="224"/>
      <c r="M5" s="224"/>
    </row>
    <row r="6" spans="1:13" ht="20.100000000000001" customHeight="1" x14ac:dyDescent="0.2">
      <c r="A6" s="222" t="s">
        <v>8</v>
      </c>
      <c r="B6" s="222"/>
      <c r="C6" s="222"/>
      <c r="D6" s="222"/>
      <c r="F6" s="6"/>
      <c r="G6" s="223"/>
      <c r="H6" s="223"/>
      <c r="I6" s="225" t="s">
        <v>9</v>
      </c>
      <c r="J6" s="225"/>
      <c r="K6" s="226" t="s">
        <v>119</v>
      </c>
      <c r="L6" s="224"/>
      <c r="M6" s="224"/>
    </row>
    <row r="7" spans="1:13" ht="9.9499999999999993" customHeight="1" x14ac:dyDescent="0.2">
      <c r="A7" s="1"/>
      <c r="B7" s="1"/>
      <c r="C7" s="1"/>
      <c r="D7" s="1"/>
      <c r="E7" s="1"/>
      <c r="F7" s="2"/>
      <c r="G7" s="1"/>
      <c r="H7" s="1"/>
      <c r="I7" s="1"/>
      <c r="J7" s="1"/>
      <c r="K7" s="1"/>
      <c r="L7" s="1"/>
      <c r="M7" s="1"/>
    </row>
    <row r="8" spans="1:13" ht="15.95" customHeight="1" x14ac:dyDescent="0.2">
      <c r="A8" s="227" t="s">
        <v>10</v>
      </c>
      <c r="B8" s="1"/>
      <c r="C8" s="1"/>
      <c r="D8" s="1"/>
      <c r="E8" s="1"/>
      <c r="F8" s="1"/>
      <c r="G8" s="1"/>
      <c r="H8" s="1"/>
      <c r="I8" s="228" t="s">
        <v>11</v>
      </c>
      <c r="J8" s="228"/>
      <c r="K8" s="224" t="s">
        <v>12</v>
      </c>
      <c r="L8" s="224"/>
      <c r="M8" s="229">
        <f>M35</f>
        <v>3.05</v>
      </c>
    </row>
    <row r="9" spans="1:13" ht="5.0999999999999996" customHeight="1" thickBo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.95" customHeight="1" x14ac:dyDescent="0.2">
      <c r="A10" s="230" t="s">
        <v>13</v>
      </c>
      <c r="B10" s="231"/>
      <c r="C10" s="232"/>
      <c r="D10" s="233"/>
      <c r="E10" s="234" t="s">
        <v>14</v>
      </c>
      <c r="F10" s="231"/>
      <c r="G10" s="231"/>
      <c r="H10" s="231"/>
      <c r="I10" s="231"/>
      <c r="J10" s="231"/>
      <c r="K10" s="231"/>
      <c r="L10" s="231"/>
      <c r="M10" s="235" t="s">
        <v>15</v>
      </c>
    </row>
    <row r="11" spans="1:13" ht="15.95" customHeight="1" thickBot="1" x14ac:dyDescent="0.25">
      <c r="A11" s="236" t="s">
        <v>16</v>
      </c>
      <c r="B11" s="237"/>
      <c r="C11" s="238"/>
      <c r="D11" s="239">
        <v>0.125</v>
      </c>
      <c r="E11" s="240">
        <v>0.25</v>
      </c>
      <c r="F11" s="240">
        <v>0.5</v>
      </c>
      <c r="G11" s="240">
        <v>1</v>
      </c>
      <c r="H11" s="240">
        <v>2</v>
      </c>
      <c r="I11" s="240">
        <v>4</v>
      </c>
      <c r="J11" s="240">
        <v>8</v>
      </c>
      <c r="K11" s="240">
        <v>16</v>
      </c>
      <c r="L11" s="240">
        <v>31.5</v>
      </c>
      <c r="M11" s="241" t="s">
        <v>17</v>
      </c>
    </row>
    <row r="12" spans="1:13" ht="15.95" customHeight="1" x14ac:dyDescent="0.2">
      <c r="A12" s="242" t="s">
        <v>129</v>
      </c>
      <c r="B12" s="3"/>
      <c r="C12" s="243"/>
      <c r="D12" s="244">
        <v>52.4</v>
      </c>
      <c r="E12" s="245">
        <v>77</v>
      </c>
      <c r="F12" s="245">
        <v>99.968699948018553</v>
      </c>
      <c r="G12" s="245">
        <v>100</v>
      </c>
      <c r="H12" s="245">
        <v>100</v>
      </c>
      <c r="I12" s="245">
        <v>100</v>
      </c>
      <c r="J12" s="245">
        <v>100</v>
      </c>
      <c r="K12" s="245">
        <v>100</v>
      </c>
      <c r="L12" s="245">
        <v>100</v>
      </c>
      <c r="M12" s="246" t="s">
        <v>18</v>
      </c>
    </row>
    <row r="13" spans="1:13" ht="15.95" customHeight="1" x14ac:dyDescent="0.2">
      <c r="A13" s="242" t="s">
        <v>136</v>
      </c>
      <c r="B13" s="3"/>
      <c r="C13" s="243"/>
      <c r="D13" s="247">
        <v>2.9048081624275284</v>
      </c>
      <c r="E13" s="245">
        <v>41.66750212880865</v>
      </c>
      <c r="F13" s="245">
        <v>99.791675130032658</v>
      </c>
      <c r="G13" s="245">
        <v>100</v>
      </c>
      <c r="H13" s="245">
        <v>100</v>
      </c>
      <c r="I13" s="245">
        <v>100</v>
      </c>
      <c r="J13" s="245">
        <v>100</v>
      </c>
      <c r="K13" s="245">
        <v>100</v>
      </c>
      <c r="L13" s="245">
        <v>100</v>
      </c>
      <c r="M13" s="246" t="s">
        <v>163</v>
      </c>
    </row>
    <row r="14" spans="1:13" ht="15.95" customHeight="1" x14ac:dyDescent="0.2">
      <c r="A14" s="242" t="s">
        <v>137</v>
      </c>
      <c r="B14" s="3"/>
      <c r="C14" s="243"/>
      <c r="D14" s="247">
        <v>0.31376730162871524</v>
      </c>
      <c r="E14" s="245">
        <v>1.0898909421501344</v>
      </c>
      <c r="F14" s="245">
        <v>3.643296099419004</v>
      </c>
      <c r="G14" s="245">
        <v>99.105566801255804</v>
      </c>
      <c r="H14" s="245">
        <v>100</v>
      </c>
      <c r="I14" s="245">
        <v>100</v>
      </c>
      <c r="J14" s="245">
        <v>100</v>
      </c>
      <c r="K14" s="245">
        <v>100</v>
      </c>
      <c r="L14" s="245">
        <v>100</v>
      </c>
      <c r="M14" s="246" t="s">
        <v>163</v>
      </c>
    </row>
    <row r="15" spans="1:13" ht="15.95" customHeight="1" x14ac:dyDescent="0.2">
      <c r="A15" s="242" t="s">
        <v>138</v>
      </c>
      <c r="B15" s="3"/>
      <c r="C15" s="243"/>
      <c r="D15" s="247">
        <v>0.12621847101634387</v>
      </c>
      <c r="E15" s="248">
        <v>0.1328688546090433</v>
      </c>
      <c r="F15" s="248">
        <v>0.18929561488322122</v>
      </c>
      <c r="G15" s="245">
        <v>3.1198685001317585</v>
      </c>
      <c r="H15" s="245">
        <v>93.102933679844824</v>
      </c>
      <c r="I15" s="245">
        <v>100</v>
      </c>
      <c r="J15" s="245">
        <v>100</v>
      </c>
      <c r="K15" s="245">
        <v>100</v>
      </c>
      <c r="L15" s="245">
        <v>100</v>
      </c>
      <c r="M15" s="246" t="s">
        <v>163</v>
      </c>
    </row>
    <row r="16" spans="1:13" ht="15.95" customHeight="1" x14ac:dyDescent="0.2">
      <c r="A16" s="242" t="s">
        <v>139</v>
      </c>
      <c r="B16" s="3"/>
      <c r="C16" s="243"/>
      <c r="D16" s="247">
        <v>6.4489099453481913E-3</v>
      </c>
      <c r="E16" s="248">
        <v>9.696030165187608E-3</v>
      </c>
      <c r="F16" s="248">
        <v>1.2911205794168268E-2</v>
      </c>
      <c r="G16" s="248">
        <v>2.9161259021051933E-2</v>
      </c>
      <c r="H16" s="245">
        <v>0.5435268152642152</v>
      </c>
      <c r="I16" s="245">
        <v>97.834904204716551</v>
      </c>
      <c r="J16" s="245">
        <v>100</v>
      </c>
      <c r="K16" s="245">
        <v>100</v>
      </c>
      <c r="L16" s="245">
        <v>100</v>
      </c>
      <c r="M16" s="246" t="s">
        <v>163</v>
      </c>
    </row>
    <row r="17" spans="1:19" ht="15.95" customHeight="1" x14ac:dyDescent="0.2">
      <c r="A17" s="242" t="s">
        <v>140</v>
      </c>
      <c r="B17" s="3"/>
      <c r="C17" s="243"/>
      <c r="D17" s="247">
        <v>1.5879434670367232E-2</v>
      </c>
      <c r="E17" s="248">
        <v>2.0321692947860015E-2</v>
      </c>
      <c r="F17" s="248">
        <v>2.3234408099895631E-2</v>
      </c>
      <c r="G17" s="248">
        <v>3.073575262833117E-2</v>
      </c>
      <c r="H17" s="248">
        <v>4.8517757573861786E-2</v>
      </c>
      <c r="I17" s="245">
        <v>0.67845292420997794</v>
      </c>
      <c r="J17" s="245">
        <v>93.211907028290838</v>
      </c>
      <c r="K17" s="245">
        <v>100</v>
      </c>
      <c r="L17" s="245">
        <v>100</v>
      </c>
      <c r="M17" s="246" t="s">
        <v>163</v>
      </c>
    </row>
    <row r="18" spans="1:19" ht="15.95" customHeight="1" x14ac:dyDescent="0.2">
      <c r="A18" s="242" t="s">
        <v>141</v>
      </c>
      <c r="B18" s="3"/>
      <c r="C18" s="243"/>
      <c r="D18" s="247">
        <v>4.3344736856695931E-2</v>
      </c>
      <c r="E18" s="248">
        <v>6.7824167492744891E-2</v>
      </c>
      <c r="F18" s="248">
        <v>9.2303624728970135E-2</v>
      </c>
      <c r="G18" s="248">
        <v>0.13560995689427102</v>
      </c>
      <c r="H18" s="248">
        <v>0.26083448782236474</v>
      </c>
      <c r="I18" s="248">
        <v>0.75467740176996756</v>
      </c>
      <c r="J18" s="245">
        <v>7.157240559259364</v>
      </c>
      <c r="K18" s="245">
        <v>98.941481828223218</v>
      </c>
      <c r="L18" s="245">
        <v>100</v>
      </c>
      <c r="M18" s="246" t="s">
        <v>163</v>
      </c>
      <c r="O18" s="249"/>
    </row>
    <row r="19" spans="1:19" ht="15.75" customHeight="1" thickBot="1" x14ac:dyDescent="0.25">
      <c r="A19" s="236"/>
      <c r="B19" s="237"/>
      <c r="C19" s="238"/>
      <c r="D19" s="237"/>
      <c r="E19" s="250"/>
      <c r="F19" s="251"/>
      <c r="G19" s="251"/>
      <c r="H19" s="251"/>
      <c r="I19" s="251"/>
      <c r="J19" s="251"/>
      <c r="K19" s="251"/>
      <c r="L19" s="251"/>
      <c r="M19" s="252"/>
    </row>
    <row r="20" spans="1:19" ht="4.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1"/>
    </row>
    <row r="21" spans="1:19" ht="15.95" customHeight="1" x14ac:dyDescent="0.2">
      <c r="A21" s="253" t="s">
        <v>19</v>
      </c>
      <c r="B21" s="2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</row>
    <row r="22" spans="1:19" ht="5.0999999999999996" customHeight="1" x14ac:dyDescent="0.2">
      <c r="A22" s="2"/>
      <c r="B22" s="2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</row>
    <row r="23" spans="1:19" ht="15.95" customHeight="1" x14ac:dyDescent="0.2">
      <c r="A23" s="254" t="s">
        <v>20</v>
      </c>
      <c r="B23" s="255"/>
      <c r="C23" s="256"/>
      <c r="D23" s="257">
        <v>2.5</v>
      </c>
      <c r="E23" s="258">
        <v>9.5</v>
      </c>
      <c r="F23" s="258">
        <v>22</v>
      </c>
      <c r="G23" s="258">
        <v>34.5</v>
      </c>
      <c r="H23" s="258">
        <v>42.7</v>
      </c>
      <c r="I23" s="258">
        <v>48.4</v>
      </c>
      <c r="J23" s="258">
        <v>64.900000000000006</v>
      </c>
      <c r="K23" s="258">
        <v>99.9</v>
      </c>
      <c r="L23" s="258"/>
      <c r="M23" s="259">
        <f>(700-SUM(E23:K23))/100</f>
        <v>3.7810000000000001</v>
      </c>
    </row>
    <row r="24" spans="1:19" ht="3.75" customHeight="1" thickBot="1" x14ac:dyDescent="0.25">
      <c r="A24" s="2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</row>
    <row r="25" spans="1:19" ht="15.95" customHeight="1" x14ac:dyDescent="0.2">
      <c r="A25" s="260" t="s">
        <v>13</v>
      </c>
      <c r="B25" s="233"/>
      <c r="C25" s="261"/>
      <c r="D25" s="233"/>
      <c r="E25" s="262" t="s">
        <v>21</v>
      </c>
      <c r="F25" s="234"/>
      <c r="G25" s="234"/>
      <c r="H25" s="234"/>
      <c r="I25" s="234"/>
      <c r="J25" s="234"/>
      <c r="K25" s="234"/>
      <c r="L25" s="234"/>
      <c r="M25" s="235" t="s">
        <v>22</v>
      </c>
    </row>
    <row r="26" spans="1:19" ht="15.95" customHeight="1" thickBot="1" x14ac:dyDescent="0.25">
      <c r="A26" s="263" t="s">
        <v>16</v>
      </c>
      <c r="B26" s="264"/>
      <c r="C26" s="265" t="s">
        <v>23</v>
      </c>
      <c r="D26" s="266">
        <v>0.125</v>
      </c>
      <c r="E26" s="267">
        <v>0.25</v>
      </c>
      <c r="F26" s="240">
        <v>0.5</v>
      </c>
      <c r="G26" s="240">
        <v>1</v>
      </c>
      <c r="H26" s="240">
        <v>2</v>
      </c>
      <c r="I26" s="240">
        <v>4</v>
      </c>
      <c r="J26" s="240">
        <v>8</v>
      </c>
      <c r="K26" s="240">
        <v>16</v>
      </c>
      <c r="L26" s="240">
        <v>31.5</v>
      </c>
      <c r="M26" s="268" t="s">
        <v>24</v>
      </c>
      <c r="O26" t="s">
        <v>25</v>
      </c>
      <c r="P26" t="s">
        <v>142</v>
      </c>
      <c r="Q26" t="s">
        <v>143</v>
      </c>
      <c r="R26" t="s">
        <v>144</v>
      </c>
      <c r="S26" t="s">
        <v>145</v>
      </c>
    </row>
    <row r="27" spans="1:19" ht="15.95" customHeight="1" x14ac:dyDescent="0.2">
      <c r="A27" s="242" t="s">
        <v>146</v>
      </c>
      <c r="B27" s="3"/>
      <c r="C27" s="269"/>
      <c r="D27" s="270">
        <f t="shared" ref="D27:K33" si="0">ROUND((($C27*D12)/100),1)</f>
        <v>0</v>
      </c>
      <c r="E27" s="270">
        <f t="shared" si="0"/>
        <v>0</v>
      </c>
      <c r="F27" s="245">
        <f t="shared" si="0"/>
        <v>0</v>
      </c>
      <c r="G27" s="245">
        <f t="shared" si="0"/>
        <v>0</v>
      </c>
      <c r="H27" s="245">
        <f t="shared" si="0"/>
        <v>0</v>
      </c>
      <c r="I27" s="245">
        <f t="shared" si="0"/>
        <v>0</v>
      </c>
      <c r="J27" s="245">
        <f t="shared" si="0"/>
        <v>0</v>
      </c>
      <c r="K27" s="245">
        <f t="shared" si="0"/>
        <v>0</v>
      </c>
      <c r="L27" s="245"/>
      <c r="M27" s="259"/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ht="15.95" customHeight="1" x14ac:dyDescent="0.2">
      <c r="A28" s="242" t="s">
        <v>136</v>
      </c>
      <c r="B28" s="3"/>
      <c r="C28" s="269">
        <v>30</v>
      </c>
      <c r="D28" s="245">
        <f t="shared" si="0"/>
        <v>0.9</v>
      </c>
      <c r="E28" s="245">
        <f>ROUND((($C28*E13)/100),1)</f>
        <v>12.5</v>
      </c>
      <c r="F28" s="245">
        <f t="shared" si="0"/>
        <v>29.9</v>
      </c>
      <c r="G28" s="245">
        <f t="shared" si="0"/>
        <v>30</v>
      </c>
      <c r="H28" s="245">
        <f t="shared" si="0"/>
        <v>30</v>
      </c>
      <c r="I28" s="245">
        <f t="shared" si="0"/>
        <v>30</v>
      </c>
      <c r="J28" s="245">
        <f t="shared" si="0"/>
        <v>30</v>
      </c>
      <c r="K28" s="245">
        <f t="shared" si="0"/>
        <v>30</v>
      </c>
      <c r="L28" s="245"/>
      <c r="M28" s="259"/>
      <c r="N28">
        <v>0.125</v>
      </c>
      <c r="O28" s="5">
        <f>D35</f>
        <v>0.9</v>
      </c>
      <c r="P28">
        <v>2</v>
      </c>
      <c r="Q28">
        <v>4</v>
      </c>
      <c r="R28">
        <v>7</v>
      </c>
      <c r="S28">
        <v>2</v>
      </c>
    </row>
    <row r="29" spans="1:19" ht="15.95" customHeight="1" x14ac:dyDescent="0.2">
      <c r="A29" s="242" t="s">
        <v>147</v>
      </c>
      <c r="B29" s="3"/>
      <c r="C29" s="269">
        <v>10</v>
      </c>
      <c r="D29" s="245">
        <f>ROUND((($C29*D14)/100),1)</f>
        <v>0</v>
      </c>
      <c r="E29" s="245">
        <f t="shared" si="0"/>
        <v>0.1</v>
      </c>
      <c r="F29" s="245">
        <f>ROUND((($C29*F14)/100),1)</f>
        <v>0.4</v>
      </c>
      <c r="G29" s="245">
        <f t="shared" si="0"/>
        <v>9.9</v>
      </c>
      <c r="H29" s="245">
        <f t="shared" si="0"/>
        <v>10</v>
      </c>
      <c r="I29" s="245">
        <f t="shared" si="0"/>
        <v>10</v>
      </c>
      <c r="J29" s="245">
        <f t="shared" si="0"/>
        <v>10</v>
      </c>
      <c r="K29" s="245">
        <f t="shared" si="0"/>
        <v>10</v>
      </c>
      <c r="L29" s="245"/>
      <c r="M29" s="259"/>
      <c r="N29">
        <v>0.25</v>
      </c>
      <c r="O29" s="5">
        <f>E$35</f>
        <v>12.6</v>
      </c>
      <c r="P29">
        <v>5</v>
      </c>
      <c r="Q29">
        <v>11</v>
      </c>
      <c r="R29">
        <v>21</v>
      </c>
      <c r="S29">
        <v>5</v>
      </c>
    </row>
    <row r="30" spans="1:19" ht="15.95" customHeight="1" x14ac:dyDescent="0.2">
      <c r="A30" s="242" t="s">
        <v>148</v>
      </c>
      <c r="B30" s="3"/>
      <c r="C30" s="269">
        <v>10</v>
      </c>
      <c r="D30" s="245">
        <f t="shared" si="0"/>
        <v>0</v>
      </c>
      <c r="E30" s="245">
        <f t="shared" si="0"/>
        <v>0</v>
      </c>
      <c r="F30" s="245">
        <f t="shared" si="0"/>
        <v>0</v>
      </c>
      <c r="G30" s="245">
        <f t="shared" si="0"/>
        <v>0.3</v>
      </c>
      <c r="H30" s="245">
        <f t="shared" si="0"/>
        <v>9.3000000000000007</v>
      </c>
      <c r="I30" s="245">
        <f t="shared" si="0"/>
        <v>10</v>
      </c>
      <c r="J30" s="245">
        <f t="shared" si="0"/>
        <v>10</v>
      </c>
      <c r="K30" s="245">
        <f t="shared" si="0"/>
        <v>10</v>
      </c>
      <c r="L30" s="245"/>
      <c r="M30" s="259"/>
      <c r="N30">
        <v>0.5</v>
      </c>
      <c r="O30" s="5">
        <f>F$35</f>
        <v>30.3</v>
      </c>
      <c r="P30">
        <v>14</v>
      </c>
      <c r="Q30">
        <v>26</v>
      </c>
      <c r="R30">
        <v>39</v>
      </c>
      <c r="S30">
        <v>17</v>
      </c>
    </row>
    <row r="31" spans="1:19" ht="15.95" customHeight="1" x14ac:dyDescent="0.2">
      <c r="A31" s="242" t="s">
        <v>149</v>
      </c>
      <c r="B31" s="3"/>
      <c r="C31" s="269">
        <v>15</v>
      </c>
      <c r="D31" s="245">
        <f t="shared" si="0"/>
        <v>0</v>
      </c>
      <c r="E31" s="245">
        <f t="shared" si="0"/>
        <v>0</v>
      </c>
      <c r="F31" s="245">
        <f t="shared" si="0"/>
        <v>0</v>
      </c>
      <c r="G31" s="245">
        <f t="shared" si="0"/>
        <v>0</v>
      </c>
      <c r="H31" s="245">
        <f t="shared" si="0"/>
        <v>0.1</v>
      </c>
      <c r="I31" s="245">
        <f t="shared" si="0"/>
        <v>14.7</v>
      </c>
      <c r="J31" s="245">
        <f t="shared" si="0"/>
        <v>15</v>
      </c>
      <c r="K31" s="245">
        <f t="shared" si="0"/>
        <v>15</v>
      </c>
      <c r="L31" s="245"/>
      <c r="M31" s="259"/>
      <c r="N31">
        <v>1</v>
      </c>
      <c r="O31" s="5">
        <f>G$35</f>
        <v>40.200000000000003</v>
      </c>
      <c r="P31">
        <v>21</v>
      </c>
      <c r="Q31">
        <v>42</v>
      </c>
      <c r="R31">
        <v>57</v>
      </c>
      <c r="S31">
        <v>30</v>
      </c>
    </row>
    <row r="32" spans="1:19" ht="16.5" customHeight="1" x14ac:dyDescent="0.2">
      <c r="A32" s="242" t="s">
        <v>150</v>
      </c>
      <c r="B32" s="3"/>
      <c r="C32" s="269">
        <v>35</v>
      </c>
      <c r="D32" s="245">
        <f t="shared" si="0"/>
        <v>0</v>
      </c>
      <c r="E32" s="245">
        <f t="shared" si="0"/>
        <v>0</v>
      </c>
      <c r="F32" s="245">
        <f t="shared" si="0"/>
        <v>0</v>
      </c>
      <c r="G32" s="245">
        <f t="shared" si="0"/>
        <v>0</v>
      </c>
      <c r="H32" s="245">
        <f t="shared" si="0"/>
        <v>0</v>
      </c>
      <c r="I32" s="245">
        <f t="shared" si="0"/>
        <v>0.2</v>
      </c>
      <c r="J32" s="245">
        <f t="shared" si="0"/>
        <v>32.6</v>
      </c>
      <c r="K32" s="245">
        <f t="shared" si="0"/>
        <v>35</v>
      </c>
      <c r="L32" s="245"/>
      <c r="M32" s="259"/>
      <c r="N32">
        <v>2</v>
      </c>
      <c r="O32" s="5">
        <f>H$35</f>
        <v>49.4</v>
      </c>
      <c r="P32">
        <v>36</v>
      </c>
      <c r="Q32">
        <v>57</v>
      </c>
      <c r="R32">
        <v>71</v>
      </c>
      <c r="S32">
        <v>30</v>
      </c>
    </row>
    <row r="33" spans="1:19" ht="15.95" customHeight="1" x14ac:dyDescent="0.2">
      <c r="A33" s="242" t="s">
        <v>151</v>
      </c>
      <c r="B33" s="3"/>
      <c r="C33" s="269">
        <v>0</v>
      </c>
      <c r="D33" s="245">
        <f t="shared" si="0"/>
        <v>0</v>
      </c>
      <c r="E33" s="245">
        <f t="shared" si="0"/>
        <v>0</v>
      </c>
      <c r="F33" s="245">
        <f t="shared" si="0"/>
        <v>0</v>
      </c>
      <c r="G33" s="245">
        <f t="shared" si="0"/>
        <v>0</v>
      </c>
      <c r="H33" s="245">
        <f t="shared" si="0"/>
        <v>0</v>
      </c>
      <c r="I33" s="245">
        <f t="shared" si="0"/>
        <v>0</v>
      </c>
      <c r="J33" s="245">
        <f t="shared" si="0"/>
        <v>0</v>
      </c>
      <c r="K33" s="245">
        <f t="shared" si="0"/>
        <v>0</v>
      </c>
      <c r="L33" s="245"/>
      <c r="M33" s="259"/>
      <c r="N33">
        <v>4</v>
      </c>
      <c r="O33" s="5">
        <f>I$35</f>
        <v>64.900000000000006</v>
      </c>
      <c r="P33">
        <v>61</v>
      </c>
      <c r="Q33">
        <v>74</v>
      </c>
      <c r="R33">
        <v>85</v>
      </c>
      <c r="S33">
        <v>30</v>
      </c>
    </row>
    <row r="34" spans="1:19" ht="15.95" customHeight="1" thickBot="1" x14ac:dyDescent="0.25">
      <c r="A34" s="236"/>
      <c r="B34" s="237"/>
      <c r="C34" s="271"/>
      <c r="D34" s="272"/>
      <c r="E34" s="251"/>
      <c r="F34" s="251"/>
      <c r="G34" s="251"/>
      <c r="H34" s="251"/>
      <c r="I34" s="251"/>
      <c r="J34" s="251"/>
      <c r="K34" s="251"/>
      <c r="L34" s="251"/>
      <c r="M34" s="273"/>
      <c r="N34">
        <v>8</v>
      </c>
      <c r="O34" s="5">
        <f>J$35</f>
        <v>97.6</v>
      </c>
      <c r="P34">
        <v>100</v>
      </c>
      <c r="Q34">
        <v>100</v>
      </c>
      <c r="R34">
        <v>100</v>
      </c>
      <c r="S34">
        <v>100</v>
      </c>
    </row>
    <row r="35" spans="1:19" ht="15.95" customHeight="1" x14ac:dyDescent="0.2">
      <c r="A35" s="274" t="s">
        <v>25</v>
      </c>
      <c r="B35" s="275"/>
      <c r="C35" s="269">
        <f>SUM(C27:C33)</f>
        <v>100</v>
      </c>
      <c r="D35" s="245">
        <f>ROUND((SUM(D27:D33)),1)</f>
        <v>0.9</v>
      </c>
      <c r="E35" s="245">
        <f t="shared" ref="E35:K35" si="1">ROUND((SUM(E27:E33)),1)</f>
        <v>12.6</v>
      </c>
      <c r="F35" s="245">
        <f t="shared" si="1"/>
        <v>30.3</v>
      </c>
      <c r="G35" s="245">
        <f t="shared" si="1"/>
        <v>40.200000000000003</v>
      </c>
      <c r="H35" s="245">
        <f t="shared" si="1"/>
        <v>49.4</v>
      </c>
      <c r="I35" s="245">
        <f t="shared" si="1"/>
        <v>64.900000000000006</v>
      </c>
      <c r="J35" s="245">
        <f t="shared" si="1"/>
        <v>97.6</v>
      </c>
      <c r="K35" s="245">
        <f t="shared" si="1"/>
        <v>100</v>
      </c>
      <c r="L35" s="245"/>
      <c r="M35" s="259">
        <f>(700-SUM(E35:K35))/100</f>
        <v>3.05</v>
      </c>
      <c r="N35">
        <v>16</v>
      </c>
      <c r="O35" s="5">
        <f>K$35</f>
        <v>100</v>
      </c>
      <c r="P35">
        <v>100</v>
      </c>
      <c r="Q35">
        <v>100</v>
      </c>
      <c r="R35">
        <v>100</v>
      </c>
      <c r="S35">
        <v>100</v>
      </c>
    </row>
    <row r="36" spans="1:19" ht="15.95" customHeight="1" thickBot="1" x14ac:dyDescent="0.25">
      <c r="A36" s="276" t="s">
        <v>26</v>
      </c>
      <c r="B36" s="277"/>
      <c r="C36" s="278"/>
      <c r="D36" s="251">
        <f t="shared" ref="D36:K36" si="2">D35-D23</f>
        <v>-1.6</v>
      </c>
      <c r="E36" s="251">
        <f t="shared" si="2"/>
        <v>3.0999999999999996</v>
      </c>
      <c r="F36" s="251">
        <f t="shared" si="2"/>
        <v>8.3000000000000007</v>
      </c>
      <c r="G36" s="251">
        <f t="shared" si="2"/>
        <v>5.7000000000000028</v>
      </c>
      <c r="H36" s="251">
        <f t="shared" si="2"/>
        <v>6.6999999999999957</v>
      </c>
      <c r="I36" s="251">
        <f t="shared" si="2"/>
        <v>16.500000000000007</v>
      </c>
      <c r="J36" s="251">
        <f t="shared" si="2"/>
        <v>32.699999999999989</v>
      </c>
      <c r="K36" s="251">
        <f t="shared" si="2"/>
        <v>9.9999999999994316E-2</v>
      </c>
      <c r="L36" s="251"/>
      <c r="M36" s="273">
        <f>M35-M23</f>
        <v>-0.73100000000000032</v>
      </c>
    </row>
    <row r="37" spans="1:19" ht="15.9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O37" t="s">
        <v>152</v>
      </c>
    </row>
    <row r="39" spans="1:19" x14ac:dyDescent="0.2">
      <c r="E39" s="4"/>
    </row>
    <row r="44" spans="1:19" x14ac:dyDescent="0.2">
      <c r="O44" s="10"/>
    </row>
    <row r="57" spans="3:13" x14ac:dyDescent="0.2">
      <c r="F57">
        <v>0.125</v>
      </c>
      <c r="G57">
        <v>0.25</v>
      </c>
      <c r="H57">
        <v>0.5</v>
      </c>
      <c r="I57">
        <v>1</v>
      </c>
      <c r="J57">
        <v>2</v>
      </c>
      <c r="K57">
        <v>4</v>
      </c>
      <c r="L57">
        <v>8</v>
      </c>
      <c r="M57">
        <v>16</v>
      </c>
    </row>
    <row r="58" spans="3:13" x14ac:dyDescent="0.2">
      <c r="C58" t="s">
        <v>110</v>
      </c>
      <c r="F58">
        <f>POWER((F57/16),0.5)*100</f>
        <v>8.8388347648318444</v>
      </c>
      <c r="G58">
        <f t="shared" ref="G58:M58" si="3">POWER((G57/16),0.5)*100</f>
        <v>12.5</v>
      </c>
      <c r="H58">
        <f t="shared" si="3"/>
        <v>17.677669529663689</v>
      </c>
      <c r="I58">
        <f t="shared" si="3"/>
        <v>25</v>
      </c>
      <c r="J58">
        <f t="shared" si="3"/>
        <v>35.355339059327378</v>
      </c>
      <c r="K58">
        <f t="shared" si="3"/>
        <v>50</v>
      </c>
      <c r="L58">
        <f t="shared" si="3"/>
        <v>70.710678118654755</v>
      </c>
      <c r="M58">
        <f t="shared" si="3"/>
        <v>100</v>
      </c>
    </row>
    <row r="59" spans="3:13" x14ac:dyDescent="0.2">
      <c r="C59" t="s">
        <v>111</v>
      </c>
      <c r="F59">
        <f t="shared" ref="F59:M59" si="4">(F57/16+POWER(F57/16,0.5))*50</f>
        <v>4.8100423824159222</v>
      </c>
      <c r="G59">
        <f t="shared" si="4"/>
        <v>7.03125</v>
      </c>
      <c r="H59">
        <f t="shared" si="4"/>
        <v>10.401334764831844</v>
      </c>
      <c r="I59">
        <f t="shared" si="4"/>
        <v>15.625</v>
      </c>
      <c r="J59">
        <f t="shared" si="4"/>
        <v>23.927669529663689</v>
      </c>
      <c r="K59">
        <f t="shared" si="4"/>
        <v>37.5</v>
      </c>
      <c r="L59">
        <f t="shared" si="4"/>
        <v>60.35533905932737</v>
      </c>
      <c r="M59">
        <f t="shared" si="4"/>
        <v>100</v>
      </c>
    </row>
    <row r="61" spans="3:13" x14ac:dyDescent="0.2">
      <c r="C61" t="s">
        <v>112</v>
      </c>
      <c r="F61">
        <f>(F58+F59)/2</f>
        <v>6.8244385736238833</v>
      </c>
      <c r="G61">
        <f t="shared" ref="G61:M61" si="5">(G58+G59)/2</f>
        <v>9.765625</v>
      </c>
      <c r="H61">
        <f t="shared" si="5"/>
        <v>14.039502147247767</v>
      </c>
      <c r="I61">
        <f t="shared" si="5"/>
        <v>20.3125</v>
      </c>
      <c r="J61">
        <f t="shared" si="5"/>
        <v>29.641504294495533</v>
      </c>
      <c r="K61">
        <f t="shared" si="5"/>
        <v>43.75</v>
      </c>
      <c r="L61">
        <f t="shared" si="5"/>
        <v>65.533008588991066</v>
      </c>
      <c r="M61">
        <f t="shared" si="5"/>
        <v>100</v>
      </c>
    </row>
    <row r="62" spans="3:13" x14ac:dyDescent="0.2">
      <c r="C62" t="s">
        <v>113</v>
      </c>
      <c r="F62">
        <f t="shared" ref="F62:M62" si="6">(2*F58+F59)/3</f>
        <v>7.4959039706932034</v>
      </c>
      <c r="G62">
        <f t="shared" si="6"/>
        <v>10.677083333333334</v>
      </c>
      <c r="H62">
        <f t="shared" si="6"/>
        <v>15.252224608053075</v>
      </c>
      <c r="I62">
        <f t="shared" si="6"/>
        <v>21.875</v>
      </c>
      <c r="J62">
        <f t="shared" si="6"/>
        <v>31.546115882772813</v>
      </c>
      <c r="K62">
        <f t="shared" si="6"/>
        <v>45.833333333333336</v>
      </c>
      <c r="L62">
        <f t="shared" si="6"/>
        <v>67.258898432212291</v>
      </c>
      <c r="M62">
        <f t="shared" si="6"/>
        <v>100</v>
      </c>
    </row>
  </sheetData>
  <pageMargins left="0.98425196850393704" right="0.19685039370078741" top="0.62992125984251968" bottom="0.19685039370078741" header="0.23622047244094491" footer="0.19685039370078741"/>
  <pageSetup paperSize="9" orientation="portrait" horizontalDpi="4294967292" verticalDpi="4294967292" r:id="rId1"/>
  <headerFooter alignWithMargins="0">
    <oddFooter>&amp;R&amp;8
&amp;F&amp;D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E31" sqref="E31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>
        <v>41820</v>
      </c>
      <c r="K1" s="29"/>
    </row>
    <row r="2" spans="1:11" ht="17.100000000000001" customHeight="1" thickBot="1" x14ac:dyDescent="0.25">
      <c r="A2" s="30" t="s">
        <v>158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166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 t="s">
        <v>167</v>
      </c>
      <c r="D9" s="37"/>
      <c r="E9" s="153"/>
      <c r="F9" s="165" t="s">
        <v>91</v>
      </c>
      <c r="G9" s="156"/>
      <c r="H9" s="37" t="s">
        <v>162</v>
      </c>
      <c r="I9" s="37"/>
      <c r="J9" s="37"/>
      <c r="K9" s="37"/>
    </row>
    <row r="10" spans="1:11" ht="18" customHeight="1" x14ac:dyDescent="0.2">
      <c r="A10" s="22" t="s">
        <v>92</v>
      </c>
      <c r="B10" s="22"/>
      <c r="C10" s="166" t="s">
        <v>162</v>
      </c>
      <c r="D10" s="166"/>
      <c r="E10" s="167"/>
      <c r="F10" s="156" t="s">
        <v>93</v>
      </c>
      <c r="G10" s="156"/>
      <c r="H10" s="156"/>
      <c r="I10" s="164">
        <v>3.88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157" t="s">
        <v>170</v>
      </c>
      <c r="I12" s="157"/>
      <c r="J12" s="157"/>
      <c r="K12" s="282">
        <f>(G28/G29*100)</f>
        <v>68.236877523553147</v>
      </c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v>8.1</v>
      </c>
      <c r="D15" s="280">
        <v>19.399999999999999</v>
      </c>
      <c r="E15" s="280">
        <v>31.6</v>
      </c>
      <c r="F15" s="280">
        <v>43.1</v>
      </c>
      <c r="G15" s="280">
        <v>50.8</v>
      </c>
      <c r="H15" s="280">
        <v>59.8</v>
      </c>
      <c r="I15" s="280">
        <v>99.1</v>
      </c>
      <c r="J15" s="280">
        <v>100</v>
      </c>
      <c r="K15" s="281">
        <f>(700-SUM(C15:I15))/100</f>
        <v>3.8810000000000002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330</v>
      </c>
      <c r="D22" s="60"/>
      <c r="E22" s="174">
        <v>3.1230000000000002</v>
      </c>
      <c r="F22" s="70"/>
      <c r="G22" s="175">
        <f>ROUND((C22/E22),1)</f>
        <v>105.7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175</v>
      </c>
      <c r="D23" s="76"/>
      <c r="E23" s="174">
        <v>1</v>
      </c>
      <c r="F23" s="70"/>
      <c r="G23" s="175">
        <f>C23</f>
        <v>175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168</v>
      </c>
      <c r="C26" s="81">
        <v>273</v>
      </c>
      <c r="D26" s="60"/>
      <c r="E26" s="177">
        <v>2.74</v>
      </c>
      <c r="F26" s="70"/>
      <c r="G26" s="175">
        <f>ROUND((C26/E26),1)</f>
        <v>99.6</v>
      </c>
      <c r="H26" s="176"/>
      <c r="I26" s="294" t="s">
        <v>169</v>
      </c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5.61</v>
      </c>
      <c r="D27" s="60"/>
      <c r="E27" s="177">
        <v>1.05</v>
      </c>
      <c r="F27" s="70"/>
      <c r="G27" s="175">
        <f>ROUND((C27/E27),1)</f>
        <v>5.3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783.61</v>
      </c>
      <c r="D28" s="60"/>
      <c r="E28" s="177" t="s">
        <v>51</v>
      </c>
      <c r="F28" s="70"/>
      <c r="G28" s="178">
        <f>SUM(G22:G27)</f>
        <v>405.59999999999997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1564</v>
      </c>
      <c r="D29" s="121"/>
      <c r="E29" s="180" t="s">
        <v>51</v>
      </c>
      <c r="F29" s="96"/>
      <c r="G29" s="181">
        <f>1000-G28</f>
        <v>594.40000000000009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MI-V'!C27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313</v>
      </c>
      <c r="D31" s="121"/>
      <c r="E31" s="184">
        <v>2.63</v>
      </c>
      <c r="F31" s="96"/>
      <c r="G31" s="185">
        <f t="shared" si="1"/>
        <v>118.88</v>
      </c>
      <c r="H31" s="186">
        <f>'Sieblinie MI-V'!C28</f>
        <v>20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180</v>
      </c>
      <c r="D32" s="121"/>
      <c r="E32" s="184">
        <v>2.63</v>
      </c>
      <c r="F32" s="96"/>
      <c r="G32" s="185">
        <f t="shared" si="1"/>
        <v>68.36</v>
      </c>
      <c r="H32" s="186">
        <f>'Sieblinie MI-V'!C29</f>
        <v>11.5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180</v>
      </c>
      <c r="D33" s="121"/>
      <c r="E33" s="184">
        <v>2.63</v>
      </c>
      <c r="F33" s="96"/>
      <c r="G33" s="185">
        <f t="shared" si="1"/>
        <v>68.36</v>
      </c>
      <c r="H33" s="186">
        <f>'Sieblinie MI-V'!C30</f>
        <v>11.5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117</v>
      </c>
      <c r="D34" s="121"/>
      <c r="E34" s="184">
        <v>2.63</v>
      </c>
      <c r="F34" s="96"/>
      <c r="G34" s="185">
        <f t="shared" si="1"/>
        <v>44.58</v>
      </c>
      <c r="H34" s="186">
        <f>'Sieblinie MI-V'!C31</f>
        <v>7.5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117</v>
      </c>
      <c r="D35" s="121"/>
      <c r="E35" s="184">
        <v>2.63</v>
      </c>
      <c r="F35" s="96"/>
      <c r="G35" s="185">
        <f t="shared" si="1"/>
        <v>44.58</v>
      </c>
      <c r="H35" s="186">
        <f>'Sieblinie MI-V'!C32</f>
        <v>7.5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657</v>
      </c>
      <c r="D36" s="121"/>
      <c r="E36" s="184">
        <v>2.63</v>
      </c>
      <c r="F36" s="96"/>
      <c r="G36" s="185">
        <f t="shared" si="1"/>
        <v>249.65</v>
      </c>
      <c r="H36" s="186">
        <f>'Sieblinie MI-V'!C33</f>
        <v>42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2347.61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  <mergeCell ref="I29:K29"/>
    <mergeCell ref="I30:K30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E31" sqref="E31:E36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>
        <v>41820</v>
      </c>
      <c r="K1" s="29"/>
    </row>
    <row r="2" spans="1:11" ht="17.100000000000001" customHeight="1" thickBot="1" x14ac:dyDescent="0.25">
      <c r="A2" s="30" t="s">
        <v>158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171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 t="s">
        <v>172</v>
      </c>
      <c r="D9" s="37"/>
      <c r="E9" s="153"/>
      <c r="F9" s="165" t="s">
        <v>91</v>
      </c>
      <c r="G9" s="156"/>
      <c r="H9" s="37" t="s">
        <v>162</v>
      </c>
      <c r="I9" s="37"/>
      <c r="J9" s="37"/>
      <c r="K9" s="37"/>
    </row>
    <row r="10" spans="1:11" ht="18" customHeight="1" x14ac:dyDescent="0.2">
      <c r="A10" s="22" t="s">
        <v>92</v>
      </c>
      <c r="B10" s="22"/>
      <c r="C10" s="166" t="s">
        <v>162</v>
      </c>
      <c r="D10" s="166"/>
      <c r="E10" s="167"/>
      <c r="F10" s="156" t="s">
        <v>93</v>
      </c>
      <c r="G10" s="156"/>
      <c r="H10" s="156"/>
      <c r="I10" s="164">
        <v>3.88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157" t="s">
        <v>170</v>
      </c>
      <c r="I12" s="157"/>
      <c r="J12" s="157"/>
      <c r="K12" s="282">
        <f>(G28)/G29*100</f>
        <v>62.443144899285265</v>
      </c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v>8.1</v>
      </c>
      <c r="D15" s="280">
        <v>19.399999999999999</v>
      </c>
      <c r="E15" s="280">
        <v>31.6</v>
      </c>
      <c r="F15" s="280">
        <v>43.1</v>
      </c>
      <c r="G15" s="280">
        <v>50.8</v>
      </c>
      <c r="H15" s="280">
        <v>59.8</v>
      </c>
      <c r="I15" s="280">
        <v>99.1</v>
      </c>
      <c r="J15" s="280">
        <v>100</v>
      </c>
      <c r="K15" s="281">
        <f>(700-SUM(C15:I15))/100</f>
        <v>3.8810000000000002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330</v>
      </c>
      <c r="D22" s="60"/>
      <c r="E22" s="174">
        <v>3.1230000000000002</v>
      </c>
      <c r="F22" s="70"/>
      <c r="G22" s="175">
        <f>ROUND((C22/E22),1)</f>
        <v>105.7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175</v>
      </c>
      <c r="D23" s="76"/>
      <c r="E23" s="174">
        <v>1</v>
      </c>
      <c r="F23" s="70"/>
      <c r="G23" s="175">
        <f>C23</f>
        <v>175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168</v>
      </c>
      <c r="C26" s="81">
        <v>212</v>
      </c>
      <c r="D26" s="60"/>
      <c r="E26" s="177">
        <v>2.74</v>
      </c>
      <c r="F26" s="70"/>
      <c r="G26" s="175">
        <f>ROUND((C26/E26),1)</f>
        <v>77.400000000000006</v>
      </c>
      <c r="H26" s="176"/>
      <c r="I26" s="294" t="s">
        <v>169</v>
      </c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6.6</v>
      </c>
      <c r="D27" s="60"/>
      <c r="E27" s="177">
        <v>1.05</v>
      </c>
      <c r="F27" s="70"/>
      <c r="G27" s="175">
        <f>ROUND((C27/E27),1)</f>
        <v>6.3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723.6</v>
      </c>
      <c r="D28" s="60"/>
      <c r="E28" s="177" t="s">
        <v>51</v>
      </c>
      <c r="F28" s="70"/>
      <c r="G28" s="178">
        <f>SUM(G22:G27)</f>
        <v>384.40000000000003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1618</v>
      </c>
      <c r="D29" s="121"/>
      <c r="E29" s="180" t="s">
        <v>51</v>
      </c>
      <c r="F29" s="96"/>
      <c r="G29" s="181">
        <f>1000-G28</f>
        <v>615.59999999999991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MI-V'!C27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324</v>
      </c>
      <c r="D31" s="121"/>
      <c r="E31" s="184">
        <v>2.63</v>
      </c>
      <c r="F31" s="96"/>
      <c r="G31" s="185">
        <f t="shared" si="1"/>
        <v>123.12</v>
      </c>
      <c r="H31" s="186">
        <f>'Sieblinie MI-V'!C28</f>
        <v>20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186</v>
      </c>
      <c r="D32" s="121"/>
      <c r="E32" s="184">
        <v>2.63</v>
      </c>
      <c r="F32" s="96"/>
      <c r="G32" s="185">
        <f t="shared" si="1"/>
        <v>70.790000000000006</v>
      </c>
      <c r="H32" s="186">
        <f>'Sieblinie MI-V'!C29</f>
        <v>11.5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186</v>
      </c>
      <c r="D33" s="121"/>
      <c r="E33" s="184">
        <v>2.63</v>
      </c>
      <c r="F33" s="96"/>
      <c r="G33" s="185">
        <f t="shared" si="1"/>
        <v>70.790000000000006</v>
      </c>
      <c r="H33" s="186">
        <f>'Sieblinie MI-V'!C30</f>
        <v>11.5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121</v>
      </c>
      <c r="D34" s="121"/>
      <c r="E34" s="184">
        <v>2.63</v>
      </c>
      <c r="F34" s="96"/>
      <c r="G34" s="185">
        <f t="shared" si="1"/>
        <v>46.17</v>
      </c>
      <c r="H34" s="186">
        <f>'Sieblinie MI-V'!C31</f>
        <v>7.5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121</v>
      </c>
      <c r="D35" s="121"/>
      <c r="E35" s="184">
        <v>2.63</v>
      </c>
      <c r="F35" s="96"/>
      <c r="G35" s="185">
        <f t="shared" si="1"/>
        <v>46.17</v>
      </c>
      <c r="H35" s="186">
        <f>'Sieblinie MI-V'!C32</f>
        <v>7.5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680</v>
      </c>
      <c r="D36" s="121"/>
      <c r="E36" s="184">
        <v>2.63</v>
      </c>
      <c r="F36" s="96"/>
      <c r="G36" s="185">
        <f t="shared" si="1"/>
        <v>258.55</v>
      </c>
      <c r="H36" s="186">
        <f>'Sieblinie MI-V'!C33</f>
        <v>42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2341.6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  <mergeCell ref="I29:K29"/>
    <mergeCell ref="I30:K30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E31" sqref="E31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>
        <v>41820</v>
      </c>
      <c r="K1" s="29"/>
    </row>
    <row r="2" spans="1:11" ht="17.100000000000001" customHeight="1" thickBot="1" x14ac:dyDescent="0.25">
      <c r="A2" s="30" t="s">
        <v>158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173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 t="s">
        <v>174</v>
      </c>
      <c r="D9" s="37"/>
      <c r="E9" s="153"/>
      <c r="F9" s="165" t="s">
        <v>91</v>
      </c>
      <c r="G9" s="156"/>
      <c r="H9" s="37" t="s">
        <v>162</v>
      </c>
      <c r="I9" s="37"/>
      <c r="J9" s="37"/>
      <c r="K9" s="37"/>
    </row>
    <row r="10" spans="1:11" ht="18" customHeight="1" x14ac:dyDescent="0.2">
      <c r="A10" s="22" t="s">
        <v>92</v>
      </c>
      <c r="B10" s="22"/>
      <c r="C10" s="166" t="s">
        <v>162</v>
      </c>
      <c r="D10" s="166"/>
      <c r="E10" s="167"/>
      <c r="F10" s="156" t="s">
        <v>93</v>
      </c>
      <c r="G10" s="156"/>
      <c r="H10" s="156"/>
      <c r="I10" s="164">
        <v>3.88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157" t="s">
        <v>170</v>
      </c>
      <c r="I12" s="157"/>
      <c r="J12" s="157"/>
      <c r="K12" s="282">
        <f>(G28)/G29*100</f>
        <v>56.006240249609988</v>
      </c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v>8.1</v>
      </c>
      <c r="D15" s="280">
        <v>19.399999999999999</v>
      </c>
      <c r="E15" s="280">
        <v>31.6</v>
      </c>
      <c r="F15" s="280">
        <v>43.1</v>
      </c>
      <c r="G15" s="280">
        <v>50.8</v>
      </c>
      <c r="H15" s="280">
        <v>59.8</v>
      </c>
      <c r="I15" s="280">
        <v>99.1</v>
      </c>
      <c r="J15" s="280">
        <v>100</v>
      </c>
      <c r="K15" s="281">
        <f>(700-SUM(C15:I15))/100</f>
        <v>3.8810000000000002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330</v>
      </c>
      <c r="D22" s="60"/>
      <c r="E22" s="174">
        <v>3.1230000000000002</v>
      </c>
      <c r="F22" s="70"/>
      <c r="G22" s="175">
        <f>ROUND((C22/E22),1)</f>
        <v>105.7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175</v>
      </c>
      <c r="D23" s="76"/>
      <c r="E23" s="174">
        <v>1</v>
      </c>
      <c r="F23" s="70"/>
      <c r="G23" s="175">
        <f>C23</f>
        <v>175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168</v>
      </c>
      <c r="C26" s="81">
        <v>147</v>
      </c>
      <c r="D26" s="60"/>
      <c r="E26" s="177">
        <v>2.74</v>
      </c>
      <c r="F26" s="70"/>
      <c r="G26" s="175">
        <f>ROUND((C26/E26),1)</f>
        <v>53.6</v>
      </c>
      <c r="H26" s="176"/>
      <c r="I26" s="294" t="s">
        <v>169</v>
      </c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4.95</v>
      </c>
      <c r="D27" s="60"/>
      <c r="E27" s="177">
        <v>1.05</v>
      </c>
      <c r="F27" s="70"/>
      <c r="G27" s="175">
        <f>ROUND((C27/E27),1)</f>
        <v>4.7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656.95</v>
      </c>
      <c r="D28" s="60"/>
      <c r="E28" s="177" t="s">
        <v>51</v>
      </c>
      <c r="F28" s="70"/>
      <c r="G28" s="178">
        <f>SUM(G22:G27)</f>
        <v>359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1685</v>
      </c>
      <c r="D29" s="121"/>
      <c r="E29" s="180" t="s">
        <v>51</v>
      </c>
      <c r="F29" s="96"/>
      <c r="G29" s="181">
        <f>1000-G28</f>
        <v>641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MI-V'!C27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337</v>
      </c>
      <c r="D31" s="121"/>
      <c r="E31" s="184">
        <v>2.63</v>
      </c>
      <c r="F31" s="96"/>
      <c r="G31" s="185">
        <f t="shared" si="1"/>
        <v>128.19999999999999</v>
      </c>
      <c r="H31" s="186">
        <f>'Sieblinie MI-V'!C28</f>
        <v>20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194</v>
      </c>
      <c r="D32" s="121"/>
      <c r="E32" s="184">
        <v>2.63</v>
      </c>
      <c r="F32" s="96"/>
      <c r="G32" s="185">
        <f t="shared" si="1"/>
        <v>73.72</v>
      </c>
      <c r="H32" s="186">
        <f>'Sieblinie MI-V'!C29</f>
        <v>11.5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194</v>
      </c>
      <c r="D33" s="121"/>
      <c r="E33" s="184">
        <v>2.63</v>
      </c>
      <c r="F33" s="96"/>
      <c r="G33" s="185">
        <f t="shared" si="1"/>
        <v>73.72</v>
      </c>
      <c r="H33" s="186">
        <f>'Sieblinie MI-V'!C30</f>
        <v>11.5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126</v>
      </c>
      <c r="D34" s="121"/>
      <c r="E34" s="184">
        <v>2.63</v>
      </c>
      <c r="F34" s="96"/>
      <c r="G34" s="185">
        <f t="shared" si="1"/>
        <v>48.08</v>
      </c>
      <c r="H34" s="186">
        <f>'Sieblinie MI-V'!C31</f>
        <v>7.5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126</v>
      </c>
      <c r="D35" s="121"/>
      <c r="E35" s="184">
        <v>2.63</v>
      </c>
      <c r="F35" s="96"/>
      <c r="G35" s="185">
        <f t="shared" si="1"/>
        <v>48.08</v>
      </c>
      <c r="H35" s="186">
        <f>'Sieblinie MI-V'!C32</f>
        <v>7.5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708</v>
      </c>
      <c r="D36" s="121"/>
      <c r="E36" s="184">
        <v>2.63</v>
      </c>
      <c r="F36" s="96"/>
      <c r="G36" s="185">
        <f t="shared" si="1"/>
        <v>269.22000000000003</v>
      </c>
      <c r="H36" s="186">
        <f>'Sieblinie MI-V'!C33</f>
        <v>42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2341.9499999999998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  <mergeCell ref="I29:K29"/>
    <mergeCell ref="I30:K30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E31" sqref="E31:E36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>
        <v>41820</v>
      </c>
      <c r="K1" s="29"/>
    </row>
    <row r="2" spans="1:11" ht="17.100000000000001" customHeight="1" thickBot="1" x14ac:dyDescent="0.25">
      <c r="A2" s="30" t="s">
        <v>158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175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 t="s">
        <v>176</v>
      </c>
      <c r="D9" s="37"/>
      <c r="E9" s="153"/>
      <c r="F9" s="165" t="s">
        <v>91</v>
      </c>
      <c r="G9" s="156"/>
      <c r="H9" s="37" t="s">
        <v>162</v>
      </c>
      <c r="I9" s="37"/>
      <c r="J9" s="37"/>
      <c r="K9" s="37"/>
    </row>
    <row r="10" spans="1:11" ht="18" customHeight="1" x14ac:dyDescent="0.2">
      <c r="A10" s="22" t="s">
        <v>92</v>
      </c>
      <c r="B10" s="22"/>
      <c r="C10" s="166" t="s">
        <v>162</v>
      </c>
      <c r="D10" s="166"/>
      <c r="E10" s="167"/>
      <c r="F10" s="156" t="s">
        <v>93</v>
      </c>
      <c r="G10" s="156"/>
      <c r="H10" s="156"/>
      <c r="I10" s="164">
        <v>3.88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157" t="s">
        <v>170</v>
      </c>
      <c r="I12" s="157"/>
      <c r="J12" s="157"/>
      <c r="K12" s="282">
        <f>(G28)/G29*100</f>
        <v>49.880095923261379</v>
      </c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v>8.1</v>
      </c>
      <c r="D15" s="280">
        <v>19.399999999999999</v>
      </c>
      <c r="E15" s="280">
        <v>31.6</v>
      </c>
      <c r="F15" s="280">
        <v>43.1</v>
      </c>
      <c r="G15" s="280">
        <v>50.8</v>
      </c>
      <c r="H15" s="280">
        <v>59.8</v>
      </c>
      <c r="I15" s="280">
        <v>99.1</v>
      </c>
      <c r="J15" s="280">
        <v>100</v>
      </c>
      <c r="K15" s="281">
        <f>(700-SUM(C15:I15))/100</f>
        <v>3.8810000000000002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330</v>
      </c>
      <c r="D22" s="60"/>
      <c r="E22" s="174">
        <v>3.1230000000000002</v>
      </c>
      <c r="F22" s="70"/>
      <c r="G22" s="175">
        <f>ROUND((C22/E22),1)</f>
        <v>105.7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175</v>
      </c>
      <c r="D23" s="76"/>
      <c r="E23" s="174">
        <v>1</v>
      </c>
      <c r="F23" s="70"/>
      <c r="G23" s="175">
        <f>C23</f>
        <v>175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168</v>
      </c>
      <c r="C26" s="81">
        <v>76</v>
      </c>
      <c r="D26" s="60"/>
      <c r="E26" s="177">
        <v>2.74</v>
      </c>
      <c r="F26" s="70"/>
      <c r="G26" s="175">
        <f>ROUND((C26/E26),1)</f>
        <v>27.7</v>
      </c>
      <c r="H26" s="176"/>
      <c r="I26" s="294" t="s">
        <v>169</v>
      </c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4.62</v>
      </c>
      <c r="D27" s="60"/>
      <c r="E27" s="177">
        <v>1.05</v>
      </c>
      <c r="F27" s="70"/>
      <c r="G27" s="175">
        <f>ROUND((C27/E27),1)</f>
        <v>4.4000000000000004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585.62</v>
      </c>
      <c r="D28" s="60"/>
      <c r="E28" s="177" t="s">
        <v>51</v>
      </c>
      <c r="F28" s="70"/>
      <c r="G28" s="178">
        <f>SUM(G22:G27)</f>
        <v>332.79999999999995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1756</v>
      </c>
      <c r="D29" s="121"/>
      <c r="E29" s="180" t="s">
        <v>51</v>
      </c>
      <c r="F29" s="96"/>
      <c r="G29" s="181">
        <f>1000-G28</f>
        <v>667.2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MI-V'!C27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351</v>
      </c>
      <c r="D31" s="121"/>
      <c r="E31" s="184">
        <v>2.63</v>
      </c>
      <c r="F31" s="96"/>
      <c r="G31" s="185">
        <f t="shared" si="1"/>
        <v>133.44</v>
      </c>
      <c r="H31" s="186">
        <f>'Sieblinie MI-V'!C28</f>
        <v>20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202</v>
      </c>
      <c r="D32" s="121"/>
      <c r="E32" s="184">
        <v>2.63</v>
      </c>
      <c r="F32" s="96"/>
      <c r="G32" s="185">
        <f t="shared" si="1"/>
        <v>76.73</v>
      </c>
      <c r="H32" s="186">
        <f>'Sieblinie MI-V'!C29</f>
        <v>11.5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202</v>
      </c>
      <c r="D33" s="121"/>
      <c r="E33" s="184">
        <v>2.63</v>
      </c>
      <c r="F33" s="96"/>
      <c r="G33" s="185">
        <f t="shared" si="1"/>
        <v>76.73</v>
      </c>
      <c r="H33" s="186">
        <f>'Sieblinie MI-V'!C30</f>
        <v>11.5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132</v>
      </c>
      <c r="D34" s="121"/>
      <c r="E34" s="184">
        <v>2.63</v>
      </c>
      <c r="F34" s="96"/>
      <c r="G34" s="185">
        <f t="shared" si="1"/>
        <v>50.04</v>
      </c>
      <c r="H34" s="186">
        <f>'Sieblinie MI-V'!C31</f>
        <v>7.5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132</v>
      </c>
      <c r="D35" s="121"/>
      <c r="E35" s="184">
        <v>2.63</v>
      </c>
      <c r="F35" s="96"/>
      <c r="G35" s="185">
        <f t="shared" si="1"/>
        <v>50.04</v>
      </c>
      <c r="H35" s="186">
        <f>'Sieblinie MI-V'!C32</f>
        <v>7.5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737</v>
      </c>
      <c r="D36" s="121"/>
      <c r="E36" s="184">
        <v>2.63</v>
      </c>
      <c r="F36" s="96"/>
      <c r="G36" s="185">
        <f t="shared" si="1"/>
        <v>280.22000000000003</v>
      </c>
      <c r="H36" s="186">
        <f>'Sieblinie MI-V'!C33</f>
        <v>42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2341.62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  <mergeCell ref="I29:K29"/>
    <mergeCell ref="I30:K30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E31" sqref="E31:E36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>
        <v>41820</v>
      </c>
      <c r="K1" s="29"/>
    </row>
    <row r="2" spans="1:11" ht="17.100000000000001" customHeight="1" thickBot="1" x14ac:dyDescent="0.25">
      <c r="A2" s="30" t="s">
        <v>158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177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 t="s">
        <v>178</v>
      </c>
      <c r="D9" s="37"/>
      <c r="E9" s="153"/>
      <c r="F9" s="165" t="s">
        <v>91</v>
      </c>
      <c r="G9" s="156"/>
      <c r="H9" s="37" t="s">
        <v>162</v>
      </c>
      <c r="I9" s="37"/>
      <c r="J9" s="37"/>
      <c r="K9" s="37"/>
    </row>
    <row r="10" spans="1:11" ht="18" customHeight="1" x14ac:dyDescent="0.2">
      <c r="A10" s="22" t="s">
        <v>92</v>
      </c>
      <c r="B10" s="22"/>
      <c r="C10" s="166" t="s">
        <v>162</v>
      </c>
      <c r="D10" s="166"/>
      <c r="E10" s="167"/>
      <c r="F10" s="156" t="s">
        <v>93</v>
      </c>
      <c r="G10" s="156"/>
      <c r="H10" s="156"/>
      <c r="I10" s="164">
        <v>3.88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157" t="s">
        <v>170</v>
      </c>
      <c r="I12" s="157"/>
      <c r="J12" s="157"/>
      <c r="K12" s="282">
        <f>(G28)/G29*100</f>
        <v>43.636885952312554</v>
      </c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v>8.1</v>
      </c>
      <c r="D15" s="280">
        <v>19.399999999999999</v>
      </c>
      <c r="E15" s="280">
        <v>31.6</v>
      </c>
      <c r="F15" s="280">
        <v>43.1</v>
      </c>
      <c r="G15" s="280">
        <v>50.8</v>
      </c>
      <c r="H15" s="280">
        <v>59.8</v>
      </c>
      <c r="I15" s="280">
        <v>99.1</v>
      </c>
      <c r="J15" s="280">
        <v>100</v>
      </c>
      <c r="K15" s="281">
        <f>(700-SUM(C15:I15))/100</f>
        <v>3.8810000000000002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330</v>
      </c>
      <c r="D22" s="60"/>
      <c r="E22" s="174">
        <v>3.1230000000000002</v>
      </c>
      <c r="F22" s="70"/>
      <c r="G22" s="175">
        <f>ROUND((C22/E22),1)</f>
        <v>105.7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175</v>
      </c>
      <c r="D23" s="76"/>
      <c r="E23" s="174">
        <v>1</v>
      </c>
      <c r="F23" s="70"/>
      <c r="G23" s="175">
        <f>C23</f>
        <v>175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168</v>
      </c>
      <c r="C26" s="81">
        <v>0</v>
      </c>
      <c r="D26" s="60"/>
      <c r="E26" s="177">
        <v>2.74</v>
      </c>
      <c r="F26" s="70"/>
      <c r="G26" s="175">
        <f>ROUND((C26/E26),1)</f>
        <v>0</v>
      </c>
      <c r="H26" s="176"/>
      <c r="I26" s="294" t="s">
        <v>169</v>
      </c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3.3</v>
      </c>
      <c r="D27" s="60"/>
      <c r="E27" s="177">
        <v>1.05</v>
      </c>
      <c r="F27" s="70"/>
      <c r="G27" s="175">
        <f>ROUND((C27/E27),1)</f>
        <v>3.1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508.3</v>
      </c>
      <c r="D28" s="60"/>
      <c r="E28" s="177" t="s">
        <v>51</v>
      </c>
      <c r="F28" s="70"/>
      <c r="G28" s="178">
        <f>SUM(G22:G27)</f>
        <v>303.8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1831</v>
      </c>
      <c r="D29" s="121"/>
      <c r="E29" s="180" t="s">
        <v>51</v>
      </c>
      <c r="F29" s="96"/>
      <c r="G29" s="181">
        <f>1000-G28</f>
        <v>696.2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MI-V'!C27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366</v>
      </c>
      <c r="D31" s="121"/>
      <c r="E31" s="184">
        <v>2.63</v>
      </c>
      <c r="F31" s="96"/>
      <c r="G31" s="185">
        <f t="shared" si="1"/>
        <v>139.24</v>
      </c>
      <c r="H31" s="186">
        <f>'Sieblinie MI-V'!C28</f>
        <v>20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211</v>
      </c>
      <c r="D32" s="121"/>
      <c r="E32" s="184">
        <v>2.63</v>
      </c>
      <c r="F32" s="96"/>
      <c r="G32" s="185">
        <f t="shared" si="1"/>
        <v>80.06</v>
      </c>
      <c r="H32" s="186">
        <f>'Sieblinie MI-V'!C29</f>
        <v>11.5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211</v>
      </c>
      <c r="D33" s="121"/>
      <c r="E33" s="184">
        <v>2.63</v>
      </c>
      <c r="F33" s="96"/>
      <c r="G33" s="185">
        <f t="shared" si="1"/>
        <v>80.06</v>
      </c>
      <c r="H33" s="186">
        <f>'Sieblinie MI-V'!C30</f>
        <v>11.5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137</v>
      </c>
      <c r="D34" s="121"/>
      <c r="E34" s="184">
        <v>2.63</v>
      </c>
      <c r="F34" s="96"/>
      <c r="G34" s="185">
        <f t="shared" si="1"/>
        <v>52.22</v>
      </c>
      <c r="H34" s="186">
        <f>'Sieblinie MI-V'!C31</f>
        <v>7.5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137</v>
      </c>
      <c r="D35" s="121"/>
      <c r="E35" s="184">
        <v>2.63</v>
      </c>
      <c r="F35" s="96"/>
      <c r="G35" s="185">
        <f t="shared" si="1"/>
        <v>52.22</v>
      </c>
      <c r="H35" s="186">
        <f>'Sieblinie MI-V'!C32</f>
        <v>7.5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769</v>
      </c>
      <c r="D36" s="121"/>
      <c r="E36" s="184">
        <v>2.63</v>
      </c>
      <c r="F36" s="96"/>
      <c r="G36" s="185">
        <f t="shared" si="1"/>
        <v>292.39999999999998</v>
      </c>
      <c r="H36" s="186">
        <f>'Sieblinie MI-V'!C33</f>
        <v>42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2339.3000000000002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8:K38"/>
    <mergeCell ref="I39:K39"/>
    <mergeCell ref="I40:K40"/>
    <mergeCell ref="I41:K41"/>
    <mergeCell ref="I32:K32"/>
    <mergeCell ref="I33:K33"/>
    <mergeCell ref="I34:K34"/>
    <mergeCell ref="I35:K35"/>
    <mergeCell ref="I36:K36"/>
    <mergeCell ref="I37:K37"/>
    <mergeCell ref="I31:K31"/>
    <mergeCell ref="A22:B22"/>
    <mergeCell ref="I22:K22"/>
    <mergeCell ref="I23:K23"/>
    <mergeCell ref="I24:K24"/>
    <mergeCell ref="I25:K25"/>
    <mergeCell ref="I26:K26"/>
    <mergeCell ref="I27:K27"/>
    <mergeCell ref="A28:B28"/>
    <mergeCell ref="I28:K28"/>
    <mergeCell ref="I29:K29"/>
    <mergeCell ref="I30:K30"/>
  </mergeCells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9" workbookViewId="0">
      <selection activeCell="E31" sqref="E31:E36"/>
    </sheetView>
  </sheetViews>
  <sheetFormatPr baseColWidth="10" defaultRowHeight="12.75" x14ac:dyDescent="0.2"/>
  <cols>
    <col min="1" max="1" width="9.140625" customWidth="1"/>
    <col min="2" max="2" width="10" customWidth="1"/>
    <col min="3" max="6" width="6.7109375" customWidth="1"/>
    <col min="7" max="7" width="7.28515625" customWidth="1"/>
    <col min="8" max="10" width="6.7109375" customWidth="1"/>
    <col min="11" max="11" width="8" customWidth="1"/>
    <col min="12" max="12" width="8.7109375" customWidth="1"/>
  </cols>
  <sheetData>
    <row r="1" spans="1:11" ht="17.100000000000001" customHeight="1" x14ac:dyDescent="0.2">
      <c r="A1" s="25" t="s">
        <v>0</v>
      </c>
      <c r="B1" s="26" t="s">
        <v>88</v>
      </c>
      <c r="C1" s="26"/>
      <c r="D1" s="26"/>
      <c r="E1" s="26"/>
      <c r="F1" s="26"/>
      <c r="G1" s="26"/>
      <c r="H1" s="26"/>
      <c r="I1" s="160" t="s">
        <v>2</v>
      </c>
      <c r="J1" s="155" t="s">
        <v>180</v>
      </c>
      <c r="K1" s="29"/>
    </row>
    <row r="2" spans="1:11" ht="17.100000000000001" customHeight="1" thickBot="1" x14ac:dyDescent="0.25">
      <c r="A2" s="30" t="e">
        <f>#REF!</f>
        <v>#REF!</v>
      </c>
      <c r="B2" s="161"/>
      <c r="C2" s="161"/>
      <c r="D2" s="161"/>
      <c r="E2" s="161"/>
      <c r="F2" s="161"/>
      <c r="G2" s="161"/>
      <c r="H2" s="161"/>
      <c r="I2" s="124" t="s">
        <v>109</v>
      </c>
      <c r="J2" s="162"/>
      <c r="K2" s="163" t="s">
        <v>159</v>
      </c>
    </row>
    <row r="3" spans="1:11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ht="18" customHeight="1" x14ac:dyDescent="0.2">
      <c r="A4" s="36" t="s">
        <v>5</v>
      </c>
      <c r="B4" s="36"/>
      <c r="C4" s="22"/>
      <c r="D4" s="37" t="s">
        <v>131</v>
      </c>
      <c r="E4" s="37"/>
      <c r="F4" s="37"/>
      <c r="G4" s="37"/>
      <c r="H4" s="37"/>
      <c r="I4" s="37"/>
      <c r="J4" s="37"/>
      <c r="K4" s="37"/>
    </row>
    <row r="5" spans="1:11" ht="18" customHeight="1" x14ac:dyDescent="0.2">
      <c r="A5" s="36" t="s">
        <v>6</v>
      </c>
      <c r="B5" s="36"/>
      <c r="C5" s="22"/>
      <c r="D5" s="37" t="s">
        <v>135</v>
      </c>
      <c r="E5" s="37"/>
      <c r="F5" s="37"/>
      <c r="G5" s="37"/>
      <c r="H5" s="37"/>
      <c r="I5" s="37"/>
      <c r="J5" s="37"/>
      <c r="K5" s="37"/>
    </row>
    <row r="6" spans="1:11" ht="18" customHeight="1" x14ac:dyDescent="0.2">
      <c r="A6" s="36" t="s">
        <v>31</v>
      </c>
      <c r="B6" s="36"/>
      <c r="C6" s="36"/>
      <c r="D6" s="37" t="s">
        <v>153</v>
      </c>
      <c r="E6" s="37"/>
      <c r="F6" s="37"/>
      <c r="G6" s="37"/>
      <c r="H6" s="37"/>
      <c r="I6" s="37"/>
      <c r="J6" s="37"/>
      <c r="K6" s="37"/>
    </row>
    <row r="7" spans="1:11" ht="3.75" customHeight="1" x14ac:dyDescent="0.2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</row>
    <row r="8" spans="1:11" ht="18" customHeight="1" x14ac:dyDescent="0.2">
      <c r="A8" s="36" t="s">
        <v>89</v>
      </c>
      <c r="B8" s="36"/>
      <c r="C8" s="36"/>
      <c r="D8" s="36"/>
      <c r="E8" s="37"/>
      <c r="F8" s="37"/>
      <c r="G8" s="37"/>
      <c r="H8" s="37"/>
      <c r="I8" s="37"/>
      <c r="J8" s="37"/>
      <c r="K8" s="37"/>
    </row>
    <row r="9" spans="1:11" ht="18" customHeight="1" x14ac:dyDescent="0.2">
      <c r="A9" s="36" t="s">
        <v>90</v>
      </c>
      <c r="B9" s="36"/>
      <c r="C9" s="164">
        <v>0.3</v>
      </c>
      <c r="D9" s="37"/>
      <c r="E9" s="153"/>
      <c r="F9" s="165" t="s">
        <v>91</v>
      </c>
      <c r="G9" s="156"/>
      <c r="H9" s="37"/>
      <c r="I9" s="37"/>
      <c r="J9" s="37"/>
      <c r="K9" s="37"/>
    </row>
    <row r="10" spans="1:11" ht="18" customHeight="1" x14ac:dyDescent="0.2">
      <c r="A10" s="22" t="s">
        <v>92</v>
      </c>
      <c r="B10" s="22"/>
      <c r="C10" s="166"/>
      <c r="D10" s="166"/>
      <c r="E10" s="167"/>
      <c r="F10" s="156" t="s">
        <v>93</v>
      </c>
      <c r="G10" s="156"/>
      <c r="H10" s="156"/>
      <c r="I10" s="164">
        <v>3.05</v>
      </c>
      <c r="J10" s="37"/>
      <c r="K10" s="37"/>
    </row>
    <row r="11" spans="1:11" ht="5.25" customHeight="1" x14ac:dyDescent="0.2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ht="17.100000000000001" customHeight="1" x14ac:dyDescent="0.2">
      <c r="A12" s="157" t="s">
        <v>94</v>
      </c>
      <c r="B12" s="157"/>
      <c r="C12" s="157"/>
      <c r="D12" s="35"/>
      <c r="E12" s="35"/>
      <c r="F12" s="35"/>
      <c r="G12" s="35"/>
      <c r="H12" s="35"/>
      <c r="I12" s="35"/>
      <c r="J12" s="35"/>
      <c r="K12" s="35"/>
    </row>
    <row r="13" spans="1:11" ht="3" customHeight="1" thickBo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ht="20.100000000000001" customHeight="1" x14ac:dyDescent="0.2">
      <c r="A14" s="160" t="s">
        <v>95</v>
      </c>
      <c r="B14" s="47"/>
      <c r="C14" s="168">
        <v>0.25</v>
      </c>
      <c r="D14" s="169">
        <v>0.5</v>
      </c>
      <c r="E14" s="169">
        <v>1</v>
      </c>
      <c r="F14" s="169">
        <v>2</v>
      </c>
      <c r="G14" s="169">
        <v>4</v>
      </c>
      <c r="H14" s="169">
        <v>8</v>
      </c>
      <c r="I14" s="169">
        <v>16</v>
      </c>
      <c r="J14" s="169">
        <v>31.5</v>
      </c>
      <c r="K14" s="170" t="s">
        <v>96</v>
      </c>
    </row>
    <row r="15" spans="1:11" ht="20.100000000000001" customHeight="1" thickBot="1" x14ac:dyDescent="0.25">
      <c r="A15" s="124" t="s">
        <v>97</v>
      </c>
      <c r="B15" s="162"/>
      <c r="C15" s="279">
        <f>[1]Sieblinie!E35</f>
        <v>12.6</v>
      </c>
      <c r="D15" s="280">
        <f>[1]Sieblinie!F35</f>
        <v>30.3</v>
      </c>
      <c r="E15" s="280">
        <f>[1]Sieblinie!G35</f>
        <v>40.200000000000003</v>
      </c>
      <c r="F15" s="280">
        <f>[1]Sieblinie!H35</f>
        <v>49.4</v>
      </c>
      <c r="G15" s="280">
        <f>[1]Sieblinie!I35</f>
        <v>64.900000000000006</v>
      </c>
      <c r="H15" s="280">
        <f>[1]Sieblinie!J35</f>
        <v>97.6</v>
      </c>
      <c r="I15" s="280">
        <f>[1]Sieblinie!K35</f>
        <v>100</v>
      </c>
      <c r="J15" s="280">
        <v>100</v>
      </c>
      <c r="K15" s="281">
        <f>(700-SUM(C15:I15))/100</f>
        <v>3.05</v>
      </c>
    </row>
    <row r="16" spans="1:11" ht="5.25" customHeight="1" x14ac:dyDescent="0.2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3" ht="17.100000000000001" customHeight="1" x14ac:dyDescent="0.2">
      <c r="A17" s="157" t="s">
        <v>98</v>
      </c>
      <c r="B17" s="157"/>
      <c r="C17" s="157"/>
      <c r="D17" s="157"/>
      <c r="E17" s="157"/>
      <c r="F17" s="35"/>
      <c r="G17" s="35"/>
      <c r="H17" s="35"/>
      <c r="I17" s="35"/>
      <c r="J17" s="35"/>
      <c r="K17" s="35"/>
    </row>
    <row r="18" spans="1:13" ht="3" customHeight="1" thickBo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3" ht="17.100000000000001" customHeight="1" x14ac:dyDescent="0.2">
      <c r="A19" s="43" t="s">
        <v>34</v>
      </c>
      <c r="B19" s="44"/>
      <c r="C19" s="45" t="s">
        <v>99</v>
      </c>
      <c r="D19" s="44"/>
      <c r="E19" s="45" t="s">
        <v>100</v>
      </c>
      <c r="F19" s="44"/>
      <c r="G19" s="45" t="s">
        <v>101</v>
      </c>
      <c r="H19" s="44"/>
      <c r="I19" s="43" t="s">
        <v>102</v>
      </c>
      <c r="J19" s="45"/>
      <c r="K19" s="44"/>
    </row>
    <row r="20" spans="1:13" ht="17.100000000000001" customHeight="1" x14ac:dyDescent="0.2">
      <c r="A20" s="58"/>
      <c r="B20" s="54"/>
      <c r="C20" s="59"/>
      <c r="D20" s="60"/>
      <c r="E20" s="59" t="s">
        <v>103</v>
      </c>
      <c r="F20" s="60"/>
      <c r="G20" s="53"/>
      <c r="H20" s="171"/>
      <c r="I20" s="158"/>
      <c r="J20" s="159"/>
      <c r="K20" s="172"/>
    </row>
    <row r="21" spans="1:13" ht="20.100000000000001" customHeight="1" thickBot="1" x14ac:dyDescent="0.25">
      <c r="A21" s="124"/>
      <c r="B21" s="125"/>
      <c r="C21" s="33" t="s">
        <v>44</v>
      </c>
      <c r="D21" s="34"/>
      <c r="E21" s="33" t="s">
        <v>86</v>
      </c>
      <c r="F21" s="34"/>
      <c r="G21" s="33" t="s">
        <v>84</v>
      </c>
      <c r="H21" s="34"/>
      <c r="I21" s="173" t="s">
        <v>51</v>
      </c>
      <c r="J21" s="33"/>
      <c r="K21" s="34"/>
    </row>
    <row r="22" spans="1:13" ht="20.100000000000001" customHeight="1" x14ac:dyDescent="0.2">
      <c r="A22" s="289" t="s">
        <v>47</v>
      </c>
      <c r="B22" s="290"/>
      <c r="C22" s="67">
        <v>580</v>
      </c>
      <c r="D22" s="60"/>
      <c r="E22" s="174">
        <v>3.1230000000000002</v>
      </c>
      <c r="F22" s="70"/>
      <c r="G22" s="175">
        <f>ROUND((C22/E22),1)</f>
        <v>185.7</v>
      </c>
      <c r="H22" s="176"/>
      <c r="I22" s="291" t="s">
        <v>118</v>
      </c>
      <c r="J22" s="292"/>
      <c r="K22" s="293"/>
    </row>
    <row r="23" spans="1:13" ht="20.100000000000001" customHeight="1" x14ac:dyDescent="0.2">
      <c r="A23" s="58" t="s">
        <v>48</v>
      </c>
      <c r="B23" s="54"/>
      <c r="C23" s="75">
        <v>173</v>
      </c>
      <c r="D23" s="76"/>
      <c r="E23" s="174">
        <v>1</v>
      </c>
      <c r="F23" s="70"/>
      <c r="G23" s="175">
        <f>C23</f>
        <v>173</v>
      </c>
      <c r="H23" s="176"/>
      <c r="I23" s="294"/>
      <c r="J23" s="295"/>
      <c r="K23" s="296"/>
    </row>
    <row r="24" spans="1:13" ht="20.100000000000001" customHeight="1" x14ac:dyDescent="0.2">
      <c r="A24" s="58" t="s">
        <v>50</v>
      </c>
      <c r="B24" s="54"/>
      <c r="C24" s="81" t="s">
        <v>51</v>
      </c>
      <c r="D24" s="60"/>
      <c r="E24" s="177" t="s">
        <v>51</v>
      </c>
      <c r="F24" s="70"/>
      <c r="G24" s="178" t="s">
        <v>51</v>
      </c>
      <c r="H24" s="176"/>
      <c r="I24" s="294"/>
      <c r="J24" s="295"/>
      <c r="K24" s="296"/>
    </row>
    <row r="25" spans="1:13" ht="20.100000000000001" customHeight="1" x14ac:dyDescent="0.2">
      <c r="A25" s="58" t="s">
        <v>53</v>
      </c>
      <c r="B25" s="54"/>
      <c r="C25" s="81" t="s">
        <v>51</v>
      </c>
      <c r="D25" s="60"/>
      <c r="E25" s="177" t="s">
        <v>51</v>
      </c>
      <c r="F25" s="70"/>
      <c r="G25" s="175">
        <v>20</v>
      </c>
      <c r="H25" s="176"/>
      <c r="I25" s="294"/>
      <c r="J25" s="295"/>
      <c r="K25" s="296"/>
    </row>
    <row r="26" spans="1:13" ht="20.100000000000001" customHeight="1" x14ac:dyDescent="0.2">
      <c r="A26" s="58" t="s">
        <v>130</v>
      </c>
      <c r="B26" s="54" t="s">
        <v>154</v>
      </c>
      <c r="C26" s="81">
        <v>63.8</v>
      </c>
      <c r="D26" s="60"/>
      <c r="E26" s="177">
        <v>2.39</v>
      </c>
      <c r="F26" s="70"/>
      <c r="G26" s="175">
        <f>ROUND((C26/E26),1)</f>
        <v>26.7</v>
      </c>
      <c r="H26" s="176"/>
      <c r="I26" s="294"/>
      <c r="J26" s="295"/>
      <c r="K26" s="296"/>
    </row>
    <row r="27" spans="1:13" ht="20.100000000000001" customHeight="1" x14ac:dyDescent="0.2">
      <c r="A27" s="58" t="s">
        <v>104</v>
      </c>
      <c r="B27" s="54"/>
      <c r="C27" s="81">
        <v>5.61</v>
      </c>
      <c r="D27" s="60"/>
      <c r="E27" s="177">
        <v>1.05</v>
      </c>
      <c r="F27" s="70"/>
      <c r="G27" s="175">
        <f>ROUND((C27/E27),1)</f>
        <v>5.3</v>
      </c>
      <c r="H27" s="176"/>
      <c r="I27" s="294" t="s">
        <v>155</v>
      </c>
      <c r="J27" s="295"/>
      <c r="K27" s="296"/>
    </row>
    <row r="28" spans="1:13" ht="20.100000000000001" customHeight="1" x14ac:dyDescent="0.2">
      <c r="A28" s="297" t="s">
        <v>57</v>
      </c>
      <c r="B28" s="298"/>
      <c r="C28" s="67">
        <f>SUM(C22:C27)</f>
        <v>822.41</v>
      </c>
      <c r="D28" s="60"/>
      <c r="E28" s="177" t="s">
        <v>51</v>
      </c>
      <c r="F28" s="70"/>
      <c r="G28" s="178">
        <f>SUM(G22:G27)</f>
        <v>410.7</v>
      </c>
      <c r="H28" s="176"/>
      <c r="I28" s="294"/>
      <c r="J28" s="295"/>
      <c r="K28" s="296"/>
    </row>
    <row r="29" spans="1:13" ht="20.100000000000001" customHeight="1" x14ac:dyDescent="0.2">
      <c r="A29" s="91" t="s">
        <v>59</v>
      </c>
      <c r="B29" s="92"/>
      <c r="C29" s="179">
        <f>SUM(C30:C38)</f>
        <v>1549</v>
      </c>
      <c r="D29" s="121"/>
      <c r="E29" s="180" t="s">
        <v>51</v>
      </c>
      <c r="F29" s="96"/>
      <c r="G29" s="181">
        <f>1000-G28</f>
        <v>589.29999999999995</v>
      </c>
      <c r="H29" s="182" t="s">
        <v>105</v>
      </c>
      <c r="I29" s="294"/>
      <c r="J29" s="295"/>
      <c r="K29" s="296"/>
    </row>
    <row r="30" spans="1:13" ht="20.100000000000001" customHeight="1" x14ac:dyDescent="0.2">
      <c r="A30" s="183" t="s">
        <v>129</v>
      </c>
      <c r="B30" s="121"/>
      <c r="C30" s="179">
        <f t="shared" ref="C30:C36" si="0">ROUND((G30*E30),0)</f>
        <v>0</v>
      </c>
      <c r="D30" s="121"/>
      <c r="E30" s="184">
        <v>2.65</v>
      </c>
      <c r="F30" s="96"/>
      <c r="G30" s="185">
        <f t="shared" ref="G30:G36" si="1">ROUND(((G$29*H30)/100),2)</f>
        <v>0</v>
      </c>
      <c r="H30" s="186">
        <f>'Sieblinie MVI'!C27</f>
        <v>0</v>
      </c>
      <c r="I30" s="286" t="str">
        <f>'Sieblinie MVI'!M12</f>
        <v>Quarz</v>
      </c>
      <c r="J30" s="287"/>
      <c r="K30" s="288"/>
    </row>
    <row r="31" spans="1:13" ht="20.100000000000001" customHeight="1" x14ac:dyDescent="0.2">
      <c r="A31" s="183" t="s">
        <v>128</v>
      </c>
      <c r="B31" s="121"/>
      <c r="C31" s="179">
        <f t="shared" si="0"/>
        <v>465</v>
      </c>
      <c r="D31" s="121"/>
      <c r="E31" s="184">
        <v>2.63</v>
      </c>
      <c r="F31" s="96"/>
      <c r="G31" s="185">
        <f t="shared" si="1"/>
        <v>176.79</v>
      </c>
      <c r="H31" s="186">
        <f>'Sieblinie MVI'!C28</f>
        <v>30</v>
      </c>
      <c r="I31" s="286" t="str">
        <f>'Sieblinie MVI'!M13</f>
        <v xml:space="preserve">Okrilla  </v>
      </c>
      <c r="J31" s="287"/>
      <c r="K31" s="288"/>
    </row>
    <row r="32" spans="1:13" ht="20.100000000000001" customHeight="1" x14ac:dyDescent="0.2">
      <c r="A32" s="183" t="s">
        <v>127</v>
      </c>
      <c r="B32" s="121"/>
      <c r="C32" s="179">
        <f t="shared" si="0"/>
        <v>155</v>
      </c>
      <c r="D32" s="121"/>
      <c r="E32" s="184">
        <v>2.63</v>
      </c>
      <c r="F32" s="96"/>
      <c r="G32" s="185">
        <f t="shared" si="1"/>
        <v>58.93</v>
      </c>
      <c r="H32" s="186">
        <f>'Sieblinie MVI'!C29</f>
        <v>10</v>
      </c>
      <c r="I32" s="286" t="str">
        <f>'Sieblinie MVI'!M14</f>
        <v xml:space="preserve">Okrilla  </v>
      </c>
      <c r="J32" s="287"/>
      <c r="K32" s="288"/>
      <c r="M32" s="18"/>
    </row>
    <row r="33" spans="1:13" ht="20.100000000000001" customHeight="1" x14ac:dyDescent="0.2">
      <c r="A33" s="183" t="s">
        <v>126</v>
      </c>
      <c r="B33" s="121"/>
      <c r="C33" s="179">
        <f t="shared" si="0"/>
        <v>155</v>
      </c>
      <c r="D33" s="121"/>
      <c r="E33" s="184">
        <v>2.63</v>
      </c>
      <c r="F33" s="96"/>
      <c r="G33" s="185">
        <f t="shared" si="1"/>
        <v>58.93</v>
      </c>
      <c r="H33" s="186">
        <f>'Sieblinie MVI'!C30</f>
        <v>10</v>
      </c>
      <c r="I33" s="286" t="str">
        <f>'Sieblinie MVI'!M15</f>
        <v xml:space="preserve">Okrilla  </v>
      </c>
      <c r="J33" s="287"/>
      <c r="K33" s="288"/>
      <c r="M33" s="10"/>
    </row>
    <row r="34" spans="1:13" ht="20.100000000000001" customHeight="1" x14ac:dyDescent="0.2">
      <c r="A34" s="183" t="s">
        <v>125</v>
      </c>
      <c r="B34" s="121"/>
      <c r="C34" s="179">
        <f t="shared" si="0"/>
        <v>232</v>
      </c>
      <c r="D34" s="121"/>
      <c r="E34" s="184">
        <v>2.63</v>
      </c>
      <c r="F34" s="96"/>
      <c r="G34" s="185">
        <f t="shared" si="1"/>
        <v>88.4</v>
      </c>
      <c r="H34" s="186">
        <f>'Sieblinie MVI'!C31</f>
        <v>15</v>
      </c>
      <c r="I34" s="286" t="str">
        <f>'Sieblinie MVI'!M16</f>
        <v xml:space="preserve">Okrilla  </v>
      </c>
      <c r="J34" s="287"/>
      <c r="K34" s="288"/>
    </row>
    <row r="35" spans="1:13" ht="20.100000000000001" customHeight="1" x14ac:dyDescent="0.2">
      <c r="A35" s="183" t="s">
        <v>124</v>
      </c>
      <c r="B35" s="121"/>
      <c r="C35" s="179">
        <f t="shared" si="0"/>
        <v>542</v>
      </c>
      <c r="D35" s="121"/>
      <c r="E35" s="184">
        <v>2.63</v>
      </c>
      <c r="F35" s="96"/>
      <c r="G35" s="185">
        <f t="shared" si="1"/>
        <v>206.26</v>
      </c>
      <c r="H35" s="186">
        <f>'Sieblinie MVI'!C32</f>
        <v>35</v>
      </c>
      <c r="I35" s="286" t="str">
        <f>'Sieblinie MVI'!M17</f>
        <v xml:space="preserve">Okrilla  </v>
      </c>
      <c r="J35" s="287"/>
      <c r="K35" s="288"/>
    </row>
    <row r="36" spans="1:13" ht="20.100000000000001" customHeight="1" x14ac:dyDescent="0.2">
      <c r="A36" s="183" t="s">
        <v>123</v>
      </c>
      <c r="B36" s="121"/>
      <c r="C36" s="179">
        <f t="shared" si="0"/>
        <v>0</v>
      </c>
      <c r="D36" s="121"/>
      <c r="E36" s="184">
        <v>2.63</v>
      </c>
      <c r="F36" s="96"/>
      <c r="G36" s="185">
        <f t="shared" si="1"/>
        <v>0</v>
      </c>
      <c r="H36" s="186">
        <f>'Sieblinie MVI'!C33</f>
        <v>0</v>
      </c>
      <c r="I36" s="286" t="str">
        <f>'Sieblinie MVI'!M18</f>
        <v xml:space="preserve">Okrilla  </v>
      </c>
      <c r="J36" s="287"/>
      <c r="K36" s="288"/>
    </row>
    <row r="37" spans="1:13" ht="20.100000000000001" customHeight="1" x14ac:dyDescent="0.2">
      <c r="A37" s="183"/>
      <c r="B37" s="121"/>
      <c r="C37" s="187" t="s">
        <v>51</v>
      </c>
      <c r="D37" s="121"/>
      <c r="E37" s="180" t="s">
        <v>51</v>
      </c>
      <c r="F37" s="96"/>
      <c r="G37" s="188" t="s">
        <v>74</v>
      </c>
      <c r="H37" s="189" t="s">
        <v>74</v>
      </c>
      <c r="I37" s="294"/>
      <c r="J37" s="295"/>
      <c r="K37" s="296"/>
      <c r="M37" s="18"/>
    </row>
    <row r="38" spans="1:13" ht="20.100000000000001" customHeight="1" x14ac:dyDescent="0.2">
      <c r="A38" s="67"/>
      <c r="B38" s="60"/>
      <c r="C38" s="190" t="s">
        <v>51</v>
      </c>
      <c r="D38" s="60"/>
      <c r="E38" s="177" t="s">
        <v>51</v>
      </c>
      <c r="F38" s="70"/>
      <c r="G38" s="191" t="s">
        <v>74</v>
      </c>
      <c r="H38" s="192" t="s">
        <v>74</v>
      </c>
      <c r="I38" s="294"/>
      <c r="J38" s="295"/>
      <c r="K38" s="296"/>
      <c r="M38" s="10"/>
    </row>
    <row r="39" spans="1:13" ht="20.100000000000001" customHeight="1" x14ac:dyDescent="0.2">
      <c r="A39" s="58" t="s">
        <v>77</v>
      </c>
      <c r="B39" s="54"/>
      <c r="C39" s="75">
        <f>SUM(C22:C27)+C29</f>
        <v>2371.41</v>
      </c>
      <c r="D39" s="60"/>
      <c r="E39" s="177" t="s">
        <v>51</v>
      </c>
      <c r="F39" s="70"/>
      <c r="G39" s="75">
        <f>SUM(G22,G23,G25,G26,G27,G29)</f>
        <v>1000</v>
      </c>
      <c r="H39" s="76"/>
      <c r="I39" s="294"/>
      <c r="J39" s="295"/>
      <c r="K39" s="296"/>
    </row>
    <row r="40" spans="1:13" ht="20.100000000000001" customHeight="1" x14ac:dyDescent="0.2">
      <c r="A40" s="58" t="s">
        <v>106</v>
      </c>
      <c r="B40" s="54"/>
      <c r="C40" s="81" t="s">
        <v>51</v>
      </c>
      <c r="D40" s="60"/>
      <c r="E40" s="81" t="s">
        <v>51</v>
      </c>
      <c r="F40" s="70"/>
      <c r="G40" s="81" t="s">
        <v>51</v>
      </c>
      <c r="H40" s="60"/>
      <c r="I40" s="294"/>
      <c r="J40" s="295"/>
      <c r="K40" s="296"/>
    </row>
    <row r="41" spans="1:13" ht="20.100000000000001" customHeight="1" thickBot="1" x14ac:dyDescent="0.25">
      <c r="A41" s="124" t="s">
        <v>107</v>
      </c>
      <c r="B41" s="125"/>
      <c r="C41" s="173" t="s">
        <v>51</v>
      </c>
      <c r="D41" s="34"/>
      <c r="E41" s="173" t="s">
        <v>51</v>
      </c>
      <c r="F41" s="130"/>
      <c r="G41" s="173" t="s">
        <v>51</v>
      </c>
      <c r="H41" s="34"/>
      <c r="I41" s="299"/>
      <c r="J41" s="300"/>
      <c r="K41" s="301"/>
    </row>
    <row r="42" spans="1:13" ht="6" customHeight="1" x14ac:dyDescent="0.2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</row>
    <row r="43" spans="1:13" ht="6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3" ht="15" customHeight="1" x14ac:dyDescent="0.2">
      <c r="A44" s="6"/>
      <c r="B44" s="6"/>
      <c r="C44" s="11"/>
      <c r="D44" s="6"/>
      <c r="E44" s="12"/>
      <c r="F44" s="6"/>
      <c r="G44" s="9"/>
      <c r="H44" s="11"/>
      <c r="I44" s="11"/>
      <c r="J44" s="16"/>
      <c r="K44" s="6"/>
      <c r="L44" s="13"/>
    </row>
    <row r="45" spans="1:13" ht="15" customHeight="1" x14ac:dyDescent="0.2">
      <c r="A45" s="6"/>
      <c r="B45" s="6"/>
      <c r="C45" s="6"/>
      <c r="D45" s="6"/>
      <c r="E45" s="12"/>
      <c r="F45" s="11"/>
      <c r="G45" s="11"/>
      <c r="H45" s="6"/>
      <c r="I45" s="14"/>
      <c r="J45" s="12"/>
      <c r="K45" s="6"/>
      <c r="L45" s="9"/>
    </row>
    <row r="46" spans="1:13" ht="15" customHeight="1" x14ac:dyDescent="0.2">
      <c r="A46" s="9"/>
      <c r="B46" s="9"/>
      <c r="C46" s="15"/>
      <c r="D46" s="6"/>
      <c r="E46" s="13"/>
      <c r="F46" s="9"/>
      <c r="G46" s="9"/>
      <c r="H46" s="9"/>
      <c r="I46" s="9"/>
      <c r="J46" s="16"/>
      <c r="K46" s="9"/>
      <c r="L46" s="15"/>
    </row>
    <row r="47" spans="1:13" ht="15" customHeight="1" x14ac:dyDescent="0.2">
      <c r="A47" s="6"/>
      <c r="B47" s="9"/>
      <c r="C47" s="11"/>
      <c r="D47" s="6"/>
      <c r="E47" s="13"/>
      <c r="F47" s="9"/>
      <c r="G47" s="9"/>
      <c r="H47" s="9"/>
      <c r="I47" s="9"/>
      <c r="J47" s="16"/>
      <c r="K47" s="9"/>
      <c r="L47" s="9"/>
    </row>
    <row r="48" spans="1:13" ht="15" customHeight="1" x14ac:dyDescent="0.2">
      <c r="A48" s="9"/>
      <c r="C48" s="16"/>
    </row>
    <row r="51" spans="7:7" x14ac:dyDescent="0.2">
      <c r="G51" s="17"/>
    </row>
  </sheetData>
  <mergeCells count="22">
    <mergeCell ref="I34:K34"/>
    <mergeCell ref="I36:K36"/>
    <mergeCell ref="I35:K35"/>
    <mergeCell ref="I29:K29"/>
    <mergeCell ref="I30:K30"/>
    <mergeCell ref="I31:K31"/>
    <mergeCell ref="I32:K32"/>
    <mergeCell ref="I33:K33"/>
    <mergeCell ref="I41:K41"/>
    <mergeCell ref="I37:K37"/>
    <mergeCell ref="I38:K38"/>
    <mergeCell ref="I39:K39"/>
    <mergeCell ref="I40:K40"/>
    <mergeCell ref="A22:B22"/>
    <mergeCell ref="A28:B28"/>
    <mergeCell ref="I27:K27"/>
    <mergeCell ref="I22:K22"/>
    <mergeCell ref="I23:K23"/>
    <mergeCell ref="I24:K24"/>
    <mergeCell ref="I25:K25"/>
    <mergeCell ref="I28:K28"/>
    <mergeCell ref="I26:K26"/>
  </mergeCells>
  <phoneticPr fontId="3" type="noConversion"/>
  <pageMargins left="0.78740157480314965" right="0.39370078740157483" top="0.62992125984251968" bottom="0" header="0.51181102362204722" footer="0.23622047244094491"/>
  <pageSetup paperSize="9" orientation="portrait" horizontalDpi="4294967292" verticalDpi="4294967292" r:id="rId1"/>
  <headerFooter alignWithMargins="0">
    <oddFooter>&amp;R&amp;8&amp;F&amp;D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abSelected="1" topLeftCell="A4" workbookViewId="0">
      <selection activeCell="E18" sqref="E18"/>
    </sheetView>
  </sheetViews>
  <sheetFormatPr baseColWidth="10" defaultRowHeight="12.75" x14ac:dyDescent="0.2"/>
  <cols>
    <col min="1" max="1" width="10.42578125" customWidth="1"/>
    <col min="2" max="2" width="11.28515625" customWidth="1"/>
    <col min="3" max="3" width="8" customWidth="1"/>
    <col min="4" max="4" width="3.85546875" customWidth="1"/>
    <col min="5" max="5" width="7.28515625" customWidth="1"/>
    <col min="6" max="6" width="1.140625" customWidth="1"/>
    <col min="7" max="7" width="7.28515625" customWidth="1"/>
    <col min="8" max="8" width="1.140625" customWidth="1"/>
    <col min="9" max="9" width="8.28515625" customWidth="1"/>
    <col min="10" max="10" width="7.7109375" customWidth="1"/>
    <col min="11" max="11" width="8" customWidth="1"/>
    <col min="12" max="12" width="7.42578125" customWidth="1"/>
  </cols>
  <sheetData>
    <row r="1" spans="1:12" ht="17.100000000000001" customHeight="1" x14ac:dyDescent="0.2">
      <c r="A1" s="25" t="s">
        <v>0</v>
      </c>
      <c r="B1" s="26" t="s">
        <v>27</v>
      </c>
      <c r="C1" s="26"/>
      <c r="D1" s="26"/>
      <c r="E1" s="26"/>
      <c r="F1" s="26"/>
      <c r="G1" s="26"/>
      <c r="H1" s="26"/>
      <c r="I1" s="26"/>
      <c r="J1" s="27" t="s">
        <v>28</v>
      </c>
      <c r="K1" s="28">
        <v>41820</v>
      </c>
      <c r="L1" s="29"/>
    </row>
    <row r="2" spans="1:12" ht="17.100000000000001" customHeight="1" thickBot="1" x14ac:dyDescent="0.25">
      <c r="A2" s="30" t="s">
        <v>158</v>
      </c>
      <c r="B2" s="31" t="s">
        <v>29</v>
      </c>
      <c r="C2" s="31"/>
      <c r="D2" s="31"/>
      <c r="E2" s="31"/>
      <c r="F2" s="31"/>
      <c r="G2" s="31"/>
      <c r="H2" s="31"/>
      <c r="I2" s="31"/>
      <c r="J2" s="32" t="s">
        <v>30</v>
      </c>
      <c r="K2" s="33" t="s">
        <v>157</v>
      </c>
      <c r="L2" s="34"/>
    </row>
    <row r="3" spans="1:12" ht="8.1" customHeight="1" x14ac:dyDescent="0.2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18" customHeight="1" x14ac:dyDescent="0.2">
      <c r="A4" s="36" t="s">
        <v>5</v>
      </c>
      <c r="B4" s="36"/>
      <c r="C4" s="22"/>
      <c r="D4" s="37" t="s">
        <v>159</v>
      </c>
      <c r="E4" s="37"/>
      <c r="F4" s="37"/>
      <c r="G4" s="37"/>
      <c r="H4" s="37"/>
      <c r="I4" s="37"/>
      <c r="J4" s="38"/>
      <c r="K4" s="38"/>
      <c r="L4" s="37"/>
    </row>
    <row r="5" spans="1:12" ht="18" customHeight="1" x14ac:dyDescent="0.2">
      <c r="A5" s="36" t="s">
        <v>6</v>
      </c>
      <c r="B5" s="36"/>
      <c r="C5" s="22"/>
      <c r="D5" s="37" t="s">
        <v>132</v>
      </c>
      <c r="E5" s="37"/>
      <c r="F5" s="37"/>
      <c r="G5" s="37"/>
      <c r="H5" s="37"/>
      <c r="I5" s="37"/>
      <c r="J5" s="37" t="s">
        <v>116</v>
      </c>
      <c r="K5" s="37"/>
      <c r="L5" s="37"/>
    </row>
    <row r="6" spans="1:12" ht="18" customHeight="1" x14ac:dyDescent="0.2">
      <c r="A6" s="36" t="s">
        <v>31</v>
      </c>
      <c r="B6" s="36"/>
      <c r="C6" s="36"/>
      <c r="D6" s="37" t="str">
        <f>RezepturMI!D6</f>
        <v>BA-Losert MI</v>
      </c>
      <c r="E6" s="37"/>
      <c r="F6" s="37"/>
      <c r="G6" s="37"/>
      <c r="H6" s="37"/>
      <c r="I6" s="37"/>
      <c r="J6" s="37"/>
      <c r="K6" s="37"/>
      <c r="L6" s="37"/>
    </row>
    <row r="7" spans="1:12" ht="12.75" customHeight="1" thickBo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</row>
    <row r="8" spans="1:12" ht="17.100000000000001" customHeight="1" thickBot="1" x14ac:dyDescent="0.25">
      <c r="A8" s="39" t="s">
        <v>32</v>
      </c>
      <c r="B8" s="40"/>
      <c r="C8" s="40"/>
      <c r="D8" s="40"/>
      <c r="E8" s="40"/>
      <c r="F8" s="40"/>
      <c r="G8" s="40"/>
      <c r="H8" s="41"/>
      <c r="I8" s="40" t="s">
        <v>33</v>
      </c>
      <c r="J8" s="42"/>
      <c r="K8" s="42"/>
      <c r="L8" s="41"/>
    </row>
    <row r="9" spans="1:12" ht="17.100000000000001" customHeight="1" x14ac:dyDescent="0.2">
      <c r="A9" s="43" t="s">
        <v>34</v>
      </c>
      <c r="B9" s="44"/>
      <c r="C9" s="45" t="s">
        <v>35</v>
      </c>
      <c r="D9" s="44"/>
      <c r="E9" s="45" t="s">
        <v>36</v>
      </c>
      <c r="F9" s="45"/>
      <c r="G9" s="45"/>
      <c r="H9" s="44"/>
      <c r="I9" s="46" t="s">
        <v>37</v>
      </c>
      <c r="J9" s="47"/>
      <c r="K9" s="47"/>
      <c r="L9" s="48"/>
    </row>
    <row r="10" spans="1:12" ht="17.100000000000001" customHeight="1" x14ac:dyDescent="0.2">
      <c r="A10" s="49"/>
      <c r="B10" s="50"/>
      <c r="C10" s="51" t="s">
        <v>38</v>
      </c>
      <c r="D10" s="52"/>
      <c r="E10" s="283">
        <v>85</v>
      </c>
      <c r="F10" s="284" t="s">
        <v>39</v>
      </c>
      <c r="G10" s="283">
        <v>85</v>
      </c>
      <c r="H10" s="285" t="s">
        <v>39</v>
      </c>
      <c r="I10" s="55" t="s">
        <v>114</v>
      </c>
      <c r="J10" s="55"/>
      <c r="K10" s="56"/>
      <c r="L10" s="182"/>
    </row>
    <row r="11" spans="1:12" ht="17.100000000000001" customHeight="1" x14ac:dyDescent="0.2">
      <c r="A11" s="58"/>
      <c r="B11" s="54"/>
      <c r="C11" s="59"/>
      <c r="D11" s="60"/>
      <c r="E11" s="61" t="s">
        <v>40</v>
      </c>
      <c r="F11" s="62"/>
      <c r="G11" s="61" t="s">
        <v>41</v>
      </c>
      <c r="H11" s="63"/>
      <c r="I11" s="55" t="s">
        <v>42</v>
      </c>
      <c r="J11" s="55"/>
      <c r="K11" s="64" t="s">
        <v>117</v>
      </c>
      <c r="L11" s="57"/>
    </row>
    <row r="12" spans="1:12" ht="20.100000000000001" customHeight="1" thickBot="1" x14ac:dyDescent="0.25">
      <c r="A12" s="65" t="s">
        <v>43</v>
      </c>
      <c r="B12" s="197" t="s">
        <v>120</v>
      </c>
      <c r="C12" s="33" t="s">
        <v>44</v>
      </c>
      <c r="D12" s="34"/>
      <c r="E12" s="33" t="s">
        <v>45</v>
      </c>
      <c r="F12" s="66"/>
      <c r="G12" s="33" t="s">
        <v>45</v>
      </c>
      <c r="H12" s="34"/>
      <c r="I12" s="55" t="s">
        <v>46</v>
      </c>
      <c r="J12" s="55"/>
      <c r="K12" s="56" t="s">
        <v>117</v>
      </c>
      <c r="L12" s="57"/>
    </row>
    <row r="13" spans="1:12" ht="20.100000000000001" customHeight="1" thickBot="1" x14ac:dyDescent="0.25">
      <c r="A13" s="58" t="s">
        <v>47</v>
      </c>
      <c r="B13" s="24" t="s">
        <v>118</v>
      </c>
      <c r="C13" s="67">
        <f>RezepturMI!C22</f>
        <v>330</v>
      </c>
      <c r="D13" s="60"/>
      <c r="E13" s="68">
        <f>ROUND(((C13*E$10)/1000),2)</f>
        <v>28.05</v>
      </c>
      <c r="F13" s="69"/>
      <c r="G13" s="68">
        <f>ROUND(((C13*E$10)/1000),2)</f>
        <v>28.05</v>
      </c>
      <c r="H13" s="70"/>
      <c r="I13" s="71"/>
      <c r="J13" s="72"/>
      <c r="K13" s="73"/>
      <c r="L13" s="74"/>
    </row>
    <row r="14" spans="1:12" ht="20.100000000000001" customHeight="1" thickBot="1" x14ac:dyDescent="0.25">
      <c r="A14" s="58" t="s">
        <v>48</v>
      </c>
      <c r="B14" s="54"/>
      <c r="C14" s="75">
        <f>RezepturMI!C23</f>
        <v>175</v>
      </c>
      <c r="D14" s="76"/>
      <c r="E14" s="68">
        <f>ROUND(((C14*E$10)/1000),2)</f>
        <v>14.88</v>
      </c>
      <c r="F14" s="77"/>
      <c r="G14" s="68">
        <f>ROUND(((C14*G$10)/1000),2)</f>
        <v>14.88</v>
      </c>
      <c r="H14" s="70"/>
      <c r="I14" s="78" t="s">
        <v>49</v>
      </c>
      <c r="J14" s="79"/>
      <c r="K14" s="80"/>
      <c r="L14" s="204"/>
    </row>
    <row r="15" spans="1:12" ht="20.100000000000001" customHeight="1" x14ac:dyDescent="0.2">
      <c r="A15" s="58" t="s">
        <v>50</v>
      </c>
      <c r="B15" s="54"/>
      <c r="C15" s="81" t="s">
        <v>51</v>
      </c>
      <c r="D15" s="60"/>
      <c r="E15" s="68" t="s">
        <v>51</v>
      </c>
      <c r="F15" s="77"/>
      <c r="G15" s="68" t="s">
        <v>51</v>
      </c>
      <c r="H15" s="70"/>
      <c r="I15" s="82" t="s">
        <v>52</v>
      </c>
      <c r="J15" s="83"/>
      <c r="K15" s="83"/>
      <c r="L15" s="54"/>
    </row>
    <row r="16" spans="1:12" ht="20.100000000000001" customHeight="1" x14ac:dyDescent="0.2">
      <c r="A16" s="58" t="s">
        <v>53</v>
      </c>
      <c r="B16" s="54"/>
      <c r="C16" s="81" t="s">
        <v>51</v>
      </c>
      <c r="D16" s="60"/>
      <c r="E16" s="68" t="s">
        <v>51</v>
      </c>
      <c r="F16" s="77"/>
      <c r="G16" s="68" t="s">
        <v>51</v>
      </c>
      <c r="H16" s="70"/>
      <c r="I16" s="55" t="s">
        <v>54</v>
      </c>
      <c r="J16" s="84"/>
      <c r="K16" s="85"/>
      <c r="L16" s="205"/>
    </row>
    <row r="17" spans="1:15" ht="20.100000000000001" customHeight="1" x14ac:dyDescent="0.2">
      <c r="A17" s="58" t="s">
        <v>130</v>
      </c>
      <c r="B17" s="24" t="s">
        <v>168</v>
      </c>
      <c r="C17" s="81">
        <f>RezepturMI!C26</f>
        <v>273</v>
      </c>
      <c r="D17" s="60"/>
      <c r="E17" s="198">
        <f>C17*E$10/1000</f>
        <v>23.204999999999998</v>
      </c>
      <c r="F17" s="199"/>
      <c r="G17" s="198">
        <f>C17*E$10/1000</f>
        <v>23.204999999999998</v>
      </c>
      <c r="H17" s="70"/>
      <c r="I17" s="55" t="s">
        <v>55</v>
      </c>
      <c r="J17" s="84"/>
      <c r="K17" s="86">
        <v>8</v>
      </c>
      <c r="L17" s="206">
        <v>8</v>
      </c>
    </row>
    <row r="18" spans="1:15" ht="20.100000000000001" customHeight="1" thickBot="1" x14ac:dyDescent="0.25">
      <c r="A18" s="58" t="s">
        <v>121</v>
      </c>
      <c r="B18" s="24" t="s">
        <v>155</v>
      </c>
      <c r="C18" s="81">
        <f>RezepturMI!C27</f>
        <v>5.61</v>
      </c>
      <c r="D18" s="60"/>
      <c r="E18" s="198">
        <f>ROUND(((C18*E$10)/1000),3)</f>
        <v>0.47699999999999998</v>
      </c>
      <c r="F18" s="199"/>
      <c r="G18" s="198">
        <f>ROUND(((C18*E$10)/1000),3)</f>
        <v>0.47699999999999998</v>
      </c>
      <c r="H18" s="70"/>
      <c r="I18" s="87" t="s">
        <v>56</v>
      </c>
      <c r="J18" s="88"/>
      <c r="K18" s="89">
        <f>ROUND(K16/K17*1000,-1)</f>
        <v>0</v>
      </c>
      <c r="L18" s="207">
        <f>ROUND(L16/L17*1000,-1)</f>
        <v>0</v>
      </c>
    </row>
    <row r="19" spans="1:15" ht="20.100000000000001" customHeight="1" x14ac:dyDescent="0.2">
      <c r="A19" s="58" t="s">
        <v>57</v>
      </c>
      <c r="B19" s="54"/>
      <c r="C19" s="81">
        <f>SUM(C13:C18)</f>
        <v>783.61</v>
      </c>
      <c r="D19" s="60"/>
      <c r="E19" s="198">
        <f>SUM(E13:E18)</f>
        <v>66.611999999999995</v>
      </c>
      <c r="F19" s="199"/>
      <c r="G19" s="198">
        <f>SUM(G13:G18)</f>
        <v>66.611999999999995</v>
      </c>
      <c r="H19" s="70"/>
      <c r="I19" s="90" t="s">
        <v>58</v>
      </c>
      <c r="J19" s="83"/>
      <c r="K19" s="83"/>
      <c r="L19" s="54"/>
      <c r="N19" s="193"/>
    </row>
    <row r="20" spans="1:15" ht="20.100000000000001" customHeight="1" x14ac:dyDescent="0.2">
      <c r="A20" s="91" t="s">
        <v>59</v>
      </c>
      <c r="B20" s="92"/>
      <c r="C20" s="93">
        <f>SUM(C21:C27)</f>
        <v>1564</v>
      </c>
      <c r="D20" s="94" t="s">
        <v>60</v>
      </c>
      <c r="E20" s="200">
        <f>SUM(E21:E30)</f>
        <v>132.94</v>
      </c>
      <c r="F20" s="201"/>
      <c r="G20" s="202">
        <f>E20</f>
        <v>132.94</v>
      </c>
      <c r="H20" s="96"/>
      <c r="I20" s="97" t="s">
        <v>108</v>
      </c>
      <c r="J20" s="98"/>
      <c r="K20" s="97" t="s">
        <v>61</v>
      </c>
      <c r="L20" s="99"/>
    </row>
    <row r="21" spans="1:15" ht="20.100000000000001" customHeight="1" thickBot="1" x14ac:dyDescent="0.25">
      <c r="A21" s="100" t="s">
        <v>62</v>
      </c>
      <c r="B21" s="101" t="str">
        <f>RezepturMVI!I30</f>
        <v>Quarz</v>
      </c>
      <c r="C21" s="93">
        <f>RezepturMI!C30</f>
        <v>0</v>
      </c>
      <c r="D21" s="102">
        <f>RezepturMI!H30</f>
        <v>0</v>
      </c>
      <c r="E21" s="202">
        <f>ROUND(((C21*E$10)/1000),32)</f>
        <v>0</v>
      </c>
      <c r="F21" s="203"/>
      <c r="G21" s="202">
        <f>ROUND((E21),3)</f>
        <v>0</v>
      </c>
      <c r="H21" s="96"/>
      <c r="I21" s="104"/>
      <c r="J21" s="104"/>
      <c r="K21" s="104"/>
      <c r="L21" s="105"/>
    </row>
    <row r="22" spans="1:15" ht="20.100000000000001" customHeight="1" x14ac:dyDescent="0.2">
      <c r="A22" s="100" t="s">
        <v>63</v>
      </c>
      <c r="B22" s="101" t="str">
        <f>RezepturMVI!I31</f>
        <v xml:space="preserve">Okrilla  </v>
      </c>
      <c r="C22" s="93">
        <f>RezepturMI!C31</f>
        <v>313</v>
      </c>
      <c r="D22" s="102">
        <f>RezepturMI!H31</f>
        <v>20</v>
      </c>
      <c r="E22" s="202">
        <f t="shared" ref="E22:E27" si="0">ROUND(((C22*E$10)/1000),3)</f>
        <v>26.605</v>
      </c>
      <c r="F22" s="203"/>
      <c r="G22" s="202">
        <f>ROUND((G21+E22),3)</f>
        <v>26.605</v>
      </c>
      <c r="H22" s="96"/>
      <c r="I22" s="90" t="s">
        <v>64</v>
      </c>
      <c r="J22" s="83"/>
      <c r="K22" s="83"/>
      <c r="L22" s="54"/>
    </row>
    <row r="23" spans="1:15" ht="20.100000000000001" customHeight="1" x14ac:dyDescent="0.2">
      <c r="A23" s="100" t="s">
        <v>65</v>
      </c>
      <c r="B23" s="101" t="str">
        <f>RezepturMVI!I32</f>
        <v xml:space="preserve">Okrilla  </v>
      </c>
      <c r="C23" s="93">
        <f>RezepturMI!C32</f>
        <v>180</v>
      </c>
      <c r="D23" s="102">
        <f>RezepturMI!H32</f>
        <v>11.5</v>
      </c>
      <c r="E23" s="202">
        <f t="shared" si="0"/>
        <v>15.3</v>
      </c>
      <c r="F23" s="203"/>
      <c r="G23" s="202">
        <f>ROUND((G22+E23),3)</f>
        <v>41.905000000000001</v>
      </c>
      <c r="H23" s="96"/>
      <c r="I23" s="106" t="s">
        <v>66</v>
      </c>
      <c r="J23" s="107"/>
      <c r="K23" s="108"/>
      <c r="L23" s="109"/>
    </row>
    <row r="24" spans="1:15" ht="20.100000000000001" customHeight="1" thickBot="1" x14ac:dyDescent="0.25">
      <c r="A24" s="100" t="s">
        <v>67</v>
      </c>
      <c r="B24" s="101" t="str">
        <f>RezepturMVI!I33</f>
        <v xml:space="preserve">Okrilla  </v>
      </c>
      <c r="C24" s="93">
        <f>RezepturMI!C33</f>
        <v>180</v>
      </c>
      <c r="D24" s="102">
        <f>RezepturMI!H33</f>
        <v>11.5</v>
      </c>
      <c r="E24" s="202">
        <f t="shared" si="0"/>
        <v>15.3</v>
      </c>
      <c r="F24" s="203"/>
      <c r="G24" s="202">
        <f>ROUND((G23+E24),3)</f>
        <v>57.204999999999998</v>
      </c>
      <c r="H24" s="96"/>
      <c r="I24" s="110" t="s">
        <v>68</v>
      </c>
      <c r="J24" s="111"/>
      <c r="K24" s="87"/>
      <c r="L24" s="105"/>
    </row>
    <row r="25" spans="1:15" ht="20.100000000000001" customHeight="1" x14ac:dyDescent="0.2">
      <c r="A25" s="100" t="s">
        <v>69</v>
      </c>
      <c r="B25" s="101" t="str">
        <f>RezepturMVI!I34</f>
        <v xml:space="preserve">Okrilla  </v>
      </c>
      <c r="C25" s="93">
        <f>RezepturMI!C34</f>
        <v>117</v>
      </c>
      <c r="D25" s="102">
        <f>RezepturMI!H34</f>
        <v>7.5</v>
      </c>
      <c r="E25" s="202">
        <f t="shared" si="0"/>
        <v>9.9450000000000003</v>
      </c>
      <c r="F25" s="203"/>
      <c r="G25" s="202">
        <f>ROUND((G24+E25),2)</f>
        <v>67.150000000000006</v>
      </c>
      <c r="H25" s="96"/>
      <c r="I25" s="82" t="s">
        <v>70</v>
      </c>
      <c r="J25" s="112"/>
      <c r="K25" s="112"/>
      <c r="L25" s="54"/>
    </row>
    <row r="26" spans="1:15" ht="20.100000000000001" customHeight="1" x14ac:dyDescent="0.2">
      <c r="A26" s="100" t="s">
        <v>71</v>
      </c>
      <c r="B26" s="101" t="str">
        <f>RezepturMVI!I35</f>
        <v xml:space="preserve">Okrilla  </v>
      </c>
      <c r="C26" s="113">
        <f>RezepturMI!C35</f>
        <v>117</v>
      </c>
      <c r="D26" s="114">
        <f>RezepturMI!H35</f>
        <v>7.5</v>
      </c>
      <c r="E26" s="202">
        <f t="shared" si="0"/>
        <v>9.9450000000000003</v>
      </c>
      <c r="F26" s="203"/>
      <c r="G26" s="202">
        <f>ROUND((G25+E26),3)</f>
        <v>77.094999999999999</v>
      </c>
      <c r="H26" s="96"/>
      <c r="I26" s="195" t="s">
        <v>156</v>
      </c>
      <c r="J26" s="72"/>
      <c r="K26" s="72"/>
      <c r="L26" s="115"/>
    </row>
    <row r="27" spans="1:15" ht="20.100000000000001" customHeight="1" x14ac:dyDescent="0.2">
      <c r="A27" s="100" t="s">
        <v>72</v>
      </c>
      <c r="B27" s="101" t="str">
        <f>RezepturMVI!I36</f>
        <v xml:space="preserve">Okrilla  </v>
      </c>
      <c r="C27" s="93">
        <f>RezepturMI!C36</f>
        <v>657</v>
      </c>
      <c r="D27" s="102">
        <f>RezepturMI!H36</f>
        <v>42</v>
      </c>
      <c r="E27" s="202">
        <f t="shared" si="0"/>
        <v>55.844999999999999</v>
      </c>
      <c r="F27" s="203"/>
      <c r="G27" s="202">
        <f>ROUND((G26+E27),3)</f>
        <v>132.94</v>
      </c>
      <c r="H27" s="96"/>
      <c r="I27" s="196" t="s">
        <v>122</v>
      </c>
      <c r="J27" s="116"/>
      <c r="K27" s="116"/>
      <c r="L27" s="109"/>
      <c r="O27" s="21"/>
    </row>
    <row r="28" spans="1:15" ht="20.100000000000001" customHeight="1" thickBot="1" x14ac:dyDescent="0.25">
      <c r="A28" s="100" t="s">
        <v>73</v>
      </c>
      <c r="B28" s="117"/>
      <c r="C28" s="113" t="s">
        <v>51</v>
      </c>
      <c r="D28" s="118" t="s">
        <v>74</v>
      </c>
      <c r="E28" s="95" t="s">
        <v>51</v>
      </c>
      <c r="F28" s="119"/>
      <c r="G28" s="95" t="s">
        <v>51</v>
      </c>
      <c r="H28" s="96"/>
      <c r="I28" s="194">
        <f>RezepturMVI!H9</f>
        <v>0</v>
      </c>
      <c r="J28" s="87"/>
      <c r="K28" s="87"/>
      <c r="L28" s="105"/>
      <c r="O28" s="21"/>
    </row>
    <row r="29" spans="1:15" ht="20.100000000000001" customHeight="1" x14ac:dyDescent="0.2">
      <c r="A29" s="120" t="s">
        <v>51</v>
      </c>
      <c r="B29" s="121"/>
      <c r="C29" s="113" t="s">
        <v>51</v>
      </c>
      <c r="D29" s="118" t="s">
        <v>74</v>
      </c>
      <c r="E29" s="95" t="s">
        <v>51</v>
      </c>
      <c r="F29" s="103"/>
      <c r="G29" s="95" t="s">
        <v>51</v>
      </c>
      <c r="H29" s="96"/>
      <c r="I29" s="82" t="s">
        <v>75</v>
      </c>
      <c r="J29" s="112"/>
      <c r="K29" s="83"/>
      <c r="L29" s="54"/>
      <c r="O29" s="21"/>
    </row>
    <row r="30" spans="1:15" ht="20.100000000000001" customHeight="1" x14ac:dyDescent="0.2">
      <c r="A30" s="81" t="s">
        <v>51</v>
      </c>
      <c r="B30" s="60"/>
      <c r="C30" s="122" t="s">
        <v>51</v>
      </c>
      <c r="D30" s="123" t="s">
        <v>74</v>
      </c>
      <c r="E30" s="68" t="s">
        <v>51</v>
      </c>
      <c r="F30" s="77"/>
      <c r="G30" s="68" t="s">
        <v>51</v>
      </c>
      <c r="H30" s="70"/>
      <c r="I30" s="116" t="s">
        <v>76</v>
      </c>
      <c r="J30" s="116"/>
      <c r="K30" s="116" t="s">
        <v>115</v>
      </c>
      <c r="L30" s="109"/>
      <c r="O30" s="21"/>
    </row>
    <row r="31" spans="1:15" ht="20.100000000000001" customHeight="1" thickBot="1" x14ac:dyDescent="0.25">
      <c r="A31" s="124" t="s">
        <v>77</v>
      </c>
      <c r="B31" s="125"/>
      <c r="C31" s="126">
        <f>ROUND((C19+C20),2)</f>
        <v>2347.61</v>
      </c>
      <c r="D31" s="127" t="s">
        <v>74</v>
      </c>
      <c r="E31" s="128">
        <f>ROUND((E19+E20),2)</f>
        <v>199.55</v>
      </c>
      <c r="F31" s="129"/>
      <c r="G31" s="128">
        <f>ROUND((SUM(G13,G14,G17,G18,G20)),2)</f>
        <v>199.55</v>
      </c>
      <c r="H31" s="130"/>
      <c r="I31" s="87"/>
      <c r="J31" s="87"/>
      <c r="K31" s="87"/>
      <c r="L31" s="105"/>
      <c r="O31" s="21"/>
    </row>
    <row r="32" spans="1:15" ht="5.25" customHeight="1" thickBot="1" x14ac:dyDescent="0.25">
      <c r="A32" s="131"/>
      <c r="B32" s="131"/>
      <c r="C32" s="132"/>
      <c r="D32" s="51"/>
      <c r="E32" s="22"/>
      <c r="F32" s="22"/>
      <c r="G32" s="22"/>
      <c r="H32" s="22"/>
      <c r="I32" s="22"/>
      <c r="J32" s="22"/>
      <c r="K32" s="22"/>
      <c r="L32" s="22"/>
    </row>
    <row r="33" spans="1:12" ht="20.100000000000001" customHeight="1" x14ac:dyDescent="0.2">
      <c r="A33" s="39" t="s">
        <v>78</v>
      </c>
      <c r="B33" s="42"/>
      <c r="C33" s="133"/>
      <c r="D33" s="45"/>
      <c r="E33" s="134" t="s">
        <v>79</v>
      </c>
      <c r="F33" s="135"/>
      <c r="G33" s="135"/>
      <c r="H33" s="309">
        <f>K1</f>
        <v>41820</v>
      </c>
      <c r="I33" s="309"/>
      <c r="J33" s="309"/>
      <c r="K33" s="135"/>
      <c r="L33" s="136"/>
    </row>
    <row r="34" spans="1:12" ht="18.95" customHeight="1" x14ac:dyDescent="0.2">
      <c r="A34" s="137" t="s">
        <v>80</v>
      </c>
      <c r="B34" s="138"/>
      <c r="C34" s="139" t="s">
        <v>81</v>
      </c>
      <c r="D34" s="140"/>
      <c r="E34" s="310">
        <v>1</v>
      </c>
      <c r="F34" s="311"/>
      <c r="G34" s="310">
        <v>2</v>
      </c>
      <c r="H34" s="311"/>
      <c r="I34" s="19">
        <v>3</v>
      </c>
      <c r="J34" s="19"/>
      <c r="K34" s="19"/>
      <c r="L34" s="20"/>
    </row>
    <row r="35" spans="1:12" ht="18.95" customHeight="1" x14ac:dyDescent="0.2">
      <c r="A35" s="141" t="s">
        <v>82</v>
      </c>
      <c r="B35" s="116"/>
      <c r="C35" s="142" t="s">
        <v>45</v>
      </c>
      <c r="D35" s="143"/>
      <c r="E35" s="312"/>
      <c r="F35" s="313"/>
      <c r="G35" s="312"/>
      <c r="H35" s="313"/>
      <c r="I35" s="208"/>
      <c r="J35" s="86"/>
      <c r="K35" s="86"/>
      <c r="L35" s="57"/>
    </row>
    <row r="36" spans="1:12" ht="18.95" customHeight="1" x14ac:dyDescent="0.2">
      <c r="A36" s="141" t="s">
        <v>83</v>
      </c>
      <c r="B36" s="116"/>
      <c r="C36" s="142" t="s">
        <v>84</v>
      </c>
      <c r="D36" s="143"/>
      <c r="E36" s="314">
        <v>3.375</v>
      </c>
      <c r="F36" s="315"/>
      <c r="G36" s="315"/>
      <c r="H36" s="315"/>
      <c r="I36" s="315"/>
      <c r="J36" s="315"/>
      <c r="K36" s="315"/>
      <c r="L36" s="316"/>
    </row>
    <row r="37" spans="1:12" ht="18.95" customHeight="1" x14ac:dyDescent="0.2">
      <c r="A37" s="144" t="s">
        <v>85</v>
      </c>
      <c r="B37" s="145"/>
      <c r="C37" s="146" t="s">
        <v>86</v>
      </c>
      <c r="D37" s="147"/>
      <c r="E37" s="302">
        <f>ROUND(E35/E36,-1)</f>
        <v>0</v>
      </c>
      <c r="F37" s="303"/>
      <c r="G37" s="302">
        <f>ROUND(G35/E36,-1)</f>
        <v>0</v>
      </c>
      <c r="H37" s="303"/>
      <c r="I37" s="209">
        <f>ROUND(I35/E36,-1)</f>
        <v>0</v>
      </c>
      <c r="J37" s="148">
        <f>ROUND(J35/E36,-1)</f>
        <v>0</v>
      </c>
      <c r="K37" s="148">
        <f>ROUND(K35/E36,-1)</f>
        <v>0</v>
      </c>
      <c r="L37" s="149">
        <f>ROUND(L35/E36,-1)</f>
        <v>0</v>
      </c>
    </row>
    <row r="38" spans="1:12" ht="18.95" customHeight="1" thickBot="1" x14ac:dyDescent="0.25">
      <c r="A38" s="150" t="s">
        <v>87</v>
      </c>
      <c r="B38" s="87"/>
      <c r="C38" s="151" t="s">
        <v>86</v>
      </c>
      <c r="D38" s="152"/>
      <c r="E38" s="304">
        <f>ROUND(AVERAGE(E37:I37),-1)</f>
        <v>0</v>
      </c>
      <c r="F38" s="300"/>
      <c r="G38" s="300"/>
      <c r="H38" s="300"/>
      <c r="I38" s="305"/>
      <c r="J38" s="306">
        <f>ROUND(AVERAGE(J37:L37),-1)</f>
        <v>0</v>
      </c>
      <c r="K38" s="307"/>
      <c r="L38" s="308"/>
    </row>
    <row r="39" spans="1:12" ht="6.75" customHeight="1" x14ac:dyDescent="0.2">
      <c r="A39" s="42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</row>
    <row r="40" spans="1:12" ht="18" customHeight="1" x14ac:dyDescent="0.2">
      <c r="A40" s="15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</row>
    <row r="41" spans="1:12" ht="18" customHeight="1" x14ac:dyDescent="0.2">
      <c r="A41" s="154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</row>
    <row r="42" spans="1:12" ht="18" customHeight="1" x14ac:dyDescent="0.2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</row>
    <row r="43" spans="1:12" ht="18" customHeight="1" x14ac:dyDescent="0.2">
      <c r="A43" s="23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</row>
  </sheetData>
  <mergeCells count="10">
    <mergeCell ref="E37:F37"/>
    <mergeCell ref="G37:H37"/>
    <mergeCell ref="E38:I38"/>
    <mergeCell ref="J38:L38"/>
    <mergeCell ref="H33:J33"/>
    <mergeCell ref="E34:F34"/>
    <mergeCell ref="G34:H34"/>
    <mergeCell ref="E35:F35"/>
    <mergeCell ref="G35:H35"/>
    <mergeCell ref="E36:L36"/>
  </mergeCells>
  <pageMargins left="0.78740157480314965" right="0.23622047244094491" top="0.62992125984251968" bottom="0.15748031496062992" header="0.27559055118110237" footer="0.23622047244094491"/>
  <pageSetup paperSize="9" orientation="portrait" horizontalDpi="4294967292" verticalDpi="4294967292" r:id="rId1"/>
  <headerFooter alignWithMargins="0">
    <oddFooter>&amp;R&amp;8
&amp;F&amp;D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14</vt:i4>
      </vt:variant>
      <vt:variant>
        <vt:lpstr>Benannte Bereiche</vt:lpstr>
      </vt:variant>
      <vt:variant>
        <vt:i4>14</vt:i4>
      </vt:variant>
    </vt:vector>
  </HeadingPairs>
  <TitlesOfParts>
    <vt:vector size="28" baseType="lpstr">
      <vt:lpstr>Sieblinie MI-V</vt:lpstr>
      <vt:lpstr>Sieblinie MVI</vt:lpstr>
      <vt:lpstr>RezepturMI</vt:lpstr>
      <vt:lpstr>RezepturMII</vt:lpstr>
      <vt:lpstr>RezepturMIII</vt:lpstr>
      <vt:lpstr>RezepturMIV</vt:lpstr>
      <vt:lpstr>RezepturMV</vt:lpstr>
      <vt:lpstr>RezepturMVI</vt:lpstr>
      <vt:lpstr>MischanweisungMI</vt:lpstr>
      <vt:lpstr>MischanweisungMII</vt:lpstr>
      <vt:lpstr>MischanweisungMIII</vt:lpstr>
      <vt:lpstr>MischanweisungMIV</vt:lpstr>
      <vt:lpstr>MischanweisungMV</vt:lpstr>
      <vt:lpstr>MischanweisungMVI</vt:lpstr>
      <vt:lpstr>MischanweisungMI!Druckbereich</vt:lpstr>
      <vt:lpstr>MischanweisungMII!Druckbereich</vt:lpstr>
      <vt:lpstr>MischanweisungMIII!Druckbereich</vt:lpstr>
      <vt:lpstr>MischanweisungMIV!Druckbereich</vt:lpstr>
      <vt:lpstr>MischanweisungMV!Druckbereich</vt:lpstr>
      <vt:lpstr>MischanweisungMVI!Druckbereich</vt:lpstr>
      <vt:lpstr>RezepturMI!Druckbereich</vt:lpstr>
      <vt:lpstr>RezepturMII!Druckbereich</vt:lpstr>
      <vt:lpstr>RezepturMIII!Druckbereich</vt:lpstr>
      <vt:lpstr>RezepturMIV!Druckbereich</vt:lpstr>
      <vt:lpstr>RezepturMV!Druckbereich</vt:lpstr>
      <vt:lpstr>RezepturMVI!Druckbereich</vt:lpstr>
      <vt:lpstr>'Sieblinie MI-V'!Druckbereich</vt:lpstr>
      <vt:lpstr>'Sieblinie MVI'!Druckbereich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Werner</dc:creator>
  <cp:lastModifiedBy>Haamkens, Frank</cp:lastModifiedBy>
  <cp:lastPrinted>2014-06-30T08:45:01Z</cp:lastPrinted>
  <dcterms:created xsi:type="dcterms:W3CDTF">2002-01-23T14:42:05Z</dcterms:created>
  <dcterms:modified xsi:type="dcterms:W3CDTF">2014-08-04T06:59:52Z</dcterms:modified>
</cp:coreProperties>
</file>