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ell\Desktop\Gitstuff\Concrete_data\ModelCalibration\usecases\Concrete\Data\Mischungen\"/>
    </mc:Choice>
  </mc:AlternateContent>
  <xr:revisionPtr revIDLastSave="0" documentId="8_{C6FF4697-5EB8-4D34-B250-3DA19B48D05B}" xr6:coauthVersionLast="46" xr6:coauthVersionMax="46" xr10:uidLastSave="{00000000-0000-0000-0000-000000000000}"/>
  <bookViews>
    <workbookView xWindow="1520" yWindow="1520" windowWidth="14400" windowHeight="8440" xr2:uid="{51AA147D-1959-4A98-A8FD-7ADE633CDE39}"/>
  </bookViews>
  <sheets>
    <sheet name="Sieblinie MVI" sheetId="1" r:id="rId1"/>
    <sheet name="RezepturMVI" sheetId="2" r:id="rId2"/>
    <sheet name="MischanweisungMVI" sheetId="3" r:id="rId3"/>
  </sheets>
  <externalReferences>
    <externalReference r:id="rId4"/>
    <externalReference r:id="rId5"/>
  </externalReferences>
  <definedNames>
    <definedName name="_xlnm.Print_Area" localSheetId="2">MischanweisungMVI!$A$1:$L$43</definedName>
    <definedName name="_xlnm.Print_Area" localSheetId="1">RezepturMVI!$A$1:$K$48</definedName>
    <definedName name="_xlnm.Print_Area" localSheetId="0">'Sieblinie MVI'!$A$1:$M$55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3" l="1"/>
  <c r="K37" i="3"/>
  <c r="J37" i="3"/>
  <c r="J38" i="3" s="1"/>
  <c r="I37" i="3"/>
  <c r="G37" i="3"/>
  <c r="E37" i="3"/>
  <c r="E38" i="3" s="1"/>
  <c r="H33" i="3"/>
  <c r="I28" i="3"/>
  <c r="D27" i="3"/>
  <c r="D23" i="3"/>
  <c r="L18" i="3"/>
  <c r="K18" i="3"/>
  <c r="C18" i="3"/>
  <c r="G18" i="3" s="1"/>
  <c r="G17" i="3"/>
  <c r="E17" i="3"/>
  <c r="C17" i="3"/>
  <c r="G14" i="3"/>
  <c r="E14" i="3"/>
  <c r="C14" i="3"/>
  <c r="C13" i="3"/>
  <c r="C19" i="3" s="1"/>
  <c r="D6" i="3"/>
  <c r="I36" i="2"/>
  <c r="B27" i="3" s="1"/>
  <c r="H36" i="2"/>
  <c r="I35" i="2"/>
  <c r="B26" i="3" s="1"/>
  <c r="H35" i="2"/>
  <c r="D26" i="3" s="1"/>
  <c r="I34" i="2"/>
  <c r="B25" i="3" s="1"/>
  <c r="H34" i="2"/>
  <c r="D25" i="3" s="1"/>
  <c r="I33" i="2"/>
  <c r="B24" i="3" s="1"/>
  <c r="H33" i="2"/>
  <c r="D24" i="3" s="1"/>
  <c r="I32" i="2"/>
  <c r="B23" i="3" s="1"/>
  <c r="H32" i="2"/>
  <c r="I31" i="2"/>
  <c r="B22" i="3" s="1"/>
  <c r="H31" i="2"/>
  <c r="D22" i="3" s="1"/>
  <c r="I30" i="2"/>
  <c r="B21" i="3" s="1"/>
  <c r="H30" i="2"/>
  <c r="D21" i="3" s="1"/>
  <c r="C28" i="2"/>
  <c r="G27" i="2"/>
  <c r="G26" i="2"/>
  <c r="G23" i="2"/>
  <c r="G22" i="2"/>
  <c r="I15" i="2"/>
  <c r="H15" i="2"/>
  <c r="G15" i="2"/>
  <c r="F15" i="2"/>
  <c r="K15" i="2" s="1"/>
  <c r="E15" i="2"/>
  <c r="D15" i="2"/>
  <c r="C15" i="2"/>
  <c r="A2" i="2"/>
  <c r="M59" i="1"/>
  <c r="L59" i="1"/>
  <c r="K59" i="1"/>
  <c r="J59" i="1"/>
  <c r="I59" i="1"/>
  <c r="H59" i="1"/>
  <c r="G59" i="1"/>
  <c r="F59" i="1"/>
  <c r="M58" i="1"/>
  <c r="M62" i="1" s="1"/>
  <c r="L58" i="1"/>
  <c r="L62" i="1" s="1"/>
  <c r="K58" i="1"/>
  <c r="K62" i="1" s="1"/>
  <c r="J58" i="1"/>
  <c r="J61" i="1" s="1"/>
  <c r="I58" i="1"/>
  <c r="I62" i="1" s="1"/>
  <c r="H58" i="1"/>
  <c r="H62" i="1" s="1"/>
  <c r="G58" i="1"/>
  <c r="G62" i="1" s="1"/>
  <c r="F58" i="1"/>
  <c r="F62" i="1" s="1"/>
  <c r="C35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K35" i="1" s="1"/>
  <c r="J27" i="1"/>
  <c r="J35" i="1" s="1"/>
  <c r="I27" i="1"/>
  <c r="I35" i="1" s="1"/>
  <c r="H27" i="1"/>
  <c r="H35" i="1" s="1"/>
  <c r="G27" i="1"/>
  <c r="G35" i="1" s="1"/>
  <c r="F27" i="1"/>
  <c r="F35" i="1" s="1"/>
  <c r="E27" i="1"/>
  <c r="E35" i="1" s="1"/>
  <c r="D27" i="1"/>
  <c r="D35" i="1" s="1"/>
  <c r="M23" i="1"/>
  <c r="O33" i="1" l="1"/>
  <c r="I36" i="1"/>
  <c r="O34" i="1"/>
  <c r="J36" i="1"/>
  <c r="G36" i="1"/>
  <c r="O31" i="1"/>
  <c r="E36" i="1"/>
  <c r="O29" i="1"/>
  <c r="M35" i="1"/>
  <c r="O30" i="1"/>
  <c r="F36" i="1"/>
  <c r="K36" i="1"/>
  <c r="O35" i="1"/>
  <c r="D36" i="1"/>
  <c r="O28" i="1"/>
  <c r="H36" i="1"/>
  <c r="O32" i="1"/>
  <c r="F61" i="1"/>
  <c r="J62" i="1"/>
  <c r="G61" i="1"/>
  <c r="K61" i="1"/>
  <c r="E13" i="3"/>
  <c r="E19" i="3" s="1"/>
  <c r="H61" i="1"/>
  <c r="L61" i="1"/>
  <c r="G28" i="2"/>
  <c r="G29" i="2" s="1"/>
  <c r="G39" i="2" s="1"/>
  <c r="G13" i="3"/>
  <c r="E18" i="3"/>
  <c r="I61" i="1"/>
  <c r="M61" i="1"/>
  <c r="M36" i="1" l="1"/>
  <c r="M8" i="1"/>
  <c r="G19" i="3"/>
  <c r="G36" i="2"/>
  <c r="C36" i="2" s="1"/>
  <c r="C27" i="3" s="1"/>
  <c r="E27" i="3" s="1"/>
  <c r="G35" i="2"/>
  <c r="C35" i="2" s="1"/>
  <c r="C26" i="3" s="1"/>
  <c r="E26" i="3" s="1"/>
  <c r="G34" i="2"/>
  <c r="C34" i="2" s="1"/>
  <c r="C25" i="3" s="1"/>
  <c r="E25" i="3" s="1"/>
  <c r="G33" i="2"/>
  <c r="C33" i="2" s="1"/>
  <c r="C24" i="3" s="1"/>
  <c r="E24" i="3" s="1"/>
  <c r="G32" i="2"/>
  <c r="C32" i="2" s="1"/>
  <c r="C23" i="3" s="1"/>
  <c r="E23" i="3" s="1"/>
  <c r="G31" i="2"/>
  <c r="C31" i="2" s="1"/>
  <c r="C22" i="3" s="1"/>
  <c r="E22" i="3" s="1"/>
  <c r="G30" i="2"/>
  <c r="C30" i="2" s="1"/>
  <c r="C29" i="2" l="1"/>
  <c r="C39" i="2" s="1"/>
  <c r="C21" i="3"/>
  <c r="E21" i="3" l="1"/>
  <c r="C20" i="3"/>
  <c r="C31" i="3" s="1"/>
  <c r="G21" i="3" l="1"/>
  <c r="G22" i="3" s="1"/>
  <c r="G23" i="3" s="1"/>
  <c r="G24" i="3" s="1"/>
  <c r="G25" i="3" s="1"/>
  <c r="G26" i="3" s="1"/>
  <c r="G27" i="3" s="1"/>
  <c r="E20" i="3"/>
  <c r="G20" i="3" l="1"/>
  <c r="G31" i="3" s="1"/>
  <c r="E31" i="3"/>
</calcChain>
</file>

<file path=xl/sharedStrings.xml><?xml version="1.0" encoding="utf-8"?>
<sst xmlns="http://schemas.openxmlformats.org/spreadsheetml/2006/main" count="246" uniqueCount="165">
  <si>
    <t>BAM</t>
  </si>
  <si>
    <t>Kornzusammensetzung von Zuschlaggemischen für Beton</t>
  </si>
  <si>
    <t xml:space="preserve">  Datum:</t>
  </si>
  <si>
    <t>VII.1</t>
  </si>
  <si>
    <t>Rechnerische Ermittlung der Sieblinie und graphische Darstellung</t>
  </si>
  <si>
    <t xml:space="preserve">  Bearbeiter: </t>
  </si>
  <si>
    <t>Haa</t>
  </si>
  <si>
    <t>Antragsteller:</t>
  </si>
  <si>
    <t>BAM 7.0 (Werner)</t>
  </si>
  <si>
    <t>Sand/Kies</t>
  </si>
  <si>
    <t>Antrags-/ Projekt-Nr.:</t>
  </si>
  <si>
    <t>BA-Losert</t>
  </si>
  <si>
    <t xml:space="preserve">Datei: </t>
  </si>
  <si>
    <t>Betonsorte u. -festigkeitsklasse:</t>
  </si>
  <si>
    <t>Sieblinie:</t>
  </si>
  <si>
    <t>AB 16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</si>
  <si>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</si>
  <si>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</si>
  <si>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</si>
  <si>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</si>
  <si>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</si>
  <si>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</si>
  <si>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</si>
  <si>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</si>
  <si>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0 / 0,3</t>
  </si>
  <si>
    <t>Quarz</t>
  </si>
  <si>
    <t>0  /  0,5</t>
  </si>
  <si>
    <t xml:space="preserve">Okrilla  </t>
  </si>
  <si>
    <t>0,5  / 1,0</t>
  </si>
  <si>
    <t>1,0  / 2,0</t>
  </si>
  <si>
    <t>2,0  / 4,0</t>
  </si>
  <si>
    <t>4,0  / 8,0</t>
  </si>
  <si>
    <t>8,0  /16,0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</si>
  <si>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</si>
  <si>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</si>
  <si>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</si>
  <si>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</si>
  <si>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</si>
  <si>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</si>
  <si>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</si>
  <si>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 8</t>
  </si>
  <si>
    <t>B 8</t>
  </si>
  <si>
    <t>C 8</t>
  </si>
  <si>
    <t>U 8</t>
  </si>
  <si>
    <t xml:space="preserve">  0  /  0,3</t>
  </si>
  <si>
    <t>0,5  /  1,0</t>
  </si>
  <si>
    <t>1,0  /  2,0</t>
  </si>
  <si>
    <t>2,0  /  4,0</t>
  </si>
  <si>
    <t>4,0  /  8,0</t>
  </si>
  <si>
    <t>8,0  / 16,0</t>
  </si>
  <si>
    <t>Abweichung in %</t>
  </si>
  <si>
    <t>Annahme: V-% gleich M-%</t>
  </si>
  <si>
    <t>Fuller</t>
  </si>
  <si>
    <t>Empa</t>
  </si>
  <si>
    <t>Mittel</t>
  </si>
  <si>
    <t>2/3+1/3</t>
  </si>
  <si>
    <t>Berechnung der Zusammensetzung von Beton</t>
  </si>
  <si>
    <t>30.06.</t>
  </si>
  <si>
    <t xml:space="preserve">  Bearbeiter:</t>
  </si>
  <si>
    <t>Werner</t>
  </si>
  <si>
    <t>BAM 7.0</t>
  </si>
  <si>
    <t>Bezeichnung der Proben:</t>
  </si>
  <si>
    <t>BA-Losert MVI</t>
  </si>
  <si>
    <t>Betonsorte u.-festigkeitsklasse:</t>
  </si>
  <si>
    <t>Wasserzementwert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</si>
  <si>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</si>
  <si>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</si>
  <si>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</si>
  <si>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</si>
  <si>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</si>
  <si>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</si>
  <si>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</si>
  <si>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</si>
  <si>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Stoffart</t>
  </si>
  <si>
    <t>Stoffmenge</t>
  </si>
  <si>
    <t>Dichte bzw.</t>
  </si>
  <si>
    <t>Stoffraum</t>
  </si>
  <si>
    <t>Sonstiges/Bemerkungen</t>
  </si>
  <si>
    <t>Rohdichte</t>
  </si>
  <si>
    <t>kg/m³</t>
  </si>
  <si>
    <t>kg/dm³</t>
  </si>
  <si>
    <t>dm³</t>
  </si>
  <si>
    <t>---</t>
  </si>
  <si>
    <t xml:space="preserve">  Zement</t>
  </si>
  <si>
    <t>CEM I 42,5 R</t>
  </si>
  <si>
    <t xml:space="preserve">  Wasser (gesamt)</t>
  </si>
  <si>
    <t xml:space="preserve">  Wasser (wirksam)</t>
  </si>
  <si>
    <t xml:space="preserve">  Luftgehalt</t>
  </si>
  <si>
    <t>Zusatzstoff</t>
  </si>
  <si>
    <t>Mikrosilika</t>
  </si>
  <si>
    <t xml:space="preserve">  Zusatzmittel</t>
  </si>
  <si>
    <t>FM 595 BASF</t>
  </si>
  <si>
    <t xml:space="preserve">  Gesamt</t>
  </si>
  <si>
    <t xml:space="preserve">  Zuschlag (gesamt)</t>
  </si>
  <si>
    <t>Vol. -%</t>
  </si>
  <si>
    <t>0,1 / 0,5</t>
  </si>
  <si>
    <t>0,5 / 1,0</t>
  </si>
  <si>
    <t>1,0 / 2,0</t>
  </si>
  <si>
    <t>2,0 / 4,0</t>
  </si>
  <si>
    <t>4,0 / 8,0</t>
  </si>
  <si>
    <t>8,0 / 16,0</t>
  </si>
  <si>
    <t>--</t>
  </si>
  <si>
    <t xml:space="preserve">  Frischbeton</t>
  </si>
  <si>
    <t xml:space="preserve">  Mehlkornanteil</t>
  </si>
  <si>
    <t xml:space="preserve">  Mörtelanteil</t>
  </si>
  <si>
    <t>Betonzusammensetzung, Mischanweisung,</t>
  </si>
  <si>
    <t>Datum:</t>
  </si>
  <si>
    <t>7.0</t>
  </si>
  <si>
    <t>Frischbetonprüfung</t>
  </si>
  <si>
    <t>Name:</t>
  </si>
  <si>
    <t>We</t>
  </si>
  <si>
    <t>7 - FE</t>
  </si>
  <si>
    <t>Mischer:</t>
  </si>
  <si>
    <t xml:space="preserve"> 1. Betonzusammensetzung und Mischanweisung</t>
  </si>
  <si>
    <t xml:space="preserve">  2. Frischbetonprüfung</t>
  </si>
  <si>
    <t>Zusammen-</t>
  </si>
  <si>
    <t>Mischanweisung</t>
  </si>
  <si>
    <t xml:space="preserve">  Betonkonsistenbereich </t>
  </si>
  <si>
    <t>setzung</t>
  </si>
  <si>
    <t>l</t>
  </si>
  <si>
    <t xml:space="preserve">  Ausbreitmaß in mm</t>
  </si>
  <si>
    <t>Einzelkomp.</t>
  </si>
  <si>
    <t>additiv</t>
  </si>
  <si>
    <t xml:space="preserve">  Verdichtungsmaß:</t>
  </si>
  <si>
    <t>-</t>
  </si>
  <si>
    <t xml:space="preserve">Zementwerk: </t>
  </si>
  <si>
    <t>Rüdersdorf</t>
  </si>
  <si>
    <t>kg</t>
  </si>
  <si>
    <t xml:space="preserve">  Setzmaß in cm</t>
  </si>
  <si>
    <t>Luftgehalt P in Vol.-%:</t>
  </si>
  <si>
    <t xml:space="preserve">  Rohdichte im Luftgehaltsprüftopf</t>
  </si>
  <si>
    <t xml:space="preserve">  Betonmasse in kg</t>
  </si>
  <si>
    <t>zusatzstoff</t>
  </si>
  <si>
    <t xml:space="preserve">  Topfvolumen in dm³:</t>
  </si>
  <si>
    <r>
      <t xml:space="preserve"> </t>
    </r>
    <r>
      <rPr>
        <sz val="8.5"/>
        <rFont val="Arial"/>
        <family val="2"/>
      </rPr>
      <t xml:space="preserve"> Zusatzmittel</t>
    </r>
  </si>
  <si>
    <t xml:space="preserve">  Rohdichte in kg/dm³:</t>
  </si>
  <si>
    <t xml:space="preserve">  Temperatur  in °C</t>
  </si>
  <si>
    <t>%</t>
  </si>
  <si>
    <t>Frischbeton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</si>
  <si>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</si>
  <si>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</si>
  <si>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</si>
  <si>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</si>
  <si>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</si>
  <si>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</si>
  <si>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</si>
  <si>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</si>
  <si>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</si>
  <si>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</si>
  <si>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</si>
  <si>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>BASF FM 595</t>
  </si>
  <si>
    <t xml:space="preserve">8,0    / 16,0 </t>
  </si>
  <si>
    <t>Dosierbereich 0,1-2,3 M.-% v. Zement</t>
  </si>
  <si>
    <t>16,0   / 31,5</t>
  </si>
  <si>
    <t xml:space="preserve">  Verdichtung des Frischbetons</t>
  </si>
  <si>
    <t xml:space="preserve">  Rütteltisch:</t>
  </si>
  <si>
    <t>15 sec.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</si>
  <si>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</si>
  <si>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</si>
  <si>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</si>
  <si>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</si>
  <si>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</si>
  <si>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</si>
  <si>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 xml:space="preserve"> Frischbetonrohdichte</t>
  </si>
  <si>
    <t xml:space="preserve">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</si>
</sst>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0.0"/>
    <numFmt numFmtId="166" formatCode="#,##0.0"/>
    <numFmt numFmtId="167" formatCode="###\ \ \l"/>
    <numFmt numFmtId="168" formatCode="dd/mm/yy;@"/>
    <numFmt numFmtId="169" formatCode="0.000"/>
  </numFmts>
  <fonts count="15" x14ac:knownFonts="1">
    <font>
      <sz val="10"/>
      <name val="MS Sans Serif"/>
    </font>
    <font>
      <sz val="11"/>
      <color rgb="FF006100"/>
      <name val="Calibri"/>
      <family val="2"/>
      <scheme val="minor"/>
    </font>
    <font>
      <b/>
      <sz val="8"/>
      <name val="Arial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i/>
      <sz val="8.5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14" fontId="0" fillId="0" borderId="4" xfId="0" applyNumberFormat="1" applyBorder="1" applyAlignment="1">
      <alignment horizontal="centerContinuous" vertical="center"/>
    </xf>
    <xf numFmtId="164" fontId="4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Continuous" vertical="center"/>
    </xf>
    <xf numFmtId="0" fontId="0" fillId="0" borderId="7" xfId="0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4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0" fillId="0" borderId="0" xfId="0" applyAlignment="1">
      <alignment horizontal="centerContinuous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6" fillId="0" borderId="4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Continuous" vertical="center"/>
    </xf>
    <xf numFmtId="0" fontId="6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0" fillId="0" borderId="18" xfId="0" applyBorder="1" applyAlignment="1">
      <alignment horizontal="centerContinuous" vertical="center"/>
    </xf>
    <xf numFmtId="165" fontId="0" fillId="0" borderId="19" xfId="0" applyNumberFormat="1" applyBorder="1" applyAlignment="1">
      <alignment vertical="center"/>
    </xf>
    <xf numFmtId="165" fontId="0" fillId="0" borderId="20" xfId="0" applyNumberForma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165" fontId="0" fillId="0" borderId="22" xfId="0" applyNumberFormat="1" applyBorder="1" applyAlignment="1">
      <alignment vertical="center"/>
    </xf>
    <xf numFmtId="165" fontId="0" fillId="0" borderId="20" xfId="0" quotePrefix="1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6" xfId="0" applyBorder="1" applyAlignment="1">
      <alignment horizontal="centerContinuous" vertical="center"/>
    </xf>
    <xf numFmtId="0" fontId="0" fillId="0" borderId="27" xfId="0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Continuous" vertical="center"/>
    </xf>
    <xf numFmtId="0" fontId="6" fillId="0" borderId="6" xfId="0" applyFont="1" applyBorder="1" applyAlignment="1">
      <alignment horizontal="centerContinuous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3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6" fontId="0" fillId="0" borderId="0" xfId="0" applyNumberFormat="1"/>
    <xf numFmtId="2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/>
    </xf>
    <xf numFmtId="0" fontId="7" fillId="0" borderId="3" xfId="0" applyFont="1" applyBorder="1" applyAlignment="1">
      <alignment vertical="center"/>
    </xf>
    <xf numFmtId="14" fontId="7" fillId="0" borderId="4" xfId="0" applyNumberFormat="1" applyFont="1" applyBorder="1" applyAlignment="1">
      <alignment horizontal="centerContinuous" vertical="center"/>
    </xf>
    <xf numFmtId="0" fontId="7" fillId="0" borderId="5" xfId="0" applyFont="1" applyBorder="1" applyAlignment="1">
      <alignment horizontal="centerContinuous" vertical="center"/>
    </xf>
    <xf numFmtId="16" fontId="7" fillId="0" borderId="6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0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11" xfId="0" applyFont="1" applyBorder="1"/>
    <xf numFmtId="2" fontId="7" fillId="0" borderId="11" xfId="0" applyNumberFormat="1" applyFont="1" applyBorder="1"/>
    <xf numFmtId="0" fontId="7" fillId="0" borderId="0" xfId="0" applyFont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8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Continuous" vertical="center"/>
    </xf>
    <xf numFmtId="0" fontId="7" fillId="0" borderId="27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11" xfId="0" applyFont="1" applyBorder="1" applyAlignment="1">
      <alignment horizontal="centerContinuous" vertical="center"/>
    </xf>
    <xf numFmtId="0" fontId="7" fillId="0" borderId="37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10" xfId="0" applyFont="1" applyBorder="1" applyAlignment="1">
      <alignment vertical="center"/>
    </xf>
    <xf numFmtId="0" fontId="7" fillId="0" borderId="7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8" xfId="0" quotePrefix="1" applyFont="1" applyBorder="1" applyAlignment="1">
      <alignment horizontal="centerContinuous" vertical="center"/>
    </xf>
    <xf numFmtId="0" fontId="7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36" xfId="0" applyFont="1" applyBorder="1" applyAlignment="1">
      <alignment horizontal="centerContinuous" vertical="center"/>
    </xf>
    <xf numFmtId="2" fontId="7" fillId="0" borderId="36" xfId="0" applyNumberFormat="1" applyFont="1" applyBorder="1" applyAlignment="1">
      <alignment horizontal="centerContinuous" vertical="center"/>
    </xf>
    <xf numFmtId="2" fontId="7" fillId="0" borderId="37" xfId="0" applyNumberFormat="1" applyFont="1" applyBorder="1" applyAlignment="1">
      <alignment horizontal="centerContinuous" vertical="center"/>
    </xf>
    <xf numFmtId="165" fontId="7" fillId="0" borderId="36" xfId="0" applyNumberFormat="1" applyFont="1" applyBorder="1" applyAlignment="1">
      <alignment horizontal="centerContinuous" vertical="center"/>
    </xf>
    <xf numFmtId="165" fontId="7" fillId="0" borderId="37" xfId="0" applyNumberFormat="1" applyFont="1" applyBorder="1" applyAlignment="1">
      <alignment horizontal="centerContinuous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" fontId="7" fillId="0" borderId="36" xfId="0" applyNumberFormat="1" applyFont="1" applyBorder="1" applyAlignment="1">
      <alignment horizontal="centerContinuous" vertical="center"/>
    </xf>
    <xf numFmtId="1" fontId="7" fillId="0" borderId="37" xfId="0" applyNumberFormat="1" applyFont="1" applyBorder="1" applyAlignment="1">
      <alignment horizontal="centerContinuous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6" xfId="0" quotePrefix="1" applyFont="1" applyBorder="1" applyAlignment="1">
      <alignment horizontal="centerContinuous" vertical="center"/>
    </xf>
    <xf numFmtId="2" fontId="7" fillId="0" borderId="36" xfId="0" quotePrefix="1" applyNumberFormat="1" applyFont="1" applyBorder="1" applyAlignment="1">
      <alignment horizontal="centerContinuous" vertical="center"/>
    </xf>
    <xf numFmtId="165" fontId="7" fillId="0" borderId="36" xfId="0" quotePrefix="1" applyNumberFormat="1" applyFont="1" applyBorder="1" applyAlignment="1">
      <alignment horizontal="centerContinuous" vertical="center"/>
    </xf>
    <xf numFmtId="0" fontId="7" fillId="0" borderId="16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" fontId="7" fillId="0" borderId="38" xfId="0" applyNumberFormat="1" applyFont="1" applyBorder="1" applyAlignment="1">
      <alignment horizontal="centerContinuous" vertical="center"/>
    </xf>
    <xf numFmtId="0" fontId="7" fillId="0" borderId="39" xfId="0" applyFont="1" applyBorder="1" applyAlignment="1">
      <alignment horizontal="centerContinuous" vertical="center"/>
    </xf>
    <xf numFmtId="2" fontId="7" fillId="0" borderId="38" xfId="0" quotePrefix="1" applyNumberFormat="1" applyFont="1" applyBorder="1" applyAlignment="1">
      <alignment horizontal="centerContinuous" vertical="center"/>
    </xf>
    <xf numFmtId="2" fontId="7" fillId="0" borderId="39" xfId="0" applyNumberFormat="1" applyFont="1" applyBorder="1" applyAlignment="1">
      <alignment horizontal="centerContinuous" vertical="center"/>
    </xf>
    <xf numFmtId="165" fontId="7" fillId="0" borderId="40" xfId="0" applyNumberFormat="1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Continuous" vertical="center"/>
    </xf>
    <xf numFmtId="2" fontId="7" fillId="0" borderId="38" xfId="0" applyNumberFormat="1" applyFont="1" applyBorder="1" applyAlignment="1">
      <alignment horizontal="centerContinuous" vertical="center"/>
    </xf>
    <xf numFmtId="2" fontId="7" fillId="0" borderId="40" xfId="0" applyNumberFormat="1" applyFont="1" applyBorder="1" applyAlignment="1">
      <alignment horizontal="center" vertical="center"/>
    </xf>
    <xf numFmtId="165" fontId="7" fillId="0" borderId="39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16" fontId="0" fillId="0" borderId="0" xfId="0" applyNumberFormat="1"/>
    <xf numFmtId="1" fontId="7" fillId="0" borderId="38" xfId="0" quotePrefix="1" applyNumberFormat="1" applyFont="1" applyBorder="1" applyAlignment="1">
      <alignment horizontal="centerContinuous" vertical="center"/>
    </xf>
    <xf numFmtId="165" fontId="7" fillId="0" borderId="40" xfId="0" quotePrefix="1" applyNumberFormat="1" applyFont="1" applyBorder="1" applyAlignment="1">
      <alignment horizontal="center" vertical="center"/>
    </xf>
    <xf numFmtId="165" fontId="7" fillId="0" borderId="39" xfId="0" quotePrefix="1" applyNumberFormat="1" applyFont="1" applyBorder="1" applyAlignment="1">
      <alignment horizontal="center" vertical="center"/>
    </xf>
    <xf numFmtId="1" fontId="7" fillId="0" borderId="36" xfId="0" quotePrefix="1" applyNumberFormat="1" applyFont="1" applyBorder="1" applyAlignment="1">
      <alignment horizontal="centerContinuous" vertical="center"/>
    </xf>
    <xf numFmtId="165" fontId="7" fillId="0" borderId="41" xfId="0" quotePrefix="1" applyNumberFormat="1" applyFont="1" applyBorder="1" applyAlignment="1">
      <alignment horizontal="center" vertical="center"/>
    </xf>
    <xf numFmtId="165" fontId="7" fillId="0" borderId="37" xfId="0" quotePrefix="1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Continuous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" fontId="0" fillId="0" borderId="0" xfId="0" applyNumberFormat="1"/>
    <xf numFmtId="167" fontId="0" fillId="0" borderId="0" xfId="0" applyNumberFormat="1"/>
    <xf numFmtId="0" fontId="10" fillId="0" borderId="3" xfId="0" applyFont="1" applyBorder="1" applyAlignment="1">
      <alignment horizontal="center" vertical="center"/>
    </xf>
    <xf numFmtId="168" fontId="7" fillId="0" borderId="4" xfId="0" applyNumberFormat="1" applyFont="1" applyBorder="1" applyAlignment="1">
      <alignment horizontal="centerContinuous" vertical="center"/>
    </xf>
    <xf numFmtId="0" fontId="8" fillId="0" borderId="7" xfId="0" applyFont="1" applyBorder="1" applyAlignment="1">
      <alignment horizontal="centerContinuous" vertical="center"/>
    </xf>
    <xf numFmtId="0" fontId="10" fillId="0" borderId="8" xfId="0" applyFont="1" applyBorder="1" applyAlignment="1">
      <alignment horizontal="center" vertical="center"/>
    </xf>
    <xf numFmtId="0" fontId="8" fillId="0" borderId="11" xfId="0" applyFont="1" applyBorder="1"/>
    <xf numFmtId="0" fontId="8" fillId="0" borderId="2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0" xfId="0" applyFont="1" applyAlignment="1">
      <alignment horizontal="centerContinuous" vertical="center"/>
    </xf>
    <xf numFmtId="0" fontId="7" fillId="0" borderId="43" xfId="0" applyFont="1" applyBorder="1" applyAlignment="1">
      <alignment horizontal="centerContinuous" vertical="center"/>
    </xf>
    <xf numFmtId="0" fontId="1" fillId="2" borderId="11" xfId="1" applyBorder="1" applyAlignment="1">
      <alignment horizontal="center" vertical="center"/>
    </xf>
    <xf numFmtId="0" fontId="1" fillId="2" borderId="30" xfId="1" applyBorder="1" applyAlignment="1">
      <alignment vertical="center"/>
    </xf>
    <xf numFmtId="0" fontId="1" fillId="2" borderId="37" xfId="1" applyBorder="1" applyAlignment="1">
      <alignment vertic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Continuous" vertical="center"/>
    </xf>
    <xf numFmtId="0" fontId="12" fillId="0" borderId="30" xfId="0" applyFont="1" applyBorder="1" applyAlignment="1">
      <alignment horizontal="centerContinuous" vertical="center"/>
    </xf>
    <xf numFmtId="0" fontId="12" fillId="0" borderId="37" xfId="0" applyFont="1" applyBorder="1" applyAlignment="1">
      <alignment horizontal="centerContinuous" vertical="center"/>
    </xf>
    <xf numFmtId="2" fontId="12" fillId="0" borderId="45" xfId="0" applyNumberFormat="1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7" fillId="0" borderId="35" xfId="0" applyFont="1" applyBorder="1" applyAlignment="1">
      <alignment horizontal="centerContinuous" vertical="center"/>
    </xf>
    <xf numFmtId="0" fontId="2" fillId="0" borderId="37" xfId="0" applyFont="1" applyBorder="1" applyAlignment="1">
      <alignment vertical="center"/>
    </xf>
    <xf numFmtId="2" fontId="7" fillId="0" borderId="11" xfId="0" quotePrefix="1" applyNumberFormat="1" applyFont="1" applyBorder="1" applyAlignment="1">
      <alignment horizontal="centerContinuous" vertical="center"/>
    </xf>
    <xf numFmtId="2" fontId="7" fillId="0" borderId="30" xfId="0" applyNumberFormat="1" applyFont="1" applyBorder="1" applyAlignment="1">
      <alignment horizontal="centerContinuous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46" xfId="0" applyFont="1" applyBorder="1" applyAlignment="1">
      <alignment vertical="center"/>
    </xf>
    <xf numFmtId="0" fontId="12" fillId="0" borderId="43" xfId="0" applyFont="1" applyBorder="1" applyAlignment="1">
      <alignment horizontal="center" vertical="center"/>
    </xf>
    <xf numFmtId="2" fontId="7" fillId="0" borderId="30" xfId="0" quotePrefix="1" applyNumberFormat="1" applyFont="1" applyBorder="1" applyAlignment="1">
      <alignment horizontal="centerContinuous" vertical="center"/>
    </xf>
    <xf numFmtId="0" fontId="10" fillId="0" borderId="47" xfId="0" applyFont="1" applyBorder="1" applyAlignment="1">
      <alignment horizontal="centerContinuous" vertical="center"/>
    </xf>
    <xf numFmtId="0" fontId="7" fillId="0" borderId="47" xfId="0" applyFont="1" applyBorder="1" applyAlignment="1">
      <alignment horizontal="centerContinuous" vertical="center"/>
    </xf>
    <xf numFmtId="0" fontId="7" fillId="0" borderId="48" xfId="0" applyFont="1" applyBorder="1" applyAlignment="1">
      <alignment horizontal="center" vertical="center"/>
    </xf>
    <xf numFmtId="165" fontId="7" fillId="0" borderId="49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169" fontId="12" fillId="0" borderId="50" xfId="0" applyNumberFormat="1" applyFont="1" applyBorder="1" applyAlignment="1">
      <alignment horizontal="center" vertical="center"/>
    </xf>
    <xf numFmtId="169" fontId="7" fillId="0" borderId="39" xfId="0" applyNumberFormat="1" applyFont="1" applyBorder="1" applyAlignment="1">
      <alignment horizontal="center" vertical="center"/>
    </xf>
    <xf numFmtId="169" fontId="7" fillId="0" borderId="11" xfId="0" quotePrefix="1" applyNumberFormat="1" applyFont="1" applyBorder="1" applyAlignment="1">
      <alignment horizontal="centerContinuous" vertical="center"/>
    </xf>
    <xf numFmtId="169" fontId="7" fillId="0" borderId="30" xfId="0" quotePrefix="1" applyNumberFormat="1" applyFont="1" applyBorder="1" applyAlignment="1">
      <alignment horizontal="centerContinuous" vertical="center"/>
    </xf>
    <xf numFmtId="0" fontId="12" fillId="0" borderId="50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1" fontId="12" fillId="0" borderId="35" xfId="0" applyNumberFormat="1" applyFont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9" fillId="0" borderId="0" xfId="0" applyFont="1"/>
    <xf numFmtId="1" fontId="7" fillId="0" borderId="38" xfId="0" applyNumberFormat="1" applyFont="1" applyBorder="1" applyAlignment="1">
      <alignment horizontal="center" vertical="center"/>
    </xf>
    <xf numFmtId="9" fontId="7" fillId="0" borderId="51" xfId="0" applyNumberFormat="1" applyFont="1" applyBorder="1" applyAlignment="1">
      <alignment horizontal="centerContinuous" vertical="center"/>
    </xf>
    <xf numFmtId="169" fontId="7" fillId="0" borderId="38" xfId="0" applyNumberFormat="1" applyFont="1" applyBorder="1" applyAlignment="1">
      <alignment vertical="center"/>
    </xf>
    <xf numFmtId="169" fontId="7" fillId="0" borderId="50" xfId="0" applyNumberFormat="1" applyFont="1" applyBorder="1" applyAlignment="1">
      <alignment vertical="center"/>
    </xf>
    <xf numFmtId="169" fontId="7" fillId="0" borderId="44" xfId="0" quotePrefix="1" applyNumberFormat="1" applyFont="1" applyBorder="1" applyAlignment="1">
      <alignment horizontal="centerContinuous" vertical="center"/>
    </xf>
    <xf numFmtId="0" fontId="12" fillId="0" borderId="44" xfId="0" applyFont="1" applyBorder="1" applyAlignment="1">
      <alignment horizontal="centerContinuous" vertical="center"/>
    </xf>
    <xf numFmtId="0" fontId="12" fillId="0" borderId="50" xfId="0" applyFont="1" applyBorder="1" applyAlignment="1">
      <alignment horizontal="centerContinuous" vertical="center"/>
    </xf>
    <xf numFmtId="0" fontId="12" fillId="0" borderId="39" xfId="0" applyFont="1" applyBorder="1" applyAlignment="1">
      <alignment horizontal="centerContinuous" vertical="center"/>
    </xf>
    <xf numFmtId="0" fontId="10" fillId="0" borderId="38" xfId="0" applyFont="1" applyBorder="1" applyAlignment="1">
      <alignment horizontal="center" vertical="center"/>
    </xf>
    <xf numFmtId="2" fontId="10" fillId="0" borderId="39" xfId="0" applyNumberFormat="1" applyFont="1" applyBorder="1" applyAlignment="1">
      <alignment horizontal="centerContinuous" vertical="center"/>
    </xf>
    <xf numFmtId="1" fontId="7" fillId="0" borderId="51" xfId="0" applyNumberFormat="1" applyFont="1" applyBorder="1" applyAlignment="1">
      <alignment horizontal="centerContinuous" vertical="center"/>
    </xf>
    <xf numFmtId="169" fontId="7" fillId="0" borderId="50" xfId="0" applyNumberFormat="1" applyFont="1" applyBorder="1" applyAlignment="1">
      <alignment horizontal="centerContinuous" vertical="center"/>
    </xf>
    <xf numFmtId="0" fontId="12" fillId="0" borderId="35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vertical="center"/>
    </xf>
    <xf numFmtId="2" fontId="12" fillId="0" borderId="52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2" fillId="0" borderId="2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1" fontId="7" fillId="0" borderId="38" xfId="0" quotePrefix="1" applyNumberFormat="1" applyFont="1" applyBorder="1" applyAlignment="1">
      <alignment horizontal="center" vertical="center"/>
    </xf>
    <xf numFmtId="1" fontId="7" fillId="0" borderId="51" xfId="0" quotePrefix="1" applyNumberFormat="1" applyFont="1" applyBorder="1" applyAlignment="1">
      <alignment horizontal="centerContinuous" vertical="center"/>
    </xf>
    <xf numFmtId="0" fontId="12" fillId="0" borderId="0" xfId="0" applyFont="1" applyAlignment="1">
      <alignment horizontal="left" vertical="center" indent="1"/>
    </xf>
    <xf numFmtId="0" fontId="12" fillId="0" borderId="43" xfId="0" applyFont="1" applyBorder="1" applyAlignment="1">
      <alignment vertical="center"/>
    </xf>
    <xf numFmtId="0" fontId="12" fillId="0" borderId="52" xfId="0" applyFont="1" applyBorder="1" applyAlignment="1">
      <alignment horizontal="left" vertical="center" indent="1"/>
    </xf>
    <xf numFmtId="0" fontId="12" fillId="0" borderId="52" xfId="0" applyFont="1" applyBorder="1" applyAlignment="1">
      <alignment vertical="center"/>
    </xf>
    <xf numFmtId="169" fontId="0" fillId="0" borderId="0" xfId="0" applyNumberFormat="1"/>
    <xf numFmtId="0" fontId="10" fillId="0" borderId="39" xfId="0" applyFont="1" applyBorder="1" applyAlignment="1">
      <alignment horizontal="centerContinuous" vertical="center"/>
    </xf>
    <xf numFmtId="0" fontId="7" fillId="0" borderId="51" xfId="0" quotePrefix="1" applyFont="1" applyBorder="1" applyAlignment="1">
      <alignment horizontal="centerContinuous" vertical="center"/>
    </xf>
    <xf numFmtId="2" fontId="7" fillId="0" borderId="44" xfId="0" quotePrefix="1" applyNumberFormat="1" applyFont="1" applyBorder="1" applyAlignment="1">
      <alignment horizontal="centerContinuous" vertical="center"/>
    </xf>
    <xf numFmtId="2" fontId="7" fillId="0" borderId="50" xfId="0" quotePrefix="1" applyNumberFormat="1" applyFont="1" applyBorder="1" applyAlignment="1">
      <alignment horizontal="centerContinuous" vertical="center"/>
    </xf>
    <xf numFmtId="0" fontId="12" fillId="0" borderId="7" xfId="0" applyFont="1" applyBorder="1" applyAlignment="1">
      <alignment horizontal="left" vertical="center" indent="1"/>
    </xf>
    <xf numFmtId="0" fontId="7" fillId="0" borderId="38" xfId="0" quotePrefix="1" applyFont="1" applyBorder="1" applyAlignment="1">
      <alignment horizontal="centerContinuous" vertical="center"/>
    </xf>
    <xf numFmtId="2" fontId="7" fillId="0" borderId="50" xfId="0" applyNumberFormat="1" applyFont="1" applyBorder="1" applyAlignment="1">
      <alignment horizontal="centerContinuous" vertical="center"/>
    </xf>
    <xf numFmtId="1" fontId="7" fillId="0" borderId="36" xfId="0" quotePrefix="1" applyNumberFormat="1" applyFont="1" applyBorder="1" applyAlignment="1">
      <alignment horizontal="center" vertical="center"/>
    </xf>
    <xf numFmtId="0" fontId="7" fillId="0" borderId="55" xfId="0" quotePrefix="1" applyFont="1" applyBorder="1" applyAlignment="1">
      <alignment horizontal="centerContinuous" vertical="center"/>
    </xf>
    <xf numFmtId="1" fontId="7" fillId="0" borderId="14" xfId="0" quotePrefix="1" applyNumberFormat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2" fontId="7" fillId="0" borderId="7" xfId="0" quotePrefix="1" applyNumberFormat="1" applyFont="1" applyBorder="1" applyAlignment="1">
      <alignment horizontal="centerContinuous" vertical="center"/>
    </xf>
    <xf numFmtId="2" fontId="7" fillId="0" borderId="35" xfId="0" applyNumberFormat="1" applyFont="1" applyBorder="1" applyAlignment="1">
      <alignment horizontal="centerContinuous" vertical="center"/>
    </xf>
    <xf numFmtId="1" fontId="7" fillId="0" borderId="0" xfId="0" applyNumberFormat="1" applyFont="1" applyAlignment="1">
      <alignment horizontal="centerContinuous" vertical="center"/>
    </xf>
    <xf numFmtId="1" fontId="7" fillId="0" borderId="2" xfId="0" applyNumberFormat="1" applyFont="1" applyBorder="1" applyAlignment="1">
      <alignment horizontal="centerContinuous" vertical="center"/>
    </xf>
    <xf numFmtId="0" fontId="10" fillId="0" borderId="2" xfId="0" applyFont="1" applyBorder="1" applyAlignment="1">
      <alignment vertical="center"/>
    </xf>
    <xf numFmtId="0" fontId="7" fillId="0" borderId="2" xfId="0" applyFont="1" applyBorder="1"/>
    <xf numFmtId="14" fontId="7" fillId="0" borderId="4" xfId="0" applyNumberFormat="1" applyFont="1" applyBorder="1" applyAlignment="1">
      <alignment horizontal="center" vertical="center"/>
    </xf>
    <xf numFmtId="0" fontId="7" fillId="0" borderId="27" xfId="0" applyFont="1" applyBorder="1"/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25" xfId="0" applyFont="1" applyBorder="1" applyAlignment="1">
      <alignment horizontal="centerContinuous" vertical="center"/>
    </xf>
    <xf numFmtId="0" fontId="7" fillId="0" borderId="20" xfId="0" applyFont="1" applyBorder="1" applyAlignment="1">
      <alignment horizontal="centerContinuous"/>
    </xf>
    <xf numFmtId="0" fontId="14" fillId="0" borderId="2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2" fillId="0" borderId="56" xfId="0" applyFont="1" applyBorder="1" applyAlignment="1">
      <alignment vertical="center"/>
    </xf>
    <xf numFmtId="0" fontId="12" fillId="0" borderId="53" xfId="0" applyFont="1" applyBorder="1" applyAlignment="1">
      <alignment horizontal="centerContinuous" vertical="center"/>
    </xf>
    <xf numFmtId="0" fontId="7" fillId="0" borderId="57" xfId="0" applyFont="1" applyBorder="1" applyAlignment="1">
      <alignment horizontal="centerContinuous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0" fillId="0" borderId="52" xfId="0" applyBorder="1"/>
    <xf numFmtId="0" fontId="0" fillId="0" borderId="54" xfId="0" applyBorder="1"/>
    <xf numFmtId="0" fontId="12" fillId="0" borderId="60" xfId="0" applyFont="1" applyBorder="1" applyAlignment="1">
      <alignment vertical="center"/>
    </xf>
    <xf numFmtId="0" fontId="12" fillId="0" borderId="61" xfId="0" applyFont="1" applyBorder="1" applyAlignment="1">
      <alignment vertical="center"/>
    </xf>
    <xf numFmtId="0" fontId="12" fillId="0" borderId="62" xfId="0" applyFont="1" applyBorder="1" applyAlignment="1">
      <alignment horizontal="centerContinuous" vertical="center"/>
    </xf>
    <xf numFmtId="0" fontId="7" fillId="0" borderId="63" xfId="0" applyFont="1" applyBorder="1" applyAlignment="1">
      <alignment horizontal="centerContinuous" vertical="center"/>
    </xf>
    <xf numFmtId="0" fontId="7" fillId="0" borderId="62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2" fillId="0" borderId="28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centerContinuous" vertical="center"/>
    </xf>
    <xf numFmtId="0" fontId="7" fillId="0" borderId="6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7" fillId="0" borderId="17" xfId="0" applyFont="1" applyBorder="1"/>
    <xf numFmtId="0" fontId="7" fillId="0" borderId="17" xfId="0" applyFont="1" applyBorder="1" applyAlignment="1">
      <alignment vertic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857"/>
          <c:y val="8.389275491026589E-2"/>
          <c:w val="0.80789946140035951"/>
          <c:h val="0.67114203928212768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MVI'!$O$26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0.9</c:v>
                </c:pt>
                <c:pt idx="2">
                  <c:v>12.6</c:v>
                </c:pt>
                <c:pt idx="3">
                  <c:v>30.3</c:v>
                </c:pt>
                <c:pt idx="4">
                  <c:v>40.200000000000003</c:v>
                </c:pt>
                <c:pt idx="5">
                  <c:v>49.4</c:v>
                </c:pt>
                <c:pt idx="6">
                  <c:v>64.900000000000006</c:v>
                </c:pt>
                <c:pt idx="7">
                  <c:v>97.6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E-4D49-9C4B-8433BB87F474}"/>
            </c:ext>
          </c:extLst>
        </c:ser>
        <c:ser>
          <c:idx val="1"/>
          <c:order val="1"/>
          <c:tx>
            <c:strRef>
              <c:f>'Sieblinie MVI'!$P$26</c:f>
              <c:strCache>
                <c:ptCount val="1"/>
                <c:pt idx="0">
                  <c:v>A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AE-4D49-9C4B-8433BB87F474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AE-4D49-9C4B-8433BB87F474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AE-4D49-9C4B-8433BB87F47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AE-4D49-9C4B-8433BB87F474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AE-4D49-9C4B-8433BB87F474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AE-4D49-9C4B-8433BB87F4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MVI'!$P$27:$P$35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21</c:v>
                </c:pt>
                <c:pt idx="5">
                  <c:v>36</c:v>
                </c:pt>
                <c:pt idx="6">
                  <c:v>61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AE-4D49-9C4B-8433BB87F474}"/>
            </c:ext>
          </c:extLst>
        </c:ser>
        <c:ser>
          <c:idx val="2"/>
          <c:order val="2"/>
          <c:tx>
            <c:strRef>
              <c:f>'Sieblinie MVI'!$Q$26</c:f>
              <c:strCache>
                <c:ptCount val="1"/>
                <c:pt idx="0">
                  <c:v>B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AE-4D49-9C4B-8433BB87F474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AE-4D49-9C4B-8433BB87F474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AE-4D49-9C4B-8433BB87F47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AE-4D49-9C4B-8433BB87F474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AE-4D49-9C4B-8433BB87F474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AE-4D49-9C4B-8433BB87F4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MVI'!$Q$27:$Q$35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26</c:v>
                </c:pt>
                <c:pt idx="4">
                  <c:v>42</c:v>
                </c:pt>
                <c:pt idx="5">
                  <c:v>57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AE-4D49-9C4B-8433BB87F474}"/>
            </c:ext>
          </c:extLst>
        </c:ser>
        <c:ser>
          <c:idx val="3"/>
          <c:order val="3"/>
          <c:tx>
            <c:strRef>
              <c:f>'Sieblinie MVI'!$R$26</c:f>
              <c:strCache>
                <c:ptCount val="1"/>
                <c:pt idx="0">
                  <c:v>C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4AE-4D49-9C4B-8433BB87F474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4AE-4D49-9C4B-8433BB87F474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4AE-4D49-9C4B-8433BB87F47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4AE-4D49-9C4B-8433BB87F474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4AE-4D49-9C4B-8433BB87F474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4AE-4D49-9C4B-8433BB87F4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MVI'!$R$27:$R$35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39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4AE-4D49-9C4B-8433BB87F474}"/>
            </c:ext>
          </c:extLst>
        </c:ser>
        <c:ser>
          <c:idx val="4"/>
          <c:order val="4"/>
          <c:tx>
            <c:strRef>
              <c:f>'Sieblinie MVI'!$S$26</c:f>
              <c:strCache>
                <c:ptCount val="1"/>
                <c:pt idx="0">
                  <c:v>U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4AE-4D49-9C4B-8433BB87F474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4AE-4D49-9C4B-8433BB87F474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4AE-4D49-9C4B-8433BB87F47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4AE-4D49-9C4B-8433BB87F474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4AE-4D49-9C4B-8433BB87F474}"/>
                </c:ext>
              </c:extLst>
            </c:dLbl>
            <c:dLbl>
              <c:idx val="6"/>
              <c:layout>
                <c:manualLayout>
                  <c:x val="-5.0868686297512863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4AE-4D49-9C4B-8433BB87F4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MVI'!$S$27:$S$35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4AE-4D49-9C4B-8433BB87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5696"/>
        <c:axId val="45760512"/>
      </c:lineChart>
      <c:catAx>
        <c:axId val="44365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762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5760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576051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436569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F20F-E6FF-43DA-8385-6E882790E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0.4229</cdr:x>
      <cdr:y>0.46327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54339" y="1171159"/>
          <a:ext cx="97869" cy="1562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0.68585</cdr:x>
      <cdr:y>0.43258</cdr:y>
    </cdr:from>
    <cdr:to>
      <cdr:x>0.75853</cdr:x>
      <cdr:y>0.49904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783" y="1239289"/>
          <a:ext cx="382343" cy="190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8</a:t>
          </a:r>
        </a:p>
      </cdr:txBody>
    </cdr:sp>
  </cdr:relSizeAnchor>
  <cdr:relSizeAnchor xmlns:cdr="http://schemas.openxmlformats.org/drawingml/2006/chartDrawing">
    <cdr:from>
      <cdr:x>0.71016</cdr:x>
      <cdr:y>0.40214</cdr:y>
    </cdr:from>
    <cdr:to>
      <cdr:x>0.72219</cdr:x>
      <cdr:y>0.43331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775056" y="1151890"/>
          <a:ext cx="67856" cy="894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0.36919</cdr:x>
      <cdr:y>0.35266</cdr:y>
    </cdr:from>
    <cdr:to>
      <cdr:x>0.40518</cdr:x>
      <cdr:y>0.40788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7103" y="988916"/>
          <a:ext cx="196592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8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0.61441</cdr:x>
      <cdr:y>0.38136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084751" y="794036"/>
          <a:ext cx="183994" cy="2952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8</a:t>
          </a:r>
        </a:p>
      </cdr:txBody>
    </cdr:sp>
  </cdr:relSizeAnchor>
  <cdr:relSizeAnchor xmlns:cdr="http://schemas.openxmlformats.org/drawingml/2006/chartDrawing">
    <cdr:from>
      <cdr:x>0.81034</cdr:x>
      <cdr:y>0.26416</cdr:y>
    </cdr:from>
    <cdr:to>
      <cdr:x>0.85085</cdr:x>
      <cdr:y>0.32771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10075" y="755498"/>
          <a:ext cx="215313" cy="1809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0.82089</cdr:x>
      <cdr:y>0.29775</cdr:y>
    </cdr:from>
    <cdr:to>
      <cdr:x>0.88694</cdr:x>
      <cdr:y>0.35864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187" y="851155"/>
          <a:ext cx="351025" cy="17342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 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_08_04%20Rezepturen_auf%2085%20Liter_Werner_Lose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osert/AppData/Local/Microsoft/Windows/Temporary%20Internet%20Files/Content.Outlook/9U3PCEJK/20090507%20Rezeptur_Huisman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Sieblinie MVI"/>
      <sheetName val="RezepturMI"/>
      <sheetName val="RezepturMII"/>
      <sheetName val="RezepturMIII"/>
      <sheetName val="RezepturMV"/>
      <sheetName val="RezepturMVI"/>
      <sheetName val="MischanweisungMI"/>
      <sheetName val="MischanweisungMII"/>
      <sheetName val="MischanweisungMIII"/>
      <sheetName val="MischanweisungMV"/>
      <sheetName val="MischanweisungMVI"/>
    </sheetNames>
    <sheetDataSet>
      <sheetData sheetId="0"/>
      <sheetData sheetId="1">
        <row r="26">
          <cell r="O26" t="str">
            <v>Istsieblinie</v>
          </cell>
          <cell r="P26" t="str">
            <v>A 8</v>
          </cell>
          <cell r="Q26" t="str">
            <v>B 8</v>
          </cell>
          <cell r="R26" t="str">
            <v>C 8</v>
          </cell>
          <cell r="S26" t="str">
            <v>U 8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N28">
            <v>0.125</v>
          </cell>
          <cell r="O28">
            <v>0.9</v>
          </cell>
          <cell r="P28">
            <v>2</v>
          </cell>
          <cell r="Q28">
            <v>4</v>
          </cell>
          <cell r="R28">
            <v>7</v>
          </cell>
          <cell r="S28">
            <v>2</v>
          </cell>
        </row>
        <row r="29">
          <cell r="N29">
            <v>0.25</v>
          </cell>
          <cell r="O29">
            <v>12.6</v>
          </cell>
          <cell r="P29">
            <v>5</v>
          </cell>
          <cell r="Q29">
            <v>11</v>
          </cell>
          <cell r="R29">
            <v>21</v>
          </cell>
          <cell r="S29">
            <v>5</v>
          </cell>
        </row>
        <row r="30">
          <cell r="N30">
            <v>0.5</v>
          </cell>
          <cell r="O30">
            <v>30.3</v>
          </cell>
          <cell r="P30">
            <v>14</v>
          </cell>
          <cell r="Q30">
            <v>26</v>
          </cell>
          <cell r="R30">
            <v>39</v>
          </cell>
          <cell r="S30">
            <v>17</v>
          </cell>
        </row>
        <row r="31">
          <cell r="N31">
            <v>1</v>
          </cell>
          <cell r="O31">
            <v>40.200000000000003</v>
          </cell>
          <cell r="P31">
            <v>21</v>
          </cell>
          <cell r="Q31">
            <v>42</v>
          </cell>
          <cell r="R31">
            <v>57</v>
          </cell>
          <cell r="S31">
            <v>30</v>
          </cell>
        </row>
        <row r="32">
          <cell r="N32">
            <v>2</v>
          </cell>
          <cell r="O32">
            <v>49.4</v>
          </cell>
          <cell r="P32">
            <v>36</v>
          </cell>
          <cell r="Q32">
            <v>57</v>
          </cell>
          <cell r="R32">
            <v>71</v>
          </cell>
          <cell r="S32">
            <v>30</v>
          </cell>
        </row>
        <row r="33">
          <cell r="N33">
            <v>4</v>
          </cell>
          <cell r="O33">
            <v>64.900000000000006</v>
          </cell>
          <cell r="P33">
            <v>61</v>
          </cell>
          <cell r="Q33">
            <v>74</v>
          </cell>
          <cell r="R33">
            <v>85</v>
          </cell>
          <cell r="S33">
            <v>30</v>
          </cell>
        </row>
        <row r="34">
          <cell r="N34">
            <v>8</v>
          </cell>
          <cell r="O34">
            <v>97.6</v>
          </cell>
          <cell r="P34">
            <v>100</v>
          </cell>
          <cell r="Q34">
            <v>100</v>
          </cell>
          <cell r="R34">
            <v>100</v>
          </cell>
          <cell r="S34">
            <v>100</v>
          </cell>
        </row>
        <row r="35">
          <cell r="N35">
            <v>16</v>
          </cell>
          <cell r="O35">
            <v>100</v>
          </cell>
          <cell r="P35">
            <v>100</v>
          </cell>
          <cell r="Q35">
            <v>100</v>
          </cell>
          <cell r="R35">
            <v>100</v>
          </cell>
          <cell r="S35">
            <v>100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"/>
      <sheetName val="Rezeptur"/>
      <sheetName val="Mischanweisung"/>
      <sheetName val="Prüfauftrag "/>
      <sheetName val="Mischvorgang"/>
    </sheetNames>
    <sheetDataSet>
      <sheetData sheetId="0">
        <row r="35">
          <cell r="E35">
            <v>12.6</v>
          </cell>
          <cell r="F35">
            <v>30.3</v>
          </cell>
          <cell r="G35">
            <v>40.200000000000003</v>
          </cell>
          <cell r="H35">
            <v>49.4</v>
          </cell>
          <cell r="I35">
            <v>64.900000000000006</v>
          </cell>
          <cell r="J35">
            <v>97.6</v>
          </cell>
          <cell r="K35">
            <v>100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7684-C0AB-4FC3-9C90-B255AA4A35CF}">
  <dimension ref="A1:S62"/>
  <sheetViews>
    <sheetView tabSelected="1" topLeftCell="A7" workbookViewId="0">
      <selection activeCell="E31" sqref="E31:L36"/>
    </sheetView>
  </sheetViews>
  <sheetFormatPr baseColWidth="10" defaultRowHeight="13" x14ac:dyDescent="0.3"/>
  <cols>
    <col min="1" max="1" width="6.1796875" customWidth="1"/>
    <col min="2" max="2" width="3.26953125" customWidth="1"/>
    <col min="3" max="3" width="9.1796875" customWidth="1"/>
    <col min="4" max="6" width="6.453125" customWidth="1"/>
    <col min="7" max="7" width="6.54296875" customWidth="1"/>
    <col min="8" max="12" width="6.453125" customWidth="1"/>
    <col min="13" max="13" width="10.81640625" customWidth="1"/>
  </cols>
  <sheetData>
    <row r="1" spans="1:13" ht="20.149999999999999" customHeight="1" x14ac:dyDescent="0.3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5" t="s">
        <v>2</v>
      </c>
      <c r="L1" s="6"/>
      <c r="M1" s="7">
        <v>38667</v>
      </c>
    </row>
    <row r="2" spans="1:13" ht="20.149999999999999" customHeight="1" thickBot="1" x14ac:dyDescent="0.35">
      <c r="A2" s="8" t="s">
        <v>3</v>
      </c>
      <c r="B2" s="9" t="s">
        <v>4</v>
      </c>
      <c r="C2" s="10"/>
      <c r="D2" s="10"/>
      <c r="E2" s="11"/>
      <c r="F2" s="11"/>
      <c r="G2" s="11"/>
      <c r="H2" s="11"/>
      <c r="I2" s="11"/>
      <c r="J2" s="11"/>
      <c r="K2" s="12" t="s">
        <v>5</v>
      </c>
      <c r="L2" s="13"/>
      <c r="M2" s="14" t="s">
        <v>6</v>
      </c>
    </row>
    <row r="3" spans="1:13" ht="5.25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20.149999999999999" customHeight="1" x14ac:dyDescent="0.3">
      <c r="A4" t="s">
        <v>7</v>
      </c>
      <c r="E4" s="16" t="s">
        <v>8</v>
      </c>
      <c r="F4" s="16"/>
      <c r="G4" s="16"/>
      <c r="H4" s="16"/>
      <c r="J4" s="16" t="s">
        <v>9</v>
      </c>
      <c r="K4" s="16"/>
      <c r="L4" s="17"/>
      <c r="M4" s="17"/>
    </row>
    <row r="5" spans="1:13" ht="20.149999999999999" customHeight="1" x14ac:dyDescent="0.3">
      <c r="A5" t="s">
        <v>10</v>
      </c>
      <c r="E5" s="16" t="s">
        <v>11</v>
      </c>
      <c r="F5" s="16"/>
      <c r="G5" s="16"/>
      <c r="H5" s="16"/>
      <c r="J5" s="16" t="s">
        <v>12</v>
      </c>
      <c r="K5" s="16"/>
      <c r="L5" s="17"/>
      <c r="M5" s="17"/>
    </row>
    <row r="6" spans="1:13" ht="20.149999999999999" customHeight="1" x14ac:dyDescent="0.3">
      <c r="A6" t="s">
        <v>13</v>
      </c>
      <c r="G6" s="16"/>
      <c r="H6" s="16"/>
      <c r="I6" s="18" t="s">
        <v>14</v>
      </c>
      <c r="J6" s="18"/>
      <c r="K6" s="16" t="s">
        <v>15</v>
      </c>
      <c r="L6" s="17"/>
      <c r="M6" s="17"/>
    </row>
    <row r="7" spans="1:13" ht="10" customHeight="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6" customHeight="1" x14ac:dyDescent="0.3">
      <c r="A8" s="19" t="s">
        <v>16</v>
      </c>
      <c r="B8" s="15"/>
      <c r="C8" s="15"/>
      <c r="D8" s="15"/>
      <c r="E8" s="15"/>
      <c r="F8" s="15"/>
      <c r="G8" s="15"/>
      <c r="H8" s="15"/>
      <c r="I8" s="20" t="s">
        <v>17</v>
      </c>
      <c r="J8" s="20"/>
      <c r="K8" s="17" t="s">
        <v>18</v>
      </c>
      <c r="L8" s="17"/>
      <c r="M8" s="21">
        <f>M35</f>
        <v>3.05</v>
      </c>
    </row>
    <row r="9" spans="1:13" ht="5.15" customHeight="1" thickBot="1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6" customHeight="1" x14ac:dyDescent="0.3">
      <c r="A10" s="22" t="s">
        <v>19</v>
      </c>
      <c r="B10" s="23"/>
      <c r="C10" s="24"/>
      <c r="D10" s="25"/>
      <c r="E10" s="26" t="s">
        <v>20</v>
      </c>
      <c r="F10" s="23"/>
      <c r="G10" s="23"/>
      <c r="H10" s="23"/>
      <c r="I10" s="23"/>
      <c r="J10" s="23"/>
      <c r="K10" s="23"/>
      <c r="L10" s="23"/>
      <c r="M10" s="27" t="s">
        <v>21</v>
      </c>
    </row>
    <row r="11" spans="1:13" ht="16" customHeight="1" thickBot="1" x14ac:dyDescent="0.35">
      <c r="A11" s="28" t="s">
        <v>22</v>
      </c>
      <c r="B11" s="29"/>
      <c r="C11" s="30"/>
      <c r="D11" s="31">
        <v>0.125</v>
      </c>
      <c r="E11" s="32">
        <v>0.25</v>
      </c>
      <c r="F11" s="32">
        <v>0.5</v>
      </c>
      <c r="G11" s="32">
        <v>1</v>
      </c>
      <c r="H11" s="32">
        <v>2</v>
      </c>
      <c r="I11" s="32">
        <v>4</v>
      </c>
      <c r="J11" s="32">
        <v>8</v>
      </c>
      <c r="K11" s="32">
        <v>16</v>
      </c>
      <c r="L11" s="32">
        <v>31.5</v>
      </c>
      <c r="M11" s="33" t="s">
        <v>23</v>
      </c>
    </row>
    <row r="12" spans="1:13" ht="16" customHeight="1" x14ac:dyDescent="0.3">
      <c r="A12" s="34" t="s">
        <v>24</v>
      </c>
      <c r="B12" s="35"/>
      <c r="C12" s="36"/>
      <c r="D12" s="37">
        <v>52.4</v>
      </c>
      <c r="E12" s="38">
        <v>77</v>
      </c>
      <c r="F12" s="38">
        <v>99.968699948018553</v>
      </c>
      <c r="G12" s="38">
        <v>100</v>
      </c>
      <c r="H12" s="38">
        <v>100</v>
      </c>
      <c r="I12" s="38">
        <v>100</v>
      </c>
      <c r="J12" s="38">
        <v>100</v>
      </c>
      <c r="K12" s="38">
        <v>100</v>
      </c>
      <c r="L12" s="38">
        <v>100</v>
      </c>
      <c r="M12" s="39" t="s">
        <v>25</v>
      </c>
    </row>
    <row r="13" spans="1:13" ht="16" customHeight="1" x14ac:dyDescent="0.3">
      <c r="A13" s="34" t="s">
        <v>26</v>
      </c>
      <c r="B13" s="35"/>
      <c r="C13" s="36"/>
      <c r="D13" s="40">
        <v>2.9048081624275284</v>
      </c>
      <c r="E13" s="38">
        <v>41.66750212880865</v>
      </c>
      <c r="F13" s="38">
        <v>99.791675130032658</v>
      </c>
      <c r="G13" s="38">
        <v>100</v>
      </c>
      <c r="H13" s="38">
        <v>100</v>
      </c>
      <c r="I13" s="38">
        <v>100</v>
      </c>
      <c r="J13" s="38">
        <v>100</v>
      </c>
      <c r="K13" s="38">
        <v>100</v>
      </c>
      <c r="L13" s="38">
        <v>100</v>
      </c>
      <c r="M13" s="39" t="s">
        <v>27</v>
      </c>
    </row>
    <row r="14" spans="1:13" ht="16" customHeight="1" x14ac:dyDescent="0.3">
      <c r="A14" s="34" t="s">
        <v>28</v>
      </c>
      <c r="B14" s="35"/>
      <c r="C14" s="36"/>
      <c r="D14" s="40">
        <v>0.31376730162871524</v>
      </c>
      <c r="E14" s="38">
        <v>1.0898909421501344</v>
      </c>
      <c r="F14" s="38">
        <v>3.643296099419004</v>
      </c>
      <c r="G14" s="38">
        <v>99.105566801255804</v>
      </c>
      <c r="H14" s="38">
        <v>100</v>
      </c>
      <c r="I14" s="38">
        <v>100</v>
      </c>
      <c r="J14" s="38">
        <v>100</v>
      </c>
      <c r="K14" s="38">
        <v>100</v>
      </c>
      <c r="L14" s="38">
        <v>100</v>
      </c>
      <c r="M14" s="39" t="s">
        <v>27</v>
      </c>
    </row>
    <row r="15" spans="1:13" ht="16" customHeight="1" x14ac:dyDescent="0.3">
      <c r="A15" s="34" t="s">
        <v>29</v>
      </c>
      <c r="B15" s="35"/>
      <c r="C15" s="36"/>
      <c r="D15" s="40">
        <v>0.12621847101634387</v>
      </c>
      <c r="E15" s="41">
        <v>0.1328688546090433</v>
      </c>
      <c r="F15" s="41">
        <v>0.18929561488322122</v>
      </c>
      <c r="G15" s="38">
        <v>3.1198685001317585</v>
      </c>
      <c r="H15" s="38">
        <v>93.102933679844824</v>
      </c>
      <c r="I15" s="38">
        <v>100</v>
      </c>
      <c r="J15" s="38">
        <v>100</v>
      </c>
      <c r="K15" s="38">
        <v>100</v>
      </c>
      <c r="L15" s="38">
        <v>100</v>
      </c>
      <c r="M15" s="39" t="s">
        <v>27</v>
      </c>
    </row>
    <row r="16" spans="1:13" ht="16" customHeight="1" x14ac:dyDescent="0.3">
      <c r="A16" s="34" t="s">
        <v>30</v>
      </c>
      <c r="B16" s="35"/>
      <c r="C16" s="36"/>
      <c r="D16" s="40">
        <v>6.4489099453481913E-3</v>
      </c>
      <c r="E16" s="41">
        <v>9.696030165187608E-3</v>
      </c>
      <c r="F16" s="41">
        <v>1.2911205794168268E-2</v>
      </c>
      <c r="G16" s="41">
        <v>2.9161259021051933E-2</v>
      </c>
      <c r="H16" s="38">
        <v>0.5435268152642152</v>
      </c>
      <c r="I16" s="38">
        <v>97.834904204716551</v>
      </c>
      <c r="J16" s="38">
        <v>100</v>
      </c>
      <c r="K16" s="38">
        <v>100</v>
      </c>
      <c r="L16" s="38">
        <v>100</v>
      </c>
      <c r="M16" s="39" t="s">
        <v>27</v>
      </c>
    </row>
    <row r="17" spans="1:19" ht="16" customHeight="1" x14ac:dyDescent="0.3">
      <c r="A17" s="34" t="s">
        <v>31</v>
      </c>
      <c r="B17" s="35"/>
      <c r="C17" s="36"/>
      <c r="D17" s="40">
        <v>1.5879434670367232E-2</v>
      </c>
      <c r="E17" s="41">
        <v>2.0321692947860015E-2</v>
      </c>
      <c r="F17" s="41">
        <v>2.3234408099895631E-2</v>
      </c>
      <c r="G17" s="41">
        <v>3.073575262833117E-2</v>
      </c>
      <c r="H17" s="41">
        <v>4.8517757573861786E-2</v>
      </c>
      <c r="I17" s="38">
        <v>0.67845292420997794</v>
      </c>
      <c r="J17" s="38">
        <v>93.211907028290838</v>
      </c>
      <c r="K17" s="38">
        <v>100</v>
      </c>
      <c r="L17" s="38">
        <v>100</v>
      </c>
      <c r="M17" s="39" t="s">
        <v>27</v>
      </c>
    </row>
    <row r="18" spans="1:19" ht="16" customHeight="1" x14ac:dyDescent="0.3">
      <c r="A18" s="34" t="s">
        <v>32</v>
      </c>
      <c r="B18" s="35"/>
      <c r="C18" s="36"/>
      <c r="D18" s="40">
        <v>4.3344736856695931E-2</v>
      </c>
      <c r="E18" s="41">
        <v>6.7824167492744891E-2</v>
      </c>
      <c r="F18" s="41">
        <v>9.2303624728970135E-2</v>
      </c>
      <c r="G18" s="41">
        <v>0.13560995689427102</v>
      </c>
      <c r="H18" s="41">
        <v>0.26083448782236474</v>
      </c>
      <c r="I18" s="41">
        <v>0.75467740176996756</v>
      </c>
      <c r="J18" s="38">
        <v>7.157240559259364</v>
      </c>
      <c r="K18" s="38">
        <v>98.941481828223218</v>
      </c>
      <c r="L18" s="38">
        <v>100</v>
      </c>
      <c r="M18" s="39" t="s">
        <v>27</v>
      </c>
      <c r="O18" s="42"/>
    </row>
    <row r="19" spans="1:19" ht="15.75" customHeight="1" thickBot="1" x14ac:dyDescent="0.35">
      <c r="A19" s="28"/>
      <c r="B19" s="29"/>
      <c r="C19" s="30"/>
      <c r="D19" s="29"/>
      <c r="E19" s="43"/>
      <c r="F19" s="44"/>
      <c r="G19" s="44"/>
      <c r="H19" s="44"/>
      <c r="I19" s="44"/>
      <c r="J19" s="44"/>
      <c r="K19" s="44"/>
      <c r="L19" s="44"/>
      <c r="M19" s="45"/>
    </row>
    <row r="20" spans="1:19" ht="4.5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9" ht="16" customHeight="1" x14ac:dyDescent="0.3">
      <c r="A21" s="19" t="s">
        <v>33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9" ht="5.15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9" ht="16" customHeight="1" x14ac:dyDescent="0.3">
      <c r="A23" s="46" t="s">
        <v>34</v>
      </c>
      <c r="B23" s="47"/>
      <c r="C23" s="48"/>
      <c r="D23" s="49">
        <v>2.5</v>
      </c>
      <c r="E23" s="50">
        <v>9.5</v>
      </c>
      <c r="F23" s="50">
        <v>22</v>
      </c>
      <c r="G23" s="50">
        <v>34.5</v>
      </c>
      <c r="H23" s="50">
        <v>42.7</v>
      </c>
      <c r="I23" s="50">
        <v>48.4</v>
      </c>
      <c r="J23" s="50">
        <v>64.900000000000006</v>
      </c>
      <c r="K23" s="50">
        <v>99.9</v>
      </c>
      <c r="L23" s="50"/>
      <c r="M23" s="51">
        <f>(700-SUM(E23:K23))/100</f>
        <v>3.7810000000000001</v>
      </c>
    </row>
    <row r="24" spans="1:19" ht="3.75" customHeight="1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9" ht="16" customHeight="1" x14ac:dyDescent="0.3">
      <c r="A25" s="52" t="s">
        <v>19</v>
      </c>
      <c r="B25" s="25"/>
      <c r="C25" s="53"/>
      <c r="D25" s="25"/>
      <c r="E25" s="54" t="s">
        <v>35</v>
      </c>
      <c r="F25" s="26"/>
      <c r="G25" s="26"/>
      <c r="H25" s="26"/>
      <c r="I25" s="26"/>
      <c r="J25" s="26"/>
      <c r="K25" s="26"/>
      <c r="L25" s="26"/>
      <c r="M25" s="27" t="s">
        <v>36</v>
      </c>
    </row>
    <row r="26" spans="1:19" ht="16" customHeight="1" thickBot="1" x14ac:dyDescent="0.35">
      <c r="A26" s="55" t="s">
        <v>22</v>
      </c>
      <c r="B26" s="56"/>
      <c r="C26" s="57" t="s">
        <v>37</v>
      </c>
      <c r="D26" s="58">
        <v>0.125</v>
      </c>
      <c r="E26" s="59">
        <v>0.25</v>
      </c>
      <c r="F26" s="32">
        <v>0.5</v>
      </c>
      <c r="G26" s="32">
        <v>1</v>
      </c>
      <c r="H26" s="32">
        <v>2</v>
      </c>
      <c r="I26" s="32">
        <v>4</v>
      </c>
      <c r="J26" s="32">
        <v>8</v>
      </c>
      <c r="K26" s="32">
        <v>16</v>
      </c>
      <c r="L26" s="32">
        <v>31.5</v>
      </c>
      <c r="M26" s="60" t="s">
        <v>38</v>
      </c>
      <c r="O26" t="s">
        <v>39</v>
      </c>
      <c r="P26" t="s">
        <v>40</v>
      </c>
      <c r="Q26" t="s">
        <v>41</v>
      </c>
      <c r="R26" t="s">
        <v>42</v>
      </c>
      <c r="S26" t="s">
        <v>43</v>
      </c>
    </row>
    <row r="27" spans="1:19" ht="16" customHeight="1" x14ac:dyDescent="0.3">
      <c r="A27" s="34" t="s">
        <v>44</v>
      </c>
      <c r="B27" s="35"/>
      <c r="C27" s="61"/>
      <c r="D27" s="62">
        <f t="shared" ref="D27:K33" si="0">ROUND((($C27*D12)/100),1)</f>
        <v>0</v>
      </c>
      <c r="E27" s="62">
        <f t="shared" si="0"/>
        <v>0</v>
      </c>
      <c r="F27" s="38">
        <f t="shared" si="0"/>
        <v>0</v>
      </c>
      <c r="G27" s="38">
        <f t="shared" si="0"/>
        <v>0</v>
      </c>
      <c r="H27" s="38">
        <f t="shared" si="0"/>
        <v>0</v>
      </c>
      <c r="I27" s="38">
        <f t="shared" si="0"/>
        <v>0</v>
      </c>
      <c r="J27" s="38">
        <f t="shared" si="0"/>
        <v>0</v>
      </c>
      <c r="K27" s="38">
        <f t="shared" si="0"/>
        <v>0</v>
      </c>
      <c r="L27" s="38"/>
      <c r="M27" s="51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6" customHeight="1" x14ac:dyDescent="0.3">
      <c r="A28" s="34" t="s">
        <v>26</v>
      </c>
      <c r="B28" s="35"/>
      <c r="C28" s="61">
        <v>30</v>
      </c>
      <c r="D28" s="38">
        <f t="shared" si="0"/>
        <v>0.9</v>
      </c>
      <c r="E28" s="38">
        <f>ROUND((($C28*E13)/100),1)</f>
        <v>12.5</v>
      </c>
      <c r="F28" s="38">
        <f t="shared" si="0"/>
        <v>29.9</v>
      </c>
      <c r="G28" s="38">
        <f t="shared" si="0"/>
        <v>30</v>
      </c>
      <c r="H28" s="38">
        <f t="shared" si="0"/>
        <v>30</v>
      </c>
      <c r="I28" s="38">
        <f t="shared" si="0"/>
        <v>30</v>
      </c>
      <c r="J28" s="38">
        <f t="shared" si="0"/>
        <v>30</v>
      </c>
      <c r="K28" s="38">
        <f t="shared" si="0"/>
        <v>30</v>
      </c>
      <c r="L28" s="38"/>
      <c r="M28" s="51"/>
      <c r="N28">
        <v>0.125</v>
      </c>
      <c r="O28" s="63">
        <f>D35</f>
        <v>0.9</v>
      </c>
      <c r="P28">
        <v>2</v>
      </c>
      <c r="Q28">
        <v>4</v>
      </c>
      <c r="R28">
        <v>7</v>
      </c>
      <c r="S28">
        <v>2</v>
      </c>
    </row>
    <row r="29" spans="1:19" ht="16" customHeight="1" x14ac:dyDescent="0.3">
      <c r="A29" s="34" t="s">
        <v>45</v>
      </c>
      <c r="B29" s="35"/>
      <c r="C29" s="61">
        <v>10</v>
      </c>
      <c r="D29" s="38">
        <f>ROUND((($C29*D14)/100),1)</f>
        <v>0</v>
      </c>
      <c r="E29" s="38">
        <f t="shared" si="0"/>
        <v>0.1</v>
      </c>
      <c r="F29" s="38">
        <f>ROUND((($C29*F14)/100),1)</f>
        <v>0.4</v>
      </c>
      <c r="G29" s="38">
        <f t="shared" si="0"/>
        <v>9.9</v>
      </c>
      <c r="H29" s="38">
        <f t="shared" si="0"/>
        <v>10</v>
      </c>
      <c r="I29" s="38">
        <f t="shared" si="0"/>
        <v>10</v>
      </c>
      <c r="J29" s="38">
        <f t="shared" si="0"/>
        <v>10</v>
      </c>
      <c r="K29" s="38">
        <f t="shared" si="0"/>
        <v>10</v>
      </c>
      <c r="L29" s="38"/>
      <c r="M29" s="51"/>
      <c r="N29">
        <v>0.25</v>
      </c>
      <c r="O29" s="63">
        <f>E$35</f>
        <v>12.6</v>
      </c>
      <c r="P29">
        <v>5</v>
      </c>
      <c r="Q29">
        <v>11</v>
      </c>
      <c r="R29">
        <v>21</v>
      </c>
      <c r="S29">
        <v>5</v>
      </c>
    </row>
    <row r="30" spans="1:19" ht="16" customHeight="1" x14ac:dyDescent="0.3">
      <c r="A30" s="34" t="s">
        <v>46</v>
      </c>
      <c r="B30" s="35"/>
      <c r="C30" s="61">
        <v>10</v>
      </c>
      <c r="D30" s="38">
        <f t="shared" si="0"/>
        <v>0</v>
      </c>
      <c r="E30" s="38">
        <f t="shared" si="0"/>
        <v>0</v>
      </c>
      <c r="F30" s="38">
        <f t="shared" si="0"/>
        <v>0</v>
      </c>
      <c r="G30" s="38">
        <f t="shared" si="0"/>
        <v>0.3</v>
      </c>
      <c r="H30" s="38">
        <f t="shared" si="0"/>
        <v>9.3000000000000007</v>
      </c>
      <c r="I30" s="38">
        <f t="shared" si="0"/>
        <v>10</v>
      </c>
      <c r="J30" s="38">
        <f t="shared" si="0"/>
        <v>10</v>
      </c>
      <c r="K30" s="38">
        <f t="shared" si="0"/>
        <v>10</v>
      </c>
      <c r="L30" s="38"/>
      <c r="M30" s="51"/>
      <c r="N30">
        <v>0.5</v>
      </c>
      <c r="O30" s="63">
        <f>F$35</f>
        <v>30.3</v>
      </c>
      <c r="P30">
        <v>14</v>
      </c>
      <c r="Q30">
        <v>26</v>
      </c>
      <c r="R30">
        <v>39</v>
      </c>
      <c r="S30">
        <v>17</v>
      </c>
    </row>
    <row r="31" spans="1:19" ht="16" customHeight="1" x14ac:dyDescent="0.3">
      <c r="A31" s="34" t="s">
        <v>47</v>
      </c>
      <c r="B31" s="35"/>
      <c r="C31" s="61">
        <v>15</v>
      </c>
      <c r="D31" s="38">
        <f t="shared" si="0"/>
        <v>0</v>
      </c>
      <c r="E31" s="38">
        <f t="shared" si="0"/>
        <v>0</v>
      </c>
      <c r="F31" s="38">
        <f t="shared" si="0"/>
        <v>0</v>
      </c>
      <c r="G31" s="38">
        <f t="shared" si="0"/>
        <v>0</v>
      </c>
      <c r="H31" s="38">
        <f t="shared" si="0"/>
        <v>0.1</v>
      </c>
      <c r="I31" s="38">
        <f t="shared" si="0"/>
        <v>14.7</v>
      </c>
      <c r="J31" s="38">
        <f t="shared" si="0"/>
        <v>15</v>
      </c>
      <c r="K31" s="38">
        <f t="shared" si="0"/>
        <v>15</v>
      </c>
      <c r="L31" s="38"/>
      <c r="M31" s="51"/>
      <c r="N31">
        <v>1</v>
      </c>
      <c r="O31" s="63">
        <f>G$35</f>
        <v>40.200000000000003</v>
      </c>
      <c r="P31">
        <v>21</v>
      </c>
      <c r="Q31">
        <v>42</v>
      </c>
      <c r="R31">
        <v>57</v>
      </c>
      <c r="S31">
        <v>30</v>
      </c>
    </row>
    <row r="32" spans="1:19" ht="16.5" customHeight="1" x14ac:dyDescent="0.3">
      <c r="A32" s="34" t="s">
        <v>48</v>
      </c>
      <c r="B32" s="35"/>
      <c r="C32" s="61">
        <v>35</v>
      </c>
      <c r="D32" s="38">
        <f t="shared" si="0"/>
        <v>0</v>
      </c>
      <c r="E32" s="38">
        <f t="shared" si="0"/>
        <v>0</v>
      </c>
      <c r="F32" s="38">
        <f t="shared" si="0"/>
        <v>0</v>
      </c>
      <c r="G32" s="38">
        <f t="shared" si="0"/>
        <v>0</v>
      </c>
      <c r="H32" s="38">
        <f t="shared" si="0"/>
        <v>0</v>
      </c>
      <c r="I32" s="38">
        <f t="shared" si="0"/>
        <v>0.2</v>
      </c>
      <c r="J32" s="38">
        <f t="shared" si="0"/>
        <v>32.6</v>
      </c>
      <c r="K32" s="38">
        <f t="shared" si="0"/>
        <v>35</v>
      </c>
      <c r="L32" s="38"/>
      <c r="M32" s="51"/>
      <c r="N32">
        <v>2</v>
      </c>
      <c r="O32" s="63">
        <f>H$35</f>
        <v>49.4</v>
      </c>
      <c r="P32">
        <v>36</v>
      </c>
      <c r="Q32">
        <v>57</v>
      </c>
      <c r="R32">
        <v>71</v>
      </c>
      <c r="S32">
        <v>30</v>
      </c>
    </row>
    <row r="33" spans="1:19" ht="16" customHeight="1" x14ac:dyDescent="0.3">
      <c r="A33" s="34" t="s">
        <v>49</v>
      </c>
      <c r="B33" s="35"/>
      <c r="C33" s="61">
        <v>0</v>
      </c>
      <c r="D33" s="38">
        <f t="shared" si="0"/>
        <v>0</v>
      </c>
      <c r="E33" s="38">
        <f t="shared" si="0"/>
        <v>0</v>
      </c>
      <c r="F33" s="38">
        <f t="shared" si="0"/>
        <v>0</v>
      </c>
      <c r="G33" s="38">
        <f t="shared" si="0"/>
        <v>0</v>
      </c>
      <c r="H33" s="38">
        <f t="shared" si="0"/>
        <v>0</v>
      </c>
      <c r="I33" s="38">
        <f t="shared" si="0"/>
        <v>0</v>
      </c>
      <c r="J33" s="38">
        <f t="shared" si="0"/>
        <v>0</v>
      </c>
      <c r="K33" s="38">
        <f t="shared" si="0"/>
        <v>0</v>
      </c>
      <c r="L33" s="38"/>
      <c r="M33" s="51"/>
      <c r="N33">
        <v>4</v>
      </c>
      <c r="O33" s="63">
        <f>I$35</f>
        <v>64.900000000000006</v>
      </c>
      <c r="P33">
        <v>61</v>
      </c>
      <c r="Q33">
        <v>74</v>
      </c>
      <c r="R33">
        <v>85</v>
      </c>
      <c r="S33">
        <v>30</v>
      </c>
    </row>
    <row r="34" spans="1:19" ht="16" customHeight="1" thickBot="1" x14ac:dyDescent="0.35">
      <c r="A34" s="28"/>
      <c r="B34" s="29"/>
      <c r="C34" s="64"/>
      <c r="D34" s="65"/>
      <c r="E34" s="44"/>
      <c r="F34" s="44"/>
      <c r="G34" s="44"/>
      <c r="H34" s="44"/>
      <c r="I34" s="44"/>
      <c r="J34" s="44"/>
      <c r="K34" s="44"/>
      <c r="L34" s="44"/>
      <c r="M34" s="66"/>
      <c r="N34">
        <v>8</v>
      </c>
      <c r="O34" s="63">
        <f>J$35</f>
        <v>97.6</v>
      </c>
      <c r="P34">
        <v>100</v>
      </c>
      <c r="Q34">
        <v>100</v>
      </c>
      <c r="R34">
        <v>100</v>
      </c>
      <c r="S34">
        <v>100</v>
      </c>
    </row>
    <row r="35" spans="1:19" ht="16" customHeight="1" x14ac:dyDescent="0.3">
      <c r="A35" s="67" t="s">
        <v>39</v>
      </c>
      <c r="B35" s="68"/>
      <c r="C35" s="61">
        <f>SUM(C27:C33)</f>
        <v>100</v>
      </c>
      <c r="D35" s="38">
        <f>ROUND((SUM(D27:D33)),1)</f>
        <v>0.9</v>
      </c>
      <c r="E35" s="38">
        <f t="shared" ref="E35:K35" si="1">ROUND((SUM(E27:E33)),1)</f>
        <v>12.6</v>
      </c>
      <c r="F35" s="38">
        <f t="shared" si="1"/>
        <v>30.3</v>
      </c>
      <c r="G35" s="38">
        <f t="shared" si="1"/>
        <v>40.200000000000003</v>
      </c>
      <c r="H35" s="38">
        <f t="shared" si="1"/>
        <v>49.4</v>
      </c>
      <c r="I35" s="38">
        <f t="shared" si="1"/>
        <v>64.900000000000006</v>
      </c>
      <c r="J35" s="38">
        <f t="shared" si="1"/>
        <v>97.6</v>
      </c>
      <c r="K35" s="38">
        <f t="shared" si="1"/>
        <v>100</v>
      </c>
      <c r="L35" s="38"/>
      <c r="M35" s="51">
        <f>(700-SUM(E35:K35))/100</f>
        <v>3.05</v>
      </c>
      <c r="N35">
        <v>16</v>
      </c>
      <c r="O35" s="63">
        <f>K$35</f>
        <v>100</v>
      </c>
      <c r="P35">
        <v>100</v>
      </c>
      <c r="Q35">
        <v>100</v>
      </c>
      <c r="R35">
        <v>100</v>
      </c>
      <c r="S35">
        <v>100</v>
      </c>
    </row>
    <row r="36" spans="1:19" ht="16" customHeight="1" thickBot="1" x14ac:dyDescent="0.35">
      <c r="A36" s="69" t="s">
        <v>50</v>
      </c>
      <c r="B36" s="70"/>
      <c r="C36" s="71"/>
      <c r="D36" s="44">
        <f t="shared" ref="D36:K36" si="2">D35-D23</f>
        <v>-1.6</v>
      </c>
      <c r="E36" s="44">
        <f t="shared" si="2"/>
        <v>3.0999999999999996</v>
      </c>
      <c r="F36" s="44">
        <f t="shared" si="2"/>
        <v>8.3000000000000007</v>
      </c>
      <c r="G36" s="44">
        <f t="shared" si="2"/>
        <v>5.7000000000000028</v>
      </c>
      <c r="H36" s="44">
        <f t="shared" si="2"/>
        <v>6.6999999999999957</v>
      </c>
      <c r="I36" s="44">
        <f t="shared" si="2"/>
        <v>16.500000000000007</v>
      </c>
      <c r="J36" s="44">
        <f t="shared" si="2"/>
        <v>32.699999999999989</v>
      </c>
      <c r="K36" s="44">
        <f t="shared" si="2"/>
        <v>9.9999999999994316E-2</v>
      </c>
      <c r="L36" s="44"/>
      <c r="M36" s="66">
        <f>M35-M23</f>
        <v>-0.73100000000000032</v>
      </c>
    </row>
    <row r="37" spans="1:19" ht="16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O37" t="s">
        <v>51</v>
      </c>
    </row>
    <row r="39" spans="1:19" x14ac:dyDescent="0.3">
      <c r="E39" s="72"/>
    </row>
    <row r="44" spans="1:19" x14ac:dyDescent="0.3">
      <c r="O44" s="73"/>
    </row>
    <row r="57" spans="3:13" x14ac:dyDescent="0.3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3">
      <c r="C58" t="s">
        <v>52</v>
      </c>
      <c r="F58">
        <f>POWER((F57/16),0.5)*100</f>
        <v>8.8388347648318444</v>
      </c>
      <c r="G58">
        <f t="shared" ref="G58:M58" si="3">POWER((G57/16),0.5)*100</f>
        <v>12.5</v>
      </c>
      <c r="H58">
        <f t="shared" si="3"/>
        <v>17.677669529663689</v>
      </c>
      <c r="I58">
        <f t="shared" si="3"/>
        <v>25</v>
      </c>
      <c r="J58">
        <f t="shared" si="3"/>
        <v>35.355339059327378</v>
      </c>
      <c r="K58">
        <f t="shared" si="3"/>
        <v>50</v>
      </c>
      <c r="L58">
        <f t="shared" si="3"/>
        <v>70.710678118654755</v>
      </c>
      <c r="M58">
        <f t="shared" si="3"/>
        <v>100</v>
      </c>
    </row>
    <row r="59" spans="3:13" x14ac:dyDescent="0.3">
      <c r="C59" t="s">
        <v>53</v>
      </c>
      <c r="F59">
        <f t="shared" ref="F59:M59" si="4">(F57/16+POWER(F57/16,0.5))*50</f>
        <v>4.8100423824159222</v>
      </c>
      <c r="G59">
        <f t="shared" si="4"/>
        <v>7.03125</v>
      </c>
      <c r="H59">
        <f t="shared" si="4"/>
        <v>10.401334764831844</v>
      </c>
      <c r="I59">
        <f t="shared" si="4"/>
        <v>15.625</v>
      </c>
      <c r="J59">
        <f t="shared" si="4"/>
        <v>23.927669529663689</v>
      </c>
      <c r="K59">
        <f t="shared" si="4"/>
        <v>37.5</v>
      </c>
      <c r="L59">
        <f t="shared" si="4"/>
        <v>60.35533905932737</v>
      </c>
      <c r="M59">
        <f t="shared" si="4"/>
        <v>100</v>
      </c>
    </row>
    <row r="61" spans="3:13" x14ac:dyDescent="0.3">
      <c r="C61" t="s">
        <v>54</v>
      </c>
      <c r="F61">
        <f>(F58+F59)/2</f>
        <v>6.8244385736238833</v>
      </c>
      <c r="G61">
        <f t="shared" ref="G61:M61" si="5">(G58+G59)/2</f>
        <v>9.765625</v>
      </c>
      <c r="H61">
        <f t="shared" si="5"/>
        <v>14.039502147247767</v>
      </c>
      <c r="I61">
        <f t="shared" si="5"/>
        <v>20.3125</v>
      </c>
      <c r="J61">
        <f t="shared" si="5"/>
        <v>29.641504294495533</v>
      </c>
      <c r="K61">
        <f t="shared" si="5"/>
        <v>43.75</v>
      </c>
      <c r="L61">
        <f t="shared" si="5"/>
        <v>65.533008588991066</v>
      </c>
      <c r="M61">
        <f t="shared" si="5"/>
        <v>100</v>
      </c>
    </row>
    <row r="62" spans="3:13" x14ac:dyDescent="0.3">
      <c r="C62" t="s">
        <v>55</v>
      </c>
      <c r="F62">
        <f t="shared" ref="F62:M62" si="6">(2*F58+F59)/3</f>
        <v>7.4959039706932034</v>
      </c>
      <c r="G62">
        <f t="shared" si="6"/>
        <v>10.677083333333334</v>
      </c>
      <c r="H62">
        <f t="shared" si="6"/>
        <v>15.252224608053075</v>
      </c>
      <c r="I62">
        <f t="shared" si="6"/>
        <v>21.875</v>
      </c>
      <c r="J62">
        <f t="shared" si="6"/>
        <v>31.546115882772813</v>
      </c>
      <c r="K62">
        <f t="shared" si="6"/>
        <v>45.833333333333336</v>
      </c>
      <c r="L62">
        <f t="shared" si="6"/>
        <v>67.258898432212291</v>
      </c>
      <c r="M62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990B-AE35-4A10-B794-165A0A6CAB13}">
  <dimension ref="A1:M51"/>
  <sheetViews>
    <sheetView topLeftCell="A19" workbookViewId="0">
      <selection activeCell="E31" sqref="E31:L36"/>
    </sheetView>
  </sheetViews>
  <sheetFormatPr baseColWidth="10" defaultRowHeight="13" x14ac:dyDescent="0.3"/>
  <cols>
    <col min="1" max="1" width="9.1796875" customWidth="1"/>
    <col min="2" max="2" width="10" customWidth="1"/>
    <col min="3" max="6" width="6.7265625" customWidth="1"/>
    <col min="7" max="7" width="7.26953125" customWidth="1"/>
    <col min="8" max="10" width="6.7265625" customWidth="1"/>
    <col min="11" max="11" width="8" customWidth="1"/>
    <col min="12" max="12" width="8.7265625" customWidth="1"/>
  </cols>
  <sheetData>
    <row r="1" spans="1:11" ht="17.149999999999999" customHeight="1" x14ac:dyDescent="0.3">
      <c r="A1" s="74" t="s">
        <v>0</v>
      </c>
      <c r="B1" s="75" t="s">
        <v>56</v>
      </c>
      <c r="C1" s="75"/>
      <c r="D1" s="75"/>
      <c r="E1" s="75"/>
      <c r="F1" s="75"/>
      <c r="G1" s="75"/>
      <c r="H1" s="75"/>
      <c r="I1" s="76" t="s">
        <v>2</v>
      </c>
      <c r="J1" s="77" t="s">
        <v>57</v>
      </c>
      <c r="K1" s="78"/>
    </row>
    <row r="2" spans="1:11" ht="17.149999999999999" customHeight="1" thickBot="1" x14ac:dyDescent="0.35">
      <c r="A2" s="79" t="e">
        <f>#REF!</f>
        <v>#REF!</v>
      </c>
      <c r="B2" s="80"/>
      <c r="C2" s="80"/>
      <c r="D2" s="80"/>
      <c r="E2" s="80"/>
      <c r="F2" s="80"/>
      <c r="G2" s="80"/>
      <c r="H2" s="80"/>
      <c r="I2" s="81" t="s">
        <v>58</v>
      </c>
      <c r="J2" s="82"/>
      <c r="K2" s="83" t="s">
        <v>59</v>
      </c>
    </row>
    <row r="3" spans="1:11" ht="8.15" customHeight="1" x14ac:dyDescent="0.3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ht="18" customHeight="1" x14ac:dyDescent="0.3">
      <c r="A4" s="85" t="s">
        <v>7</v>
      </c>
      <c r="B4" s="85"/>
      <c r="C4" s="85"/>
      <c r="D4" s="86" t="s">
        <v>60</v>
      </c>
      <c r="E4" s="86"/>
      <c r="F4" s="86"/>
      <c r="G4" s="86"/>
      <c r="H4" s="86"/>
      <c r="I4" s="86"/>
      <c r="J4" s="86"/>
      <c r="K4" s="86"/>
    </row>
    <row r="5" spans="1:11" ht="18" customHeight="1" x14ac:dyDescent="0.3">
      <c r="A5" s="85" t="s">
        <v>10</v>
      </c>
      <c r="B5" s="85"/>
      <c r="C5" s="85"/>
      <c r="D5" s="86" t="s">
        <v>11</v>
      </c>
      <c r="E5" s="86"/>
      <c r="F5" s="86"/>
      <c r="G5" s="86"/>
      <c r="H5" s="86"/>
      <c r="I5" s="86"/>
      <c r="J5" s="86"/>
      <c r="K5" s="86"/>
    </row>
    <row r="6" spans="1:11" ht="18" customHeight="1" x14ac:dyDescent="0.3">
      <c r="A6" s="85" t="s">
        <v>61</v>
      </c>
      <c r="B6" s="85"/>
      <c r="C6" s="85"/>
      <c r="D6" s="86" t="s">
        <v>62</v>
      </c>
      <c r="E6" s="86"/>
      <c r="F6" s="86"/>
      <c r="G6" s="86"/>
      <c r="H6" s="86"/>
      <c r="I6" s="86"/>
      <c r="J6" s="86"/>
      <c r="K6" s="86"/>
    </row>
    <row r="7" spans="1:11" ht="3.75" customHeight="1" x14ac:dyDescent="0.3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</row>
    <row r="8" spans="1:11" ht="18" customHeight="1" x14ac:dyDescent="0.3">
      <c r="A8" s="85" t="s">
        <v>63</v>
      </c>
      <c r="B8" s="85"/>
      <c r="C8" s="85"/>
      <c r="D8" s="85"/>
      <c r="E8" s="86"/>
      <c r="F8" s="86"/>
      <c r="G8" s="86"/>
      <c r="H8" s="86"/>
      <c r="I8" s="86"/>
      <c r="J8" s="86"/>
      <c r="K8" s="86"/>
    </row>
    <row r="9" spans="1:11" ht="18" customHeight="1" x14ac:dyDescent="0.3">
      <c r="A9" s="85" t="s">
        <v>64</v>
      </c>
      <c r="B9" s="85"/>
      <c r="C9" s="87">
        <v>0.3</v>
      </c>
      <c r="D9" s="86"/>
      <c r="E9" s="86"/>
      <c r="F9" s="88" t="s">
        <v>65</v>
      </c>
      <c r="G9" s="88"/>
      <c r="H9" s="86"/>
      <c r="I9" s="86"/>
      <c r="J9" s="86"/>
      <c r="K9" s="86"/>
    </row>
    <row r="10" spans="1:11" ht="18" customHeight="1" x14ac:dyDescent="0.3">
      <c r="A10" s="85" t="s">
        <v>66</v>
      </c>
      <c r="B10" s="85"/>
      <c r="C10" s="89"/>
      <c r="D10" s="89"/>
      <c r="E10" s="85"/>
      <c r="F10" s="88" t="s">
        <v>67</v>
      </c>
      <c r="G10" s="88"/>
      <c r="H10" s="88"/>
      <c r="I10" s="87">
        <v>3.05</v>
      </c>
      <c r="J10" s="86"/>
      <c r="K10" s="86"/>
    </row>
    <row r="11" spans="1:11" ht="5.25" customHeight="1" x14ac:dyDescent="0.3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</row>
    <row r="12" spans="1:11" ht="17.149999999999999" customHeight="1" x14ac:dyDescent="0.3">
      <c r="A12" s="90" t="s">
        <v>68</v>
      </c>
      <c r="B12" s="90"/>
      <c r="C12" s="90"/>
      <c r="D12" s="84"/>
      <c r="E12" s="84"/>
      <c r="F12" s="84"/>
      <c r="G12" s="84"/>
      <c r="H12" s="84"/>
      <c r="I12" s="84"/>
      <c r="J12" s="84"/>
      <c r="K12" s="84"/>
    </row>
    <row r="13" spans="1:11" ht="3" customHeight="1" thickBot="1" x14ac:dyDescent="0.35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</row>
    <row r="14" spans="1:11" ht="20.149999999999999" customHeight="1" x14ac:dyDescent="0.3">
      <c r="A14" s="76" t="s">
        <v>69</v>
      </c>
      <c r="B14" s="91"/>
      <c r="C14" s="92">
        <v>0.25</v>
      </c>
      <c r="D14" s="93">
        <v>0.5</v>
      </c>
      <c r="E14" s="93">
        <v>1</v>
      </c>
      <c r="F14" s="93">
        <v>2</v>
      </c>
      <c r="G14" s="93">
        <v>4</v>
      </c>
      <c r="H14" s="93">
        <v>8</v>
      </c>
      <c r="I14" s="93">
        <v>16</v>
      </c>
      <c r="J14" s="93">
        <v>31.5</v>
      </c>
      <c r="K14" s="94" t="s">
        <v>70</v>
      </c>
    </row>
    <row r="15" spans="1:11" ht="20.149999999999999" customHeight="1" thickBot="1" x14ac:dyDescent="0.35">
      <c r="A15" s="81" t="s">
        <v>71</v>
      </c>
      <c r="B15" s="82"/>
      <c r="C15" s="95">
        <f>[2]Sieblinie!E35</f>
        <v>12.6</v>
      </c>
      <c r="D15" s="96">
        <f>[2]Sieblinie!F35</f>
        <v>30.3</v>
      </c>
      <c r="E15" s="96">
        <f>[2]Sieblinie!G35</f>
        <v>40.200000000000003</v>
      </c>
      <c r="F15" s="96">
        <f>[2]Sieblinie!H35</f>
        <v>49.4</v>
      </c>
      <c r="G15" s="96">
        <f>[2]Sieblinie!I35</f>
        <v>64.900000000000006</v>
      </c>
      <c r="H15" s="96">
        <f>[2]Sieblinie!J35</f>
        <v>97.6</v>
      </c>
      <c r="I15" s="96">
        <f>[2]Sieblinie!K35</f>
        <v>100</v>
      </c>
      <c r="J15" s="96">
        <v>100</v>
      </c>
      <c r="K15" s="97">
        <f>(700-SUM(C15:I15))/100</f>
        <v>3.05</v>
      </c>
    </row>
    <row r="16" spans="1:11" ht="5.25" customHeight="1" x14ac:dyDescent="0.3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</row>
    <row r="17" spans="1:13" ht="17.149999999999999" customHeight="1" x14ac:dyDescent="0.3">
      <c r="A17" s="90" t="s">
        <v>72</v>
      </c>
      <c r="B17" s="90"/>
      <c r="C17" s="90"/>
      <c r="D17" s="90"/>
      <c r="E17" s="90"/>
      <c r="F17" s="84"/>
      <c r="G17" s="84"/>
      <c r="H17" s="84"/>
      <c r="I17" s="84"/>
      <c r="J17" s="84"/>
      <c r="K17" s="84"/>
    </row>
    <row r="18" spans="1:13" ht="3" customHeight="1" thickBot="1" x14ac:dyDescent="0.3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</row>
    <row r="19" spans="1:13" ht="17.149999999999999" customHeight="1" x14ac:dyDescent="0.3">
      <c r="A19" s="98" t="s">
        <v>73</v>
      </c>
      <c r="B19" s="99"/>
      <c r="C19" s="100" t="s">
        <v>74</v>
      </c>
      <c r="D19" s="99"/>
      <c r="E19" s="100" t="s">
        <v>75</v>
      </c>
      <c r="F19" s="99"/>
      <c r="G19" s="100" t="s">
        <v>76</v>
      </c>
      <c r="H19" s="99"/>
      <c r="I19" s="98" t="s">
        <v>77</v>
      </c>
      <c r="J19" s="100"/>
      <c r="K19" s="99"/>
    </row>
    <row r="20" spans="1:13" ht="17.149999999999999" customHeight="1" x14ac:dyDescent="0.3">
      <c r="A20" s="101"/>
      <c r="B20" s="102"/>
      <c r="C20" s="103"/>
      <c r="D20" s="104"/>
      <c r="E20" s="103" t="s">
        <v>78</v>
      </c>
      <c r="F20" s="104"/>
      <c r="G20" s="105"/>
      <c r="H20" s="106"/>
      <c r="I20" s="107"/>
      <c r="J20" s="108"/>
      <c r="K20" s="109"/>
    </row>
    <row r="21" spans="1:13" ht="20.149999999999999" customHeight="1" thickBot="1" x14ac:dyDescent="0.35">
      <c r="A21" s="81"/>
      <c r="B21" s="110"/>
      <c r="C21" s="111" t="s">
        <v>79</v>
      </c>
      <c r="D21" s="112"/>
      <c r="E21" s="111" t="s">
        <v>80</v>
      </c>
      <c r="F21" s="112"/>
      <c r="G21" s="111" t="s">
        <v>81</v>
      </c>
      <c r="H21" s="112"/>
      <c r="I21" s="113" t="s">
        <v>82</v>
      </c>
      <c r="J21" s="111"/>
      <c r="K21" s="112"/>
    </row>
    <row r="22" spans="1:13" ht="20.149999999999999" customHeight="1" x14ac:dyDescent="0.3">
      <c r="A22" s="114" t="s">
        <v>83</v>
      </c>
      <c r="B22" s="115"/>
      <c r="C22" s="116">
        <v>580</v>
      </c>
      <c r="D22" s="104"/>
      <c r="E22" s="117">
        <v>3.1230000000000002</v>
      </c>
      <c r="F22" s="118"/>
      <c r="G22" s="119">
        <f>ROUND((C22/E22),1)</f>
        <v>185.7</v>
      </c>
      <c r="H22" s="120"/>
      <c r="I22" s="121" t="s">
        <v>84</v>
      </c>
      <c r="J22" s="122"/>
      <c r="K22" s="123"/>
    </row>
    <row r="23" spans="1:13" ht="20.149999999999999" customHeight="1" x14ac:dyDescent="0.3">
      <c r="A23" s="101" t="s">
        <v>85</v>
      </c>
      <c r="B23" s="102"/>
      <c r="C23" s="124">
        <v>173</v>
      </c>
      <c r="D23" s="125"/>
      <c r="E23" s="117">
        <v>1</v>
      </c>
      <c r="F23" s="118"/>
      <c r="G23" s="119">
        <f>C23</f>
        <v>173</v>
      </c>
      <c r="H23" s="120"/>
      <c r="I23" s="126"/>
      <c r="J23" s="127"/>
      <c r="K23" s="128"/>
    </row>
    <row r="24" spans="1:13" ht="20.149999999999999" customHeight="1" x14ac:dyDescent="0.3">
      <c r="A24" s="101" t="s">
        <v>86</v>
      </c>
      <c r="B24" s="102"/>
      <c r="C24" s="129" t="s">
        <v>82</v>
      </c>
      <c r="D24" s="104"/>
      <c r="E24" s="130" t="s">
        <v>82</v>
      </c>
      <c r="F24" s="118"/>
      <c r="G24" s="131" t="s">
        <v>82</v>
      </c>
      <c r="H24" s="120"/>
      <c r="I24" s="126"/>
      <c r="J24" s="127"/>
      <c r="K24" s="128"/>
    </row>
    <row r="25" spans="1:13" ht="20.149999999999999" customHeight="1" x14ac:dyDescent="0.3">
      <c r="A25" s="101" t="s">
        <v>87</v>
      </c>
      <c r="B25" s="102"/>
      <c r="C25" s="129" t="s">
        <v>82</v>
      </c>
      <c r="D25" s="104"/>
      <c r="E25" s="130" t="s">
        <v>82</v>
      </c>
      <c r="F25" s="118"/>
      <c r="G25" s="119">
        <v>20</v>
      </c>
      <c r="H25" s="120"/>
      <c r="I25" s="126"/>
      <c r="J25" s="127"/>
      <c r="K25" s="128"/>
    </row>
    <row r="26" spans="1:13" ht="20.149999999999999" customHeight="1" x14ac:dyDescent="0.3">
      <c r="A26" s="101" t="s">
        <v>88</v>
      </c>
      <c r="B26" s="102" t="s">
        <v>89</v>
      </c>
      <c r="C26" s="129">
        <v>63.8</v>
      </c>
      <c r="D26" s="104"/>
      <c r="E26" s="130">
        <v>2.39</v>
      </c>
      <c r="F26" s="118"/>
      <c r="G26" s="119">
        <f>ROUND((C26/E26),1)</f>
        <v>26.7</v>
      </c>
      <c r="H26" s="120"/>
      <c r="I26" s="126"/>
      <c r="J26" s="127"/>
      <c r="K26" s="128"/>
    </row>
    <row r="27" spans="1:13" ht="20.149999999999999" customHeight="1" x14ac:dyDescent="0.3">
      <c r="A27" s="101" t="s">
        <v>90</v>
      </c>
      <c r="B27" s="102"/>
      <c r="C27" s="129">
        <v>5.61</v>
      </c>
      <c r="D27" s="104"/>
      <c r="E27" s="130">
        <v>1.05</v>
      </c>
      <c r="F27" s="118"/>
      <c r="G27" s="119">
        <f>ROUND((C27/E27),1)</f>
        <v>5.3</v>
      </c>
      <c r="H27" s="120"/>
      <c r="I27" s="126" t="s">
        <v>91</v>
      </c>
      <c r="J27" s="127"/>
      <c r="K27" s="128"/>
    </row>
    <row r="28" spans="1:13" ht="20.149999999999999" customHeight="1" x14ac:dyDescent="0.3">
      <c r="A28" s="132" t="s">
        <v>92</v>
      </c>
      <c r="B28" s="133"/>
      <c r="C28" s="116">
        <f>SUM(C22:C27)</f>
        <v>822.41</v>
      </c>
      <c r="D28" s="104"/>
      <c r="E28" s="130" t="s">
        <v>82</v>
      </c>
      <c r="F28" s="118"/>
      <c r="G28" s="131">
        <f>SUM(G22:G27)</f>
        <v>410.7</v>
      </c>
      <c r="H28" s="120"/>
      <c r="I28" s="126"/>
      <c r="J28" s="127"/>
      <c r="K28" s="128"/>
    </row>
    <row r="29" spans="1:13" ht="20.149999999999999" customHeight="1" x14ac:dyDescent="0.3">
      <c r="A29" s="134" t="s">
        <v>93</v>
      </c>
      <c r="B29" s="135"/>
      <c r="C29" s="136">
        <f>SUM(C30:C38)</f>
        <v>1549</v>
      </c>
      <c r="D29" s="137"/>
      <c r="E29" s="138" t="s">
        <v>82</v>
      </c>
      <c r="F29" s="139"/>
      <c r="G29" s="140">
        <f>1000-G28</f>
        <v>589.29999999999995</v>
      </c>
      <c r="H29" s="141" t="s">
        <v>94</v>
      </c>
      <c r="I29" s="126"/>
      <c r="J29" s="127"/>
      <c r="K29" s="128"/>
    </row>
    <row r="30" spans="1:13" ht="20.149999999999999" customHeight="1" x14ac:dyDescent="0.3">
      <c r="A30" s="142" t="s">
        <v>24</v>
      </c>
      <c r="B30" s="137"/>
      <c r="C30" s="136">
        <f t="shared" ref="C30:C36" si="0">ROUND((G30*E30),0)</f>
        <v>0</v>
      </c>
      <c r="D30" s="137"/>
      <c r="E30" s="143">
        <v>2.65</v>
      </c>
      <c r="F30" s="139"/>
      <c r="G30" s="144">
        <f t="shared" ref="G30:G36" si="1">ROUND(((G$29*H30)/100),2)</f>
        <v>0</v>
      </c>
      <c r="H30" s="145">
        <f>'Sieblinie MVI'!C27</f>
        <v>0</v>
      </c>
      <c r="I30" s="146" t="str">
        <f>'Sieblinie MVI'!M12</f>
        <v>Quarz</v>
      </c>
      <c r="J30" s="147"/>
      <c r="K30" s="148"/>
    </row>
    <row r="31" spans="1:13" ht="20.149999999999999" customHeight="1" x14ac:dyDescent="0.3">
      <c r="A31" s="142" t="s">
        <v>95</v>
      </c>
      <c r="B31" s="137"/>
      <c r="C31" s="136">
        <f t="shared" si="0"/>
        <v>465</v>
      </c>
      <c r="D31" s="137"/>
      <c r="E31" s="143">
        <v>2.63</v>
      </c>
      <c r="F31" s="139"/>
      <c r="G31" s="144">
        <f t="shared" si="1"/>
        <v>176.79</v>
      </c>
      <c r="H31" s="145">
        <f>'Sieblinie MVI'!C28</f>
        <v>30</v>
      </c>
      <c r="I31" s="146" t="str">
        <f>'Sieblinie MVI'!M13</f>
        <v xml:space="preserve">Okrilla  </v>
      </c>
      <c r="J31" s="147"/>
      <c r="K31" s="148"/>
    </row>
    <row r="32" spans="1:13" ht="20.149999999999999" customHeight="1" x14ac:dyDescent="0.3">
      <c r="A32" s="142" t="s">
        <v>96</v>
      </c>
      <c r="B32" s="137"/>
      <c r="C32" s="136">
        <f t="shared" si="0"/>
        <v>155</v>
      </c>
      <c r="D32" s="137"/>
      <c r="E32" s="143">
        <v>2.63</v>
      </c>
      <c r="F32" s="139"/>
      <c r="G32" s="144">
        <f t="shared" si="1"/>
        <v>58.93</v>
      </c>
      <c r="H32" s="145">
        <f>'Sieblinie MVI'!C29</f>
        <v>10</v>
      </c>
      <c r="I32" s="146" t="str">
        <f>'Sieblinie MVI'!M14</f>
        <v xml:space="preserve">Okrilla  </v>
      </c>
      <c r="J32" s="147"/>
      <c r="K32" s="148"/>
      <c r="M32" s="149"/>
    </row>
    <row r="33" spans="1:13" ht="20.149999999999999" customHeight="1" x14ac:dyDescent="0.3">
      <c r="A33" s="142" t="s">
        <v>97</v>
      </c>
      <c r="B33" s="137"/>
      <c r="C33" s="136">
        <f t="shared" si="0"/>
        <v>155</v>
      </c>
      <c r="D33" s="137"/>
      <c r="E33" s="143">
        <v>2.63</v>
      </c>
      <c r="F33" s="139"/>
      <c r="G33" s="144">
        <f t="shared" si="1"/>
        <v>58.93</v>
      </c>
      <c r="H33" s="145">
        <f>'Sieblinie MVI'!C30</f>
        <v>10</v>
      </c>
      <c r="I33" s="146" t="str">
        <f>'Sieblinie MVI'!M15</f>
        <v xml:space="preserve">Okrilla  </v>
      </c>
      <c r="J33" s="147"/>
      <c r="K33" s="148"/>
      <c r="M33" s="73"/>
    </row>
    <row r="34" spans="1:13" ht="20.149999999999999" customHeight="1" x14ac:dyDescent="0.3">
      <c r="A34" s="142" t="s">
        <v>98</v>
      </c>
      <c r="B34" s="137"/>
      <c r="C34" s="136">
        <f t="shared" si="0"/>
        <v>232</v>
      </c>
      <c r="D34" s="137"/>
      <c r="E34" s="143">
        <v>2.63</v>
      </c>
      <c r="F34" s="139"/>
      <c r="G34" s="144">
        <f t="shared" si="1"/>
        <v>88.4</v>
      </c>
      <c r="H34" s="145">
        <f>'Sieblinie MVI'!C31</f>
        <v>15</v>
      </c>
      <c r="I34" s="146" t="str">
        <f>'Sieblinie MVI'!M16</f>
        <v xml:space="preserve">Okrilla  </v>
      </c>
      <c r="J34" s="147"/>
      <c r="K34" s="148"/>
    </row>
    <row r="35" spans="1:13" ht="20.149999999999999" customHeight="1" x14ac:dyDescent="0.3">
      <c r="A35" s="142" t="s">
        <v>99</v>
      </c>
      <c r="B35" s="137"/>
      <c r="C35" s="136">
        <f t="shared" si="0"/>
        <v>542</v>
      </c>
      <c r="D35" s="137"/>
      <c r="E35" s="143">
        <v>2.63</v>
      </c>
      <c r="F35" s="139"/>
      <c r="G35" s="144">
        <f t="shared" si="1"/>
        <v>206.26</v>
      </c>
      <c r="H35" s="145">
        <f>'Sieblinie MVI'!C32</f>
        <v>35</v>
      </c>
      <c r="I35" s="146" t="str">
        <f>'Sieblinie MVI'!M17</f>
        <v xml:space="preserve">Okrilla  </v>
      </c>
      <c r="J35" s="147"/>
      <c r="K35" s="148"/>
    </row>
    <row r="36" spans="1:13" ht="20.149999999999999" customHeight="1" x14ac:dyDescent="0.3">
      <c r="A36" s="142" t="s">
        <v>100</v>
      </c>
      <c r="B36" s="137"/>
      <c r="C36" s="136">
        <f t="shared" si="0"/>
        <v>0</v>
      </c>
      <c r="D36" s="137"/>
      <c r="E36" s="143">
        <v>2.63</v>
      </c>
      <c r="F36" s="139"/>
      <c r="G36" s="144">
        <f t="shared" si="1"/>
        <v>0</v>
      </c>
      <c r="H36" s="145">
        <f>'Sieblinie MVI'!C33</f>
        <v>0</v>
      </c>
      <c r="I36" s="146" t="str">
        <f>'Sieblinie MVI'!M18</f>
        <v xml:space="preserve">Okrilla  </v>
      </c>
      <c r="J36" s="147"/>
      <c r="K36" s="148"/>
    </row>
    <row r="37" spans="1:13" ht="20.149999999999999" customHeight="1" x14ac:dyDescent="0.3">
      <c r="A37" s="142"/>
      <c r="B37" s="137"/>
      <c r="C37" s="150" t="s">
        <v>82</v>
      </c>
      <c r="D37" s="137"/>
      <c r="E37" s="138" t="s">
        <v>82</v>
      </c>
      <c r="F37" s="139"/>
      <c r="G37" s="151" t="s">
        <v>101</v>
      </c>
      <c r="H37" s="152" t="s">
        <v>101</v>
      </c>
      <c r="I37" s="126"/>
      <c r="J37" s="127"/>
      <c r="K37" s="128"/>
      <c r="M37" s="149"/>
    </row>
    <row r="38" spans="1:13" ht="20.149999999999999" customHeight="1" x14ac:dyDescent="0.3">
      <c r="A38" s="116"/>
      <c r="B38" s="104"/>
      <c r="C38" s="153" t="s">
        <v>82</v>
      </c>
      <c r="D38" s="104"/>
      <c r="E38" s="130" t="s">
        <v>82</v>
      </c>
      <c r="F38" s="118"/>
      <c r="G38" s="154" t="s">
        <v>101</v>
      </c>
      <c r="H38" s="155" t="s">
        <v>101</v>
      </c>
      <c r="I38" s="126"/>
      <c r="J38" s="127"/>
      <c r="K38" s="128"/>
      <c r="M38" s="73"/>
    </row>
    <row r="39" spans="1:13" ht="20.149999999999999" customHeight="1" x14ac:dyDescent="0.3">
      <c r="A39" s="101" t="s">
        <v>102</v>
      </c>
      <c r="B39" s="102"/>
      <c r="C39" s="124">
        <f>SUM(C22:C27)+C29</f>
        <v>2371.41</v>
      </c>
      <c r="D39" s="104"/>
      <c r="E39" s="130" t="s">
        <v>82</v>
      </c>
      <c r="F39" s="118"/>
      <c r="G39" s="124">
        <f>SUM(G22,G23,G25,G26,G27,G29)</f>
        <v>1000</v>
      </c>
      <c r="H39" s="125"/>
      <c r="I39" s="126"/>
      <c r="J39" s="127"/>
      <c r="K39" s="128"/>
    </row>
    <row r="40" spans="1:13" ht="20.149999999999999" customHeight="1" x14ac:dyDescent="0.3">
      <c r="A40" s="101" t="s">
        <v>103</v>
      </c>
      <c r="B40" s="102"/>
      <c r="C40" s="129" t="s">
        <v>82</v>
      </c>
      <c r="D40" s="104"/>
      <c r="E40" s="129" t="s">
        <v>82</v>
      </c>
      <c r="F40" s="118"/>
      <c r="G40" s="129" t="s">
        <v>82</v>
      </c>
      <c r="H40" s="104"/>
      <c r="I40" s="126"/>
      <c r="J40" s="127"/>
      <c r="K40" s="128"/>
    </row>
    <row r="41" spans="1:13" ht="20.149999999999999" customHeight="1" thickBot="1" x14ac:dyDescent="0.35">
      <c r="A41" s="81" t="s">
        <v>104</v>
      </c>
      <c r="B41" s="110"/>
      <c r="C41" s="113" t="s">
        <v>82</v>
      </c>
      <c r="D41" s="112"/>
      <c r="E41" s="113" t="s">
        <v>82</v>
      </c>
      <c r="F41" s="156"/>
      <c r="G41" s="113" t="s">
        <v>82</v>
      </c>
      <c r="H41" s="112"/>
      <c r="I41" s="157"/>
      <c r="J41" s="158"/>
      <c r="K41" s="159"/>
    </row>
    <row r="42" spans="1:13" ht="6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3" ht="6" customHeight="1" x14ac:dyDescent="0.3"/>
    <row r="44" spans="1:13" ht="15" customHeight="1" x14ac:dyDescent="0.3">
      <c r="C44" s="160"/>
      <c r="E44" s="161"/>
      <c r="H44" s="160"/>
      <c r="I44" s="160"/>
      <c r="J44" s="73"/>
      <c r="L44" s="161"/>
    </row>
    <row r="45" spans="1:13" ht="15" customHeight="1" x14ac:dyDescent="0.3">
      <c r="E45" s="161"/>
      <c r="F45" s="160"/>
      <c r="G45" s="160"/>
      <c r="I45" s="63"/>
      <c r="J45" s="161"/>
    </row>
    <row r="46" spans="1:13" ht="15" customHeight="1" x14ac:dyDescent="0.3">
      <c r="C46" s="160"/>
      <c r="E46" s="161"/>
      <c r="J46" s="73"/>
      <c r="L46" s="160"/>
    </row>
    <row r="47" spans="1:13" ht="15" customHeight="1" x14ac:dyDescent="0.3">
      <c r="C47" s="160"/>
      <c r="E47" s="161"/>
      <c r="J47" s="73"/>
    </row>
    <row r="48" spans="1:13" ht="15" customHeight="1" x14ac:dyDescent="0.3">
      <c r="C48" s="73"/>
    </row>
    <row r="51" spans="7:7" x14ac:dyDescent="0.3">
      <c r="G51" s="160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27:K27"/>
    <mergeCell ref="A28:B28"/>
    <mergeCell ref="I28:K28"/>
    <mergeCell ref="I29:K29"/>
    <mergeCell ref="I30:K30"/>
    <mergeCell ref="I31:K31"/>
    <mergeCell ref="A22:B22"/>
    <mergeCell ref="I22:K22"/>
    <mergeCell ref="I23:K23"/>
    <mergeCell ref="I24:K24"/>
    <mergeCell ref="I25:K25"/>
    <mergeCell ref="I26:K26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C6A9-8A28-40D4-B27F-D92DF33B5D6F}">
  <dimension ref="A1:O43"/>
  <sheetViews>
    <sheetView workbookViewId="0">
      <selection activeCell="E31" sqref="E31:L36"/>
    </sheetView>
  </sheetViews>
  <sheetFormatPr baseColWidth="10" defaultRowHeight="13" x14ac:dyDescent="0.3"/>
  <cols>
    <col min="1" max="1" width="10.453125" customWidth="1"/>
    <col min="2" max="2" width="11.26953125" customWidth="1"/>
    <col min="3" max="3" width="8" customWidth="1"/>
    <col min="4" max="4" width="3.81640625" customWidth="1"/>
    <col min="5" max="5" width="7.26953125" customWidth="1"/>
    <col min="6" max="6" width="1.1796875" customWidth="1"/>
    <col min="7" max="7" width="7.26953125" customWidth="1"/>
    <col min="8" max="8" width="1.1796875" customWidth="1"/>
    <col min="9" max="9" width="8.26953125" customWidth="1"/>
    <col min="10" max="10" width="7.7265625" customWidth="1"/>
    <col min="11" max="11" width="8" customWidth="1"/>
    <col min="12" max="12" width="7.453125" customWidth="1"/>
  </cols>
  <sheetData>
    <row r="1" spans="1:12" ht="17.149999999999999" customHeight="1" x14ac:dyDescent="0.3">
      <c r="A1" s="74" t="s">
        <v>0</v>
      </c>
      <c r="B1" s="75" t="s">
        <v>105</v>
      </c>
      <c r="C1" s="75"/>
      <c r="D1" s="75"/>
      <c r="E1" s="75"/>
      <c r="F1" s="75"/>
      <c r="G1" s="75"/>
      <c r="H1" s="75"/>
      <c r="I1" s="75"/>
      <c r="J1" s="162" t="s">
        <v>106</v>
      </c>
      <c r="K1" s="163">
        <v>41820</v>
      </c>
      <c r="L1" s="78"/>
    </row>
    <row r="2" spans="1:12" ht="17.149999999999999" customHeight="1" thickBot="1" x14ac:dyDescent="0.35">
      <c r="A2" s="79" t="s">
        <v>107</v>
      </c>
      <c r="B2" s="164" t="s">
        <v>108</v>
      </c>
      <c r="C2" s="164"/>
      <c r="D2" s="164"/>
      <c r="E2" s="164"/>
      <c r="F2" s="164"/>
      <c r="G2" s="164"/>
      <c r="H2" s="164"/>
      <c r="I2" s="164"/>
      <c r="J2" s="165" t="s">
        <v>109</v>
      </c>
      <c r="K2" s="111" t="s">
        <v>110</v>
      </c>
      <c r="L2" s="112"/>
    </row>
    <row r="3" spans="1:12" ht="8.15" customHeight="1" x14ac:dyDescent="0.3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 ht="18" customHeight="1" x14ac:dyDescent="0.3">
      <c r="A4" s="85" t="s">
        <v>7</v>
      </c>
      <c r="B4" s="85"/>
      <c r="C4" s="85"/>
      <c r="D4" s="86" t="s">
        <v>59</v>
      </c>
      <c r="E4" s="86"/>
      <c r="F4" s="86"/>
      <c r="G4" s="86"/>
      <c r="H4" s="86"/>
      <c r="I4" s="86"/>
      <c r="J4" s="166"/>
      <c r="K4" s="166"/>
      <c r="L4" s="86"/>
    </row>
    <row r="5" spans="1:12" ht="18" customHeight="1" x14ac:dyDescent="0.3">
      <c r="A5" s="85" t="s">
        <v>10</v>
      </c>
      <c r="B5" s="85"/>
      <c r="C5" s="85"/>
      <c r="D5" s="86" t="s">
        <v>111</v>
      </c>
      <c r="E5" s="86"/>
      <c r="F5" s="86"/>
      <c r="G5" s="86"/>
      <c r="H5" s="86"/>
      <c r="I5" s="86"/>
      <c r="J5" s="86" t="s">
        <v>112</v>
      </c>
      <c r="K5" s="86"/>
      <c r="L5" s="86"/>
    </row>
    <row r="6" spans="1:12" ht="18" customHeight="1" x14ac:dyDescent="0.3">
      <c r="A6" s="85" t="s">
        <v>61</v>
      </c>
      <c r="B6" s="85"/>
      <c r="C6" s="85"/>
      <c r="D6" s="86" t="str">
        <f>RezepturMVI!D6</f>
        <v>BA-Losert MVI</v>
      </c>
      <c r="E6" s="86"/>
      <c r="F6" s="86"/>
      <c r="G6" s="86"/>
      <c r="H6" s="86"/>
      <c r="I6" s="86"/>
      <c r="J6" s="86"/>
      <c r="K6" s="86"/>
      <c r="L6" s="86"/>
    </row>
    <row r="7" spans="1:12" ht="12.75" customHeight="1" thickBot="1" x14ac:dyDescent="0.3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12" ht="17.149999999999999" customHeight="1" thickBot="1" x14ac:dyDescent="0.35">
      <c r="A8" s="167" t="s">
        <v>113</v>
      </c>
      <c r="B8" s="168"/>
      <c r="C8" s="168"/>
      <c r="D8" s="168"/>
      <c r="E8" s="168"/>
      <c r="F8" s="168"/>
      <c r="G8" s="168"/>
      <c r="H8" s="169"/>
      <c r="I8" s="168" t="s">
        <v>114</v>
      </c>
      <c r="J8" s="170"/>
      <c r="K8" s="170"/>
      <c r="L8" s="169"/>
    </row>
    <row r="9" spans="1:12" ht="17.149999999999999" customHeight="1" x14ac:dyDescent="0.3">
      <c r="A9" s="98" t="s">
        <v>73</v>
      </c>
      <c r="B9" s="99"/>
      <c r="C9" s="100" t="s">
        <v>115</v>
      </c>
      <c r="D9" s="99"/>
      <c r="E9" s="100" t="s">
        <v>116</v>
      </c>
      <c r="F9" s="100"/>
      <c r="G9" s="100"/>
      <c r="H9" s="99"/>
      <c r="I9" s="171" t="s">
        <v>117</v>
      </c>
      <c r="J9" s="91"/>
      <c r="K9" s="91"/>
      <c r="L9" s="172"/>
    </row>
    <row r="10" spans="1:12" ht="17.149999999999999" customHeight="1" x14ac:dyDescent="0.3">
      <c r="A10" s="173"/>
      <c r="B10" s="174"/>
      <c r="C10" s="175" t="s">
        <v>118</v>
      </c>
      <c r="D10" s="176"/>
      <c r="E10" s="177">
        <v>85</v>
      </c>
      <c r="F10" s="178" t="s">
        <v>119</v>
      </c>
      <c r="G10" s="177">
        <v>85</v>
      </c>
      <c r="H10" s="179" t="s">
        <v>119</v>
      </c>
      <c r="I10" s="180" t="s">
        <v>120</v>
      </c>
      <c r="J10" s="180"/>
      <c r="K10" s="181"/>
      <c r="L10" s="141"/>
    </row>
    <row r="11" spans="1:12" ht="17.149999999999999" customHeight="1" x14ac:dyDescent="0.3">
      <c r="A11" s="101"/>
      <c r="B11" s="102"/>
      <c r="C11" s="103"/>
      <c r="D11" s="104"/>
      <c r="E11" s="182" t="s">
        <v>121</v>
      </c>
      <c r="F11" s="183"/>
      <c r="G11" s="182" t="s">
        <v>122</v>
      </c>
      <c r="H11" s="184"/>
      <c r="I11" s="180" t="s">
        <v>123</v>
      </c>
      <c r="J11" s="180"/>
      <c r="K11" s="185" t="s">
        <v>124</v>
      </c>
      <c r="L11" s="186"/>
    </row>
    <row r="12" spans="1:12" ht="20.149999999999999" customHeight="1" thickBot="1" x14ac:dyDescent="0.35">
      <c r="A12" s="187" t="s">
        <v>125</v>
      </c>
      <c r="B12" s="188" t="s">
        <v>126</v>
      </c>
      <c r="C12" s="111" t="s">
        <v>79</v>
      </c>
      <c r="D12" s="112"/>
      <c r="E12" s="111" t="s">
        <v>127</v>
      </c>
      <c r="F12" s="189"/>
      <c r="G12" s="111" t="s">
        <v>127</v>
      </c>
      <c r="H12" s="112"/>
      <c r="I12" s="180" t="s">
        <v>128</v>
      </c>
      <c r="J12" s="180"/>
      <c r="K12" s="181" t="s">
        <v>124</v>
      </c>
      <c r="L12" s="186"/>
    </row>
    <row r="13" spans="1:12" ht="20.149999999999999" customHeight="1" thickBot="1" x14ac:dyDescent="0.35">
      <c r="A13" s="101" t="s">
        <v>83</v>
      </c>
      <c r="B13" s="190" t="s">
        <v>84</v>
      </c>
      <c r="C13" s="116">
        <f>RezepturMVI!C22</f>
        <v>580</v>
      </c>
      <c r="D13" s="104"/>
      <c r="E13" s="191">
        <f>ROUND(((C13*E$10)/1000),2)</f>
        <v>49.3</v>
      </c>
      <c r="F13" s="192"/>
      <c r="G13" s="191">
        <f>ROUND(((C13*E$10)/1000),2)</f>
        <v>49.3</v>
      </c>
      <c r="H13" s="118"/>
      <c r="I13" s="193"/>
      <c r="J13" s="194"/>
      <c r="K13" s="195"/>
      <c r="L13" s="196"/>
    </row>
    <row r="14" spans="1:12" ht="20.149999999999999" customHeight="1" thickBot="1" x14ac:dyDescent="0.35">
      <c r="A14" s="101" t="s">
        <v>85</v>
      </c>
      <c r="B14" s="102"/>
      <c r="C14" s="124">
        <f>RezepturMVI!C23</f>
        <v>173</v>
      </c>
      <c r="D14" s="125"/>
      <c r="E14" s="191">
        <f>ROUND(((C14*E$10)/1000),2)</f>
        <v>14.71</v>
      </c>
      <c r="F14" s="197"/>
      <c r="G14" s="191">
        <f>ROUND(((C14*G$10)/1000),2)</f>
        <v>14.71</v>
      </c>
      <c r="H14" s="118"/>
      <c r="I14" s="198" t="s">
        <v>129</v>
      </c>
      <c r="J14" s="199"/>
      <c r="K14" s="200"/>
      <c r="L14" s="201"/>
    </row>
    <row r="15" spans="1:12" ht="20.149999999999999" customHeight="1" x14ac:dyDescent="0.3">
      <c r="A15" s="101" t="s">
        <v>86</v>
      </c>
      <c r="B15" s="102"/>
      <c r="C15" s="129" t="s">
        <v>82</v>
      </c>
      <c r="D15" s="104"/>
      <c r="E15" s="191" t="s">
        <v>82</v>
      </c>
      <c r="F15" s="197"/>
      <c r="G15" s="191" t="s">
        <v>82</v>
      </c>
      <c r="H15" s="118"/>
      <c r="I15" s="202" t="s">
        <v>130</v>
      </c>
      <c r="J15" s="203"/>
      <c r="K15" s="203"/>
      <c r="L15" s="102"/>
    </row>
    <row r="16" spans="1:12" ht="20.149999999999999" customHeight="1" x14ac:dyDescent="0.3">
      <c r="A16" s="101" t="s">
        <v>87</v>
      </c>
      <c r="B16" s="102"/>
      <c r="C16" s="129" t="s">
        <v>82</v>
      </c>
      <c r="D16" s="104"/>
      <c r="E16" s="191" t="s">
        <v>82</v>
      </c>
      <c r="F16" s="197"/>
      <c r="G16" s="191" t="s">
        <v>82</v>
      </c>
      <c r="H16" s="118"/>
      <c r="I16" s="180" t="s">
        <v>131</v>
      </c>
      <c r="J16" s="204"/>
      <c r="K16" s="205"/>
      <c r="L16" s="206"/>
    </row>
    <row r="17" spans="1:15" ht="20.149999999999999" customHeight="1" x14ac:dyDescent="0.3">
      <c r="A17" s="101" t="s">
        <v>132</v>
      </c>
      <c r="B17" s="190" t="s">
        <v>89</v>
      </c>
      <c r="C17" s="129">
        <f>RezepturMVI!C26</f>
        <v>63.8</v>
      </c>
      <c r="D17" s="104"/>
      <c r="E17" s="207">
        <f>C17*E$10/1000</f>
        <v>5.423</v>
      </c>
      <c r="F17" s="208"/>
      <c r="G17" s="207">
        <f>C17*E$10/1000</f>
        <v>5.423</v>
      </c>
      <c r="H17" s="118"/>
      <c r="I17" s="180" t="s">
        <v>133</v>
      </c>
      <c r="J17" s="204"/>
      <c r="K17" s="209">
        <v>8</v>
      </c>
      <c r="L17" s="210">
        <v>8</v>
      </c>
    </row>
    <row r="18" spans="1:15" ht="20.149999999999999" customHeight="1" thickBot="1" x14ac:dyDescent="0.35">
      <c r="A18" s="101" t="s">
        <v>134</v>
      </c>
      <c r="B18" s="190" t="s">
        <v>91</v>
      </c>
      <c r="C18" s="129">
        <f>RezepturMVI!C27</f>
        <v>5.61</v>
      </c>
      <c r="D18" s="104"/>
      <c r="E18" s="207">
        <f>ROUND(((C18*E$10)/1000),3)</f>
        <v>0.47699999999999998</v>
      </c>
      <c r="F18" s="208"/>
      <c r="G18" s="207">
        <f>ROUND(((C18*E$10)/1000),3)</f>
        <v>0.47699999999999998</v>
      </c>
      <c r="H18" s="118"/>
      <c r="I18" s="211" t="s">
        <v>135</v>
      </c>
      <c r="J18" s="212"/>
      <c r="K18" s="213">
        <f>ROUND(K16/K17*1000,-1)</f>
        <v>0</v>
      </c>
      <c r="L18" s="214">
        <f>ROUND(L16/L17*1000,-1)</f>
        <v>0</v>
      </c>
    </row>
    <row r="19" spans="1:15" ht="20.149999999999999" customHeight="1" x14ac:dyDescent="0.3">
      <c r="A19" s="101" t="s">
        <v>92</v>
      </c>
      <c r="B19" s="102"/>
      <c r="C19" s="129">
        <f>SUM(C13:C18)</f>
        <v>822.41</v>
      </c>
      <c r="D19" s="104"/>
      <c r="E19" s="207">
        <f>SUM(E13:E18)</f>
        <v>69.91</v>
      </c>
      <c r="F19" s="208"/>
      <c r="G19" s="207">
        <f>SUM(G13:G18)</f>
        <v>69.91</v>
      </c>
      <c r="H19" s="118"/>
      <c r="I19" s="215" t="s">
        <v>136</v>
      </c>
      <c r="J19" s="203"/>
      <c r="K19" s="203"/>
      <c r="L19" s="102"/>
      <c r="N19" s="216"/>
    </row>
    <row r="20" spans="1:15" ht="20.149999999999999" customHeight="1" x14ac:dyDescent="0.3">
      <c r="A20" s="134" t="s">
        <v>93</v>
      </c>
      <c r="B20" s="135"/>
      <c r="C20" s="217">
        <f>SUM(C21:C27)</f>
        <v>1549</v>
      </c>
      <c r="D20" s="218" t="s">
        <v>137</v>
      </c>
      <c r="E20" s="219">
        <f>SUM(E21:E30)</f>
        <v>131.66499999999999</v>
      </c>
      <c r="F20" s="220"/>
      <c r="G20" s="221">
        <f>E20</f>
        <v>131.66499999999999</v>
      </c>
      <c r="H20" s="139"/>
      <c r="I20" s="222" t="s">
        <v>138</v>
      </c>
      <c r="J20" s="223"/>
      <c r="K20" s="222" t="s">
        <v>139</v>
      </c>
      <c r="L20" s="224"/>
    </row>
    <row r="21" spans="1:15" ht="20.149999999999999" customHeight="1" thickBot="1" x14ac:dyDescent="0.35">
      <c r="A21" s="225" t="s">
        <v>140</v>
      </c>
      <c r="B21" s="226" t="str">
        <f>RezepturMVI!I30</f>
        <v>Quarz</v>
      </c>
      <c r="C21" s="217">
        <f>RezepturMVI!C30</f>
        <v>0</v>
      </c>
      <c r="D21" s="227">
        <f>RezepturMVI!H30</f>
        <v>0</v>
      </c>
      <c r="E21" s="221">
        <f>ROUND(((C21*E$10)/1000),32)</f>
        <v>0</v>
      </c>
      <c r="F21" s="228"/>
      <c r="G21" s="221">
        <f>ROUND((E21),3)</f>
        <v>0</v>
      </c>
      <c r="H21" s="139"/>
      <c r="I21" s="229"/>
      <c r="J21" s="229"/>
      <c r="K21" s="229"/>
      <c r="L21" s="230"/>
    </row>
    <row r="22" spans="1:15" ht="20.149999999999999" customHeight="1" x14ac:dyDescent="0.3">
      <c r="A22" s="225" t="s">
        <v>141</v>
      </c>
      <c r="B22" s="226" t="str">
        <f>RezepturMVI!I31</f>
        <v xml:space="preserve">Okrilla  </v>
      </c>
      <c r="C22" s="217">
        <f>RezepturMVI!C31</f>
        <v>465</v>
      </c>
      <c r="D22" s="227">
        <f>RezepturMVI!H31</f>
        <v>30</v>
      </c>
      <c r="E22" s="221">
        <f t="shared" ref="E22:E27" si="0">ROUND(((C22*E$10)/1000),3)</f>
        <v>39.524999999999999</v>
      </c>
      <c r="F22" s="228"/>
      <c r="G22" s="221">
        <f>ROUND((G21+E22),3)</f>
        <v>39.524999999999999</v>
      </c>
      <c r="H22" s="139"/>
      <c r="I22" s="215" t="s">
        <v>142</v>
      </c>
      <c r="J22" s="203"/>
      <c r="K22" s="203"/>
      <c r="L22" s="102"/>
    </row>
    <row r="23" spans="1:15" ht="20.149999999999999" customHeight="1" x14ac:dyDescent="0.3">
      <c r="A23" s="225" t="s">
        <v>143</v>
      </c>
      <c r="B23" s="226" t="str">
        <f>RezepturMVI!I32</f>
        <v xml:space="preserve">Okrilla  </v>
      </c>
      <c r="C23" s="217">
        <f>RezepturMVI!C32</f>
        <v>155</v>
      </c>
      <c r="D23" s="227">
        <f>RezepturMVI!H32</f>
        <v>10</v>
      </c>
      <c r="E23" s="221">
        <f t="shared" si="0"/>
        <v>13.175000000000001</v>
      </c>
      <c r="F23" s="228"/>
      <c r="G23" s="221">
        <f>ROUND((G22+E23),3)</f>
        <v>52.7</v>
      </c>
      <c r="H23" s="139"/>
      <c r="I23" s="231" t="s">
        <v>144</v>
      </c>
      <c r="J23" s="232"/>
      <c r="K23" s="233"/>
      <c r="L23" s="234"/>
    </row>
    <row r="24" spans="1:15" ht="20.149999999999999" customHeight="1" thickBot="1" x14ac:dyDescent="0.35">
      <c r="A24" s="225" t="s">
        <v>145</v>
      </c>
      <c r="B24" s="226" t="str">
        <f>RezepturMVI!I33</f>
        <v xml:space="preserve">Okrilla  </v>
      </c>
      <c r="C24" s="217">
        <f>RezepturMVI!C33</f>
        <v>155</v>
      </c>
      <c r="D24" s="227">
        <f>RezepturMVI!H33</f>
        <v>10</v>
      </c>
      <c r="E24" s="221">
        <f t="shared" si="0"/>
        <v>13.175000000000001</v>
      </c>
      <c r="F24" s="228"/>
      <c r="G24" s="221">
        <f>ROUND((G23+E24),3)</f>
        <v>65.875</v>
      </c>
      <c r="H24" s="139"/>
      <c r="I24" s="235" t="s">
        <v>146</v>
      </c>
      <c r="J24" s="236"/>
      <c r="K24" s="211"/>
      <c r="L24" s="230"/>
    </row>
    <row r="25" spans="1:15" ht="20.149999999999999" customHeight="1" x14ac:dyDescent="0.3">
      <c r="A25" s="225" t="s">
        <v>147</v>
      </c>
      <c r="B25" s="226" t="str">
        <f>RezepturMVI!I34</f>
        <v xml:space="preserve">Okrilla  </v>
      </c>
      <c r="C25" s="217">
        <f>RezepturMVI!C34</f>
        <v>232</v>
      </c>
      <c r="D25" s="227">
        <f>RezepturMVI!H34</f>
        <v>15</v>
      </c>
      <c r="E25" s="221">
        <f t="shared" si="0"/>
        <v>19.72</v>
      </c>
      <c r="F25" s="228"/>
      <c r="G25" s="221">
        <f>ROUND((G24+E25),2)</f>
        <v>85.6</v>
      </c>
      <c r="H25" s="139"/>
      <c r="I25" s="202" t="s">
        <v>148</v>
      </c>
      <c r="J25" s="237"/>
      <c r="K25" s="237"/>
      <c r="L25" s="102"/>
    </row>
    <row r="26" spans="1:15" ht="20.149999999999999" customHeight="1" x14ac:dyDescent="0.3">
      <c r="A26" s="225" t="s">
        <v>149</v>
      </c>
      <c r="B26" s="226" t="str">
        <f>RezepturMVI!I35</f>
        <v xml:space="preserve">Okrilla  </v>
      </c>
      <c r="C26" s="238">
        <f>RezepturMVI!C35</f>
        <v>542</v>
      </c>
      <c r="D26" s="239">
        <f>RezepturMVI!H35</f>
        <v>35</v>
      </c>
      <c r="E26" s="221">
        <f t="shared" si="0"/>
        <v>46.07</v>
      </c>
      <c r="F26" s="228"/>
      <c r="G26" s="221">
        <f>ROUND((G25+E26),3)</f>
        <v>131.66999999999999</v>
      </c>
      <c r="H26" s="139"/>
      <c r="I26" s="240" t="s">
        <v>150</v>
      </c>
      <c r="J26" s="194"/>
      <c r="K26" s="194"/>
      <c r="L26" s="241"/>
    </row>
    <row r="27" spans="1:15" ht="20.149999999999999" customHeight="1" x14ac:dyDescent="0.3">
      <c r="A27" s="225" t="s">
        <v>151</v>
      </c>
      <c r="B27" s="226" t="str">
        <f>RezepturMVI!I36</f>
        <v xml:space="preserve">Okrilla  </v>
      </c>
      <c r="C27" s="217">
        <f>RezepturMVI!C36</f>
        <v>0</v>
      </c>
      <c r="D27" s="227">
        <f>RezepturMVI!H36</f>
        <v>0</v>
      </c>
      <c r="E27" s="221">
        <f t="shared" si="0"/>
        <v>0</v>
      </c>
      <c r="F27" s="228"/>
      <c r="G27" s="221">
        <f>ROUND((G26+E27),3)</f>
        <v>131.66999999999999</v>
      </c>
      <c r="H27" s="139"/>
      <c r="I27" s="242" t="s">
        <v>152</v>
      </c>
      <c r="J27" s="243"/>
      <c r="K27" s="243"/>
      <c r="L27" s="234"/>
      <c r="O27" s="244"/>
    </row>
    <row r="28" spans="1:15" ht="20.149999999999999" customHeight="1" thickBot="1" x14ac:dyDescent="0.35">
      <c r="A28" s="225" t="s">
        <v>153</v>
      </c>
      <c r="B28" s="245"/>
      <c r="C28" s="238" t="s">
        <v>82</v>
      </c>
      <c r="D28" s="246" t="s">
        <v>101</v>
      </c>
      <c r="E28" s="247" t="s">
        <v>82</v>
      </c>
      <c r="F28" s="248"/>
      <c r="G28" s="247" t="s">
        <v>82</v>
      </c>
      <c r="H28" s="139"/>
      <c r="I28" s="249">
        <f>RezepturMVI!H9</f>
        <v>0</v>
      </c>
      <c r="J28" s="211"/>
      <c r="K28" s="211"/>
      <c r="L28" s="230"/>
      <c r="O28" s="244"/>
    </row>
    <row r="29" spans="1:15" ht="20.149999999999999" customHeight="1" x14ac:dyDescent="0.3">
      <c r="A29" s="250" t="s">
        <v>82</v>
      </c>
      <c r="B29" s="137"/>
      <c r="C29" s="238" t="s">
        <v>82</v>
      </c>
      <c r="D29" s="246" t="s">
        <v>101</v>
      </c>
      <c r="E29" s="247" t="s">
        <v>82</v>
      </c>
      <c r="F29" s="251"/>
      <c r="G29" s="247" t="s">
        <v>82</v>
      </c>
      <c r="H29" s="139"/>
      <c r="I29" s="202" t="s">
        <v>154</v>
      </c>
      <c r="J29" s="237"/>
      <c r="K29" s="203"/>
      <c r="L29" s="102"/>
      <c r="O29" s="244"/>
    </row>
    <row r="30" spans="1:15" ht="20.149999999999999" customHeight="1" x14ac:dyDescent="0.3">
      <c r="A30" s="129" t="s">
        <v>82</v>
      </c>
      <c r="B30" s="104"/>
      <c r="C30" s="252" t="s">
        <v>82</v>
      </c>
      <c r="D30" s="253" t="s">
        <v>101</v>
      </c>
      <c r="E30" s="191" t="s">
        <v>82</v>
      </c>
      <c r="F30" s="197"/>
      <c r="G30" s="191" t="s">
        <v>82</v>
      </c>
      <c r="H30" s="118"/>
      <c r="I30" s="243" t="s">
        <v>155</v>
      </c>
      <c r="J30" s="243"/>
      <c r="K30" s="243" t="s">
        <v>156</v>
      </c>
      <c r="L30" s="234"/>
      <c r="O30" s="244"/>
    </row>
    <row r="31" spans="1:15" ht="20.149999999999999" customHeight="1" thickBot="1" x14ac:dyDescent="0.35">
      <c r="A31" s="81" t="s">
        <v>102</v>
      </c>
      <c r="B31" s="110"/>
      <c r="C31" s="254">
        <f>ROUND((C19+C20),2)</f>
        <v>2371.41</v>
      </c>
      <c r="D31" s="255" t="s">
        <v>101</v>
      </c>
      <c r="E31" s="256">
        <f>ROUND((E19+E20),2)</f>
        <v>201.58</v>
      </c>
      <c r="F31" s="257"/>
      <c r="G31" s="256">
        <f>ROUND((SUM(G13,G14,G17,G18,G20)),2)</f>
        <v>201.58</v>
      </c>
      <c r="H31" s="156"/>
      <c r="I31" s="211"/>
      <c r="J31" s="211"/>
      <c r="K31" s="211"/>
      <c r="L31" s="230"/>
      <c r="O31" s="244"/>
    </row>
    <row r="32" spans="1:15" ht="5.25" customHeight="1" thickBot="1" x14ac:dyDescent="0.35">
      <c r="A32" s="84"/>
      <c r="B32" s="84"/>
      <c r="C32" s="258"/>
      <c r="D32" s="175"/>
      <c r="E32" s="85"/>
      <c r="F32" s="85"/>
      <c r="G32" s="85"/>
      <c r="H32" s="85"/>
      <c r="I32" s="85"/>
      <c r="J32" s="85"/>
      <c r="K32" s="85"/>
      <c r="L32" s="85"/>
    </row>
    <row r="33" spans="1:12" ht="20.149999999999999" customHeight="1" x14ac:dyDescent="0.3">
      <c r="A33" s="167" t="s">
        <v>157</v>
      </c>
      <c r="B33" s="170"/>
      <c r="C33" s="259"/>
      <c r="D33" s="100"/>
      <c r="E33" s="260" t="s">
        <v>158</v>
      </c>
      <c r="F33" s="261"/>
      <c r="G33" s="261"/>
      <c r="H33" s="262">
        <f>K1</f>
        <v>41820</v>
      </c>
      <c r="I33" s="262"/>
      <c r="J33" s="262"/>
      <c r="K33" s="261"/>
      <c r="L33" s="263"/>
    </row>
    <row r="34" spans="1:12" ht="19" customHeight="1" x14ac:dyDescent="0.3">
      <c r="A34" s="264" t="s">
        <v>159</v>
      </c>
      <c r="B34" s="265"/>
      <c r="C34" s="266" t="s">
        <v>160</v>
      </c>
      <c r="D34" s="267"/>
      <c r="E34" s="268">
        <v>1</v>
      </c>
      <c r="F34" s="269"/>
      <c r="G34" s="268">
        <v>2</v>
      </c>
      <c r="H34" s="269"/>
      <c r="I34" s="270">
        <v>3</v>
      </c>
      <c r="J34" s="270"/>
      <c r="K34" s="270"/>
      <c r="L34" s="271"/>
    </row>
    <row r="35" spans="1:12" ht="19" customHeight="1" x14ac:dyDescent="0.3">
      <c r="A35" s="272" t="s">
        <v>161</v>
      </c>
      <c r="B35" s="243"/>
      <c r="C35" s="273" t="s">
        <v>127</v>
      </c>
      <c r="D35" s="274"/>
      <c r="E35" s="275"/>
      <c r="F35" s="276"/>
      <c r="G35" s="275"/>
      <c r="H35" s="276"/>
      <c r="I35" s="277"/>
      <c r="J35" s="209"/>
      <c r="K35" s="209"/>
      <c r="L35" s="186"/>
    </row>
    <row r="36" spans="1:12" ht="19" customHeight="1" x14ac:dyDescent="0.3">
      <c r="A36" s="272" t="s">
        <v>162</v>
      </c>
      <c r="B36" s="243"/>
      <c r="C36" s="273" t="s">
        <v>81</v>
      </c>
      <c r="D36" s="274"/>
      <c r="E36" s="278">
        <v>3.375</v>
      </c>
      <c r="F36" s="279"/>
      <c r="G36" s="279"/>
      <c r="H36" s="279"/>
      <c r="I36" s="279"/>
      <c r="J36" s="279"/>
      <c r="K36" s="279"/>
      <c r="L36" s="280"/>
    </row>
    <row r="37" spans="1:12" ht="19" customHeight="1" x14ac:dyDescent="0.3">
      <c r="A37" s="281" t="s">
        <v>163</v>
      </c>
      <c r="B37" s="282"/>
      <c r="C37" s="283" t="s">
        <v>80</v>
      </c>
      <c r="D37" s="284"/>
      <c r="E37" s="285">
        <f>ROUND(E35/E36,-1)</f>
        <v>0</v>
      </c>
      <c r="F37" s="286"/>
      <c r="G37" s="285">
        <f>ROUND(G35/E36,-1)</f>
        <v>0</v>
      </c>
      <c r="H37" s="286"/>
      <c r="I37" s="287">
        <f>ROUND(I35/E36,-1)</f>
        <v>0</v>
      </c>
      <c r="J37" s="288">
        <f>ROUND(J35/E36,-1)</f>
        <v>0</v>
      </c>
      <c r="K37" s="288">
        <f>ROUND(K35/E36,-1)</f>
        <v>0</v>
      </c>
      <c r="L37" s="289">
        <f>ROUND(L35/E36,-1)</f>
        <v>0</v>
      </c>
    </row>
    <row r="38" spans="1:12" ht="19" customHeight="1" thickBot="1" x14ac:dyDescent="0.35">
      <c r="A38" s="290" t="s">
        <v>164</v>
      </c>
      <c r="B38" s="211"/>
      <c r="C38" s="291" t="s">
        <v>80</v>
      </c>
      <c r="D38" s="292"/>
      <c r="E38" s="293">
        <f>ROUND(AVERAGE(E37:I37),-1)</f>
        <v>0</v>
      </c>
      <c r="F38" s="158"/>
      <c r="G38" s="158"/>
      <c r="H38" s="158"/>
      <c r="I38" s="294"/>
      <c r="J38" s="295">
        <f>ROUND(AVERAGE(J37:L37),-1)</f>
        <v>0</v>
      </c>
      <c r="K38" s="296"/>
      <c r="L38" s="297"/>
    </row>
    <row r="39" spans="1:12" ht="6.75" customHeight="1" x14ac:dyDescent="0.3">
      <c r="A39" s="170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</row>
    <row r="40" spans="1:12" ht="18" customHeight="1" x14ac:dyDescent="0.3">
      <c r="A40" s="86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</row>
    <row r="41" spans="1:12" ht="18" customHeight="1" x14ac:dyDescent="0.3">
      <c r="A41" s="298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</row>
    <row r="42" spans="1:12" ht="18" customHeight="1" x14ac:dyDescent="0.3">
      <c r="A42" s="203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</row>
    <row r="43" spans="1:12" ht="18" customHeight="1" x14ac:dyDescent="0.3">
      <c r="A43" s="299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MVI</vt:lpstr>
      <vt:lpstr>RezepturMVI</vt:lpstr>
      <vt:lpstr>MischanweisungMVI</vt:lpstr>
      <vt:lpstr>MischanweisungMVI!Druckbereich</vt:lpstr>
      <vt:lpstr>RezepturMVI!Druckbereich</vt:lpstr>
      <vt:lpstr>'Sieblinie MVI'!Druckbereich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Noell, Mathis</dc:creator>
  <cp:lastModifiedBy>Noell, Mathis</cp:lastModifiedBy>
  <dcterms:created xsi:type="dcterms:W3CDTF">2021-07-19T13:41:15Z</dcterms:created>
  <dcterms:modified xsi:type="dcterms:W3CDTF">2021-07-19T13:41:44Z</dcterms:modified>
</cp:coreProperties>
</file>