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afriemel\Documents\GithubMC\usecases\MinimumWorkingExample\Data\Mischungen\"/>
    </mc:Choice>
  </mc:AlternateContent>
  <xr:revisionPtr revIDLastSave="0" documentId="13_ncr:1_{D93488C9-827C-40FF-A25B-ED9276F087E0}" xr6:coauthVersionLast="47" xr6:coauthVersionMax="47" xr10:uidLastSave="{00000000-0000-0000-0000-000000000000}"/>
  <bookViews>
    <workbookView xWindow="2688" yWindow="2688" windowWidth="17280" windowHeight="8964" activeTab="1" xr2:uid="{00000000-000D-0000-FFFF-FFFF00000000}"/>
  </bookViews>
  <sheets>
    <sheet name="Sieblinie" sheetId="1" r:id="rId1"/>
    <sheet name="Rezeptur" sheetId="5" r:id="rId2"/>
    <sheet name="Mischanweisung" sheetId="4" r:id="rId3"/>
  </sheets>
  <definedNames>
    <definedName name="_xlnm.Print_Area" localSheetId="2">Mischanweisung!$A$1:$L$43</definedName>
    <definedName name="_xlnm.Print_Area" localSheetId="1">Rezeptur!$A$1:$K$48</definedName>
    <definedName name="_xlnm.Print_Area" localSheetId="0">Sieblinie!$A$1:$L$55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5" l="1"/>
  <c r="C27" i="5"/>
  <c r="C18" i="4" s="1"/>
  <c r="G27" i="5" l="1"/>
  <c r="K1" i="4"/>
  <c r="H33" i="4" s="1"/>
  <c r="K18" i="4"/>
  <c r="B17" i="4"/>
  <c r="B18" i="4"/>
  <c r="B9" i="5"/>
  <c r="K23" i="4" s="1"/>
  <c r="D4" i="5"/>
  <c r="A1" i="5"/>
  <c r="A1" i="4" s="1"/>
  <c r="D9" i="5"/>
  <c r="H31" i="5"/>
  <c r="D22" i="4" s="1"/>
  <c r="H33" i="5"/>
  <c r="D24" i="4" s="1"/>
  <c r="H34" i="5"/>
  <c r="D25" i="4" s="1"/>
  <c r="H35" i="5"/>
  <c r="D26" i="4" s="1"/>
  <c r="H36" i="5"/>
  <c r="D27" i="4" s="1"/>
  <c r="C13" i="4"/>
  <c r="G13" i="4" s="1"/>
  <c r="C14" i="4"/>
  <c r="E14" i="4" s="1"/>
  <c r="C17" i="4"/>
  <c r="G17" i="4" s="1"/>
  <c r="G26" i="5"/>
  <c r="G22" i="5"/>
  <c r="J6" i="4"/>
  <c r="D4" i="4"/>
  <c r="E28" i="1"/>
  <c r="E29" i="1"/>
  <c r="E30" i="1"/>
  <c r="E31" i="1"/>
  <c r="E32" i="1"/>
  <c r="E33" i="1"/>
  <c r="D28" i="1"/>
  <c r="L37" i="4"/>
  <c r="K37" i="4"/>
  <c r="J37" i="4"/>
  <c r="I37" i="4"/>
  <c r="G37" i="4"/>
  <c r="E37" i="4"/>
  <c r="B27" i="4"/>
  <c r="I35" i="5"/>
  <c r="B26" i="4" s="1"/>
  <c r="I34" i="5"/>
  <c r="B25" i="4" s="1"/>
  <c r="I33" i="5"/>
  <c r="B24" i="4" s="1"/>
  <c r="I32" i="5"/>
  <c r="B23" i="4" s="1"/>
  <c r="I31" i="5"/>
  <c r="B22" i="4" s="1"/>
  <c r="I30" i="5"/>
  <c r="B21" i="4" s="1"/>
  <c r="K2" i="4"/>
  <c r="K2" i="5"/>
  <c r="D31" i="1"/>
  <c r="D32" i="1"/>
  <c r="D33" i="1"/>
  <c r="D30" i="1"/>
  <c r="D29" i="1"/>
  <c r="F31" i="1"/>
  <c r="F32" i="1"/>
  <c r="F33" i="1"/>
  <c r="F30" i="1"/>
  <c r="F28" i="1"/>
  <c r="F29" i="1"/>
  <c r="G31" i="1"/>
  <c r="G32" i="1"/>
  <c r="G33" i="1"/>
  <c r="G30" i="1"/>
  <c r="G28" i="1"/>
  <c r="G29" i="1"/>
  <c r="H31" i="1"/>
  <c r="H32" i="1"/>
  <c r="H33" i="1"/>
  <c r="H30" i="1"/>
  <c r="H28" i="1"/>
  <c r="H29" i="1"/>
  <c r="I31" i="1"/>
  <c r="I32" i="1"/>
  <c r="I33" i="1"/>
  <c r="I30" i="1"/>
  <c r="I28" i="1"/>
  <c r="I29" i="1"/>
  <c r="J31" i="1"/>
  <c r="J32" i="1"/>
  <c r="J33" i="1"/>
  <c r="J30" i="1"/>
  <c r="J28" i="1"/>
  <c r="J29" i="1"/>
  <c r="K31" i="1"/>
  <c r="K32" i="1"/>
  <c r="K33" i="1"/>
  <c r="K30" i="1"/>
  <c r="K28" i="1"/>
  <c r="K29" i="1"/>
  <c r="L23" i="1"/>
  <c r="G23" i="5"/>
  <c r="D27" i="1"/>
  <c r="H30" i="5" s="1"/>
  <c r="D21" i="4" s="1"/>
  <c r="E27" i="1"/>
  <c r="F27" i="1"/>
  <c r="G27" i="1"/>
  <c r="H27" i="1"/>
  <c r="I27" i="1"/>
  <c r="J27" i="1"/>
  <c r="K27" i="1"/>
  <c r="C35" i="1"/>
  <c r="K34" i="1"/>
  <c r="J34" i="1"/>
  <c r="I34" i="1"/>
  <c r="H34" i="1"/>
  <c r="G34" i="1"/>
  <c r="F34" i="1"/>
  <c r="E34" i="1"/>
  <c r="D34" i="1"/>
  <c r="D23" i="4"/>
  <c r="J1" i="5"/>
  <c r="D5" i="5"/>
  <c r="E8" i="5"/>
  <c r="C10" i="5"/>
  <c r="J60" i="1"/>
  <c r="J61" i="1"/>
  <c r="I60" i="1"/>
  <c r="I63" i="1" s="1"/>
  <c r="I61" i="1"/>
  <c r="H60" i="1"/>
  <c r="H61" i="1"/>
  <c r="G60" i="1"/>
  <c r="G61" i="1"/>
  <c r="F60" i="1"/>
  <c r="F61" i="1"/>
  <c r="E60" i="1"/>
  <c r="E61" i="1"/>
  <c r="D60" i="1"/>
  <c r="D63" i="1" s="1"/>
  <c r="D61" i="1"/>
  <c r="C60" i="1"/>
  <c r="C61" i="1"/>
  <c r="C63" i="1" l="1"/>
  <c r="E64" i="1"/>
  <c r="G63" i="1"/>
  <c r="I64" i="1"/>
  <c r="J64" i="1"/>
  <c r="J38" i="4"/>
  <c r="H35" i="1"/>
  <c r="N32" i="1" s="1"/>
  <c r="D35" i="1"/>
  <c r="C15" i="5" s="1"/>
  <c r="F63" i="1"/>
  <c r="C64" i="1"/>
  <c r="J63" i="1"/>
  <c r="K35" i="1"/>
  <c r="K36" i="1" s="1"/>
  <c r="E63" i="1"/>
  <c r="F64" i="1"/>
  <c r="G64" i="1"/>
  <c r="H63" i="1"/>
  <c r="G35" i="1"/>
  <c r="F15" i="5" s="1"/>
  <c r="E38" i="4"/>
  <c r="G14" i="4"/>
  <c r="G28" i="5"/>
  <c r="G29" i="5" s="1"/>
  <c r="G31" i="5" s="1"/>
  <c r="C31" i="5" s="1"/>
  <c r="C22" i="4" s="1"/>
  <c r="E22" i="4" s="1"/>
  <c r="E35" i="1"/>
  <c r="E36" i="1" s="1"/>
  <c r="I35" i="1"/>
  <c r="N33" i="1" s="1"/>
  <c r="J35" i="1"/>
  <c r="J36" i="1" s="1"/>
  <c r="F35" i="1"/>
  <c r="N30" i="1" s="1"/>
  <c r="G36" i="1"/>
  <c r="N31" i="1"/>
  <c r="N29" i="1"/>
  <c r="D64" i="1"/>
  <c r="H64" i="1"/>
  <c r="E17" i="4"/>
  <c r="E13" i="4"/>
  <c r="D36" i="1" l="1"/>
  <c r="G15" i="5"/>
  <c r="D15" i="5"/>
  <c r="H15" i="5"/>
  <c r="F36" i="1"/>
  <c r="H36" i="1"/>
  <c r="N34" i="1"/>
  <c r="I36" i="1"/>
  <c r="E15" i="5"/>
  <c r="N28" i="1"/>
  <c r="J15" i="5"/>
  <c r="G35" i="5"/>
  <c r="C35" i="5" s="1"/>
  <c r="C26" i="4" s="1"/>
  <c r="E26" i="4" s="1"/>
  <c r="G30" i="5"/>
  <c r="G32" i="5"/>
  <c r="C32" i="5" s="1"/>
  <c r="C23" i="4" s="1"/>
  <c r="E23" i="4" s="1"/>
  <c r="G39" i="5"/>
  <c r="G34" i="5"/>
  <c r="C34" i="5" s="1"/>
  <c r="C25" i="4" s="1"/>
  <c r="E25" i="4" s="1"/>
  <c r="G36" i="5"/>
  <c r="C36" i="5" s="1"/>
  <c r="C27" i="4" s="1"/>
  <c r="E27" i="4" s="1"/>
  <c r="G33" i="5"/>
  <c r="C33" i="5" s="1"/>
  <c r="C24" i="4" s="1"/>
  <c r="E24" i="4" s="1"/>
  <c r="L35" i="1"/>
  <c r="L36" i="1" s="1"/>
  <c r="I15" i="5"/>
  <c r="E18" i="4"/>
  <c r="G18" i="4"/>
  <c r="K15" i="5" l="1"/>
  <c r="I12" i="5"/>
  <c r="H6" i="5" s="1"/>
  <c r="C30" i="5"/>
  <c r="C21" i="4" s="1"/>
  <c r="L8" i="1"/>
  <c r="I10" i="5"/>
  <c r="E21" i="4" l="1"/>
  <c r="E20" i="4" s="1"/>
  <c r="C20" i="4"/>
  <c r="C31" i="4" s="1"/>
  <c r="C29" i="5"/>
  <c r="C39" i="5" s="1"/>
  <c r="G21" i="4" l="1"/>
  <c r="G22" i="4" s="1"/>
  <c r="G23" i="4" s="1"/>
  <c r="G24" i="4" s="1"/>
  <c r="G25" i="4" s="1"/>
  <c r="G26" i="4" s="1"/>
  <c r="G27" i="4" s="1"/>
  <c r="G20" i="4"/>
  <c r="G31" i="4" s="1"/>
  <c r="E31" i="4"/>
</calcChain>
</file>

<file path=xl/sharedStrings.xml><?xml version="1.0" encoding="utf-8"?>
<sst xmlns="http://schemas.openxmlformats.org/spreadsheetml/2006/main" count="257" uniqueCount="169">
  <si>
    <t>Kornzusammensetzung von Zuschlaggemischen für Beton</t>
  </si>
  <si>
    <t xml:space="preserve">  Datum:</t>
  </si>
  <si>
    <t>Rechnerische Ermittlung der Sieblinie und graphische Darstellung</t>
  </si>
  <si>
    <t xml:space="preserve">  Bearbeiter: </t>
  </si>
  <si>
    <t>Antragsteller:</t>
  </si>
  <si>
    <t>Antrags-/ Projekt-Nr.:</t>
  </si>
  <si>
    <t xml:space="preserve">Datei: </t>
  </si>
  <si>
    <t>Betonsorte u. -festigkeitsklasse:</t>
  </si>
  <si>
    <t>Sieblinie:</t>
  </si>
  <si>
    <t>Zusammensetzung der Korngruppen</t>
  </si>
  <si>
    <t>Kennwert:</t>
  </si>
  <si>
    <t>Körnungsziffer</t>
  </si>
  <si>
    <t>Korngruppe</t>
  </si>
  <si>
    <t>Durchgang in M.-% durch die Siebe (Maschen-bzw. Lochweite in mm)</t>
  </si>
  <si>
    <t>Material-</t>
  </si>
  <si>
    <t>mm</t>
  </si>
  <si>
    <t>herkunft</t>
  </si>
  <si>
    <t>0  /  0,3</t>
  </si>
  <si>
    <t>Quarz</t>
  </si>
  <si>
    <t>0  /  0,5</t>
  </si>
  <si>
    <t>0,5  / 1,0</t>
  </si>
  <si>
    <t>1,0  / 2,0</t>
  </si>
  <si>
    <t>2,0  / 4,0</t>
  </si>
  <si>
    <t>8,0  /16,0</t>
  </si>
  <si>
    <t>Berechnung der Sieblinie</t>
  </si>
  <si>
    <t>Sollsieblinie</t>
  </si>
  <si>
    <t>Durchgang in M-% durch die Siebe (Maschen-bzw. Lochweite in mm)</t>
  </si>
  <si>
    <t>Körnungs-</t>
  </si>
  <si>
    <t>Anteil in %</t>
  </si>
  <si>
    <t>ziffer</t>
  </si>
  <si>
    <t>Istsieblinie</t>
  </si>
  <si>
    <t>A 16</t>
  </si>
  <si>
    <t>B 16</t>
  </si>
  <si>
    <t>C 16</t>
  </si>
  <si>
    <t>U 16</t>
  </si>
  <si>
    <t xml:space="preserve">  0  /  0,3</t>
  </si>
  <si>
    <t>0,5  /  1,0</t>
  </si>
  <si>
    <t>1,0  /  2,0</t>
  </si>
  <si>
    <t>2,0  /  4,0</t>
  </si>
  <si>
    <t>8,0  / 16,0</t>
  </si>
  <si>
    <t>Abweichung in %</t>
  </si>
  <si>
    <t>Betonzusammensetzung, Mischanweisung,</t>
  </si>
  <si>
    <t>Datum:</t>
  </si>
  <si>
    <t>Frischbetonprüfung</t>
  </si>
  <si>
    <t>Name:</t>
  </si>
  <si>
    <t>Bezeichnung der Proben:</t>
  </si>
  <si>
    <t xml:space="preserve"> 1. Betonzusammensetzung und Mischanweisung</t>
  </si>
  <si>
    <t xml:space="preserve">  2. Frischbetonprüfung</t>
  </si>
  <si>
    <t>Stoffart</t>
  </si>
  <si>
    <t>Zusammen-</t>
  </si>
  <si>
    <t>Mischanweisung</t>
  </si>
  <si>
    <t xml:space="preserve">  Betonkonsistenbereich </t>
  </si>
  <si>
    <t>setzung</t>
  </si>
  <si>
    <t>l</t>
  </si>
  <si>
    <t>Einzelkomp.</t>
  </si>
  <si>
    <t>additiv</t>
  </si>
  <si>
    <t xml:space="preserve">  Verdichtungsmaß:</t>
  </si>
  <si>
    <t xml:space="preserve">Zementwerk: </t>
  </si>
  <si>
    <t>kg/m³</t>
  </si>
  <si>
    <t>kg</t>
  </si>
  <si>
    <t xml:space="preserve">  Setzmaß in cm</t>
  </si>
  <si>
    <t xml:space="preserve">  Zement</t>
  </si>
  <si>
    <t xml:space="preserve">  Wasser (gesamt)</t>
  </si>
  <si>
    <t>Luftgehalt P in Vol.-%:</t>
  </si>
  <si>
    <t xml:space="preserve">  Wasser (wirksam)</t>
  </si>
  <si>
    <t>---</t>
  </si>
  <si>
    <t xml:space="preserve">  Rohdichte im Luftgehaltsprüftopf</t>
  </si>
  <si>
    <t xml:space="preserve">  Luftgehalt</t>
  </si>
  <si>
    <t xml:space="preserve">  Betonmasse in kg</t>
  </si>
  <si>
    <t xml:space="preserve">  Zusatzstoff</t>
  </si>
  <si>
    <t xml:space="preserve">  Topfvolumen in dm³:</t>
  </si>
  <si>
    <t xml:space="preserve">  Gesamt</t>
  </si>
  <si>
    <t xml:space="preserve">  Temperatur  in °C</t>
  </si>
  <si>
    <t xml:space="preserve">  Zuschlag (gesamt)</t>
  </si>
  <si>
    <t>%</t>
  </si>
  <si>
    <t>Luft</t>
  </si>
  <si>
    <t>0        /   0,3</t>
  </si>
  <si>
    <t>0        /   0,5</t>
  </si>
  <si>
    <t xml:space="preserve">  Wasserzementwert  W/Z</t>
  </si>
  <si>
    <t>0,50  /   1,0</t>
  </si>
  <si>
    <t>W/Z - Soll</t>
  </si>
  <si>
    <t>1,0    /   2,0</t>
  </si>
  <si>
    <t>W/Z - Ist</t>
  </si>
  <si>
    <t>2,0    /   4,0</t>
  </si>
  <si>
    <t xml:space="preserve">  Beurteilung der Verarbeitbarkeit</t>
  </si>
  <si>
    <t>4,0    /   8,0</t>
  </si>
  <si>
    <t xml:space="preserve">8,0    / 16,0 </t>
  </si>
  <si>
    <t>16,0   / 31,5</t>
  </si>
  <si>
    <t>--</t>
  </si>
  <si>
    <t xml:space="preserve">  Verdichtung des Frischbetons</t>
  </si>
  <si>
    <t xml:space="preserve">  Rütteltisch:</t>
  </si>
  <si>
    <t xml:space="preserve">  Frischbeton</t>
  </si>
  <si>
    <t xml:space="preserve"> 3. Frischbetonrohdichten</t>
  </si>
  <si>
    <t>Hergestellt am:</t>
  </si>
  <si>
    <t xml:space="preserve"> Probenbezeichnung</t>
  </si>
  <si>
    <t>Nr.</t>
  </si>
  <si>
    <t xml:space="preserve"> Masse des Probekörpers</t>
  </si>
  <si>
    <t xml:space="preserve"> Volumen des Probekörpers</t>
  </si>
  <si>
    <t>dm³</t>
  </si>
  <si>
    <t xml:space="preserve"> Frischbetonrohdichte</t>
  </si>
  <si>
    <t>kg/dm³</t>
  </si>
  <si>
    <t xml:space="preserve"> Mittelwert</t>
  </si>
  <si>
    <t>Berechnung der Zusammensetzung von Beton</t>
  </si>
  <si>
    <t>Betonsorte u.-festigkeitsklasse:</t>
  </si>
  <si>
    <t>Konsistenz:</t>
  </si>
  <si>
    <t xml:space="preserve">Sieblinie n. DIN 1045:   </t>
  </si>
  <si>
    <t>Körnungsziffer (k-Wert):</t>
  </si>
  <si>
    <t>Sieblinie des Zuschlags:</t>
  </si>
  <si>
    <t xml:space="preserve"> Sieblochweite in mm</t>
  </si>
  <si>
    <t>k-Wert</t>
  </si>
  <si>
    <t xml:space="preserve"> Durchgang in Vol. -% </t>
  </si>
  <si>
    <t>Berechnung der Betonzusammensetzung</t>
  </si>
  <si>
    <t>Stoffmenge</t>
  </si>
  <si>
    <t>Dichte bzw.</t>
  </si>
  <si>
    <t>Stoffraum</t>
  </si>
  <si>
    <t>Sonstiges/Bemerkungen</t>
  </si>
  <si>
    <t>Rohdichte</t>
  </si>
  <si>
    <t xml:space="preserve">  Zusatzmittel</t>
  </si>
  <si>
    <t>Vol. -%</t>
  </si>
  <si>
    <t>0,5  /   1,0</t>
  </si>
  <si>
    <t>8,0    /  16,0</t>
  </si>
  <si>
    <t xml:space="preserve">  Mehlkornanteil</t>
  </si>
  <si>
    <t xml:space="preserve">  Mörtelanteil</t>
  </si>
  <si>
    <t>Frischbeton</t>
  </si>
  <si>
    <t xml:space="preserve">  Bearbeiter:</t>
  </si>
  <si>
    <t>Fuller</t>
  </si>
  <si>
    <t>Empa</t>
  </si>
  <si>
    <t>Mittel</t>
  </si>
  <si>
    <t>2/3+1/3</t>
  </si>
  <si>
    <t>4,0  / 8,0</t>
  </si>
  <si>
    <t>4,0  /  8,0</t>
  </si>
  <si>
    <t>4,0    /  8,0</t>
  </si>
  <si>
    <t>Mischer:</t>
  </si>
  <si>
    <t>Rüdersdorf</t>
  </si>
  <si>
    <t>Okrilla</t>
  </si>
  <si>
    <t>Sand / Kies</t>
  </si>
  <si>
    <t>-</t>
  </si>
  <si>
    <t>Medenbach</t>
  </si>
  <si>
    <t xml:space="preserve">  Kalksteinmehl</t>
  </si>
  <si>
    <t>SVB</t>
  </si>
  <si>
    <t>Vol. Leim/Zuschlag</t>
  </si>
  <si>
    <t>w/z</t>
  </si>
  <si>
    <t>w/b</t>
  </si>
  <si>
    <t>SCC</t>
  </si>
  <si>
    <t>CL</t>
  </si>
  <si>
    <t>CEM I 42,5 R</t>
  </si>
  <si>
    <t>BAM
7.4</t>
  </si>
  <si>
    <r>
      <t xml:space="preserve"> </t>
    </r>
    <r>
      <rPr>
        <sz val="8.5"/>
        <rFont val="Arial"/>
        <family val="2"/>
      </rPr>
      <t xml:space="preserve"> Zusatzmittel</t>
    </r>
  </si>
  <si>
    <t>ohne</t>
  </si>
  <si>
    <t>5`</t>
  </si>
  <si>
    <t>20`</t>
  </si>
  <si>
    <t>Haamkens</t>
  </si>
  <si>
    <t>Dorsten</t>
  </si>
  <si>
    <t>TEKA 250</t>
  </si>
  <si>
    <t>CEM I 42,5 R (Rüdersdorf)</t>
  </si>
  <si>
    <t xml:space="preserve">  Rohdichte in kg/m³:</t>
  </si>
  <si>
    <t>7.4 FE 742</t>
  </si>
  <si>
    <t>C45/55</t>
  </si>
  <si>
    <t>Katja Brecht (7.3)</t>
  </si>
  <si>
    <t>FE-7.3-731</t>
  </si>
  <si>
    <t>3 Probekörper (600 mm x 600 mm x 300 mm)</t>
  </si>
  <si>
    <t>6 Probewürfel (150 mm x 150 mm x 150 mm)</t>
  </si>
  <si>
    <t>1 Zylinder Ø 150 mm, Höhe 300 mm</t>
  </si>
  <si>
    <t>12 Zylinder Ø 100 mm, Höhe 300 mm</t>
  </si>
  <si>
    <t>2 Mischungen</t>
  </si>
  <si>
    <t>FM 591 BASF</t>
  </si>
  <si>
    <t>790/810</t>
  </si>
  <si>
    <t xml:space="preserve">  Setzfließmaß in mm</t>
  </si>
  <si>
    <t>Zusatzstoff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</si>
</sst>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,##0.0"/>
    <numFmt numFmtId="166" formatCode="0.000"/>
    <numFmt numFmtId="167" formatCode="###\ \ \l"/>
    <numFmt numFmtId="168" formatCode="0.0%"/>
    <numFmt numFmtId="169" formatCode="dd/mm/yy;@"/>
    <numFmt numFmtId="170" formatCode="#,##0.00\ [$€];[Red]\-#,##0.00\ [$€]"/>
  </numFmts>
  <fonts count="16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b/>
      <i/>
      <sz val="8.5"/>
      <name val="Arial"/>
      <family val="2"/>
    </font>
    <font>
      <vertAlign val="superscript"/>
      <sz val="8"/>
      <name val="Arial"/>
      <family val="2"/>
    </font>
    <font>
      <sz val="12"/>
      <name val="Arial"/>
      <family val="2"/>
    </font>
    <font>
      <b/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</cellStyleXfs>
  <cellXfs count="316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Continuous" vertical="center"/>
    </xf>
    <xf numFmtId="165" fontId="0" fillId="0" borderId="0" xfId="0" applyNumberFormat="1"/>
    <xf numFmtId="164" fontId="0" fillId="0" borderId="0" xfId="0" applyNumberFormat="1"/>
    <xf numFmtId="0" fontId="0" fillId="0" borderId="0" xfId="0" applyBorder="1" applyAlignment="1"/>
    <xf numFmtId="0" fontId="3" fillId="0" borderId="13" xfId="0" applyFont="1" applyBorder="1" applyAlignment="1">
      <alignment horizontal="centerContinuous" vertical="center"/>
    </xf>
    <xf numFmtId="0" fontId="3" fillId="0" borderId="15" xfId="0" applyFont="1" applyBorder="1" applyAlignment="1">
      <alignment horizontal="centerContinuous" vertical="center"/>
    </xf>
    <xf numFmtId="0" fontId="0" fillId="0" borderId="0" xfId="0" applyBorder="1" applyAlignment="1">
      <alignment horizontal="centerContinuous" vertical="center"/>
    </xf>
    <xf numFmtId="0" fontId="0" fillId="0" borderId="0" xfId="0" applyBorder="1"/>
    <xf numFmtId="2" fontId="0" fillId="0" borderId="0" xfId="0" applyNumberFormat="1"/>
    <xf numFmtId="1" fontId="0" fillId="0" borderId="0" xfId="0" applyNumberFormat="1" applyBorder="1" applyAlignment="1"/>
    <xf numFmtId="167" fontId="0" fillId="0" borderId="0" xfId="0" applyNumberFormat="1" applyBorder="1" applyAlignment="1"/>
    <xf numFmtId="167" fontId="0" fillId="0" borderId="0" xfId="0" applyNumberFormat="1" applyBorder="1"/>
    <xf numFmtId="164" fontId="0" fillId="0" borderId="0" xfId="0" applyNumberFormat="1" applyBorder="1" applyAlignment="1"/>
    <xf numFmtId="1" fontId="0" fillId="0" borderId="0" xfId="0" applyNumberFormat="1" applyBorder="1"/>
    <xf numFmtId="2" fontId="0" fillId="0" borderId="0" xfId="0" applyNumberFormat="1" applyBorder="1"/>
    <xf numFmtId="1" fontId="0" fillId="0" borderId="0" xfId="0" applyNumberFormat="1"/>
    <xf numFmtId="16" fontId="0" fillId="0" borderId="0" xfId="0" applyNumberFormat="1"/>
    <xf numFmtId="0" fontId="0" fillId="0" borderId="46" xfId="0" applyBorder="1"/>
    <xf numFmtId="0" fontId="0" fillId="0" borderId="23" xfId="0" applyBorder="1"/>
    <xf numFmtId="0" fontId="0" fillId="0" borderId="23" xfId="0" applyBorder="1" applyAlignment="1">
      <alignment horizontal="centerContinuous" vertical="center"/>
    </xf>
    <xf numFmtId="0" fontId="0" fillId="0" borderId="23" xfId="0" applyBorder="1" applyAlignment="1">
      <alignment horizontal="center" vertical="center"/>
    </xf>
    <xf numFmtId="164" fontId="0" fillId="0" borderId="58" xfId="0" applyNumberFormat="1" applyBorder="1"/>
    <xf numFmtId="164" fontId="0" fillId="0" borderId="35" xfId="0" applyNumberFormat="1" applyBorder="1"/>
    <xf numFmtId="0" fontId="0" fillId="0" borderId="35" xfId="0" applyBorder="1"/>
    <xf numFmtId="164" fontId="0" fillId="0" borderId="59" xfId="0" applyNumberFormat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29" xfId="0" applyBorder="1"/>
    <xf numFmtId="0" fontId="0" fillId="0" borderId="18" xfId="0" applyBorder="1"/>
    <xf numFmtId="0" fontId="4" fillId="0" borderId="23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6" fillId="0" borderId="3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6" xfId="0" applyFont="1" applyBorder="1" applyAlignment="1">
      <alignment vertical="center" wrapText="1"/>
    </xf>
    <xf numFmtId="0" fontId="8" fillId="0" borderId="13" xfId="0" applyFont="1" applyBorder="1" applyAlignment="1">
      <alignment horizontal="centerContinuous"/>
    </xf>
    <xf numFmtId="0" fontId="9" fillId="0" borderId="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Continuous" vertical="center"/>
    </xf>
    <xf numFmtId="0" fontId="9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/>
    <xf numFmtId="0" fontId="5" fillId="0" borderId="2" xfId="0" applyFont="1" applyBorder="1" applyAlignment="1"/>
    <xf numFmtId="0" fontId="8" fillId="0" borderId="12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12" xfId="0" applyFont="1" applyBorder="1" applyAlignment="1">
      <alignment horizontal="centerContinuous" vertical="center"/>
    </xf>
    <xf numFmtId="0" fontId="5" fillId="0" borderId="14" xfId="0" applyFont="1" applyBorder="1" applyAlignment="1">
      <alignment horizontal="centerContinuous" vertical="center"/>
    </xf>
    <xf numFmtId="0" fontId="5" fillId="0" borderId="13" xfId="0" applyFont="1" applyBorder="1" applyAlignment="1">
      <alignment horizontal="centerContinuous" vertical="center"/>
    </xf>
    <xf numFmtId="0" fontId="10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0" borderId="0" xfId="0" applyFont="1" applyBorder="1" applyAlignment="1">
      <alignment horizontal="centerContinuous" vertical="center"/>
    </xf>
    <xf numFmtId="0" fontId="5" fillId="0" borderId="28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" vertical="center"/>
    </xf>
    <xf numFmtId="0" fontId="5" fillId="0" borderId="29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11" fillId="0" borderId="31" xfId="0" applyFont="1" applyBorder="1" applyAlignment="1">
      <alignment vertical="center"/>
    </xf>
    <xf numFmtId="0" fontId="11" fillId="0" borderId="64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vertical="center"/>
    </xf>
    <xf numFmtId="0" fontId="5" fillId="0" borderId="2" xfId="0" applyFont="1" applyBorder="1" applyAlignment="1">
      <alignment horizontal="centerContinuous" vertical="center"/>
    </xf>
    <xf numFmtId="0" fontId="5" fillId="0" borderId="30" xfId="0" applyFont="1" applyBorder="1" applyAlignment="1">
      <alignment horizontal="centerContinuous" vertical="center"/>
    </xf>
    <xf numFmtId="0" fontId="11" fillId="0" borderId="2" xfId="0" applyFont="1" applyBorder="1" applyAlignment="1">
      <alignment horizontal="centerContinuous" vertical="center"/>
    </xf>
    <xf numFmtId="0" fontId="11" fillId="0" borderId="29" xfId="0" applyFont="1" applyBorder="1" applyAlignment="1">
      <alignment horizontal="centerContinuous" vertical="center"/>
    </xf>
    <xf numFmtId="0" fontId="11" fillId="0" borderId="30" xfId="0" applyFont="1" applyBorder="1" applyAlignment="1">
      <alignment horizontal="centerContinuous" vertical="center"/>
    </xf>
    <xf numFmtId="2" fontId="11" fillId="0" borderId="64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5" fillId="0" borderId="34" xfId="0" applyFont="1" applyBorder="1" applyAlignment="1">
      <alignment horizontal="centerContinuous" vertical="center"/>
    </xf>
    <xf numFmtId="0" fontId="5" fillId="0" borderId="33" xfId="0" applyFont="1" applyBorder="1" applyAlignment="1">
      <alignment horizontal="centerContinuous" vertical="center"/>
    </xf>
    <xf numFmtId="2" fontId="5" fillId="0" borderId="2" xfId="0" quotePrefix="1" applyNumberFormat="1" applyFont="1" applyBorder="1" applyAlignment="1">
      <alignment horizontal="centerContinuous" vertical="center"/>
    </xf>
    <xf numFmtId="2" fontId="5" fillId="0" borderId="29" xfId="0" applyNumberFormat="1" applyFont="1" applyBorder="1" applyAlignment="1">
      <alignment horizontal="centerContinuous" vertical="center"/>
    </xf>
    <xf numFmtId="2" fontId="5" fillId="0" borderId="30" xfId="0" applyNumberFormat="1" applyFont="1" applyBorder="1" applyAlignment="1">
      <alignment horizontal="centerContinuous" vertical="center"/>
    </xf>
    <xf numFmtId="0" fontId="11" fillId="0" borderId="0" xfId="0" applyFont="1" applyAlignment="1">
      <alignment vertical="center"/>
    </xf>
    <xf numFmtId="1" fontId="5" fillId="0" borderId="33" xfId="0" applyNumberFormat="1" applyFont="1" applyBorder="1" applyAlignment="1">
      <alignment horizontal="centerContinuous" vertical="center"/>
    </xf>
    <xf numFmtId="1" fontId="5" fillId="0" borderId="30" xfId="0" applyNumberFormat="1" applyFont="1" applyBorder="1" applyAlignment="1">
      <alignment horizontal="centerContinuous" vertical="center"/>
    </xf>
    <xf numFmtId="2" fontId="5" fillId="0" borderId="29" xfId="0" quotePrefix="1" applyNumberFormat="1" applyFont="1" applyBorder="1" applyAlignment="1">
      <alignment horizontal="centerContinuous" vertical="center"/>
    </xf>
    <xf numFmtId="0" fontId="9" fillId="0" borderId="36" xfId="0" applyFont="1" applyBorder="1" applyAlignment="1">
      <alignment horizontal="centerContinuous" vertical="center"/>
    </xf>
    <xf numFmtId="0" fontId="5" fillId="0" borderId="36" xfId="0" applyFont="1" applyBorder="1" applyAlignment="1">
      <alignment horizontal="centerContinuous" vertical="center"/>
    </xf>
    <xf numFmtId="168" fontId="11" fillId="0" borderId="37" xfId="0" applyNumberFormat="1" applyFont="1" applyBorder="1" applyAlignment="1">
      <alignment horizontal="center" vertical="center"/>
    </xf>
    <xf numFmtId="0" fontId="5" fillId="0" borderId="33" xfId="0" quotePrefix="1" applyFont="1" applyBorder="1" applyAlignment="1">
      <alignment horizontal="centerContinuous" vertical="center"/>
    </xf>
    <xf numFmtId="0" fontId="12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1" fillId="0" borderId="38" xfId="0" applyFont="1" applyBorder="1" applyAlignment="1">
      <alignment vertical="center"/>
    </xf>
    <xf numFmtId="166" fontId="11" fillId="0" borderId="38" xfId="0" applyNumberFormat="1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166" fontId="5" fillId="0" borderId="2" xfId="0" quotePrefix="1" applyNumberFormat="1" applyFont="1" applyBorder="1" applyAlignment="1">
      <alignment horizontal="centerContinuous" vertical="center"/>
    </xf>
    <xf numFmtId="166" fontId="5" fillId="0" borderId="29" xfId="0" quotePrefix="1" applyNumberFormat="1" applyFont="1" applyBorder="1" applyAlignment="1">
      <alignment horizontal="centerContinuous" vertical="center"/>
    </xf>
    <xf numFmtId="166" fontId="5" fillId="0" borderId="30" xfId="0" applyNumberFormat="1" applyFont="1" applyBorder="1" applyAlignment="1">
      <alignment horizontal="centerContinuous" vertical="center"/>
    </xf>
    <xf numFmtId="0" fontId="11" fillId="0" borderId="15" xfId="0" applyFont="1" applyBorder="1" applyAlignment="1">
      <alignment vertical="center"/>
    </xf>
    <xf numFmtId="0" fontId="11" fillId="0" borderId="34" xfId="0" applyFont="1" applyBorder="1" applyAlignment="1">
      <alignment vertical="center"/>
    </xf>
    <xf numFmtId="1" fontId="11" fillId="0" borderId="34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1" fontId="5" fillId="0" borderId="39" xfId="0" applyNumberFormat="1" applyFont="1" applyBorder="1" applyAlignment="1">
      <alignment horizontal="center" vertical="center"/>
    </xf>
    <xf numFmtId="9" fontId="5" fillId="0" borderId="40" xfId="0" applyNumberFormat="1" applyFont="1" applyBorder="1" applyAlignment="1">
      <alignment horizontal="centerContinuous" vertical="center"/>
    </xf>
    <xf numFmtId="2" fontId="5" fillId="0" borderId="39" xfId="0" applyNumberFormat="1" applyFont="1" applyBorder="1" applyAlignment="1">
      <alignment vertical="center"/>
    </xf>
    <xf numFmtId="2" fontId="5" fillId="0" borderId="38" xfId="0" applyNumberFormat="1" applyFont="1" applyBorder="1" applyAlignment="1">
      <alignment vertical="center"/>
    </xf>
    <xf numFmtId="2" fontId="5" fillId="0" borderId="31" xfId="0" quotePrefix="1" applyNumberFormat="1" applyFont="1" applyBorder="1" applyAlignment="1">
      <alignment horizontal="centerContinuous" vertical="center"/>
    </xf>
    <xf numFmtId="2" fontId="5" fillId="0" borderId="32" xfId="0" applyNumberFormat="1" applyFont="1" applyBorder="1" applyAlignment="1">
      <alignment horizontal="centerContinuous" vertical="center"/>
    </xf>
    <xf numFmtId="0" fontId="11" fillId="0" borderId="31" xfId="0" applyFont="1" applyBorder="1" applyAlignment="1">
      <alignment horizontal="centerContinuous" vertical="center"/>
    </xf>
    <xf numFmtId="0" fontId="11" fillId="0" borderId="38" xfId="0" applyFont="1" applyBorder="1" applyAlignment="1">
      <alignment horizontal="centerContinuous" vertical="center"/>
    </xf>
    <xf numFmtId="0" fontId="11" fillId="0" borderId="32" xfId="0" applyFont="1" applyBorder="1" applyAlignment="1">
      <alignment horizontal="centerContinuous" vertical="center"/>
    </xf>
    <xf numFmtId="0" fontId="9" fillId="0" borderId="39" xfId="0" applyFont="1" applyBorder="1" applyAlignment="1">
      <alignment horizontal="center" vertical="center"/>
    </xf>
    <xf numFmtId="2" fontId="9" fillId="0" borderId="32" xfId="0" applyNumberFormat="1" applyFont="1" applyBorder="1" applyAlignment="1">
      <alignment horizontal="centerContinuous" vertical="center"/>
    </xf>
    <xf numFmtId="1" fontId="5" fillId="0" borderId="40" xfId="0" applyNumberFormat="1" applyFont="1" applyBorder="1" applyAlignment="1">
      <alignment horizontal="centerContinuous" vertical="center"/>
    </xf>
    <xf numFmtId="2" fontId="5" fillId="0" borderId="38" xfId="0" applyNumberFormat="1" applyFont="1" applyBorder="1" applyAlignment="1">
      <alignment horizontal="centerContinuous" vertical="center"/>
    </xf>
    <xf numFmtId="0" fontId="11" fillId="0" borderId="34" xfId="0" applyFont="1" applyBorder="1" applyAlignment="1">
      <alignment horizontal="center" vertical="center"/>
    </xf>
    <xf numFmtId="0" fontId="11" fillId="0" borderId="26" xfId="0" applyFont="1" applyBorder="1" applyAlignment="1">
      <alignment vertical="center"/>
    </xf>
    <xf numFmtId="0" fontId="11" fillId="0" borderId="41" xfId="0" applyFont="1" applyBorder="1" applyAlignment="1">
      <alignment horizontal="center" vertical="center"/>
    </xf>
    <xf numFmtId="0" fontId="11" fillId="0" borderId="42" xfId="0" applyFont="1" applyBorder="1" applyAlignment="1">
      <alignment vertical="center"/>
    </xf>
    <xf numFmtId="2" fontId="11" fillId="0" borderId="41" xfId="0" applyNumberFormat="1" applyFont="1" applyBorder="1" applyAlignment="1">
      <alignment horizontal="center" vertical="center"/>
    </xf>
    <xf numFmtId="0" fontId="11" fillId="0" borderId="43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11" fillId="0" borderId="44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1" fontId="5" fillId="0" borderId="39" xfId="0" quotePrefix="1" applyNumberFormat="1" applyFont="1" applyBorder="1" applyAlignment="1">
      <alignment horizontal="center" vertical="center"/>
    </xf>
    <xf numFmtId="1" fontId="5" fillId="0" borderId="40" xfId="0" quotePrefix="1" applyNumberFormat="1" applyFont="1" applyBorder="1" applyAlignment="1">
      <alignment horizontal="centerContinuous" vertical="center"/>
    </xf>
    <xf numFmtId="0" fontId="13" fillId="0" borderId="0" xfId="0" applyFont="1" applyAlignment="1">
      <alignment vertical="center"/>
    </xf>
    <xf numFmtId="0" fontId="11" fillId="0" borderId="28" xfId="0" applyFont="1" applyBorder="1" applyAlignment="1">
      <alignment vertical="center"/>
    </xf>
    <xf numFmtId="0" fontId="3" fillId="0" borderId="41" xfId="0" applyFont="1" applyBorder="1" applyAlignment="1">
      <alignment vertical="center"/>
    </xf>
    <xf numFmtId="0" fontId="11" fillId="0" borderId="41" xfId="0" applyFont="1" applyBorder="1" applyAlignment="1">
      <alignment vertical="center"/>
    </xf>
    <xf numFmtId="0" fontId="9" fillId="0" borderId="32" xfId="0" applyFont="1" applyBorder="1" applyAlignment="1">
      <alignment horizontal="centerContinuous" vertical="center"/>
    </xf>
    <xf numFmtId="0" fontId="5" fillId="0" borderId="40" xfId="0" quotePrefix="1" applyFont="1" applyBorder="1" applyAlignment="1">
      <alignment horizontal="centerContinuous" vertical="center"/>
    </xf>
    <xf numFmtId="2" fontId="5" fillId="0" borderId="38" xfId="0" quotePrefix="1" applyNumberFormat="1" applyFont="1" applyBorder="1" applyAlignment="1">
      <alignment horizontal="centerContinuous" vertical="center"/>
    </xf>
    <xf numFmtId="0" fontId="5" fillId="0" borderId="39" xfId="0" quotePrefix="1" applyFont="1" applyBorder="1" applyAlignment="1">
      <alignment horizontal="centerContinuous" vertical="center"/>
    </xf>
    <xf numFmtId="0" fontId="5" fillId="0" borderId="32" xfId="0" applyFont="1" applyBorder="1" applyAlignment="1">
      <alignment horizontal="centerContinuous" vertical="center"/>
    </xf>
    <xf numFmtId="1" fontId="5" fillId="0" borderId="33" xfId="0" quotePrefix="1" applyNumberFormat="1" applyFont="1" applyBorder="1" applyAlignment="1">
      <alignment horizontal="center" vertical="center"/>
    </xf>
    <xf numFmtId="0" fontId="5" fillId="0" borderId="45" xfId="0" quotePrefix="1" applyFont="1" applyBorder="1" applyAlignment="1">
      <alignment horizontal="centerContinuous" vertical="center"/>
    </xf>
    <xf numFmtId="0" fontId="5" fillId="0" borderId="16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1" fontId="5" fillId="0" borderId="66" xfId="0" quotePrefix="1" applyNumberFormat="1" applyFont="1" applyBorder="1" applyAlignment="1">
      <alignment horizontal="centerContinuous" vertical="center"/>
    </xf>
    <xf numFmtId="0" fontId="5" fillId="0" borderId="26" xfId="0" quotePrefix="1" applyFont="1" applyBorder="1" applyAlignment="1">
      <alignment horizontal="centerContinuous" vertical="center"/>
    </xf>
    <xf numFmtId="2" fontId="5" fillId="0" borderId="15" xfId="0" quotePrefix="1" applyNumberFormat="1" applyFont="1" applyBorder="1" applyAlignment="1">
      <alignment horizontal="centerContinuous" vertical="center"/>
    </xf>
    <xf numFmtId="2" fontId="5" fillId="0" borderId="34" xfId="0" applyNumberFormat="1" applyFont="1" applyBorder="1" applyAlignment="1">
      <alignment horizontal="centerContinuous" vertical="center"/>
    </xf>
    <xf numFmtId="2" fontId="5" fillId="0" borderId="26" xfId="0" applyNumberFormat="1" applyFont="1" applyBorder="1" applyAlignment="1">
      <alignment horizontal="centerContinuous" vertical="center"/>
    </xf>
    <xf numFmtId="0" fontId="5" fillId="0" borderId="0" xfId="0" applyFont="1" applyBorder="1" applyAlignment="1">
      <alignment vertical="center"/>
    </xf>
    <xf numFmtId="1" fontId="5" fillId="0" borderId="0" xfId="0" applyNumberFormat="1" applyFont="1" applyBorder="1" applyAlignment="1">
      <alignment horizontal="centerContinuous" vertical="center"/>
    </xf>
    <xf numFmtId="1" fontId="5" fillId="0" borderId="13" xfId="0" applyNumberFormat="1" applyFont="1" applyBorder="1" applyAlignment="1">
      <alignment horizontal="centerContinuous" vertical="center"/>
    </xf>
    <xf numFmtId="0" fontId="9" fillId="0" borderId="13" xfId="0" applyFont="1" applyBorder="1" applyAlignment="1">
      <alignment vertical="center"/>
    </xf>
    <xf numFmtId="0" fontId="5" fillId="0" borderId="13" xfId="0" applyFont="1" applyBorder="1"/>
    <xf numFmtId="0" fontId="5" fillId="0" borderId="14" xfId="0" applyFont="1" applyBorder="1"/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0" borderId="46" xfId="0" applyFont="1" applyBorder="1" applyAlignment="1">
      <alignment horizontal="centerContinuous" vertical="center"/>
    </xf>
    <xf numFmtId="0" fontId="5" fillId="0" borderId="18" xfId="0" applyFont="1" applyBorder="1" applyAlignment="1">
      <alignment horizontal="centerContinuous"/>
    </xf>
    <xf numFmtId="0" fontId="11" fillId="0" borderId="47" xfId="0" applyFont="1" applyBorder="1" applyAlignment="1">
      <alignment vertical="center"/>
    </xf>
    <xf numFmtId="0" fontId="11" fillId="0" borderId="42" xfId="0" applyFont="1" applyBorder="1" applyAlignment="1">
      <alignment horizontal="centerContinuous" vertical="center"/>
    </xf>
    <xf numFmtId="0" fontId="5" fillId="0" borderId="48" xfId="0" applyFont="1" applyBorder="1" applyAlignment="1">
      <alignment horizontal="centerContinuous" vertical="center"/>
    </xf>
    <xf numFmtId="0" fontId="11" fillId="0" borderId="49" xfId="0" applyFont="1" applyBorder="1" applyAlignment="1">
      <alignment vertical="center"/>
    </xf>
    <xf numFmtId="0" fontId="11" fillId="0" borderId="50" xfId="0" applyFont="1" applyBorder="1" applyAlignment="1">
      <alignment vertical="center"/>
    </xf>
    <xf numFmtId="0" fontId="11" fillId="0" borderId="51" xfId="0" applyFont="1" applyBorder="1" applyAlignment="1">
      <alignment horizontal="centerContinuous" vertical="center"/>
    </xf>
    <xf numFmtId="0" fontId="5" fillId="0" borderId="52" xfId="0" applyFont="1" applyBorder="1" applyAlignment="1">
      <alignment horizontal="centerContinuous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16" xfId="0" applyFont="1" applyBorder="1" applyAlignment="1">
      <alignment vertical="center"/>
    </xf>
    <xf numFmtId="0" fontId="11" fillId="0" borderId="44" xfId="0" applyFont="1" applyBorder="1" applyAlignment="1">
      <alignment horizontal="centerContinuous" vertical="center"/>
    </xf>
    <xf numFmtId="0" fontId="5" fillId="0" borderId="11" xfId="0" applyFont="1" applyBorder="1" applyAlignment="1">
      <alignment horizontal="centerContinuous" vertical="center"/>
    </xf>
    <xf numFmtId="0" fontId="5" fillId="0" borderId="3" xfId="0" applyFont="1" applyBorder="1" applyAlignment="1">
      <alignment vertical="center"/>
    </xf>
    <xf numFmtId="14" fontId="5" fillId="0" borderId="4" xfId="0" applyNumberFormat="1" applyFont="1" applyBorder="1" applyAlignment="1">
      <alignment horizontal="centerContinuous" vertical="center"/>
    </xf>
    <xf numFmtId="0" fontId="5" fillId="0" borderId="5" xfId="0" applyFont="1" applyBorder="1" applyAlignment="1">
      <alignment horizontal="centerContinuous" vertical="center"/>
    </xf>
    <xf numFmtId="0" fontId="8" fillId="0" borderId="15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6" xfId="0" applyFont="1" applyBorder="1" applyAlignment="1">
      <alignment horizontal="right" vertical="center"/>
    </xf>
    <xf numFmtId="0" fontId="8" fillId="0" borderId="2" xfId="0" applyFont="1" applyBorder="1" applyAlignment="1">
      <alignment horizontal="center"/>
    </xf>
    <xf numFmtId="9" fontId="8" fillId="0" borderId="2" xfId="0" applyNumberFormat="1" applyFont="1" applyBorder="1" applyAlignment="1">
      <alignment horizontal="center"/>
    </xf>
    <xf numFmtId="0" fontId="8" fillId="0" borderId="0" xfId="0" applyFont="1" applyAlignment="1"/>
    <xf numFmtId="2" fontId="8" fillId="0" borderId="2" xfId="0" applyNumberFormat="1" applyFont="1" applyBorder="1"/>
    <xf numFmtId="0" fontId="8" fillId="0" borderId="0" xfId="0" applyFont="1"/>
    <xf numFmtId="2" fontId="8" fillId="0" borderId="2" xfId="0" applyNumberFormat="1" applyFont="1" applyBorder="1" applyAlignment="1"/>
    <xf numFmtId="0" fontId="5" fillId="0" borderId="2" xfId="0" applyFont="1" applyBorder="1"/>
    <xf numFmtId="0" fontId="5" fillId="0" borderId="0" xfId="0" applyFont="1" applyBorder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5" fillId="0" borderId="0" xfId="0" applyFont="1" applyBorder="1"/>
    <xf numFmtId="2" fontId="5" fillId="0" borderId="2" xfId="0" applyNumberFormat="1" applyFont="1" applyBorder="1"/>
    <xf numFmtId="0" fontId="8" fillId="0" borderId="0" xfId="0" applyFont="1" applyAlignment="1">
      <alignment vertical="center"/>
    </xf>
    <xf numFmtId="168" fontId="8" fillId="2" borderId="0" xfId="1" applyNumberFormat="1" applyFont="1" applyFill="1" applyAlignment="1">
      <alignment vertical="center"/>
    </xf>
    <xf numFmtId="0" fontId="5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55" xfId="0" applyNumberFormat="1" applyFont="1" applyBorder="1" applyAlignment="1">
      <alignment horizontal="center" vertical="center"/>
    </xf>
    <xf numFmtId="164" fontId="5" fillId="0" borderId="34" xfId="0" applyNumberFormat="1" applyFont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5" fillId="0" borderId="16" xfId="0" quotePrefix="1" applyFont="1" applyBorder="1" applyAlignment="1">
      <alignment horizontal="centerContinuous" vertical="center"/>
    </xf>
    <xf numFmtId="2" fontId="5" fillId="0" borderId="33" xfId="0" applyNumberFormat="1" applyFont="1" applyBorder="1" applyAlignment="1">
      <alignment horizontal="centerContinuous" vertical="center"/>
    </xf>
    <xf numFmtId="164" fontId="5" fillId="0" borderId="33" xfId="0" applyNumberFormat="1" applyFont="1" applyBorder="1" applyAlignment="1">
      <alignment horizontal="centerContinuous" vertical="center"/>
    </xf>
    <xf numFmtId="164" fontId="5" fillId="0" borderId="30" xfId="0" applyNumberFormat="1" applyFont="1" applyBorder="1" applyAlignment="1">
      <alignment horizontal="centerContinuous" vertical="center"/>
    </xf>
    <xf numFmtId="2" fontId="5" fillId="0" borderId="33" xfId="0" quotePrefix="1" applyNumberFormat="1" applyFont="1" applyBorder="1" applyAlignment="1">
      <alignment horizontal="centerContinuous" vertical="center"/>
    </xf>
    <xf numFmtId="164" fontId="5" fillId="0" borderId="33" xfId="0" quotePrefix="1" applyNumberFormat="1" applyFont="1" applyBorder="1" applyAlignment="1">
      <alignment horizontal="centerContinuous" vertical="center"/>
    </xf>
    <xf numFmtId="1" fontId="5" fillId="0" borderId="39" xfId="0" applyNumberFormat="1" applyFont="1" applyBorder="1" applyAlignment="1">
      <alignment horizontal="centerContinuous" vertical="center"/>
    </xf>
    <xf numFmtId="2" fontId="5" fillId="0" borderId="39" xfId="0" quotePrefix="1" applyNumberFormat="1" applyFont="1" applyBorder="1" applyAlignment="1">
      <alignment horizontal="centerContinuous" vertical="center"/>
    </xf>
    <xf numFmtId="164" fontId="5" fillId="0" borderId="56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9" xfId="0" applyFont="1" applyBorder="1" applyAlignment="1">
      <alignment horizontal="centerContinuous" vertical="center"/>
    </xf>
    <xf numFmtId="2" fontId="5" fillId="0" borderId="39" xfId="0" applyNumberFormat="1" applyFont="1" applyBorder="1" applyAlignment="1">
      <alignment horizontal="centerContinuous" vertical="center"/>
    </xf>
    <xf numFmtId="2" fontId="5" fillId="0" borderId="56" xfId="0" applyNumberFormat="1" applyFont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/>
    </xf>
    <xf numFmtId="1" fontId="5" fillId="0" borderId="39" xfId="0" quotePrefix="1" applyNumberFormat="1" applyFont="1" applyBorder="1" applyAlignment="1">
      <alignment horizontal="centerContinuous" vertical="center"/>
    </xf>
    <xf numFmtId="164" fontId="5" fillId="0" borderId="56" xfId="0" quotePrefix="1" applyNumberFormat="1" applyFont="1" applyBorder="1" applyAlignment="1">
      <alignment horizontal="center" vertical="center"/>
    </xf>
    <xf numFmtId="164" fontId="5" fillId="0" borderId="32" xfId="0" quotePrefix="1" applyNumberFormat="1" applyFont="1" applyBorder="1" applyAlignment="1">
      <alignment horizontal="center" vertical="center"/>
    </xf>
    <xf numFmtId="1" fontId="5" fillId="0" borderId="33" xfId="0" quotePrefix="1" applyNumberFormat="1" applyFont="1" applyBorder="1" applyAlignment="1">
      <alignment horizontal="centerContinuous" vertical="center"/>
    </xf>
    <xf numFmtId="164" fontId="5" fillId="0" borderId="57" xfId="0" quotePrefix="1" applyNumberFormat="1" applyFont="1" applyBorder="1" applyAlignment="1">
      <alignment horizontal="center" vertical="center"/>
    </xf>
    <xf numFmtId="164" fontId="5" fillId="0" borderId="3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Continuous"/>
    </xf>
    <xf numFmtId="0" fontId="14" fillId="0" borderId="13" xfId="0" applyFont="1" applyBorder="1" applyAlignment="1">
      <alignment horizontal="centerContinuous" vertical="center"/>
    </xf>
    <xf numFmtId="0" fontId="9" fillId="0" borderId="3" xfId="0" applyFont="1" applyBorder="1" applyAlignment="1">
      <alignment vertical="center"/>
    </xf>
    <xf numFmtId="14" fontId="9" fillId="0" borderId="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Continuous"/>
    </xf>
    <xf numFmtId="0" fontId="14" fillId="0" borderId="15" xfId="0" applyFont="1" applyBorder="1" applyAlignment="1">
      <alignment horizontal="centerContinuous" vertical="center"/>
    </xf>
    <xf numFmtId="0" fontId="5" fillId="0" borderId="1" xfId="0" applyFont="1" applyBorder="1" applyAlignment="1">
      <alignment vertical="center"/>
    </xf>
    <xf numFmtId="0" fontId="9" fillId="0" borderId="26" xfId="0" applyFont="1" applyBorder="1" applyAlignment="1">
      <alignment horizontal="center" vertical="center"/>
    </xf>
    <xf numFmtId="0" fontId="5" fillId="0" borderId="0" xfId="0" applyFont="1" applyBorder="1" applyAlignment="1"/>
    <xf numFmtId="0" fontId="5" fillId="0" borderId="0" xfId="0" applyFont="1" applyAlignment="1">
      <alignment horizontal="centerContinuous" vertic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Continuous" vertical="center"/>
    </xf>
    <xf numFmtId="0" fontId="5" fillId="0" borderId="4" xfId="0" applyFont="1" applyBorder="1" applyAlignment="1">
      <alignment horizontal="centerContinuous" vertical="center"/>
    </xf>
    <xf numFmtId="0" fontId="11" fillId="0" borderId="4" xfId="0" applyFont="1" applyBorder="1" applyAlignment="1">
      <alignment horizontal="centerContinuous" vertical="center"/>
    </xf>
    <xf numFmtId="0" fontId="11" fillId="0" borderId="24" xfId="0" applyFont="1" applyBorder="1" applyAlignment="1">
      <alignment horizontal="center" vertical="center"/>
    </xf>
    <xf numFmtId="0" fontId="5" fillId="0" borderId="9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Continuous" vertical="center"/>
    </xf>
    <xf numFmtId="0" fontId="5" fillId="0" borderId="10" xfId="0" applyFont="1" applyBorder="1" applyAlignment="1">
      <alignment horizontal="centerContinuous" vertical="center"/>
    </xf>
    <xf numFmtId="0" fontId="11" fillId="0" borderId="25" xfId="0" applyFont="1" applyBorder="1" applyAlignment="1">
      <alignment horizontal="center" vertical="center"/>
    </xf>
    <xf numFmtId="0" fontId="5" fillId="0" borderId="6" xfId="0" applyFont="1" applyBorder="1" applyAlignment="1">
      <alignment horizontal="centerContinuous" vertical="center"/>
    </xf>
    <xf numFmtId="0" fontId="5" fillId="0" borderId="7" xfId="0" applyFont="1" applyBorder="1" applyAlignment="1">
      <alignment horizontal="centerContinuous" vertical="center"/>
    </xf>
    <xf numFmtId="0" fontId="5" fillId="0" borderId="8" xfId="0" applyFont="1" applyBorder="1" applyAlignment="1">
      <alignment horizontal="centerContinuous" vertical="center"/>
    </xf>
    <xf numFmtId="164" fontId="6" fillId="0" borderId="18" xfId="0" applyNumberFormat="1" applyFont="1" applyBorder="1" applyAlignment="1">
      <alignment horizontal="center" vertical="center"/>
    </xf>
    <xf numFmtId="2" fontId="11" fillId="0" borderId="19" xfId="0" applyNumberFormat="1" applyFont="1" applyBorder="1" applyAlignment="1">
      <alignment horizontal="center" vertical="center"/>
    </xf>
    <xf numFmtId="164" fontId="6" fillId="0" borderId="18" xfId="0" quotePrefix="1" applyNumberFormat="1" applyFont="1" applyBorder="1" applyAlignment="1">
      <alignment horizontal="center" vertical="center"/>
    </xf>
    <xf numFmtId="164" fontId="5" fillId="0" borderId="18" xfId="0" quotePrefix="1" applyNumberFormat="1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2" fontId="11" fillId="0" borderId="2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64" fontId="5" fillId="0" borderId="23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5" fillId="0" borderId="16" xfId="0" applyFont="1" applyBorder="1" applyAlignment="1">
      <alignment horizontal="centerContinuous" vertical="center"/>
    </xf>
    <xf numFmtId="0" fontId="5" fillId="0" borderId="1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Continuous" vertical="center"/>
    </xf>
    <xf numFmtId="164" fontId="5" fillId="0" borderId="21" xfId="0" applyNumberFormat="1" applyFont="1" applyBorder="1" applyAlignment="1">
      <alignment horizontal="center" vertical="center"/>
    </xf>
    <xf numFmtId="164" fontId="5" fillId="0" borderId="0" xfId="0" applyNumberFormat="1" applyFont="1"/>
    <xf numFmtId="164" fontId="5" fillId="0" borderId="22" xfId="0" applyNumberFormat="1" applyFont="1" applyBorder="1" applyAlignment="1">
      <alignment horizontal="center" vertical="center"/>
    </xf>
    <xf numFmtId="2" fontId="5" fillId="0" borderId="20" xfId="0" applyNumberFormat="1" applyFont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0" borderId="29" xfId="0" applyNumberFormat="1" applyFont="1" applyBorder="1" applyAlignment="1">
      <alignment horizontal="center" vertical="center"/>
    </xf>
    <xf numFmtId="2" fontId="5" fillId="0" borderId="63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8" fillId="0" borderId="2" xfId="0" applyFont="1" applyBorder="1" applyAlignment="1"/>
    <xf numFmtId="0" fontId="5" fillId="0" borderId="2" xfId="0" applyFont="1" applyFill="1" applyBorder="1" applyAlignment="1">
      <alignment vertical="center"/>
    </xf>
    <xf numFmtId="1" fontId="8" fillId="0" borderId="2" xfId="0" applyNumberFormat="1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5" fillId="0" borderId="7" xfId="0" applyFont="1" applyFill="1" applyBorder="1"/>
    <xf numFmtId="1" fontId="8" fillId="0" borderId="7" xfId="0" applyNumberFormat="1" applyFont="1" applyFill="1" applyBorder="1" applyAlignment="1">
      <alignment vertical="center"/>
    </xf>
    <xf numFmtId="0" fontId="8" fillId="0" borderId="7" xfId="0" applyFont="1" applyFill="1" applyBorder="1"/>
    <xf numFmtId="0" fontId="5" fillId="0" borderId="7" xfId="0" applyFont="1" applyFill="1" applyBorder="1" applyAlignment="1">
      <alignment vertical="center"/>
    </xf>
    <xf numFmtId="1" fontId="8" fillId="0" borderId="7" xfId="0" applyNumberFormat="1" applyFont="1" applyFill="1" applyBorder="1"/>
    <xf numFmtId="0" fontId="0" fillId="0" borderId="0" xfId="0" applyFont="1" applyFill="1" applyBorder="1"/>
    <xf numFmtId="1" fontId="15" fillId="0" borderId="0" xfId="0" applyNumberFormat="1" applyFont="1" applyFill="1" applyBorder="1"/>
    <xf numFmtId="0" fontId="8" fillId="0" borderId="0" xfId="0" applyFont="1" applyFill="1" applyBorder="1"/>
    <xf numFmtId="0" fontId="3" fillId="0" borderId="64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6" fillId="0" borderId="6" xfId="0" applyNumberFormat="1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2" fontId="6" fillId="0" borderId="8" xfId="0" applyNumberFormat="1" applyFont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64" fontId="6" fillId="0" borderId="6" xfId="0" applyNumberFormat="1" applyFont="1" applyBorder="1" applyAlignment="1">
      <alignment vertical="center"/>
    </xf>
    <xf numFmtId="164" fontId="6" fillId="0" borderId="7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9" fontId="5" fillId="0" borderId="4" xfId="0" applyNumberFormat="1" applyFont="1" applyBorder="1" applyAlignment="1">
      <alignment horizontal="center" vertical="center"/>
    </xf>
    <xf numFmtId="169" fontId="5" fillId="0" borderId="5" xfId="0" applyNumberFormat="1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0" borderId="67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</cellXfs>
  <cellStyles count="4">
    <cellStyle name="Euro" xfId="3" xr:uid="{00000000-0005-0000-0000-000000000000}"/>
    <cellStyle name="Prozent" xfId="1" builtinId="5"/>
    <cellStyle name="Standard" xfId="0" builtinId="0"/>
    <cellStyle name="Standard 2" xfId="2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48437500000044"/>
          <c:y val="8.7248465106676928E-2"/>
          <c:w val="0.798828125"/>
          <c:h val="0.66778632908571645"/>
        </c:manualLayout>
      </c:layout>
      <c:lineChart>
        <c:grouping val="standard"/>
        <c:varyColors val="0"/>
        <c:ser>
          <c:idx val="0"/>
          <c:order val="0"/>
          <c:tx>
            <c:strRef>
              <c:f>Sieblinie!$N$26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Sieblinie!$N$27:$N$34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8.1</c:v>
                </c:pt>
                <c:pt idx="2">
                  <c:v>19.399999999999999</c:v>
                </c:pt>
                <c:pt idx="3">
                  <c:v>31.6</c:v>
                </c:pt>
                <c:pt idx="4">
                  <c:v>43.1</c:v>
                </c:pt>
                <c:pt idx="5">
                  <c:v>50.8</c:v>
                </c:pt>
                <c:pt idx="6">
                  <c:v>59.8</c:v>
                </c:pt>
                <c:pt idx="7">
                  <c:v>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3-4C36-B9BE-936B2F946F09}"/>
            </c:ext>
          </c:extLst>
        </c:ser>
        <c:ser>
          <c:idx val="1"/>
          <c:order val="1"/>
          <c:tx>
            <c:strRef>
              <c:f>Sieblinie!$O$26</c:f>
              <c:strCache>
                <c:ptCount val="1"/>
                <c:pt idx="0">
                  <c:v>A 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23-4C36-B9BE-936B2F946F0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23-4C36-B9BE-936B2F946F0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23-4C36-B9BE-936B2F946F0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23-4C36-B9BE-936B2F946F0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23-4C36-B9BE-936B2F946F09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23-4C36-B9BE-936B2F946F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Sieblinie!$O$27:$O$34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21</c:v>
                </c:pt>
                <c:pt idx="5">
                  <c:v>36</c:v>
                </c:pt>
                <c:pt idx="6">
                  <c:v>60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23-4C36-B9BE-936B2F946F09}"/>
            </c:ext>
          </c:extLst>
        </c:ser>
        <c:ser>
          <c:idx val="2"/>
          <c:order val="2"/>
          <c:tx>
            <c:strRef>
              <c:f>Sieblinie!$P$26</c:f>
              <c:strCache>
                <c:ptCount val="1"/>
                <c:pt idx="0">
                  <c:v>B 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23-4C36-B9BE-936B2F946F0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323-4C36-B9BE-936B2F946F0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323-4C36-B9BE-936B2F946F0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323-4C36-B9BE-936B2F946F0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323-4C36-B9BE-936B2F946F09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323-4C36-B9BE-936B2F946F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Sieblinie!$P$27:$P$34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20</c:v>
                </c:pt>
                <c:pt idx="3">
                  <c:v>32</c:v>
                </c:pt>
                <c:pt idx="4">
                  <c:v>42</c:v>
                </c:pt>
                <c:pt idx="5">
                  <c:v>56</c:v>
                </c:pt>
                <c:pt idx="6">
                  <c:v>76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323-4C36-B9BE-936B2F946F09}"/>
            </c:ext>
          </c:extLst>
        </c:ser>
        <c:ser>
          <c:idx val="3"/>
          <c:order val="3"/>
          <c:tx>
            <c:strRef>
              <c:f>Sieblinie!$Q$26</c:f>
              <c:strCache>
                <c:ptCount val="1"/>
                <c:pt idx="0">
                  <c:v>C 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323-4C36-B9BE-936B2F946F0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323-4C36-B9BE-936B2F946F0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323-4C36-B9BE-936B2F946F0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323-4C36-B9BE-936B2F946F0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323-4C36-B9BE-936B2F946F09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323-4C36-B9BE-936B2F946F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Sieblinie!$Q$27:$Q$34</c:f>
              <c:numCache>
                <c:formatCode>General</c:formatCode>
                <c:ptCount val="8"/>
                <c:pt idx="0">
                  <c:v>0</c:v>
                </c:pt>
                <c:pt idx="1">
                  <c:v>18</c:v>
                </c:pt>
                <c:pt idx="2">
                  <c:v>34</c:v>
                </c:pt>
                <c:pt idx="3">
                  <c:v>49</c:v>
                </c:pt>
                <c:pt idx="4">
                  <c:v>62</c:v>
                </c:pt>
                <c:pt idx="5">
                  <c:v>74</c:v>
                </c:pt>
                <c:pt idx="6">
                  <c:v>88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323-4C36-B9BE-936B2F946F09}"/>
            </c:ext>
          </c:extLst>
        </c:ser>
        <c:ser>
          <c:idx val="4"/>
          <c:order val="4"/>
          <c:tx>
            <c:strRef>
              <c:f>Sieblinie!$R$26</c:f>
              <c:strCache>
                <c:ptCount val="1"/>
                <c:pt idx="0">
                  <c:v>U 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323-4C36-B9BE-936B2F946F0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323-4C36-B9BE-936B2F946F0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323-4C36-B9BE-936B2F946F0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323-4C36-B9BE-936B2F946F09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323-4C36-B9BE-936B2F946F09}"/>
                </c:ext>
              </c:extLst>
            </c:dLbl>
            <c:dLbl>
              <c:idx val="6"/>
              <c:layout>
                <c:manualLayout>
                  <c:x val="-5.6733923884514847E-3"/>
                  <c:y val="2.784146501410824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323-4C36-B9BE-936B2F946F0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Sieblinie!$M$27:$M$34</c:f>
              <c:numCache>
                <c:formatCode>General</c:formatCode>
                <c:ptCount val="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cat>
          <c:val>
            <c:numRef>
              <c:f>Sieblinie!$R$27:$R$34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12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323-4C36-B9BE-936B2F946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961856"/>
        <c:axId val="99980416"/>
      </c:lineChart>
      <c:catAx>
        <c:axId val="99961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29492187500000178"/>
              <c:y val="0.85906181028112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999804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9980416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7109375000000139E-2"/>
              <c:y val="0.16107408942771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9996185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36</xdr:row>
      <xdr:rowOff>76200</xdr:rowOff>
    </xdr:from>
    <xdr:to>
      <xdr:col>11</xdr:col>
      <xdr:colOff>390525</xdr:colOff>
      <xdr:row>53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0.41102</cdr:x>
      <cdr:y>0.4118</cdr:y>
    </cdr:from>
    <cdr:to>
      <cdr:x>0.42916</cdr:x>
      <cdr:y>0.46569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011547" y="1175976"/>
          <a:ext cx="88635" cy="1534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</cdr:sp>
  </cdr:relSizeAnchor>
  <cdr:relSizeAnchor xmlns:cdr="http://schemas.openxmlformats.org/drawingml/2006/chartDrawing">
    <cdr:from>
      <cdr:x>0.76964</cdr:x>
      <cdr:y>0.435</cdr:y>
    </cdr:from>
    <cdr:to>
      <cdr:x>0.84048</cdr:x>
      <cdr:y>0.50217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763883" y="1242042"/>
          <a:ext cx="346155" cy="1913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MS Sans Serif"/>
            </a:rPr>
            <a:t>A 16</a:t>
          </a:r>
        </a:p>
      </cdr:txBody>
    </cdr:sp>
  </cdr:relSizeAnchor>
  <cdr:relSizeAnchor xmlns:cdr="http://schemas.openxmlformats.org/drawingml/2006/chartDrawing">
    <cdr:from>
      <cdr:x>0.79268</cdr:x>
      <cdr:y>0.40455</cdr:y>
    </cdr:from>
    <cdr:to>
      <cdr:x>0.80861</cdr:x>
      <cdr:y>0.44442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876473" y="1155331"/>
          <a:ext cx="77855" cy="11355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</cdr:sp>
  </cdr:relSizeAnchor>
  <cdr:relSizeAnchor xmlns:cdr="http://schemas.openxmlformats.org/drawingml/2006/chartDrawing">
    <cdr:from>
      <cdr:x>0.3718</cdr:x>
      <cdr:y>0.35115</cdr:y>
    </cdr:from>
    <cdr:to>
      <cdr:x>0.42916</cdr:x>
      <cdr:y>0.41108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19904" y="1003243"/>
          <a:ext cx="280278" cy="170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MS Sans Serif"/>
            </a:rPr>
            <a:t>C 16</a:t>
          </a:r>
        </a:p>
      </cdr:txBody>
    </cdr:sp>
  </cdr:relSizeAnchor>
  <cdr:relSizeAnchor xmlns:cdr="http://schemas.openxmlformats.org/drawingml/2006/chartDrawing">
    <cdr:from>
      <cdr:x>0.51765</cdr:x>
      <cdr:y>0.44708</cdr:y>
    </cdr:from>
    <cdr:to>
      <cdr:x>0.5505</cdr:x>
      <cdr:y>0.51885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532577" y="1276451"/>
          <a:ext cx="160501" cy="20439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</cdr:sp>
  </cdr:relSizeAnchor>
  <cdr:relSizeAnchor xmlns:cdr="http://schemas.openxmlformats.org/drawingml/2006/chartDrawing">
    <cdr:from>
      <cdr:x>0.5304</cdr:x>
      <cdr:y>0.36057</cdr:y>
    </cdr:from>
    <cdr:to>
      <cdr:x>0.61227</cdr:x>
      <cdr:y>0.45433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94861" y="1030082"/>
          <a:ext cx="400055" cy="2670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MS Sans Serif"/>
            </a:rPr>
            <a:t>B 16</a:t>
          </a:r>
        </a:p>
      </cdr:txBody>
    </cdr:sp>
  </cdr:relSizeAnchor>
  <cdr:relSizeAnchor xmlns:cdr="http://schemas.openxmlformats.org/drawingml/2006/chartDrawing">
    <cdr:from>
      <cdr:x>0.85347</cdr:x>
      <cdr:y>0.46569</cdr:y>
    </cdr:from>
    <cdr:to>
      <cdr:x>0.89318</cdr:x>
      <cdr:y>0.529</cdr:y>
    </cdr:to>
    <cdr:sp macro="" textlink="">
      <cdr:nvSpPr>
        <cdr:cNvPr id="205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173520" y="1329441"/>
          <a:ext cx="194039" cy="18030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</cdr:sp>
  </cdr:relSizeAnchor>
  <cdr:relSizeAnchor xmlns:cdr="http://schemas.openxmlformats.org/drawingml/2006/chartDrawing">
    <cdr:from>
      <cdr:x>0.86377</cdr:x>
      <cdr:y>0.50024</cdr:y>
    </cdr:from>
    <cdr:to>
      <cdr:x>0.92897</cdr:x>
      <cdr:y>0.56089</cdr:y>
    </cdr:to>
    <cdr:sp macro="" textlink="">
      <cdr:nvSpPr>
        <cdr:cNvPr id="2056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23826" y="1427851"/>
          <a:ext cx="318607" cy="17273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MS Sans Serif"/>
            </a:rPr>
            <a:t>U 16</a:t>
          </a:r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4"/>
  <sheetViews>
    <sheetView topLeftCell="A25" zoomScaleNormal="100" workbookViewId="0">
      <selection activeCell="O6" sqref="O6"/>
    </sheetView>
  </sheetViews>
  <sheetFormatPr baseColWidth="10" defaultRowHeight="12.6" x14ac:dyDescent="0.25"/>
  <cols>
    <col min="1" max="1" width="6.109375" customWidth="1"/>
    <col min="2" max="2" width="3.33203125" customWidth="1"/>
    <col min="3" max="3" width="9.109375" customWidth="1"/>
    <col min="4" max="5" width="6.44140625" customWidth="1"/>
    <col min="6" max="6" width="6.5546875" customWidth="1"/>
    <col min="7" max="11" width="6.44140625" customWidth="1"/>
    <col min="12" max="12" width="10.88671875" customWidth="1"/>
  </cols>
  <sheetData>
    <row r="1" spans="1:18" ht="20.100000000000001" customHeight="1" x14ac:dyDescent="0.25">
      <c r="A1" s="279" t="s">
        <v>146</v>
      </c>
      <c r="B1" s="7" t="s">
        <v>0</v>
      </c>
      <c r="C1" s="220"/>
      <c r="D1" s="221"/>
      <c r="E1" s="221"/>
      <c r="F1" s="221"/>
      <c r="G1" s="221"/>
      <c r="H1" s="221"/>
      <c r="I1" s="221"/>
      <c r="J1" s="222" t="s">
        <v>1</v>
      </c>
      <c r="K1" s="171"/>
      <c r="L1" s="223">
        <v>43209</v>
      </c>
      <c r="M1" s="48"/>
      <c r="N1" s="48"/>
      <c r="O1" s="48"/>
      <c r="P1" s="48"/>
      <c r="Q1" s="48"/>
      <c r="R1" s="48"/>
    </row>
    <row r="2" spans="1:18" ht="20.100000000000001" customHeight="1" thickBot="1" x14ac:dyDescent="0.3">
      <c r="A2" s="280"/>
      <c r="B2" s="8" t="s">
        <v>2</v>
      </c>
      <c r="C2" s="224"/>
      <c r="D2" s="225"/>
      <c r="E2" s="225"/>
      <c r="F2" s="225"/>
      <c r="G2" s="225"/>
      <c r="H2" s="225"/>
      <c r="I2" s="225"/>
      <c r="J2" s="77" t="s">
        <v>3</v>
      </c>
      <c r="K2" s="226"/>
      <c r="L2" s="227" t="s">
        <v>151</v>
      </c>
      <c r="M2" s="48"/>
      <c r="N2" s="48"/>
      <c r="O2" s="48"/>
      <c r="P2" s="48"/>
      <c r="Q2" s="48"/>
      <c r="R2" s="48"/>
    </row>
    <row r="3" spans="1:18" ht="5.25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8"/>
      <c r="N3" s="48"/>
      <c r="O3" s="48"/>
      <c r="P3" s="48"/>
      <c r="Q3" s="48"/>
      <c r="R3" s="48"/>
    </row>
    <row r="4" spans="1:18" ht="20.100000000000001" customHeight="1" x14ac:dyDescent="0.25">
      <c r="A4" s="47" t="s">
        <v>4</v>
      </c>
      <c r="B4" s="47"/>
      <c r="C4" s="47"/>
      <c r="D4" s="49" t="s">
        <v>158</v>
      </c>
      <c r="E4" s="49"/>
      <c r="F4" s="49"/>
      <c r="G4" s="49"/>
      <c r="H4" s="228"/>
      <c r="I4" s="49" t="s">
        <v>135</v>
      </c>
      <c r="J4" s="49"/>
      <c r="K4" s="92"/>
      <c r="L4" s="92"/>
      <c r="M4" s="48"/>
      <c r="N4" s="48"/>
      <c r="O4" s="48"/>
      <c r="P4" s="48"/>
      <c r="Q4" s="48"/>
      <c r="R4" s="48"/>
    </row>
    <row r="5" spans="1:18" ht="20.100000000000001" customHeight="1" x14ac:dyDescent="0.25">
      <c r="A5" s="47" t="s">
        <v>5</v>
      </c>
      <c r="B5" s="47"/>
      <c r="C5" s="47"/>
      <c r="D5" s="49" t="s">
        <v>159</v>
      </c>
      <c r="E5" s="49"/>
      <c r="F5" s="49"/>
      <c r="G5" s="49"/>
      <c r="H5" s="228"/>
      <c r="I5" s="49" t="s">
        <v>6</v>
      </c>
      <c r="J5" s="49" t="s">
        <v>139</v>
      </c>
      <c r="K5" s="92"/>
      <c r="L5" s="92"/>
      <c r="M5" s="48"/>
      <c r="N5" s="48"/>
      <c r="O5" s="48"/>
      <c r="P5" s="48"/>
      <c r="Q5" s="48"/>
      <c r="R5" s="48"/>
    </row>
    <row r="6" spans="1:18" ht="20.100000000000001" customHeight="1" x14ac:dyDescent="0.25">
      <c r="A6" s="47" t="s">
        <v>7</v>
      </c>
      <c r="B6" s="47"/>
      <c r="C6" s="47"/>
      <c r="D6" s="48"/>
      <c r="E6" s="228"/>
      <c r="F6" s="49" t="s">
        <v>157</v>
      </c>
      <c r="G6" s="49"/>
      <c r="H6" s="184" t="s">
        <v>8</v>
      </c>
      <c r="I6" s="184"/>
      <c r="J6" s="182" t="s">
        <v>139</v>
      </c>
      <c r="K6" s="92"/>
      <c r="L6" s="92"/>
      <c r="M6" s="48"/>
      <c r="N6" s="48"/>
      <c r="O6" s="48"/>
      <c r="P6" s="48"/>
      <c r="Q6" s="48"/>
      <c r="R6" s="48"/>
    </row>
    <row r="7" spans="1:18" ht="9.9" customHeight="1" x14ac:dyDescent="0.25">
      <c r="A7" s="46"/>
      <c r="B7" s="46"/>
      <c r="C7" s="46"/>
      <c r="D7" s="46"/>
      <c r="E7" s="148"/>
      <c r="F7" s="46"/>
      <c r="G7" s="46"/>
      <c r="H7" s="46"/>
      <c r="I7" s="46"/>
      <c r="J7" s="46"/>
      <c r="K7" s="46"/>
      <c r="L7" s="46"/>
      <c r="M7" s="48"/>
      <c r="N7" s="48"/>
      <c r="O7" s="48"/>
      <c r="P7" s="48"/>
      <c r="Q7" s="48"/>
      <c r="R7" s="48"/>
    </row>
    <row r="8" spans="1:18" ht="15.9" customHeight="1" x14ac:dyDescent="0.25">
      <c r="A8" s="188" t="s">
        <v>9</v>
      </c>
      <c r="B8" s="46"/>
      <c r="C8" s="46"/>
      <c r="D8" s="46"/>
      <c r="E8" s="46"/>
      <c r="F8" s="46"/>
      <c r="G8" s="46"/>
      <c r="H8" s="229" t="s">
        <v>10</v>
      </c>
      <c r="I8" s="229"/>
      <c r="J8" s="92" t="s">
        <v>11</v>
      </c>
      <c r="K8" s="92"/>
      <c r="L8" s="230">
        <f>L35</f>
        <v>3.8810000000000002</v>
      </c>
      <c r="M8" s="48"/>
      <c r="N8" s="48"/>
      <c r="O8" s="48"/>
      <c r="P8" s="48"/>
      <c r="Q8" s="48"/>
      <c r="R8" s="48"/>
    </row>
    <row r="9" spans="1:18" ht="5.0999999999999996" customHeight="1" thickBot="1" x14ac:dyDescent="0.3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8"/>
      <c r="N9" s="48"/>
      <c r="O9" s="48"/>
      <c r="P9" s="48"/>
      <c r="Q9" s="48"/>
      <c r="R9" s="48"/>
    </row>
    <row r="10" spans="1:18" ht="15.9" customHeight="1" x14ac:dyDescent="0.25">
      <c r="A10" s="231" t="s">
        <v>12</v>
      </c>
      <c r="B10" s="232"/>
      <c r="C10" s="172"/>
      <c r="D10" s="233" t="s">
        <v>13</v>
      </c>
      <c r="E10" s="232"/>
      <c r="F10" s="232"/>
      <c r="G10" s="232"/>
      <c r="H10" s="232"/>
      <c r="I10" s="232"/>
      <c r="J10" s="232"/>
      <c r="K10" s="232"/>
      <c r="L10" s="234" t="s">
        <v>14</v>
      </c>
      <c r="M10" s="48"/>
      <c r="N10" s="48"/>
      <c r="O10" s="48"/>
      <c r="P10" s="48"/>
      <c r="Q10" s="48"/>
      <c r="R10" s="48"/>
    </row>
    <row r="11" spans="1:18" ht="15.9" customHeight="1" thickBot="1" x14ac:dyDescent="0.3">
      <c r="A11" s="235" t="s">
        <v>15</v>
      </c>
      <c r="B11" s="236"/>
      <c r="C11" s="237"/>
      <c r="D11" s="169">
        <v>0.25</v>
      </c>
      <c r="E11" s="169">
        <v>0.5</v>
      </c>
      <c r="F11" s="169">
        <v>1</v>
      </c>
      <c r="G11" s="169">
        <v>2</v>
      </c>
      <c r="H11" s="169">
        <v>4</v>
      </c>
      <c r="I11" s="169">
        <v>8</v>
      </c>
      <c r="J11" s="169">
        <v>16</v>
      </c>
      <c r="K11" s="169">
        <v>31.5</v>
      </c>
      <c r="L11" s="238" t="s">
        <v>16</v>
      </c>
      <c r="M11" s="48"/>
      <c r="N11" s="48"/>
      <c r="O11" s="48"/>
      <c r="P11" s="48"/>
      <c r="Q11" s="48"/>
      <c r="R11" s="48"/>
    </row>
    <row r="12" spans="1:18" ht="15.9" customHeight="1" x14ac:dyDescent="0.25">
      <c r="A12" s="239" t="s">
        <v>17</v>
      </c>
      <c r="B12" s="240"/>
      <c r="C12" s="241"/>
      <c r="D12" s="242">
        <v>100</v>
      </c>
      <c r="E12" s="242">
        <v>100</v>
      </c>
      <c r="F12" s="242">
        <v>100</v>
      </c>
      <c r="G12" s="242">
        <v>100</v>
      </c>
      <c r="H12" s="242">
        <v>100</v>
      </c>
      <c r="I12" s="242">
        <v>100</v>
      </c>
      <c r="J12" s="242">
        <v>100</v>
      </c>
      <c r="K12" s="242">
        <v>100</v>
      </c>
      <c r="L12" s="243" t="s">
        <v>18</v>
      </c>
      <c r="M12" s="48"/>
      <c r="N12" s="48"/>
      <c r="O12" s="48"/>
      <c r="P12" s="48"/>
      <c r="Q12" s="48"/>
      <c r="R12" s="48"/>
    </row>
    <row r="13" spans="1:18" ht="15.9" customHeight="1" x14ac:dyDescent="0.25">
      <c r="A13" s="239" t="s">
        <v>19</v>
      </c>
      <c r="B13" s="240"/>
      <c r="C13" s="241"/>
      <c r="D13" s="242">
        <v>40.506666666666661</v>
      </c>
      <c r="E13" s="242">
        <v>94.486666666666665</v>
      </c>
      <c r="F13" s="242">
        <v>100</v>
      </c>
      <c r="G13" s="242">
        <v>100</v>
      </c>
      <c r="H13" s="242">
        <v>100</v>
      </c>
      <c r="I13" s="242">
        <v>100</v>
      </c>
      <c r="J13" s="242">
        <v>100</v>
      </c>
      <c r="K13" s="242">
        <v>100</v>
      </c>
      <c r="L13" s="243" t="s">
        <v>134</v>
      </c>
      <c r="M13" s="48"/>
      <c r="N13" s="48"/>
      <c r="O13" s="48"/>
      <c r="P13" s="48"/>
      <c r="Q13" s="48"/>
      <c r="R13" s="48"/>
    </row>
    <row r="14" spans="1:18" ht="15.9" customHeight="1" x14ac:dyDescent="0.25">
      <c r="A14" s="239" t="s">
        <v>20</v>
      </c>
      <c r="B14" s="240"/>
      <c r="C14" s="241"/>
      <c r="D14" s="242">
        <v>0.37319763423890606</v>
      </c>
      <c r="E14" s="242">
        <v>4.11225872321738</v>
      </c>
      <c r="F14" s="242">
        <v>97.174894419009547</v>
      </c>
      <c r="G14" s="242">
        <v>99.986665331999632</v>
      </c>
      <c r="H14" s="242">
        <v>100</v>
      </c>
      <c r="I14" s="242">
        <v>100</v>
      </c>
      <c r="J14" s="242">
        <v>100</v>
      </c>
      <c r="K14" s="242">
        <v>100</v>
      </c>
      <c r="L14" s="243" t="s">
        <v>134</v>
      </c>
      <c r="M14" s="48"/>
      <c r="N14" s="48"/>
      <c r="O14" s="48"/>
      <c r="P14" s="48"/>
      <c r="Q14" s="48"/>
      <c r="R14" s="48"/>
    </row>
    <row r="15" spans="1:18" ht="15.9" customHeight="1" x14ac:dyDescent="0.25">
      <c r="A15" s="239" t="s">
        <v>21</v>
      </c>
      <c r="B15" s="240"/>
      <c r="C15" s="241"/>
      <c r="D15" s="244">
        <v>3.9968026643649068E-2</v>
      </c>
      <c r="E15" s="244">
        <v>5.9956033839327461E-2</v>
      </c>
      <c r="F15" s="242">
        <v>3.7837476926757176</v>
      </c>
      <c r="G15" s="242">
        <v>98.707759045124973</v>
      </c>
      <c r="H15" s="242">
        <v>100</v>
      </c>
      <c r="I15" s="242">
        <v>100</v>
      </c>
      <c r="J15" s="242">
        <v>100</v>
      </c>
      <c r="K15" s="242">
        <v>100</v>
      </c>
      <c r="L15" s="243" t="s">
        <v>134</v>
      </c>
      <c r="M15" s="48"/>
      <c r="N15" s="48"/>
      <c r="O15" s="48"/>
      <c r="P15" s="48"/>
      <c r="Q15" s="48"/>
      <c r="R15" s="48"/>
    </row>
    <row r="16" spans="1:18" ht="15.9" customHeight="1" x14ac:dyDescent="0.25">
      <c r="A16" s="239" t="s">
        <v>22</v>
      </c>
      <c r="B16" s="240"/>
      <c r="C16" s="241"/>
      <c r="D16" s="245">
        <v>4.4215995136255515E-2</v>
      </c>
      <c r="E16" s="245">
        <v>6.6352548867897099E-2</v>
      </c>
      <c r="F16" s="245">
        <v>5.5469887064987233E-2</v>
      </c>
      <c r="G16" s="246">
        <v>1.7022715967501227</v>
      </c>
      <c r="H16" s="246">
        <v>99.650771016415192</v>
      </c>
      <c r="I16" s="246">
        <v>100</v>
      </c>
      <c r="J16" s="246">
        <v>100</v>
      </c>
      <c r="K16" s="246">
        <v>100</v>
      </c>
      <c r="L16" s="243" t="s">
        <v>134</v>
      </c>
      <c r="M16" s="48"/>
      <c r="N16" s="48"/>
      <c r="O16" s="48"/>
      <c r="P16" s="48"/>
      <c r="Q16" s="48"/>
      <c r="R16" s="48"/>
    </row>
    <row r="17" spans="1:18" ht="15.9" customHeight="1" x14ac:dyDescent="0.25">
      <c r="A17" s="239" t="s">
        <v>129</v>
      </c>
      <c r="B17" s="240"/>
      <c r="C17" s="241"/>
      <c r="D17" s="245">
        <v>0.25</v>
      </c>
      <c r="E17" s="245">
        <v>0.25</v>
      </c>
      <c r="F17" s="245">
        <v>0.39999999999999147</v>
      </c>
      <c r="G17" s="245">
        <v>0.8499999999999801</v>
      </c>
      <c r="H17" s="246">
        <v>2.8499999999999801</v>
      </c>
      <c r="I17" s="246">
        <v>100</v>
      </c>
      <c r="J17" s="246">
        <v>100</v>
      </c>
      <c r="K17" s="246">
        <v>100</v>
      </c>
      <c r="L17" s="243" t="s">
        <v>134</v>
      </c>
      <c r="M17" s="48"/>
      <c r="N17" s="48"/>
      <c r="O17" s="48"/>
      <c r="P17" s="48"/>
      <c r="Q17" s="48"/>
      <c r="R17" s="48"/>
    </row>
    <row r="18" spans="1:18" ht="15.9" customHeight="1" x14ac:dyDescent="0.25">
      <c r="A18" s="239" t="s">
        <v>23</v>
      </c>
      <c r="B18" s="240"/>
      <c r="C18" s="241"/>
      <c r="D18" s="245">
        <v>5.1515431166706094E-2</v>
      </c>
      <c r="E18" s="245">
        <v>6.6091904011983615E-2</v>
      </c>
      <c r="F18" s="245">
        <v>7.7497727404505667E-2</v>
      </c>
      <c r="G18" s="245">
        <v>9.8904519058578444E-2</v>
      </c>
      <c r="H18" s="245">
        <v>0.21416637027704155</v>
      </c>
      <c r="I18" s="246">
        <v>4.3031052331478463</v>
      </c>
      <c r="J18" s="246">
        <v>97.937904965219531</v>
      </c>
      <c r="K18" s="246">
        <v>100</v>
      </c>
      <c r="L18" s="243" t="s">
        <v>134</v>
      </c>
      <c r="M18" s="48"/>
      <c r="N18" s="48"/>
      <c r="O18" s="48"/>
      <c r="P18" s="48"/>
      <c r="Q18" s="48"/>
      <c r="R18" s="48"/>
    </row>
    <row r="19" spans="1:18" ht="15.75" customHeight="1" thickBot="1" x14ac:dyDescent="0.3">
      <c r="A19" s="235"/>
      <c r="B19" s="236"/>
      <c r="C19" s="237"/>
      <c r="D19" s="247"/>
      <c r="E19" s="247"/>
      <c r="F19" s="247"/>
      <c r="G19" s="247"/>
      <c r="H19" s="247"/>
      <c r="I19" s="247"/>
      <c r="J19" s="247"/>
      <c r="K19" s="247"/>
      <c r="L19" s="248"/>
      <c r="M19" s="48"/>
      <c r="N19" s="48"/>
      <c r="O19" s="48"/>
      <c r="P19" s="48"/>
      <c r="Q19" s="48"/>
      <c r="R19" s="48"/>
    </row>
    <row r="20" spans="1:18" ht="4.5" customHeight="1" x14ac:dyDescent="0.25">
      <c r="A20" s="148"/>
      <c r="B20" s="148"/>
      <c r="C20" s="148"/>
      <c r="D20" s="148"/>
      <c r="E20" s="148"/>
      <c r="F20" s="148"/>
      <c r="G20" s="148"/>
      <c r="H20" s="148"/>
      <c r="I20" s="148"/>
      <c r="J20" s="148"/>
      <c r="K20" s="148"/>
      <c r="L20" s="46"/>
      <c r="M20" s="48"/>
      <c r="N20" s="48"/>
      <c r="O20" s="48"/>
      <c r="P20" s="48"/>
      <c r="Q20" s="48"/>
      <c r="R20" s="48"/>
    </row>
    <row r="21" spans="1:18" ht="15.9" customHeight="1" x14ac:dyDescent="0.25">
      <c r="A21" s="249" t="s">
        <v>24</v>
      </c>
      <c r="B21" s="148"/>
      <c r="C21" s="148"/>
      <c r="D21" s="46"/>
      <c r="E21" s="46"/>
      <c r="F21" s="46"/>
      <c r="G21" s="46"/>
      <c r="H21" s="46"/>
      <c r="I21" s="46"/>
      <c r="J21" s="46"/>
      <c r="K21" s="46"/>
      <c r="L21" s="46"/>
      <c r="M21" s="48"/>
      <c r="N21" s="48"/>
      <c r="O21" s="48"/>
      <c r="P21" s="48"/>
      <c r="Q21" s="48"/>
      <c r="R21" s="48"/>
    </row>
    <row r="22" spans="1:18" ht="5.0999999999999996" customHeight="1" x14ac:dyDescent="0.25">
      <c r="A22" s="148"/>
      <c r="B22" s="148"/>
      <c r="C22" s="148"/>
      <c r="D22" s="46"/>
      <c r="E22" s="46"/>
      <c r="F22" s="46"/>
      <c r="G22" s="46"/>
      <c r="H22" s="46"/>
      <c r="I22" s="46"/>
      <c r="J22" s="46"/>
      <c r="K22" s="46"/>
      <c r="L22" s="46"/>
      <c r="M22" s="48"/>
      <c r="N22" s="48"/>
      <c r="O22" s="48"/>
      <c r="P22" s="48"/>
      <c r="Q22" s="48"/>
      <c r="R22" s="48"/>
    </row>
    <row r="23" spans="1:18" ht="15.9" customHeight="1" x14ac:dyDescent="0.25">
      <c r="A23" s="148" t="s">
        <v>25</v>
      </c>
      <c r="B23" s="148"/>
      <c r="C23" s="148"/>
      <c r="D23" s="250">
        <v>8</v>
      </c>
      <c r="E23" s="250">
        <v>20</v>
      </c>
      <c r="F23" s="250">
        <v>32</v>
      </c>
      <c r="G23" s="250">
        <v>44</v>
      </c>
      <c r="H23" s="250">
        <v>52</v>
      </c>
      <c r="I23" s="250">
        <v>61</v>
      </c>
      <c r="J23" s="250">
        <v>99</v>
      </c>
      <c r="K23" s="250">
        <v>100</v>
      </c>
      <c r="L23" s="251">
        <f>(800-SUM(D23:K23))/100</f>
        <v>3.84</v>
      </c>
      <c r="M23" s="48"/>
      <c r="N23" s="48"/>
      <c r="O23" s="48"/>
      <c r="P23" s="48"/>
      <c r="Q23" s="48"/>
      <c r="R23" s="48"/>
    </row>
    <row r="24" spans="1:18" ht="3.75" customHeight="1" thickBot="1" x14ac:dyDescent="0.3">
      <c r="A24" s="148"/>
      <c r="B24" s="148"/>
      <c r="C24" s="148"/>
      <c r="D24" s="148"/>
      <c r="E24" s="148"/>
      <c r="F24" s="46"/>
      <c r="G24" s="46"/>
      <c r="H24" s="46"/>
      <c r="I24" s="46"/>
      <c r="J24" s="46"/>
      <c r="K24" s="46"/>
      <c r="L24" s="46"/>
      <c r="M24" s="48"/>
      <c r="N24" s="48"/>
      <c r="O24" s="48"/>
      <c r="P24" s="48"/>
      <c r="Q24" s="48"/>
      <c r="R24" s="48"/>
    </row>
    <row r="25" spans="1:18" ht="15.9" customHeight="1" x14ac:dyDescent="0.25">
      <c r="A25" s="54" t="s">
        <v>12</v>
      </c>
      <c r="B25" s="56"/>
      <c r="C25" s="55"/>
      <c r="D25" s="233" t="s">
        <v>26</v>
      </c>
      <c r="E25" s="233"/>
      <c r="F25" s="233"/>
      <c r="G25" s="233"/>
      <c r="H25" s="233"/>
      <c r="I25" s="233"/>
      <c r="J25" s="233"/>
      <c r="K25" s="233"/>
      <c r="L25" s="234" t="s">
        <v>27</v>
      </c>
      <c r="M25" s="48"/>
      <c r="N25" s="48"/>
      <c r="O25" s="48"/>
      <c r="P25" s="48"/>
      <c r="Q25" s="48"/>
      <c r="R25" s="48"/>
    </row>
    <row r="26" spans="1:18" ht="15.9" customHeight="1" thickBot="1" x14ac:dyDescent="0.3">
      <c r="A26" s="252" t="s">
        <v>15</v>
      </c>
      <c r="B26" s="44"/>
      <c r="C26" s="253" t="s">
        <v>28</v>
      </c>
      <c r="D26" s="169">
        <v>0.25</v>
      </c>
      <c r="E26" s="169">
        <v>0.5</v>
      </c>
      <c r="F26" s="169">
        <v>1</v>
      </c>
      <c r="G26" s="169">
        <v>2</v>
      </c>
      <c r="H26" s="169">
        <v>4</v>
      </c>
      <c r="I26" s="169">
        <v>8</v>
      </c>
      <c r="J26" s="169">
        <v>16</v>
      </c>
      <c r="K26" s="169">
        <v>31.5</v>
      </c>
      <c r="L26" s="254" t="s">
        <v>29</v>
      </c>
      <c r="M26" s="48"/>
      <c r="N26" s="48" t="s">
        <v>30</v>
      </c>
      <c r="O26" s="48" t="s">
        <v>31</v>
      </c>
      <c r="P26" s="48" t="s">
        <v>32</v>
      </c>
      <c r="Q26" s="48" t="s">
        <v>33</v>
      </c>
      <c r="R26" s="48" t="s">
        <v>34</v>
      </c>
    </row>
    <row r="27" spans="1:18" ht="15.9" customHeight="1" x14ac:dyDescent="0.25">
      <c r="A27" s="239" t="s">
        <v>35</v>
      </c>
      <c r="B27" s="240"/>
      <c r="C27" s="255">
        <v>0</v>
      </c>
      <c r="D27" s="246">
        <f t="shared" ref="D27:K34" si="0">ROUND((($C27*D12)/100),1)</f>
        <v>0</v>
      </c>
      <c r="E27" s="246">
        <f t="shared" si="0"/>
        <v>0</v>
      </c>
      <c r="F27" s="246">
        <f t="shared" si="0"/>
        <v>0</v>
      </c>
      <c r="G27" s="246">
        <f t="shared" si="0"/>
        <v>0</v>
      </c>
      <c r="H27" s="246">
        <f t="shared" si="0"/>
        <v>0</v>
      </c>
      <c r="I27" s="246">
        <f t="shared" si="0"/>
        <v>0</v>
      </c>
      <c r="J27" s="246">
        <f t="shared" si="0"/>
        <v>0</v>
      </c>
      <c r="K27" s="246">
        <f t="shared" si="0"/>
        <v>0</v>
      </c>
      <c r="L27" s="251"/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</row>
    <row r="28" spans="1:18" ht="15.9" customHeight="1" x14ac:dyDescent="0.25">
      <c r="A28" s="239" t="s">
        <v>19</v>
      </c>
      <c r="B28" s="240"/>
      <c r="C28" s="255">
        <v>20</v>
      </c>
      <c r="D28" s="246">
        <f t="shared" si="0"/>
        <v>8.1</v>
      </c>
      <c r="E28" s="246">
        <f t="shared" si="0"/>
        <v>18.899999999999999</v>
      </c>
      <c r="F28" s="246">
        <f t="shared" si="0"/>
        <v>20</v>
      </c>
      <c r="G28" s="246">
        <f t="shared" si="0"/>
        <v>20</v>
      </c>
      <c r="H28" s="246">
        <f t="shared" si="0"/>
        <v>20</v>
      </c>
      <c r="I28" s="246">
        <f t="shared" si="0"/>
        <v>20</v>
      </c>
      <c r="J28" s="246">
        <f t="shared" si="0"/>
        <v>20</v>
      </c>
      <c r="K28" s="246">
        <f t="shared" ref="K28:K34" si="1">ROUND((($C28*K13)/100),1)</f>
        <v>20</v>
      </c>
      <c r="L28" s="251"/>
      <c r="M28" s="48">
        <v>0.25</v>
      </c>
      <c r="N28" s="256">
        <f>D$35</f>
        <v>8.1</v>
      </c>
      <c r="O28" s="48">
        <v>3</v>
      </c>
      <c r="P28" s="48">
        <v>8</v>
      </c>
      <c r="Q28" s="48">
        <v>18</v>
      </c>
      <c r="R28" s="48">
        <v>3</v>
      </c>
    </row>
    <row r="29" spans="1:18" ht="15.9" customHeight="1" x14ac:dyDescent="0.25">
      <c r="A29" s="239" t="s">
        <v>36</v>
      </c>
      <c r="B29" s="240"/>
      <c r="C29" s="255">
        <v>11.5</v>
      </c>
      <c r="D29" s="246">
        <f t="shared" si="0"/>
        <v>0</v>
      </c>
      <c r="E29" s="246">
        <f t="shared" si="0"/>
        <v>0.5</v>
      </c>
      <c r="F29" s="246">
        <f t="shared" si="0"/>
        <v>11.2</v>
      </c>
      <c r="G29" s="246">
        <f t="shared" si="0"/>
        <v>11.5</v>
      </c>
      <c r="H29" s="246">
        <f t="shared" si="0"/>
        <v>11.5</v>
      </c>
      <c r="I29" s="246">
        <f t="shared" si="0"/>
        <v>11.5</v>
      </c>
      <c r="J29" s="246">
        <f t="shared" si="0"/>
        <v>11.5</v>
      </c>
      <c r="K29" s="246">
        <f t="shared" si="1"/>
        <v>11.5</v>
      </c>
      <c r="L29" s="251"/>
      <c r="M29" s="48">
        <v>0.5</v>
      </c>
      <c r="N29" s="256">
        <f>E$35</f>
        <v>19.399999999999999</v>
      </c>
      <c r="O29" s="48">
        <v>8</v>
      </c>
      <c r="P29" s="48">
        <v>20</v>
      </c>
      <c r="Q29" s="48">
        <v>34</v>
      </c>
      <c r="R29" s="48">
        <v>8</v>
      </c>
    </row>
    <row r="30" spans="1:18" ht="15.9" customHeight="1" x14ac:dyDescent="0.25">
      <c r="A30" s="239" t="s">
        <v>37</v>
      </c>
      <c r="B30" s="240"/>
      <c r="C30" s="255">
        <v>11.5</v>
      </c>
      <c r="D30" s="246">
        <f t="shared" si="0"/>
        <v>0</v>
      </c>
      <c r="E30" s="246">
        <f t="shared" si="0"/>
        <v>0</v>
      </c>
      <c r="F30" s="246">
        <f t="shared" si="0"/>
        <v>0.4</v>
      </c>
      <c r="G30" s="246">
        <f t="shared" si="0"/>
        <v>11.4</v>
      </c>
      <c r="H30" s="246">
        <f t="shared" si="0"/>
        <v>11.5</v>
      </c>
      <c r="I30" s="246">
        <f t="shared" si="0"/>
        <v>11.5</v>
      </c>
      <c r="J30" s="246">
        <f t="shared" si="0"/>
        <v>11.5</v>
      </c>
      <c r="K30" s="246">
        <f t="shared" si="1"/>
        <v>11.5</v>
      </c>
      <c r="L30" s="251"/>
      <c r="M30" s="48">
        <v>1</v>
      </c>
      <c r="N30" s="256">
        <f>F$35</f>
        <v>31.6</v>
      </c>
      <c r="O30" s="48">
        <v>12</v>
      </c>
      <c r="P30" s="48">
        <v>32</v>
      </c>
      <c r="Q30" s="48">
        <v>49</v>
      </c>
      <c r="R30" s="48">
        <v>12</v>
      </c>
    </row>
    <row r="31" spans="1:18" ht="15.9" customHeight="1" x14ac:dyDescent="0.25">
      <c r="A31" s="239" t="s">
        <v>38</v>
      </c>
      <c r="B31" s="240"/>
      <c r="C31" s="255">
        <v>7.5</v>
      </c>
      <c r="D31" s="246">
        <f t="shared" si="0"/>
        <v>0</v>
      </c>
      <c r="E31" s="246">
        <f t="shared" si="0"/>
        <v>0</v>
      </c>
      <c r="F31" s="246">
        <f t="shared" si="0"/>
        <v>0</v>
      </c>
      <c r="G31" s="246">
        <f t="shared" si="0"/>
        <v>0.1</v>
      </c>
      <c r="H31" s="246">
        <f t="shared" si="0"/>
        <v>7.5</v>
      </c>
      <c r="I31" s="246">
        <f t="shared" si="0"/>
        <v>7.5</v>
      </c>
      <c r="J31" s="246">
        <f t="shared" si="0"/>
        <v>7.5</v>
      </c>
      <c r="K31" s="246">
        <f t="shared" si="1"/>
        <v>7.5</v>
      </c>
      <c r="L31" s="251"/>
      <c r="M31" s="48">
        <v>2</v>
      </c>
      <c r="N31" s="256">
        <f>G$35</f>
        <v>43.1</v>
      </c>
      <c r="O31" s="48">
        <v>21</v>
      </c>
      <c r="P31" s="48">
        <v>42</v>
      </c>
      <c r="Q31" s="48">
        <v>62</v>
      </c>
      <c r="R31" s="48">
        <v>30</v>
      </c>
    </row>
    <row r="32" spans="1:18" ht="16.5" customHeight="1" x14ac:dyDescent="0.25">
      <c r="A32" s="239" t="s">
        <v>130</v>
      </c>
      <c r="B32" s="240"/>
      <c r="C32" s="255">
        <v>7.5</v>
      </c>
      <c r="D32" s="246">
        <f t="shared" si="0"/>
        <v>0</v>
      </c>
      <c r="E32" s="246">
        <f t="shared" si="0"/>
        <v>0</v>
      </c>
      <c r="F32" s="246">
        <f t="shared" si="0"/>
        <v>0</v>
      </c>
      <c r="G32" s="246">
        <f t="shared" si="0"/>
        <v>0.1</v>
      </c>
      <c r="H32" s="246">
        <f t="shared" si="0"/>
        <v>0.2</v>
      </c>
      <c r="I32" s="246">
        <f t="shared" si="0"/>
        <v>7.5</v>
      </c>
      <c r="J32" s="246">
        <f t="shared" si="0"/>
        <v>7.5</v>
      </c>
      <c r="K32" s="246">
        <f t="shared" si="1"/>
        <v>7.5</v>
      </c>
      <c r="L32" s="251"/>
      <c r="M32" s="48">
        <v>4</v>
      </c>
      <c r="N32" s="256">
        <f>H$35</f>
        <v>50.8</v>
      </c>
      <c r="O32" s="48">
        <v>36</v>
      </c>
      <c r="P32" s="48">
        <v>56</v>
      </c>
      <c r="Q32" s="48">
        <v>74</v>
      </c>
      <c r="R32" s="48">
        <v>30</v>
      </c>
    </row>
    <row r="33" spans="1:18" ht="15.9" customHeight="1" x14ac:dyDescent="0.25">
      <c r="A33" s="239" t="s">
        <v>39</v>
      </c>
      <c r="B33" s="240"/>
      <c r="C33" s="255">
        <v>42</v>
      </c>
      <c r="D33" s="246">
        <f t="shared" si="0"/>
        <v>0</v>
      </c>
      <c r="E33" s="246">
        <f t="shared" si="0"/>
        <v>0</v>
      </c>
      <c r="F33" s="246">
        <f t="shared" si="0"/>
        <v>0</v>
      </c>
      <c r="G33" s="246">
        <f t="shared" si="0"/>
        <v>0</v>
      </c>
      <c r="H33" s="246">
        <f t="shared" si="0"/>
        <v>0.1</v>
      </c>
      <c r="I33" s="246">
        <f t="shared" si="0"/>
        <v>1.8</v>
      </c>
      <c r="J33" s="246">
        <f t="shared" si="0"/>
        <v>41.1</v>
      </c>
      <c r="K33" s="246">
        <f t="shared" si="1"/>
        <v>42</v>
      </c>
      <c r="L33" s="251"/>
      <c r="M33" s="48">
        <v>8</v>
      </c>
      <c r="N33" s="256">
        <f>I$35</f>
        <v>59.8</v>
      </c>
      <c r="O33" s="48">
        <v>60</v>
      </c>
      <c r="P33" s="48">
        <v>76</v>
      </c>
      <c r="Q33" s="48">
        <v>88</v>
      </c>
      <c r="R33" s="48">
        <v>30</v>
      </c>
    </row>
    <row r="34" spans="1:18" ht="15.9" customHeight="1" thickBot="1" x14ac:dyDescent="0.3">
      <c r="A34" s="235"/>
      <c r="B34" s="236"/>
      <c r="C34" s="257"/>
      <c r="D34" s="247">
        <f t="shared" si="0"/>
        <v>0</v>
      </c>
      <c r="E34" s="247">
        <f t="shared" si="0"/>
        <v>0</v>
      </c>
      <c r="F34" s="247">
        <f t="shared" si="0"/>
        <v>0</v>
      </c>
      <c r="G34" s="247">
        <f t="shared" si="0"/>
        <v>0</v>
      </c>
      <c r="H34" s="247">
        <f t="shared" si="0"/>
        <v>0</v>
      </c>
      <c r="I34" s="247">
        <f t="shared" si="0"/>
        <v>0</v>
      </c>
      <c r="J34" s="247">
        <f t="shared" si="0"/>
        <v>0</v>
      </c>
      <c r="K34" s="247">
        <f t="shared" si="1"/>
        <v>0</v>
      </c>
      <c r="L34" s="258"/>
      <c r="M34" s="48">
        <v>16</v>
      </c>
      <c r="N34" s="256">
        <f>J$35</f>
        <v>99.1</v>
      </c>
      <c r="O34" s="48">
        <v>100</v>
      </c>
      <c r="P34" s="48">
        <v>100</v>
      </c>
      <c r="Q34" s="48">
        <v>100</v>
      </c>
      <c r="R34" s="48">
        <v>100</v>
      </c>
    </row>
    <row r="35" spans="1:18" ht="15.9" customHeight="1" x14ac:dyDescent="0.25">
      <c r="A35" s="197" t="s">
        <v>30</v>
      </c>
      <c r="B35" s="198"/>
      <c r="C35" s="259">
        <f>SUM(C27:C34)</f>
        <v>100</v>
      </c>
      <c r="D35" s="260">
        <f t="shared" ref="D35:J35" si="2">ROUND((SUM(D27:D33)),1)</f>
        <v>8.1</v>
      </c>
      <c r="E35" s="260">
        <f t="shared" si="2"/>
        <v>19.399999999999999</v>
      </c>
      <c r="F35" s="260">
        <f t="shared" si="2"/>
        <v>31.6</v>
      </c>
      <c r="G35" s="260">
        <f t="shared" si="2"/>
        <v>43.1</v>
      </c>
      <c r="H35" s="260">
        <f>ROUND((SUM(H27:H33)),1)</f>
        <v>50.8</v>
      </c>
      <c r="I35" s="260">
        <f t="shared" si="2"/>
        <v>59.8</v>
      </c>
      <c r="J35" s="260">
        <f t="shared" si="2"/>
        <v>99.1</v>
      </c>
      <c r="K35" s="260">
        <f>ROUND((SUM(K27:K33)),1)</f>
        <v>100</v>
      </c>
      <c r="L35" s="261">
        <f>(700-SUM(D35:J35))/100</f>
        <v>3.8810000000000002</v>
      </c>
      <c r="M35" s="48"/>
      <c r="N35" s="48"/>
      <c r="O35" s="48"/>
      <c r="P35" s="48"/>
      <c r="Q35" s="48"/>
      <c r="R35" s="48"/>
    </row>
    <row r="36" spans="1:18" ht="15.9" customHeight="1" thickBot="1" x14ac:dyDescent="0.3">
      <c r="A36" s="262" t="s">
        <v>40</v>
      </c>
      <c r="B36" s="263"/>
      <c r="C36" s="264"/>
      <c r="D36" s="247">
        <f t="shared" ref="D36:K36" si="3">D35-D23</f>
        <v>9.9999999999999645E-2</v>
      </c>
      <c r="E36" s="247">
        <f t="shared" si="3"/>
        <v>-0.60000000000000142</v>
      </c>
      <c r="F36" s="247">
        <f t="shared" si="3"/>
        <v>-0.39999999999999858</v>
      </c>
      <c r="G36" s="247">
        <f t="shared" si="3"/>
        <v>-0.89999999999999858</v>
      </c>
      <c r="H36" s="247">
        <f t="shared" si="3"/>
        <v>-1.2000000000000028</v>
      </c>
      <c r="I36" s="247">
        <f t="shared" si="3"/>
        <v>-1.2000000000000028</v>
      </c>
      <c r="J36" s="247">
        <f t="shared" si="3"/>
        <v>9.9999999999994316E-2</v>
      </c>
      <c r="K36" s="247">
        <f t="shared" si="3"/>
        <v>0</v>
      </c>
      <c r="L36" s="258">
        <f>L35-L23</f>
        <v>4.1000000000000369E-2</v>
      </c>
      <c r="M36" s="48"/>
      <c r="N36" s="48"/>
      <c r="O36" s="48"/>
      <c r="P36" s="48"/>
      <c r="Q36" s="48"/>
      <c r="R36" s="48"/>
    </row>
    <row r="37" spans="1:18" ht="15.9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9" spans="1:18" x14ac:dyDescent="0.25">
      <c r="D39" s="4"/>
    </row>
    <row r="41" spans="1:18" x14ac:dyDescent="0.25">
      <c r="O41" s="5"/>
    </row>
    <row r="45" spans="1:18" x14ac:dyDescent="0.25">
      <c r="O45" s="5"/>
    </row>
    <row r="59" spans="1:11" x14ac:dyDescent="0.25">
      <c r="A59" s="20"/>
      <c r="B59" s="32"/>
      <c r="C59" s="21">
        <v>0.125</v>
      </c>
      <c r="D59" s="22">
        <v>0.25</v>
      </c>
      <c r="E59" s="3">
        <v>0.5</v>
      </c>
      <c r="F59" s="22">
        <v>1</v>
      </c>
      <c r="G59" s="3">
        <v>2</v>
      </c>
      <c r="H59" s="22">
        <v>4</v>
      </c>
      <c r="I59" s="3">
        <v>8</v>
      </c>
      <c r="J59" s="23">
        <v>16</v>
      </c>
      <c r="K59" s="9"/>
    </row>
    <row r="60" spans="1:11" x14ac:dyDescent="0.25">
      <c r="A60" s="28" t="s">
        <v>125</v>
      </c>
      <c r="B60" s="29"/>
      <c r="C60" s="24">
        <f t="shared" ref="C60:J60" si="4">POWER((C59/16),0.5)*100</f>
        <v>8.8388347648318444</v>
      </c>
      <c r="D60" s="24">
        <f t="shared" si="4"/>
        <v>12.5</v>
      </c>
      <c r="E60" s="24">
        <f t="shared" si="4"/>
        <v>17.677669529663689</v>
      </c>
      <c r="F60" s="24">
        <f t="shared" si="4"/>
        <v>25</v>
      </c>
      <c r="G60" s="24">
        <f t="shared" si="4"/>
        <v>35.355339059327378</v>
      </c>
      <c r="H60" s="24">
        <f t="shared" si="4"/>
        <v>50</v>
      </c>
      <c r="I60" s="24">
        <f t="shared" si="4"/>
        <v>70.710678118654755</v>
      </c>
      <c r="J60" s="24">
        <f t="shared" si="4"/>
        <v>100</v>
      </c>
    </row>
    <row r="61" spans="1:11" x14ac:dyDescent="0.25">
      <c r="A61" s="28" t="s">
        <v>126</v>
      </c>
      <c r="B61" s="29"/>
      <c r="C61" s="25">
        <f t="shared" ref="C61:J61" si="5">(C59/16+POWER(C59/16,0.5))*50</f>
        <v>4.8100423824159222</v>
      </c>
      <c r="D61" s="25">
        <f t="shared" si="5"/>
        <v>7.03125</v>
      </c>
      <c r="E61" s="25">
        <f t="shared" si="5"/>
        <v>10.401334764831844</v>
      </c>
      <c r="F61" s="25">
        <f t="shared" si="5"/>
        <v>15.625</v>
      </c>
      <c r="G61" s="25">
        <f t="shared" si="5"/>
        <v>23.927669529663689</v>
      </c>
      <c r="H61" s="25">
        <f t="shared" si="5"/>
        <v>37.5</v>
      </c>
      <c r="I61" s="25">
        <f t="shared" si="5"/>
        <v>60.35533905932737</v>
      </c>
      <c r="J61" s="25">
        <f t="shared" si="5"/>
        <v>100</v>
      </c>
    </row>
    <row r="62" spans="1:11" x14ac:dyDescent="0.25">
      <c r="A62" s="28"/>
      <c r="B62" s="29"/>
      <c r="C62" s="26"/>
      <c r="D62" s="26"/>
      <c r="E62" s="26"/>
      <c r="F62" s="26"/>
      <c r="G62" s="26"/>
      <c r="H62" s="26"/>
      <c r="I62" s="26"/>
      <c r="J62" s="26"/>
    </row>
    <row r="63" spans="1:11" x14ac:dyDescent="0.25">
      <c r="A63" s="28" t="s">
        <v>127</v>
      </c>
      <c r="B63" s="29"/>
      <c r="C63" s="25">
        <f>(C60+C61)/2</f>
        <v>6.8244385736238833</v>
      </c>
      <c r="D63" s="25">
        <f t="shared" ref="D63:J63" si="6">(D60+D61)/2</f>
        <v>9.765625</v>
      </c>
      <c r="E63" s="25">
        <f t="shared" si="6"/>
        <v>14.039502147247767</v>
      </c>
      <c r="F63" s="25">
        <f t="shared" si="6"/>
        <v>20.3125</v>
      </c>
      <c r="G63" s="25">
        <f t="shared" si="6"/>
        <v>29.641504294495533</v>
      </c>
      <c r="H63" s="25">
        <f t="shared" si="6"/>
        <v>43.75</v>
      </c>
      <c r="I63" s="25">
        <f t="shared" si="6"/>
        <v>65.533008588991066</v>
      </c>
      <c r="J63" s="25">
        <f t="shared" si="6"/>
        <v>100</v>
      </c>
    </row>
    <row r="64" spans="1:11" x14ac:dyDescent="0.25">
      <c r="A64" s="30" t="s">
        <v>128</v>
      </c>
      <c r="B64" s="31"/>
      <c r="C64" s="27">
        <f t="shared" ref="C64:J64" si="7">(2*C60+C61)/3</f>
        <v>7.4959039706932034</v>
      </c>
      <c r="D64" s="27">
        <f t="shared" si="7"/>
        <v>10.677083333333334</v>
      </c>
      <c r="E64" s="27">
        <f t="shared" si="7"/>
        <v>15.252224608053075</v>
      </c>
      <c r="F64" s="27">
        <f t="shared" si="7"/>
        <v>21.875</v>
      </c>
      <c r="G64" s="27">
        <f t="shared" si="7"/>
        <v>31.546115882772813</v>
      </c>
      <c r="H64" s="27">
        <f t="shared" si="7"/>
        <v>45.833333333333336</v>
      </c>
      <c r="I64" s="27">
        <f t="shared" si="7"/>
        <v>67.258898432212291</v>
      </c>
      <c r="J64" s="27">
        <f t="shared" si="7"/>
        <v>100</v>
      </c>
    </row>
  </sheetData>
  <mergeCells count="1">
    <mergeCell ref="A1:A2"/>
  </mergeCells>
  <phoneticPr fontId="2" type="noConversion"/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1"/>
  <sheetViews>
    <sheetView tabSelected="1" topLeftCell="A19" workbookViewId="0">
      <selection activeCell="M25" sqref="M25"/>
    </sheetView>
  </sheetViews>
  <sheetFormatPr baseColWidth="10" defaultRowHeight="12.6" x14ac:dyDescent="0.25"/>
  <cols>
    <col min="1" max="1" width="9.109375" customWidth="1"/>
    <col min="2" max="2" width="10" customWidth="1"/>
    <col min="3" max="6" width="6.6640625" customWidth="1"/>
    <col min="7" max="7" width="7.33203125" customWidth="1"/>
    <col min="8" max="10" width="6.6640625" customWidth="1"/>
    <col min="11" max="11" width="8" customWidth="1"/>
    <col min="12" max="12" width="8.6640625" customWidth="1"/>
  </cols>
  <sheetData>
    <row r="1" spans="1:11" ht="17.100000000000001" customHeight="1" x14ac:dyDescent="0.25">
      <c r="A1" s="279" t="str">
        <f>Sieblinie!A1</f>
        <v>BAM
7.4</v>
      </c>
      <c r="B1" s="40" t="s">
        <v>102</v>
      </c>
      <c r="C1" s="40"/>
      <c r="D1" s="40"/>
      <c r="E1" s="40"/>
      <c r="F1" s="40"/>
      <c r="G1" s="40"/>
      <c r="H1" s="40"/>
      <c r="I1" s="170" t="s">
        <v>1</v>
      </c>
      <c r="J1" s="171">
        <f>Sieblinie!L1</f>
        <v>43209</v>
      </c>
      <c r="K1" s="172"/>
    </row>
    <row r="2" spans="1:11" ht="17.100000000000001" customHeight="1" thickBot="1" x14ac:dyDescent="0.3">
      <c r="A2" s="280"/>
      <c r="B2" s="173"/>
      <c r="C2" s="173"/>
      <c r="D2" s="173"/>
      <c r="E2" s="173"/>
      <c r="F2" s="173"/>
      <c r="G2" s="173"/>
      <c r="H2" s="173"/>
      <c r="I2" s="141" t="s">
        <v>124</v>
      </c>
      <c r="J2" s="174"/>
      <c r="K2" s="175" t="str">
        <f>Sieblinie!L2</f>
        <v>Haamkens</v>
      </c>
    </row>
    <row r="3" spans="1:11" ht="8.1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ht="18" customHeight="1" x14ac:dyDescent="0.25">
      <c r="A4" s="47" t="s">
        <v>4</v>
      </c>
      <c r="B4" s="47"/>
      <c r="C4" s="48"/>
      <c r="D4" s="49" t="str">
        <f>Sieblinie!D4</f>
        <v>Katja Brecht (7.3)</v>
      </c>
      <c r="E4" s="49"/>
      <c r="F4" s="49"/>
      <c r="G4" s="49"/>
      <c r="H4" s="49"/>
      <c r="I4" s="49"/>
      <c r="J4" s="49"/>
      <c r="K4" s="49"/>
    </row>
    <row r="5" spans="1:11" ht="18" customHeight="1" x14ac:dyDescent="0.25">
      <c r="A5" s="47" t="s">
        <v>5</v>
      </c>
      <c r="B5" s="47"/>
      <c r="C5" s="48"/>
      <c r="D5" s="49" t="str">
        <f>Sieblinie!D5</f>
        <v>FE-7.3-731</v>
      </c>
      <c r="E5" s="49"/>
      <c r="F5" s="49"/>
      <c r="G5" s="49"/>
      <c r="H5" s="49"/>
      <c r="I5" s="49"/>
      <c r="J5" s="49"/>
      <c r="K5" s="49"/>
    </row>
    <row r="6" spans="1:11" ht="18" customHeight="1" x14ac:dyDescent="0.25">
      <c r="A6" s="47" t="s">
        <v>45</v>
      </c>
      <c r="B6" s="47"/>
      <c r="C6" s="47"/>
      <c r="D6" s="176" t="s">
        <v>143</v>
      </c>
      <c r="E6" s="176" t="s">
        <v>136</v>
      </c>
      <c r="F6" s="176" t="s">
        <v>144</v>
      </c>
      <c r="G6" s="176" t="s">
        <v>136</v>
      </c>
      <c r="H6" s="177">
        <f>I12</f>
        <v>0.70704311904680617</v>
      </c>
      <c r="I6" s="49"/>
      <c r="J6" s="49"/>
      <c r="K6" s="49"/>
    </row>
    <row r="7" spans="1:11" ht="3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</row>
    <row r="8" spans="1:11" ht="18" customHeight="1" x14ac:dyDescent="0.25">
      <c r="A8" s="47" t="s">
        <v>103</v>
      </c>
      <c r="B8" s="47"/>
      <c r="C8" s="47"/>
      <c r="D8" s="47"/>
      <c r="E8" s="49" t="str">
        <f>Sieblinie!F6</f>
        <v>C45/55</v>
      </c>
      <c r="F8" s="49"/>
      <c r="G8" s="49"/>
      <c r="H8" s="49"/>
      <c r="I8" s="49"/>
      <c r="J8" s="49"/>
      <c r="K8" s="49"/>
    </row>
    <row r="9" spans="1:11" ht="18" customHeight="1" x14ac:dyDescent="0.25">
      <c r="A9" s="178" t="s">
        <v>141</v>
      </c>
      <c r="B9" s="179">
        <f>C23/C22</f>
        <v>0.6</v>
      </c>
      <c r="C9" s="180" t="s">
        <v>142</v>
      </c>
      <c r="D9" s="181">
        <f>C23/(C22+C26)</f>
        <v>0.29950083194675542</v>
      </c>
      <c r="E9" s="182"/>
      <c r="F9" s="183" t="s">
        <v>104</v>
      </c>
      <c r="G9" s="184"/>
      <c r="H9" s="49" t="s">
        <v>139</v>
      </c>
      <c r="I9" s="49"/>
      <c r="J9" s="49"/>
      <c r="K9" s="49"/>
    </row>
    <row r="10" spans="1:11" ht="18" customHeight="1" x14ac:dyDescent="0.25">
      <c r="A10" s="48" t="s">
        <v>105</v>
      </c>
      <c r="B10" s="48"/>
      <c r="C10" s="185" t="str">
        <f>Sieblinie!J6</f>
        <v>SVB</v>
      </c>
      <c r="D10" s="185"/>
      <c r="E10" s="186"/>
      <c r="F10" s="184" t="s">
        <v>106</v>
      </c>
      <c r="G10" s="184"/>
      <c r="H10" s="184"/>
      <c r="I10" s="187">
        <f>Sieblinie!L35</f>
        <v>3.8810000000000002</v>
      </c>
      <c r="J10" s="49"/>
      <c r="K10" s="49"/>
    </row>
    <row r="11" spans="1:11" ht="5.25" customHeight="1" x14ac:dyDescent="0.2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</row>
    <row r="12" spans="1:11" ht="17.100000000000001" customHeight="1" x14ac:dyDescent="0.25">
      <c r="A12" s="188" t="s">
        <v>107</v>
      </c>
      <c r="B12" s="188"/>
      <c r="C12" s="188"/>
      <c r="D12" s="46"/>
      <c r="E12" s="46"/>
      <c r="F12" s="188" t="s">
        <v>140</v>
      </c>
      <c r="G12" s="188"/>
      <c r="H12" s="188"/>
      <c r="I12" s="189">
        <f>SUM(G22:H27)/SUM(G30:G36)</f>
        <v>0.70704311904680617</v>
      </c>
      <c r="J12" s="46"/>
      <c r="K12" s="46"/>
    </row>
    <row r="13" spans="1:11" ht="3" customHeight="1" thickBot="1" x14ac:dyDescent="0.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</row>
    <row r="14" spans="1:11" ht="20.100000000000001" customHeight="1" x14ac:dyDescent="0.25">
      <c r="A14" s="170" t="s">
        <v>108</v>
      </c>
      <c r="B14" s="58"/>
      <c r="C14" s="190">
        <v>0.25</v>
      </c>
      <c r="D14" s="191">
        <v>0.5</v>
      </c>
      <c r="E14" s="191">
        <v>1</v>
      </c>
      <c r="F14" s="191">
        <v>2</v>
      </c>
      <c r="G14" s="191">
        <v>4</v>
      </c>
      <c r="H14" s="191">
        <v>8</v>
      </c>
      <c r="I14" s="191">
        <v>16</v>
      </c>
      <c r="J14" s="191">
        <v>31.5</v>
      </c>
      <c r="K14" s="192" t="s">
        <v>109</v>
      </c>
    </row>
    <row r="15" spans="1:11" ht="20.100000000000001" customHeight="1" thickBot="1" x14ac:dyDescent="0.3">
      <c r="A15" s="141" t="s">
        <v>110</v>
      </c>
      <c r="B15" s="174"/>
      <c r="C15" s="193">
        <f>Sieblinie!D35</f>
        <v>8.1</v>
      </c>
      <c r="D15" s="194">
        <f>Sieblinie!E35</f>
        <v>19.399999999999999</v>
      </c>
      <c r="E15" s="194">
        <f>Sieblinie!F35</f>
        <v>31.6</v>
      </c>
      <c r="F15" s="194">
        <f>Sieblinie!G35</f>
        <v>43.1</v>
      </c>
      <c r="G15" s="194">
        <f>Sieblinie!H35</f>
        <v>50.8</v>
      </c>
      <c r="H15" s="194">
        <f>Sieblinie!I35</f>
        <v>59.8</v>
      </c>
      <c r="I15" s="194">
        <f>Sieblinie!J35</f>
        <v>99.1</v>
      </c>
      <c r="J15" s="194">
        <f>Sieblinie!K35</f>
        <v>100</v>
      </c>
      <c r="K15" s="195">
        <f>(800-SUM(C15:J15))/100</f>
        <v>3.8810000000000002</v>
      </c>
    </row>
    <row r="16" spans="1:11" ht="5.25" customHeight="1" x14ac:dyDescent="0.25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</row>
    <row r="17" spans="1:13" ht="17.100000000000001" customHeight="1" x14ac:dyDescent="0.25">
      <c r="A17" s="188" t="s">
        <v>111</v>
      </c>
      <c r="B17" s="188"/>
      <c r="C17" s="188"/>
      <c r="D17" s="188"/>
      <c r="E17" s="188"/>
      <c r="F17" s="46"/>
      <c r="G17" s="46"/>
      <c r="H17" s="46"/>
      <c r="I17" s="46"/>
      <c r="J17" s="46"/>
      <c r="K17" s="46"/>
    </row>
    <row r="18" spans="1:13" ht="3" customHeight="1" thickBot="1" x14ac:dyDescent="0.3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</row>
    <row r="19" spans="1:13" ht="17.100000000000001" customHeight="1" x14ac:dyDescent="0.25">
      <c r="A19" s="54" t="s">
        <v>48</v>
      </c>
      <c r="B19" s="55"/>
      <c r="C19" s="56" t="s">
        <v>112</v>
      </c>
      <c r="D19" s="55"/>
      <c r="E19" s="56" t="s">
        <v>113</v>
      </c>
      <c r="F19" s="55"/>
      <c r="G19" s="56" t="s">
        <v>114</v>
      </c>
      <c r="H19" s="55"/>
      <c r="I19" s="54" t="s">
        <v>115</v>
      </c>
      <c r="J19" s="56"/>
      <c r="K19" s="55"/>
    </row>
    <row r="20" spans="1:13" ht="17.100000000000001" customHeight="1" x14ac:dyDescent="0.25">
      <c r="A20" s="70"/>
      <c r="B20" s="66"/>
      <c r="C20" s="71"/>
      <c r="D20" s="72"/>
      <c r="E20" s="71" t="s">
        <v>116</v>
      </c>
      <c r="F20" s="72"/>
      <c r="G20" s="64"/>
      <c r="H20" s="196"/>
      <c r="I20" s="197"/>
      <c r="J20" s="198"/>
      <c r="K20" s="199"/>
    </row>
    <row r="21" spans="1:13" ht="20.100000000000001" customHeight="1" thickBot="1" x14ac:dyDescent="0.3">
      <c r="A21" s="141"/>
      <c r="B21" s="142"/>
      <c r="C21" s="44" t="s">
        <v>58</v>
      </c>
      <c r="D21" s="45"/>
      <c r="E21" s="44" t="s">
        <v>100</v>
      </c>
      <c r="F21" s="45"/>
      <c r="G21" s="44" t="s">
        <v>98</v>
      </c>
      <c r="H21" s="45"/>
      <c r="I21" s="200" t="s">
        <v>65</v>
      </c>
      <c r="J21" s="44"/>
      <c r="K21" s="45"/>
    </row>
    <row r="22" spans="1:13" ht="20.100000000000001" customHeight="1" x14ac:dyDescent="0.25">
      <c r="A22" s="296" t="s">
        <v>61</v>
      </c>
      <c r="B22" s="297"/>
      <c r="C22" s="79">
        <v>300</v>
      </c>
      <c r="D22" s="72"/>
      <c r="E22" s="201">
        <v>3.125</v>
      </c>
      <c r="F22" s="82"/>
      <c r="G22" s="202">
        <f>ROUND((C22/E22),1)</f>
        <v>96</v>
      </c>
      <c r="H22" s="203"/>
      <c r="I22" s="35" t="s">
        <v>154</v>
      </c>
      <c r="J22" s="36"/>
      <c r="K22" s="37"/>
    </row>
    <row r="23" spans="1:13" ht="20.100000000000001" customHeight="1" x14ac:dyDescent="0.25">
      <c r="A23" s="70" t="s">
        <v>62</v>
      </c>
      <c r="B23" s="66"/>
      <c r="C23" s="84">
        <v>180</v>
      </c>
      <c r="D23" s="85"/>
      <c r="E23" s="201">
        <v>1</v>
      </c>
      <c r="F23" s="82"/>
      <c r="G23" s="202">
        <f>C23</f>
        <v>180</v>
      </c>
      <c r="H23" s="203"/>
      <c r="I23" s="284"/>
      <c r="J23" s="285"/>
      <c r="K23" s="286"/>
    </row>
    <row r="24" spans="1:13" ht="20.100000000000001" customHeight="1" x14ac:dyDescent="0.25">
      <c r="A24" s="70" t="s">
        <v>64</v>
      </c>
      <c r="B24" s="66"/>
      <c r="C24" s="90" t="s">
        <v>65</v>
      </c>
      <c r="D24" s="72"/>
      <c r="E24" s="204" t="s">
        <v>65</v>
      </c>
      <c r="F24" s="82"/>
      <c r="G24" s="205" t="s">
        <v>65</v>
      </c>
      <c r="H24" s="203"/>
      <c r="I24" s="284"/>
      <c r="J24" s="285"/>
      <c r="K24" s="286"/>
    </row>
    <row r="25" spans="1:13" ht="20.100000000000001" customHeight="1" x14ac:dyDescent="0.25">
      <c r="A25" s="70" t="s">
        <v>67</v>
      </c>
      <c r="B25" s="66"/>
      <c r="C25" s="90" t="s">
        <v>65</v>
      </c>
      <c r="D25" s="72"/>
      <c r="E25" s="204" t="s">
        <v>65</v>
      </c>
      <c r="F25" s="82"/>
      <c r="G25" s="202">
        <v>20</v>
      </c>
      <c r="H25" s="203"/>
      <c r="I25" s="284"/>
      <c r="J25" s="285"/>
      <c r="K25" s="286"/>
    </row>
    <row r="26" spans="1:13" ht="20.100000000000001" customHeight="1" x14ac:dyDescent="0.25">
      <c r="A26" s="70" t="s">
        <v>168</v>
      </c>
      <c r="B26" s="70" t="s">
        <v>138</v>
      </c>
      <c r="C26" s="90">
        <v>301</v>
      </c>
      <c r="D26" s="72"/>
      <c r="E26" s="204">
        <v>2.7349999999999999</v>
      </c>
      <c r="F26" s="82"/>
      <c r="G26" s="202">
        <f>ROUND((C26/E26),1)</f>
        <v>110.1</v>
      </c>
      <c r="H26" s="203"/>
      <c r="I26" s="293" t="s">
        <v>137</v>
      </c>
      <c r="J26" s="294"/>
      <c r="K26" s="295"/>
    </row>
    <row r="27" spans="1:13" ht="20.100000000000001" customHeight="1" x14ac:dyDescent="0.25">
      <c r="A27" s="70" t="s">
        <v>117</v>
      </c>
      <c r="B27" s="66"/>
      <c r="C27" s="90">
        <f>2.85*C22/100</f>
        <v>8.5500000000000007</v>
      </c>
      <c r="D27" s="72"/>
      <c r="E27" s="204">
        <v>1.05</v>
      </c>
      <c r="F27" s="82"/>
      <c r="G27" s="202">
        <f>ROUND((C27/E27),1)</f>
        <v>8.1</v>
      </c>
      <c r="H27" s="203"/>
      <c r="I27" s="300" t="s">
        <v>165</v>
      </c>
      <c r="J27" s="301"/>
      <c r="K27" s="302"/>
    </row>
    <row r="28" spans="1:13" ht="20.100000000000001" customHeight="1" x14ac:dyDescent="0.25">
      <c r="A28" s="298" t="s">
        <v>71</v>
      </c>
      <c r="B28" s="299"/>
      <c r="C28" s="79"/>
      <c r="D28" s="72"/>
      <c r="E28" s="204" t="s">
        <v>65</v>
      </c>
      <c r="F28" s="82"/>
      <c r="G28" s="205">
        <f>SUM(G22:G27)</f>
        <v>414.20000000000005</v>
      </c>
      <c r="H28" s="203"/>
      <c r="I28" s="284"/>
      <c r="J28" s="285"/>
      <c r="K28" s="286"/>
    </row>
    <row r="29" spans="1:13" ht="20.100000000000001" customHeight="1" x14ac:dyDescent="0.25">
      <c r="A29" s="104" t="s">
        <v>73</v>
      </c>
      <c r="B29" s="105"/>
      <c r="C29" s="206">
        <f>SUM(C30:C38)</f>
        <v>1552</v>
      </c>
      <c r="D29" s="138"/>
      <c r="E29" s="207" t="s">
        <v>65</v>
      </c>
      <c r="F29" s="111"/>
      <c r="G29" s="208">
        <f>1000-G28</f>
        <v>585.79999999999995</v>
      </c>
      <c r="H29" s="209" t="s">
        <v>118</v>
      </c>
      <c r="I29" s="284"/>
      <c r="J29" s="285"/>
      <c r="K29" s="286"/>
    </row>
    <row r="30" spans="1:13" ht="20.100000000000001" customHeight="1" x14ac:dyDescent="0.25">
      <c r="A30" s="210" t="s">
        <v>76</v>
      </c>
      <c r="B30" s="138"/>
      <c r="C30" s="206">
        <f t="shared" ref="C30:C36" si="0">ROUND((G30*E30),0)</f>
        <v>0</v>
      </c>
      <c r="D30" s="138"/>
      <c r="E30" s="211">
        <v>2.65</v>
      </c>
      <c r="F30" s="111"/>
      <c r="G30" s="212">
        <f t="shared" ref="G30:G36" si="1">ROUND(((G$29*H30)/100),2)</f>
        <v>0</v>
      </c>
      <c r="H30" s="213">
        <f>Sieblinie!D27</f>
        <v>0</v>
      </c>
      <c r="I30" s="290" t="str">
        <f>Sieblinie!L12</f>
        <v>Quarz</v>
      </c>
      <c r="J30" s="291"/>
      <c r="K30" s="292"/>
    </row>
    <row r="31" spans="1:13" ht="20.100000000000001" customHeight="1" x14ac:dyDescent="0.25">
      <c r="A31" s="210" t="s">
        <v>77</v>
      </c>
      <c r="B31" s="138"/>
      <c r="C31" s="206">
        <f t="shared" si="0"/>
        <v>310</v>
      </c>
      <c r="D31" s="138"/>
      <c r="E31" s="211">
        <v>2.65</v>
      </c>
      <c r="F31" s="111"/>
      <c r="G31" s="212">
        <f t="shared" si="1"/>
        <v>117.16</v>
      </c>
      <c r="H31" s="213">
        <f>Sieblinie!C28</f>
        <v>20</v>
      </c>
      <c r="I31" s="290" t="str">
        <f>Sieblinie!L13</f>
        <v>Okrilla</v>
      </c>
      <c r="J31" s="291"/>
      <c r="K31" s="292"/>
    </row>
    <row r="32" spans="1:13" ht="20.100000000000001" customHeight="1" x14ac:dyDescent="0.25">
      <c r="A32" s="210" t="s">
        <v>119</v>
      </c>
      <c r="B32" s="138"/>
      <c r="C32" s="206">
        <f t="shared" si="0"/>
        <v>179</v>
      </c>
      <c r="D32" s="138"/>
      <c r="E32" s="211">
        <v>2.65</v>
      </c>
      <c r="F32" s="111"/>
      <c r="G32" s="212">
        <f t="shared" si="1"/>
        <v>67.37</v>
      </c>
      <c r="H32" s="213">
        <f>Sieblinie!C29</f>
        <v>11.5</v>
      </c>
      <c r="I32" s="290" t="str">
        <f>Sieblinie!L14</f>
        <v>Okrilla</v>
      </c>
      <c r="J32" s="291"/>
      <c r="K32" s="292"/>
      <c r="M32" s="19"/>
    </row>
    <row r="33" spans="1:13" ht="20.100000000000001" customHeight="1" x14ac:dyDescent="0.25">
      <c r="A33" s="210" t="s">
        <v>81</v>
      </c>
      <c r="B33" s="138"/>
      <c r="C33" s="206">
        <f t="shared" si="0"/>
        <v>179</v>
      </c>
      <c r="D33" s="138"/>
      <c r="E33" s="211">
        <v>2.65</v>
      </c>
      <c r="F33" s="111"/>
      <c r="G33" s="212">
        <f t="shared" si="1"/>
        <v>67.37</v>
      </c>
      <c r="H33" s="213">
        <f>Sieblinie!C30</f>
        <v>11.5</v>
      </c>
      <c r="I33" s="290" t="str">
        <f>Sieblinie!L15</f>
        <v>Okrilla</v>
      </c>
      <c r="J33" s="291"/>
      <c r="K33" s="292"/>
      <c r="M33" s="11"/>
    </row>
    <row r="34" spans="1:13" ht="20.100000000000001" customHeight="1" x14ac:dyDescent="0.25">
      <c r="A34" s="210" t="s">
        <v>83</v>
      </c>
      <c r="B34" s="138"/>
      <c r="C34" s="206">
        <f t="shared" si="0"/>
        <v>116</v>
      </c>
      <c r="D34" s="138"/>
      <c r="E34" s="211">
        <v>2.65</v>
      </c>
      <c r="F34" s="111"/>
      <c r="G34" s="212">
        <f t="shared" si="1"/>
        <v>43.94</v>
      </c>
      <c r="H34" s="213">
        <f>Sieblinie!C31</f>
        <v>7.5</v>
      </c>
      <c r="I34" s="290" t="str">
        <f>Sieblinie!L16</f>
        <v>Okrilla</v>
      </c>
      <c r="J34" s="291"/>
      <c r="K34" s="292"/>
    </row>
    <row r="35" spans="1:13" ht="20.100000000000001" customHeight="1" x14ac:dyDescent="0.25">
      <c r="A35" s="210" t="s">
        <v>131</v>
      </c>
      <c r="B35" s="138"/>
      <c r="C35" s="206">
        <f t="shared" si="0"/>
        <v>116</v>
      </c>
      <c r="D35" s="138"/>
      <c r="E35" s="211">
        <v>2.65</v>
      </c>
      <c r="F35" s="111"/>
      <c r="G35" s="212">
        <f t="shared" si="1"/>
        <v>43.94</v>
      </c>
      <c r="H35" s="213">
        <f>Sieblinie!C32</f>
        <v>7.5</v>
      </c>
      <c r="I35" s="290" t="str">
        <f>Sieblinie!L17</f>
        <v>Okrilla</v>
      </c>
      <c r="J35" s="291"/>
      <c r="K35" s="292"/>
    </row>
    <row r="36" spans="1:13" ht="20.100000000000001" customHeight="1" x14ac:dyDescent="0.25">
      <c r="A36" s="210" t="s">
        <v>120</v>
      </c>
      <c r="B36" s="138"/>
      <c r="C36" s="206">
        <f t="shared" si="0"/>
        <v>652</v>
      </c>
      <c r="D36" s="138"/>
      <c r="E36" s="211">
        <v>2.65</v>
      </c>
      <c r="F36" s="111"/>
      <c r="G36" s="212">
        <f t="shared" si="1"/>
        <v>246.04</v>
      </c>
      <c r="H36" s="213">
        <f>Sieblinie!C33</f>
        <v>42</v>
      </c>
      <c r="I36" s="290" t="s">
        <v>152</v>
      </c>
      <c r="J36" s="291"/>
      <c r="K36" s="292"/>
    </row>
    <row r="37" spans="1:13" ht="20.100000000000001" customHeight="1" x14ac:dyDescent="0.25">
      <c r="A37" s="210"/>
      <c r="B37" s="138"/>
      <c r="C37" s="214" t="s">
        <v>65</v>
      </c>
      <c r="D37" s="138"/>
      <c r="E37" s="207" t="s">
        <v>65</v>
      </c>
      <c r="F37" s="111"/>
      <c r="G37" s="215" t="s">
        <v>88</v>
      </c>
      <c r="H37" s="216" t="s">
        <v>88</v>
      </c>
      <c r="I37" s="284"/>
      <c r="J37" s="285"/>
      <c r="K37" s="286"/>
      <c r="M37" s="19"/>
    </row>
    <row r="38" spans="1:13" ht="20.100000000000001" customHeight="1" x14ac:dyDescent="0.25">
      <c r="A38" s="79"/>
      <c r="B38" s="72"/>
      <c r="C38" s="217" t="s">
        <v>65</v>
      </c>
      <c r="D38" s="72"/>
      <c r="E38" s="204" t="s">
        <v>65</v>
      </c>
      <c r="F38" s="82"/>
      <c r="G38" s="218" t="s">
        <v>88</v>
      </c>
      <c r="H38" s="219" t="s">
        <v>88</v>
      </c>
      <c r="I38" s="287"/>
      <c r="J38" s="288"/>
      <c r="K38" s="289"/>
      <c r="M38" s="11"/>
    </row>
    <row r="39" spans="1:13" ht="20.100000000000001" customHeight="1" x14ac:dyDescent="0.25">
      <c r="A39" s="70" t="s">
        <v>91</v>
      </c>
      <c r="B39" s="66"/>
      <c r="C39" s="84">
        <f>SUM(C22:C27)+C29</f>
        <v>2341.5500000000002</v>
      </c>
      <c r="D39" s="72"/>
      <c r="E39" s="204" t="s">
        <v>65</v>
      </c>
      <c r="F39" s="82"/>
      <c r="G39" s="84">
        <f>SUM(G22,G23,G25,G26,G27,G29)</f>
        <v>1000</v>
      </c>
      <c r="H39" s="85"/>
      <c r="I39" s="287"/>
      <c r="J39" s="288"/>
      <c r="K39" s="289"/>
    </row>
    <row r="40" spans="1:13" ht="20.100000000000001" customHeight="1" x14ac:dyDescent="0.25">
      <c r="A40" s="70" t="s">
        <v>121</v>
      </c>
      <c r="B40" s="66"/>
      <c r="C40" s="90" t="s">
        <v>65</v>
      </c>
      <c r="D40" s="72"/>
      <c r="E40" s="90" t="s">
        <v>65</v>
      </c>
      <c r="F40" s="82"/>
      <c r="G40" s="90" t="s">
        <v>65</v>
      </c>
      <c r="H40" s="72"/>
      <c r="I40" s="287"/>
      <c r="J40" s="288"/>
      <c r="K40" s="289"/>
    </row>
    <row r="41" spans="1:13" ht="20.100000000000001" customHeight="1" thickBot="1" x14ac:dyDescent="0.3">
      <c r="A41" s="141" t="s">
        <v>122</v>
      </c>
      <c r="B41" s="142"/>
      <c r="C41" s="200" t="s">
        <v>65</v>
      </c>
      <c r="D41" s="45"/>
      <c r="E41" s="200" t="s">
        <v>65</v>
      </c>
      <c r="F41" s="147"/>
      <c r="G41" s="200" t="s">
        <v>65</v>
      </c>
      <c r="H41" s="45"/>
      <c r="I41" s="281"/>
      <c r="J41" s="282"/>
      <c r="K41" s="283"/>
    </row>
    <row r="42" spans="1:13" ht="6" customHeight="1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3" ht="6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3" ht="15" customHeight="1" x14ac:dyDescent="0.25">
      <c r="A44" s="6"/>
      <c r="B44" s="6"/>
      <c r="C44" s="12"/>
      <c r="D44" s="6"/>
      <c r="E44" s="13"/>
      <c r="F44" s="6"/>
      <c r="G44" s="10"/>
      <c r="H44" s="12"/>
      <c r="I44" s="12"/>
      <c r="J44" s="17"/>
      <c r="K44" s="6"/>
      <c r="L44" s="14"/>
    </row>
    <row r="45" spans="1:13" ht="15" customHeight="1" x14ac:dyDescent="0.25">
      <c r="A45" s="6"/>
      <c r="B45" s="6"/>
      <c r="C45" s="6"/>
      <c r="D45" s="6"/>
      <c r="E45" s="13"/>
      <c r="F45" s="12"/>
      <c r="G45" s="12"/>
      <c r="H45" s="6"/>
      <c r="I45" s="15"/>
      <c r="J45" s="13"/>
      <c r="K45" s="6"/>
      <c r="L45" s="10"/>
    </row>
    <row r="46" spans="1:13" ht="15" customHeight="1" x14ac:dyDescent="0.25">
      <c r="A46" s="10"/>
      <c r="B46" s="10"/>
      <c r="C46" s="16"/>
      <c r="D46" s="6"/>
      <c r="E46" s="14"/>
      <c r="F46" s="10"/>
      <c r="G46" s="10"/>
      <c r="H46" s="10"/>
      <c r="I46" s="10"/>
      <c r="J46" s="17"/>
      <c r="K46" s="10"/>
      <c r="L46" s="16"/>
    </row>
    <row r="47" spans="1:13" ht="15" customHeight="1" x14ac:dyDescent="0.25">
      <c r="A47" s="6"/>
      <c r="B47" s="10"/>
      <c r="C47" s="12"/>
      <c r="D47" s="6"/>
      <c r="E47" s="14"/>
      <c r="F47" s="10"/>
      <c r="G47" s="10"/>
      <c r="H47" s="10"/>
      <c r="I47" s="10"/>
      <c r="J47" s="17"/>
      <c r="K47" s="10"/>
      <c r="L47" s="10"/>
    </row>
    <row r="48" spans="1:13" ht="15" customHeight="1" x14ac:dyDescent="0.25">
      <c r="A48" s="10"/>
      <c r="C48" s="17"/>
    </row>
    <row r="51" spans="7:7" x14ac:dyDescent="0.25">
      <c r="G51" s="18"/>
    </row>
  </sheetData>
  <mergeCells count="22">
    <mergeCell ref="I31:K31"/>
    <mergeCell ref="I26:K26"/>
    <mergeCell ref="A22:B22"/>
    <mergeCell ref="A28:B28"/>
    <mergeCell ref="I27:K27"/>
    <mergeCell ref="I30:K30"/>
    <mergeCell ref="A1:A2"/>
    <mergeCell ref="I41:K41"/>
    <mergeCell ref="I37:K37"/>
    <mergeCell ref="I38:K38"/>
    <mergeCell ref="I39:K39"/>
    <mergeCell ref="I40:K40"/>
    <mergeCell ref="I34:K34"/>
    <mergeCell ref="I36:K36"/>
    <mergeCell ref="I35:K35"/>
    <mergeCell ref="I23:K23"/>
    <mergeCell ref="I32:K32"/>
    <mergeCell ref="I33:K33"/>
    <mergeCell ref="I24:K24"/>
    <mergeCell ref="I25:K25"/>
    <mergeCell ref="I28:K28"/>
    <mergeCell ref="I29:K29"/>
  </mergeCells>
  <phoneticPr fontId="2" type="noConversion"/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workbookViewId="0">
      <selection activeCell="O39" sqref="O39"/>
    </sheetView>
  </sheetViews>
  <sheetFormatPr baseColWidth="10" defaultRowHeight="12.6" x14ac:dyDescent="0.25"/>
  <cols>
    <col min="1" max="1" width="10.44140625" customWidth="1"/>
    <col min="2" max="2" width="11.33203125" customWidth="1"/>
    <col min="3" max="3" width="8" customWidth="1"/>
    <col min="4" max="4" width="3.88671875" customWidth="1"/>
    <col min="5" max="5" width="7.33203125" customWidth="1"/>
    <col min="6" max="6" width="1.109375" customWidth="1"/>
    <col min="7" max="7" width="7.33203125" customWidth="1"/>
    <col min="8" max="8" width="1.109375" customWidth="1"/>
    <col min="9" max="9" width="8.33203125" customWidth="1"/>
    <col min="10" max="10" width="7.6640625" customWidth="1"/>
    <col min="11" max="11" width="8" customWidth="1"/>
    <col min="12" max="12" width="7.44140625" customWidth="1"/>
  </cols>
  <sheetData>
    <row r="1" spans="1:12" ht="17.100000000000001" customHeight="1" x14ac:dyDescent="0.25">
      <c r="A1" s="279" t="str">
        <f>Rezeptur!A1</f>
        <v>BAM
7.4</v>
      </c>
      <c r="B1" s="40" t="s">
        <v>41</v>
      </c>
      <c r="C1" s="40"/>
      <c r="D1" s="40"/>
      <c r="E1" s="40"/>
      <c r="F1" s="40"/>
      <c r="G1" s="40"/>
      <c r="H1" s="40"/>
      <c r="I1" s="40"/>
      <c r="J1" s="41" t="s">
        <v>42</v>
      </c>
      <c r="K1" s="303">
        <f>Sieblinie!L1</f>
        <v>43209</v>
      </c>
      <c r="L1" s="304"/>
    </row>
    <row r="2" spans="1:12" ht="17.100000000000001" customHeight="1" thickBot="1" x14ac:dyDescent="0.3">
      <c r="A2" s="280"/>
      <c r="B2" s="42" t="s">
        <v>43</v>
      </c>
      <c r="C2" s="42"/>
      <c r="D2" s="42"/>
      <c r="E2" s="42"/>
      <c r="F2" s="42"/>
      <c r="G2" s="42"/>
      <c r="H2" s="42"/>
      <c r="I2" s="42"/>
      <c r="J2" s="43" t="s">
        <v>44</v>
      </c>
      <c r="K2" s="44" t="str">
        <f>Sieblinie!L2</f>
        <v>Haamkens</v>
      </c>
      <c r="L2" s="45"/>
    </row>
    <row r="3" spans="1:12" ht="8.1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2" ht="18" customHeight="1" x14ac:dyDescent="0.25">
      <c r="A4" s="47" t="s">
        <v>4</v>
      </c>
      <c r="B4" s="47"/>
      <c r="C4" s="48"/>
      <c r="D4" s="49" t="str">
        <f>Sieblinie!D4</f>
        <v>Katja Brecht (7.3)</v>
      </c>
      <c r="E4" s="49"/>
      <c r="F4" s="49"/>
      <c r="G4" s="49"/>
      <c r="H4" s="49"/>
      <c r="I4" s="49"/>
      <c r="J4" s="265" t="s">
        <v>164</v>
      </c>
      <c r="K4" s="49"/>
      <c r="L4" s="49"/>
    </row>
    <row r="5" spans="1:12" ht="18" customHeight="1" x14ac:dyDescent="0.25">
      <c r="A5" s="47" t="s">
        <v>5</v>
      </c>
      <c r="B5" s="47"/>
      <c r="C5" s="48"/>
      <c r="D5" s="49" t="s">
        <v>156</v>
      </c>
      <c r="E5" s="49"/>
      <c r="F5" s="49"/>
      <c r="G5" s="49"/>
      <c r="H5" s="49"/>
      <c r="I5" s="49"/>
      <c r="J5" s="49" t="s">
        <v>132</v>
      </c>
      <c r="K5" s="49" t="s">
        <v>153</v>
      </c>
      <c r="L5" s="49"/>
    </row>
    <row r="6" spans="1:12" ht="18" customHeight="1" x14ac:dyDescent="0.25">
      <c r="A6" s="47" t="s">
        <v>45</v>
      </c>
      <c r="B6" s="47"/>
      <c r="C6" s="47"/>
      <c r="D6" s="265" t="s">
        <v>139</v>
      </c>
      <c r="E6" s="49"/>
      <c r="F6" s="49"/>
      <c r="G6" s="49"/>
      <c r="H6" s="49"/>
      <c r="I6" s="49"/>
      <c r="J6" s="49" t="str">
        <f>Sieblinie!F6</f>
        <v>C45/55</v>
      </c>
      <c r="K6" s="49"/>
      <c r="L6" s="49"/>
    </row>
    <row r="7" spans="1:12" ht="12.75" customHeight="1" thickBot="1" x14ac:dyDescent="0.3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</row>
    <row r="8" spans="1:12" ht="17.100000000000001" customHeight="1" thickBot="1" x14ac:dyDescent="0.3">
      <c r="A8" s="50" t="s">
        <v>46</v>
      </c>
      <c r="B8" s="51"/>
      <c r="C8" s="51"/>
      <c r="D8" s="51"/>
      <c r="E8" s="51"/>
      <c r="F8" s="51"/>
      <c r="G8" s="51"/>
      <c r="H8" s="52"/>
      <c r="I8" s="51" t="s">
        <v>47</v>
      </c>
      <c r="J8" s="53"/>
      <c r="K8" s="53"/>
      <c r="L8" s="52"/>
    </row>
    <row r="9" spans="1:12" ht="17.100000000000001" customHeight="1" x14ac:dyDescent="0.25">
      <c r="A9" s="54" t="s">
        <v>48</v>
      </c>
      <c r="B9" s="55"/>
      <c r="C9" s="56" t="s">
        <v>49</v>
      </c>
      <c r="D9" s="55"/>
      <c r="E9" s="56" t="s">
        <v>50</v>
      </c>
      <c r="F9" s="56"/>
      <c r="G9" s="56"/>
      <c r="H9" s="55"/>
      <c r="I9" s="57" t="s">
        <v>51</v>
      </c>
      <c r="J9" s="58"/>
      <c r="K9" s="58"/>
      <c r="L9" s="59"/>
    </row>
    <row r="10" spans="1:12" ht="17.100000000000001" customHeight="1" x14ac:dyDescent="0.25">
      <c r="A10" s="60"/>
      <c r="B10" s="61"/>
      <c r="C10" s="62" t="s">
        <v>52</v>
      </c>
      <c r="D10" s="63"/>
      <c r="E10" s="64">
        <v>200</v>
      </c>
      <c r="F10" s="65" t="s">
        <v>53</v>
      </c>
      <c r="G10" s="64">
        <v>200</v>
      </c>
      <c r="H10" s="66" t="s">
        <v>53</v>
      </c>
      <c r="I10" s="67"/>
      <c r="J10" s="67"/>
      <c r="K10" s="68" t="s">
        <v>149</v>
      </c>
      <c r="L10" s="69" t="s">
        <v>150</v>
      </c>
    </row>
    <row r="11" spans="1:12" ht="17.100000000000001" customHeight="1" x14ac:dyDescent="0.25">
      <c r="A11" s="70"/>
      <c r="B11" s="66"/>
      <c r="C11" s="71"/>
      <c r="D11" s="72"/>
      <c r="E11" s="73" t="s">
        <v>54</v>
      </c>
      <c r="F11" s="74"/>
      <c r="G11" s="73" t="s">
        <v>55</v>
      </c>
      <c r="H11" s="75"/>
      <c r="I11" s="67" t="s">
        <v>167</v>
      </c>
      <c r="J11" s="67"/>
      <c r="K11" s="277" t="s">
        <v>166</v>
      </c>
      <c r="L11" s="69"/>
    </row>
    <row r="12" spans="1:12" ht="20.100000000000001" customHeight="1" thickBot="1" x14ac:dyDescent="0.3">
      <c r="A12" s="77" t="s">
        <v>57</v>
      </c>
      <c r="B12" s="39" t="s">
        <v>133</v>
      </c>
      <c r="C12" s="44" t="s">
        <v>58</v>
      </c>
      <c r="D12" s="45"/>
      <c r="E12" s="44" t="s">
        <v>59</v>
      </c>
      <c r="F12" s="78"/>
      <c r="G12" s="44" t="s">
        <v>59</v>
      </c>
      <c r="H12" s="45"/>
      <c r="I12" s="67" t="s">
        <v>56</v>
      </c>
      <c r="J12" s="67"/>
      <c r="K12" s="76"/>
      <c r="L12" s="69"/>
    </row>
    <row r="13" spans="1:12" ht="20.100000000000001" customHeight="1" thickBot="1" x14ac:dyDescent="0.3">
      <c r="A13" s="70" t="s">
        <v>61</v>
      </c>
      <c r="B13" s="38" t="s">
        <v>145</v>
      </c>
      <c r="C13" s="79">
        <f>Rezeptur!C22</f>
        <v>300</v>
      </c>
      <c r="D13" s="72"/>
      <c r="E13" s="80">
        <f>ROUND(((C13*E$10)/1000),2)</f>
        <v>60</v>
      </c>
      <c r="F13" s="81"/>
      <c r="G13" s="80">
        <f>ROUND(((C13*E$10)/1000),2)</f>
        <v>60</v>
      </c>
      <c r="H13" s="82"/>
      <c r="I13" s="67" t="s">
        <v>60</v>
      </c>
      <c r="J13" s="67"/>
      <c r="K13" s="68"/>
      <c r="L13" s="69"/>
    </row>
    <row r="14" spans="1:12" ht="20.100000000000001" customHeight="1" thickBot="1" x14ac:dyDescent="0.3">
      <c r="A14" s="70" t="s">
        <v>62</v>
      </c>
      <c r="B14" s="66"/>
      <c r="C14" s="84">
        <f>Rezeptur!C23</f>
        <v>180</v>
      </c>
      <c r="D14" s="85"/>
      <c r="E14" s="80">
        <f>ROUND(((C14*E$10)/1000),2)</f>
        <v>36</v>
      </c>
      <c r="F14" s="86"/>
      <c r="G14" s="80">
        <f>ROUND(((C14*G$10)/1000),2)</f>
        <v>36</v>
      </c>
      <c r="H14" s="82"/>
      <c r="I14" s="87" t="s">
        <v>63</v>
      </c>
      <c r="J14" s="88"/>
      <c r="K14" s="278">
        <v>0.7</v>
      </c>
      <c r="L14" s="89"/>
    </row>
    <row r="15" spans="1:12" ht="20.100000000000001" customHeight="1" x14ac:dyDescent="0.25">
      <c r="A15" s="70" t="s">
        <v>64</v>
      </c>
      <c r="B15" s="66"/>
      <c r="C15" s="90" t="s">
        <v>65</v>
      </c>
      <c r="D15" s="72"/>
      <c r="E15" s="80" t="s">
        <v>65</v>
      </c>
      <c r="F15" s="86"/>
      <c r="G15" s="80" t="s">
        <v>65</v>
      </c>
      <c r="H15" s="82"/>
      <c r="I15" s="103" t="s">
        <v>66</v>
      </c>
      <c r="J15" s="92"/>
      <c r="K15" s="92"/>
      <c r="L15" s="66"/>
    </row>
    <row r="16" spans="1:12" ht="20.100000000000001" customHeight="1" x14ac:dyDescent="0.25">
      <c r="A16" s="70" t="s">
        <v>67</v>
      </c>
      <c r="B16" s="66"/>
      <c r="C16" s="90" t="s">
        <v>65</v>
      </c>
      <c r="D16" s="72"/>
      <c r="E16" s="80" t="s">
        <v>65</v>
      </c>
      <c r="F16" s="86"/>
      <c r="G16" s="80" t="s">
        <v>65</v>
      </c>
      <c r="H16" s="82"/>
      <c r="I16" s="67" t="s">
        <v>68</v>
      </c>
      <c r="J16" s="93"/>
      <c r="K16" s="94">
        <v>18.844999999999999</v>
      </c>
      <c r="L16" s="69"/>
    </row>
    <row r="17" spans="1:12" ht="20.100000000000001" customHeight="1" x14ac:dyDescent="0.25">
      <c r="A17" s="70" t="s">
        <v>69</v>
      </c>
      <c r="B17" s="38" t="str">
        <f>Rezeptur!I26</f>
        <v>Medenbach</v>
      </c>
      <c r="C17" s="90">
        <f>Rezeptur!C26</f>
        <v>301</v>
      </c>
      <c r="D17" s="72"/>
      <c r="E17" s="80">
        <f>ROUND(((C17*E$10)/1000),2)</f>
        <v>60.2</v>
      </c>
      <c r="F17" s="86"/>
      <c r="G17" s="80">
        <f>ROUND(((C17*G$10)/1000),2)</f>
        <v>60.2</v>
      </c>
      <c r="H17" s="82"/>
      <c r="I17" s="67" t="s">
        <v>70</v>
      </c>
      <c r="J17" s="93"/>
      <c r="K17" s="95">
        <v>8</v>
      </c>
      <c r="L17" s="69"/>
    </row>
    <row r="18" spans="1:12" ht="20.100000000000001" customHeight="1" thickBot="1" x14ac:dyDescent="0.3">
      <c r="A18" s="70" t="s">
        <v>147</v>
      </c>
      <c r="B18" s="38" t="str">
        <f>Rezeptur!I27</f>
        <v>FM 591 BASF</v>
      </c>
      <c r="C18" s="90">
        <f>Rezeptur!C27</f>
        <v>8.5500000000000007</v>
      </c>
      <c r="D18" s="72"/>
      <c r="E18" s="96">
        <f>ROUND(((C18*E$10)/1000),2)</f>
        <v>1.71</v>
      </c>
      <c r="F18" s="97"/>
      <c r="G18" s="96">
        <f>ROUND(((C18*G$10)/1000),2)</f>
        <v>1.71</v>
      </c>
      <c r="H18" s="98"/>
      <c r="I18" s="99" t="s">
        <v>155</v>
      </c>
      <c r="J18" s="100"/>
      <c r="K18" s="101">
        <f>ROUND(K16/K17*1000,-1)</f>
        <v>2360</v>
      </c>
      <c r="L18" s="102"/>
    </row>
    <row r="19" spans="1:12" ht="20.100000000000001" customHeight="1" x14ac:dyDescent="0.25">
      <c r="A19" s="70" t="s">
        <v>71</v>
      </c>
      <c r="B19" s="66"/>
      <c r="C19" s="90" t="s">
        <v>65</v>
      </c>
      <c r="D19" s="72"/>
      <c r="E19" s="80" t="s">
        <v>65</v>
      </c>
      <c r="F19" s="86"/>
      <c r="G19" s="80" t="s">
        <v>65</v>
      </c>
      <c r="H19" s="82"/>
      <c r="I19" s="103" t="s">
        <v>72</v>
      </c>
      <c r="J19" s="92"/>
      <c r="K19" s="92"/>
      <c r="L19" s="66"/>
    </row>
    <row r="20" spans="1:12" ht="20.100000000000001" customHeight="1" x14ac:dyDescent="0.25">
      <c r="A20" s="104" t="s">
        <v>73</v>
      </c>
      <c r="B20" s="105"/>
      <c r="C20" s="106">
        <f>SUM(C21:C27)</f>
        <v>1552</v>
      </c>
      <c r="D20" s="107" t="s">
        <v>74</v>
      </c>
      <c r="E20" s="108">
        <f>SUM(E21:E30)</f>
        <v>310.39999999999998</v>
      </c>
      <c r="F20" s="109"/>
      <c r="G20" s="110">
        <f>E20</f>
        <v>310.39999999999998</v>
      </c>
      <c r="H20" s="111"/>
      <c r="I20" s="112" t="s">
        <v>123</v>
      </c>
      <c r="J20" s="113"/>
      <c r="K20" s="112" t="s">
        <v>75</v>
      </c>
      <c r="L20" s="114"/>
    </row>
    <row r="21" spans="1:12" ht="20.100000000000001" customHeight="1" thickBot="1" x14ac:dyDescent="0.3">
      <c r="A21" s="115" t="s">
        <v>76</v>
      </c>
      <c r="B21" s="116" t="str">
        <f>Rezeptur!I30</f>
        <v>Quarz</v>
      </c>
      <c r="C21" s="106">
        <f>Rezeptur!C30</f>
        <v>0</v>
      </c>
      <c r="D21" s="117">
        <f>Rezeptur!H30</f>
        <v>0</v>
      </c>
      <c r="E21" s="110">
        <f t="shared" ref="E21:E27" si="0">ROUND(((C21*E$10)/1000),2)</f>
        <v>0</v>
      </c>
      <c r="F21" s="118"/>
      <c r="G21" s="110">
        <f>ROUND((E21),2)</f>
        <v>0</v>
      </c>
      <c r="H21" s="111"/>
      <c r="I21" s="119">
        <v>23.8</v>
      </c>
      <c r="J21" s="119"/>
      <c r="K21" s="119"/>
      <c r="L21" s="120"/>
    </row>
    <row r="22" spans="1:12" ht="20.100000000000001" customHeight="1" x14ac:dyDescent="0.25">
      <c r="A22" s="115" t="s">
        <v>77</v>
      </c>
      <c r="B22" s="116" t="str">
        <f>Rezeptur!I31</f>
        <v>Okrilla</v>
      </c>
      <c r="C22" s="106">
        <f>Rezeptur!C31</f>
        <v>310</v>
      </c>
      <c r="D22" s="117">
        <f>Rezeptur!H31</f>
        <v>20</v>
      </c>
      <c r="E22" s="110">
        <f t="shared" si="0"/>
        <v>62</v>
      </c>
      <c r="F22" s="118"/>
      <c r="G22" s="110">
        <f t="shared" ref="G22:G27" si="1">ROUND((G21+E22),2)</f>
        <v>62</v>
      </c>
      <c r="H22" s="111"/>
      <c r="I22" s="103" t="s">
        <v>78</v>
      </c>
      <c r="J22" s="92"/>
      <c r="K22" s="92"/>
      <c r="L22" s="66"/>
    </row>
    <row r="23" spans="1:12" ht="20.100000000000001" customHeight="1" x14ac:dyDescent="0.25">
      <c r="A23" s="115" t="s">
        <v>79</v>
      </c>
      <c r="B23" s="116" t="str">
        <f>Rezeptur!I32</f>
        <v>Okrilla</v>
      </c>
      <c r="C23" s="106">
        <f>Rezeptur!C32</f>
        <v>179</v>
      </c>
      <c r="D23" s="117">
        <f>Rezeptur!H32</f>
        <v>11.5</v>
      </c>
      <c r="E23" s="110">
        <f t="shared" si="0"/>
        <v>35.799999999999997</v>
      </c>
      <c r="F23" s="118"/>
      <c r="G23" s="110">
        <f t="shared" si="1"/>
        <v>97.8</v>
      </c>
      <c r="H23" s="111"/>
      <c r="I23" s="121" t="s">
        <v>80</v>
      </c>
      <c r="J23" s="122"/>
      <c r="K23" s="123">
        <f>Rezeptur!B9</f>
        <v>0.6</v>
      </c>
      <c r="L23" s="124"/>
    </row>
    <row r="24" spans="1:12" ht="20.100000000000001" customHeight="1" thickBot="1" x14ac:dyDescent="0.3">
      <c r="A24" s="115" t="s">
        <v>81</v>
      </c>
      <c r="B24" s="116" t="str">
        <f>Rezeptur!I33</f>
        <v>Okrilla</v>
      </c>
      <c r="C24" s="106">
        <f>Rezeptur!C33</f>
        <v>179</v>
      </c>
      <c r="D24" s="117">
        <f>Rezeptur!H33</f>
        <v>11.5</v>
      </c>
      <c r="E24" s="110">
        <f t="shared" si="0"/>
        <v>35.799999999999997</v>
      </c>
      <c r="F24" s="118"/>
      <c r="G24" s="110">
        <f t="shared" si="1"/>
        <v>133.6</v>
      </c>
      <c r="H24" s="111"/>
      <c r="I24" s="125" t="s">
        <v>82</v>
      </c>
      <c r="J24" s="126"/>
      <c r="K24" s="99"/>
      <c r="L24" s="120"/>
    </row>
    <row r="25" spans="1:12" ht="20.100000000000001" customHeight="1" x14ac:dyDescent="0.25">
      <c r="A25" s="115" t="s">
        <v>83</v>
      </c>
      <c r="B25" s="116" t="str">
        <f>Rezeptur!I34</f>
        <v>Okrilla</v>
      </c>
      <c r="C25" s="106">
        <f>Rezeptur!C34</f>
        <v>116</v>
      </c>
      <c r="D25" s="117">
        <f>Rezeptur!H34</f>
        <v>7.5</v>
      </c>
      <c r="E25" s="110">
        <f t="shared" si="0"/>
        <v>23.2</v>
      </c>
      <c r="F25" s="118"/>
      <c r="G25" s="110">
        <f t="shared" si="1"/>
        <v>156.80000000000001</v>
      </c>
      <c r="H25" s="111"/>
      <c r="I25" s="103" t="s">
        <v>84</v>
      </c>
      <c r="J25" s="127"/>
      <c r="K25" s="127"/>
      <c r="L25" s="66"/>
    </row>
    <row r="26" spans="1:12" ht="20.100000000000001" customHeight="1" x14ac:dyDescent="0.25">
      <c r="A26" s="115" t="s">
        <v>85</v>
      </c>
      <c r="B26" s="116" t="str">
        <f>Rezeptur!I35</f>
        <v>Okrilla</v>
      </c>
      <c r="C26" s="128">
        <f>Rezeptur!C35</f>
        <v>116</v>
      </c>
      <c r="D26" s="129">
        <f>Rezeptur!H35</f>
        <v>7.5</v>
      </c>
      <c r="E26" s="110">
        <f t="shared" si="0"/>
        <v>23.2</v>
      </c>
      <c r="F26" s="118"/>
      <c r="G26" s="110">
        <f t="shared" si="1"/>
        <v>180</v>
      </c>
      <c r="H26" s="111"/>
      <c r="I26" s="130"/>
      <c r="J26" s="83"/>
      <c r="K26" s="83"/>
      <c r="L26" s="131"/>
    </row>
    <row r="27" spans="1:12" ht="20.100000000000001" customHeight="1" x14ac:dyDescent="0.25">
      <c r="A27" s="115" t="s">
        <v>86</v>
      </c>
      <c r="B27" s="116" t="str">
        <f>Rezeptur!I36</f>
        <v>Dorsten</v>
      </c>
      <c r="C27" s="106">
        <f>Rezeptur!C36</f>
        <v>652</v>
      </c>
      <c r="D27" s="117">
        <f>Rezeptur!H36</f>
        <v>42</v>
      </c>
      <c r="E27" s="110">
        <f t="shared" si="0"/>
        <v>130.4</v>
      </c>
      <c r="F27" s="118"/>
      <c r="G27" s="110">
        <f t="shared" si="1"/>
        <v>310.39999999999998</v>
      </c>
      <c r="H27" s="111"/>
      <c r="I27" s="132"/>
      <c r="J27" s="133"/>
      <c r="K27" s="133"/>
      <c r="L27" s="124"/>
    </row>
    <row r="28" spans="1:12" ht="20.100000000000001" customHeight="1" thickBot="1" x14ac:dyDescent="0.3">
      <c r="A28" s="115" t="s">
        <v>87</v>
      </c>
      <c r="B28" s="134"/>
      <c r="C28" s="128" t="s">
        <v>65</v>
      </c>
      <c r="D28" s="135" t="s">
        <v>88</v>
      </c>
      <c r="E28" s="110" t="s">
        <v>65</v>
      </c>
      <c r="F28" s="136"/>
      <c r="G28" s="110" t="s">
        <v>65</v>
      </c>
      <c r="H28" s="111"/>
      <c r="I28" s="99"/>
      <c r="J28" s="99"/>
      <c r="K28" s="99"/>
      <c r="L28" s="120"/>
    </row>
    <row r="29" spans="1:12" ht="20.100000000000001" customHeight="1" x14ac:dyDescent="0.25">
      <c r="A29" s="137" t="s">
        <v>65</v>
      </c>
      <c r="B29" s="138"/>
      <c r="C29" s="128" t="s">
        <v>65</v>
      </c>
      <c r="D29" s="135" t="s">
        <v>88</v>
      </c>
      <c r="E29" s="110" t="s">
        <v>65</v>
      </c>
      <c r="F29" s="118"/>
      <c r="G29" s="110" t="s">
        <v>65</v>
      </c>
      <c r="H29" s="111"/>
      <c r="I29" s="91" t="s">
        <v>89</v>
      </c>
      <c r="J29" s="127"/>
      <c r="K29" s="92"/>
      <c r="L29" s="66"/>
    </row>
    <row r="30" spans="1:12" ht="20.100000000000001" customHeight="1" x14ac:dyDescent="0.25">
      <c r="A30" s="90" t="s">
        <v>65</v>
      </c>
      <c r="B30" s="72"/>
      <c r="C30" s="139" t="s">
        <v>65</v>
      </c>
      <c r="D30" s="140" t="s">
        <v>88</v>
      </c>
      <c r="E30" s="80" t="s">
        <v>65</v>
      </c>
      <c r="F30" s="86"/>
      <c r="G30" s="80" t="s">
        <v>65</v>
      </c>
      <c r="H30" s="82"/>
      <c r="I30" s="133" t="s">
        <v>90</v>
      </c>
      <c r="J30" s="133"/>
      <c r="K30" s="133" t="s">
        <v>148</v>
      </c>
      <c r="L30" s="124"/>
    </row>
    <row r="31" spans="1:12" ht="20.100000000000001" customHeight="1" thickBot="1" x14ac:dyDescent="0.3">
      <c r="A31" s="141" t="s">
        <v>91</v>
      </c>
      <c r="B31" s="142"/>
      <c r="C31" s="143">
        <f>ROUND((C20+C13+C14+C17+C18),2)</f>
        <v>2341.5500000000002</v>
      </c>
      <c r="D31" s="144" t="s">
        <v>88</v>
      </c>
      <c r="E31" s="145">
        <f>ROUND((E20+E13+E14+E17+E18),2)</f>
        <v>468.31</v>
      </c>
      <c r="F31" s="146"/>
      <c r="G31" s="145">
        <f>ROUND((SUM(G13,G14,G17,G18,G20)),2)</f>
        <v>468.31</v>
      </c>
      <c r="H31" s="147"/>
      <c r="I31" s="99"/>
      <c r="J31" s="99"/>
      <c r="K31" s="99"/>
      <c r="L31" s="120"/>
    </row>
    <row r="32" spans="1:12" ht="5.25" customHeight="1" thickBot="1" x14ac:dyDescent="0.3">
      <c r="A32" s="148"/>
      <c r="B32" s="148"/>
      <c r="C32" s="149"/>
      <c r="D32" s="62"/>
      <c r="E32" s="48"/>
      <c r="F32" s="48"/>
      <c r="G32" s="48"/>
      <c r="H32" s="48"/>
      <c r="I32" s="48"/>
      <c r="J32" s="48"/>
      <c r="K32" s="48"/>
      <c r="L32" s="48"/>
    </row>
    <row r="33" spans="1:12" ht="20.100000000000001" customHeight="1" x14ac:dyDescent="0.25">
      <c r="A33" s="50" t="s">
        <v>92</v>
      </c>
      <c r="B33" s="53"/>
      <c r="C33" s="150"/>
      <c r="D33" s="56"/>
      <c r="E33" s="151" t="s">
        <v>93</v>
      </c>
      <c r="F33" s="152"/>
      <c r="G33" s="152"/>
      <c r="H33" s="311">
        <f>K1</f>
        <v>43209</v>
      </c>
      <c r="I33" s="311"/>
      <c r="J33" s="311"/>
      <c r="K33" s="152"/>
      <c r="L33" s="153"/>
    </row>
    <row r="34" spans="1:12" ht="18.899999999999999" customHeight="1" x14ac:dyDescent="0.25">
      <c r="A34" s="154" t="s">
        <v>94</v>
      </c>
      <c r="B34" s="155"/>
      <c r="C34" s="156" t="s">
        <v>95</v>
      </c>
      <c r="D34" s="157"/>
      <c r="E34" s="314"/>
      <c r="F34" s="315"/>
      <c r="G34" s="314"/>
      <c r="H34" s="315"/>
      <c r="I34" s="33"/>
      <c r="J34" s="33"/>
      <c r="K34" s="33"/>
      <c r="L34" s="34"/>
    </row>
    <row r="35" spans="1:12" ht="18.899999999999999" customHeight="1" x14ac:dyDescent="0.25">
      <c r="A35" s="158" t="s">
        <v>96</v>
      </c>
      <c r="B35" s="133"/>
      <c r="C35" s="159" t="s">
        <v>59</v>
      </c>
      <c r="D35" s="160"/>
      <c r="E35" s="312">
        <v>7829</v>
      </c>
      <c r="F35" s="313"/>
      <c r="G35" s="312">
        <v>7891</v>
      </c>
      <c r="H35" s="313"/>
      <c r="I35" s="95">
        <v>7959</v>
      </c>
      <c r="J35" s="95">
        <v>7956</v>
      </c>
      <c r="K35" s="95">
        <v>7929</v>
      </c>
      <c r="L35" s="69">
        <v>7875</v>
      </c>
    </row>
    <row r="36" spans="1:12" ht="18.899999999999999" customHeight="1" x14ac:dyDescent="0.25">
      <c r="A36" s="158" t="s">
        <v>97</v>
      </c>
      <c r="B36" s="133"/>
      <c r="C36" s="159" t="s">
        <v>98</v>
      </c>
      <c r="D36" s="160"/>
      <c r="E36" s="112">
        <v>3.375</v>
      </c>
      <c r="F36" s="113"/>
      <c r="G36" s="112"/>
      <c r="H36" s="113"/>
      <c r="I36" s="113"/>
      <c r="J36" s="113"/>
      <c r="K36" s="113"/>
      <c r="L36" s="114"/>
    </row>
    <row r="37" spans="1:12" ht="18.899999999999999" customHeight="1" x14ac:dyDescent="0.25">
      <c r="A37" s="161" t="s">
        <v>99</v>
      </c>
      <c r="B37" s="162"/>
      <c r="C37" s="163" t="s">
        <v>100</v>
      </c>
      <c r="D37" s="164"/>
      <c r="E37" s="305">
        <f>ROUND(E35/E36,-1)</f>
        <v>2320</v>
      </c>
      <c r="F37" s="306"/>
      <c r="G37" s="305">
        <f>ROUND(G35/E36,-1)</f>
        <v>2340</v>
      </c>
      <c r="H37" s="306"/>
      <c r="I37" s="165">
        <f>ROUND(I35/E36,-1)</f>
        <v>2360</v>
      </c>
      <c r="J37" s="165">
        <f>ROUND(J35/E36,-1)</f>
        <v>2360</v>
      </c>
      <c r="K37" s="165">
        <f>ROUND(K35/E36,-1)</f>
        <v>2350</v>
      </c>
      <c r="L37" s="166">
        <f>ROUND(L35/E36,-1)</f>
        <v>2330</v>
      </c>
    </row>
    <row r="38" spans="1:12" ht="18.899999999999999" customHeight="1" thickBot="1" x14ac:dyDescent="0.3">
      <c r="A38" s="167" t="s">
        <v>101</v>
      </c>
      <c r="B38" s="99"/>
      <c r="C38" s="168" t="s">
        <v>100</v>
      </c>
      <c r="D38" s="169"/>
      <c r="E38" s="307">
        <f>ROUND(AVERAGE(E37:I37),-1)</f>
        <v>2340</v>
      </c>
      <c r="F38" s="308"/>
      <c r="G38" s="308"/>
      <c r="H38" s="308"/>
      <c r="I38" s="309"/>
      <c r="J38" s="307">
        <f>ROUND(AVERAGE(J37:L37),-1)</f>
        <v>2350</v>
      </c>
      <c r="K38" s="308"/>
      <c r="L38" s="310"/>
    </row>
    <row r="39" spans="1:12" ht="18" customHeight="1" x14ac:dyDescent="0.25">
      <c r="A39" s="266" t="s">
        <v>160</v>
      </c>
      <c r="B39" s="266"/>
      <c r="C39" s="266"/>
      <c r="D39" s="266"/>
      <c r="E39" s="266"/>
      <c r="F39" s="266"/>
      <c r="G39" s="267">
        <v>324</v>
      </c>
      <c r="H39" s="268" t="s">
        <v>53</v>
      </c>
      <c r="I39" s="266"/>
      <c r="J39" s="266"/>
      <c r="K39" s="266"/>
      <c r="L39" s="266"/>
    </row>
    <row r="40" spans="1:12" ht="18" customHeight="1" x14ac:dyDescent="0.25">
      <c r="A40" s="266" t="s">
        <v>161</v>
      </c>
      <c r="B40" s="269"/>
      <c r="C40" s="269"/>
      <c r="D40" s="269"/>
      <c r="E40" s="269"/>
      <c r="F40" s="269"/>
      <c r="G40" s="270">
        <v>20.25</v>
      </c>
      <c r="H40" s="271" t="s">
        <v>53</v>
      </c>
      <c r="I40" s="269"/>
      <c r="J40" s="266"/>
      <c r="K40" s="266"/>
      <c r="L40" s="266"/>
    </row>
    <row r="41" spans="1:12" ht="18" customHeight="1" x14ac:dyDescent="0.25">
      <c r="A41" s="272" t="s">
        <v>162</v>
      </c>
      <c r="B41" s="269"/>
      <c r="C41" s="269"/>
      <c r="D41" s="269"/>
      <c r="E41" s="269"/>
      <c r="F41" s="269"/>
      <c r="G41" s="270">
        <v>5.3014376029327757</v>
      </c>
      <c r="H41" s="271" t="s">
        <v>53</v>
      </c>
      <c r="I41" s="269"/>
      <c r="J41" s="266"/>
      <c r="K41" s="266"/>
      <c r="L41" s="266"/>
    </row>
    <row r="42" spans="1:12" ht="18" customHeight="1" x14ac:dyDescent="0.25">
      <c r="A42" s="272" t="s">
        <v>163</v>
      </c>
      <c r="B42" s="269"/>
      <c r="C42" s="269"/>
      <c r="D42" s="269"/>
      <c r="E42" s="269"/>
      <c r="F42" s="269"/>
      <c r="G42" s="273">
        <v>28.274333882308138</v>
      </c>
      <c r="H42" s="271" t="s">
        <v>53</v>
      </c>
      <c r="I42" s="269"/>
      <c r="J42" s="269"/>
      <c r="K42" s="269"/>
      <c r="L42" s="269"/>
    </row>
    <row r="43" spans="1:12" ht="18" customHeight="1" x14ac:dyDescent="0.25">
      <c r="A43" s="274"/>
      <c r="B43" s="274"/>
      <c r="C43" s="274"/>
      <c r="D43" s="274"/>
      <c r="E43" s="274"/>
      <c r="F43" s="274"/>
      <c r="G43" s="275">
        <v>377.82577148524092</v>
      </c>
      <c r="H43" s="276" t="s">
        <v>53</v>
      </c>
      <c r="I43" s="274"/>
      <c r="J43" s="274"/>
      <c r="K43" s="274"/>
      <c r="L43" s="274"/>
    </row>
    <row r="44" spans="1:12" ht="13.2" x14ac:dyDescent="0.2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</row>
    <row r="45" spans="1:12" ht="13.2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</row>
  </sheetData>
  <mergeCells count="11">
    <mergeCell ref="A1:A2"/>
    <mergeCell ref="K1:L1"/>
    <mergeCell ref="E37:F37"/>
    <mergeCell ref="G37:H37"/>
    <mergeCell ref="E38:I38"/>
    <mergeCell ref="J38:L38"/>
    <mergeCell ref="H33:J33"/>
    <mergeCell ref="E35:F35"/>
    <mergeCell ref="G35:H35"/>
    <mergeCell ref="E34:F34"/>
    <mergeCell ref="G34:H34"/>
  </mergeCells>
  <phoneticPr fontId="2" type="noConversion"/>
  <pageMargins left="0.78740157480314965" right="0.23622047244094491" top="0.62992125984251968" bottom="0.15748031496062992" header="0.27559055118110237" footer="0.23622047244094491"/>
  <pageSetup paperSize="9" orientation="portrait" horizontalDpi="1200" verticalDpi="1200" r:id="rId1"/>
  <headerFooter alignWithMargins="0">
    <oddFooter>&amp;R&amp;8
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Sieblinie</vt:lpstr>
      <vt:lpstr>Rezeptur</vt:lpstr>
      <vt:lpstr>Mischanweisung</vt:lpstr>
      <vt:lpstr>Mischanweisung!Druckbereich</vt:lpstr>
      <vt:lpstr>Rezeptur!Druckbereich</vt:lpstr>
      <vt:lpstr>Sieblinie!Druckbereich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Friemel, Alina Coralie Christine</cp:lastModifiedBy>
  <cp:lastPrinted>2018-02-06T14:45:06Z</cp:lastPrinted>
  <dcterms:created xsi:type="dcterms:W3CDTF">2002-01-23T14:42:05Z</dcterms:created>
  <dcterms:modified xsi:type="dcterms:W3CDTF">2022-10-12T17:17:24Z</dcterms:modified>
</cp:coreProperties>
</file>