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ell\Desktop\Gitstuff\Concrete_data\ModelCalibration\usecases\Concrete\Data\Mischungen\"/>
    </mc:Choice>
  </mc:AlternateContent>
  <xr:revisionPtr revIDLastSave="0" documentId="13_ncr:1_{92068EC5-D865-4F41-A3F3-F82D3832A3A9}" xr6:coauthVersionLast="46" xr6:coauthVersionMax="46" xr10:uidLastSave="{00000000-0000-0000-0000-000000000000}"/>
  <bookViews>
    <workbookView xWindow="760" yWindow="760" windowWidth="14400" windowHeight="8440" xr2:uid="{B628A102-48F8-4B4D-9BAF-395F4F44593B}"/>
  </bookViews>
  <sheets>
    <sheet name="Sieblinie MI-V" sheetId="1" r:id="rId1"/>
    <sheet name="RezepturMIV" sheetId="2" r:id="rId2"/>
    <sheet name="MischanweisungMIV" sheetId="3" r:id="rId3"/>
  </sheets>
  <externalReferences>
    <externalReference r:id="rId4"/>
  </externalReferences>
  <definedNames>
    <definedName name="_xlnm.Print_Area" localSheetId="2">MischanweisungMIV!$A$1:$L$43</definedName>
    <definedName name="_xlnm.Print_Area" localSheetId="1">RezepturMIV!$A$1:$K$48</definedName>
    <definedName name="_xlnm.Print_Area" localSheetId="0">'Sieblinie MI-V'!$A$1:$M$55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C13" i="3"/>
  <c r="E13" i="3" s="1"/>
  <c r="G13" i="3"/>
  <c r="C14" i="3"/>
  <c r="E14" i="3" s="1"/>
  <c r="C17" i="3"/>
  <c r="E17" i="3" s="1"/>
  <c r="C18" i="3"/>
  <c r="E18" i="3"/>
  <c r="G18" i="3"/>
  <c r="K18" i="3"/>
  <c r="L18" i="3"/>
  <c r="B21" i="3"/>
  <c r="D21" i="3"/>
  <c r="B22" i="3"/>
  <c r="B23" i="3"/>
  <c r="B24" i="3"/>
  <c r="B25" i="3"/>
  <c r="B26" i="3"/>
  <c r="B27" i="3"/>
  <c r="I28" i="3"/>
  <c r="H33" i="3"/>
  <c r="E37" i="3"/>
  <c r="G37" i="3"/>
  <c r="I37" i="3"/>
  <c r="J37" i="3"/>
  <c r="K37" i="3"/>
  <c r="L37" i="3"/>
  <c r="E38" i="3"/>
  <c r="J38" i="3"/>
  <c r="K15" i="2"/>
  <c r="G22" i="2"/>
  <c r="G28" i="2" s="1"/>
  <c r="G23" i="2"/>
  <c r="G26" i="2"/>
  <c r="G27" i="2"/>
  <c r="C2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M23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G35" i="1" s="1"/>
  <c r="H29" i="1"/>
  <c r="I29" i="1"/>
  <c r="J29" i="1"/>
  <c r="K29" i="1"/>
  <c r="K35" i="1" s="1"/>
  <c r="D30" i="1"/>
  <c r="E30" i="1"/>
  <c r="F30" i="1"/>
  <c r="F35" i="1" s="1"/>
  <c r="G30" i="1"/>
  <c r="H30" i="1"/>
  <c r="I30" i="1"/>
  <c r="J30" i="1"/>
  <c r="J35" i="1" s="1"/>
  <c r="K30" i="1"/>
  <c r="D31" i="1"/>
  <c r="E31" i="1"/>
  <c r="E35" i="1" s="1"/>
  <c r="F31" i="1"/>
  <c r="G31" i="1"/>
  <c r="H31" i="1"/>
  <c r="I31" i="1"/>
  <c r="I35" i="1" s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C35" i="1"/>
  <c r="D35" i="1"/>
  <c r="O28" i="1" s="1"/>
  <c r="H35" i="1"/>
  <c r="H36" i="1" s="1"/>
  <c r="F58" i="1"/>
  <c r="G58" i="1"/>
  <c r="H58" i="1"/>
  <c r="I58" i="1"/>
  <c r="J58" i="1"/>
  <c r="K58" i="1"/>
  <c r="L58" i="1"/>
  <c r="M58" i="1"/>
  <c r="F59" i="1"/>
  <c r="G59" i="1"/>
  <c r="G61" i="1" s="1"/>
  <c r="H59" i="1"/>
  <c r="I59" i="1"/>
  <c r="J59" i="1"/>
  <c r="K59" i="1"/>
  <c r="K61" i="1" s="1"/>
  <c r="L59" i="1"/>
  <c r="M59" i="1"/>
  <c r="F61" i="1"/>
  <c r="H61" i="1"/>
  <c r="I61" i="1"/>
  <c r="J61" i="1"/>
  <c r="L61" i="1"/>
  <c r="M61" i="1"/>
  <c r="F62" i="1"/>
  <c r="G62" i="1"/>
  <c r="H62" i="1"/>
  <c r="I62" i="1"/>
  <c r="J62" i="1"/>
  <c r="K62" i="1"/>
  <c r="L62" i="1"/>
  <c r="M62" i="1"/>
  <c r="O33" i="1" l="1"/>
  <c r="I36" i="1"/>
  <c r="O29" i="1"/>
  <c r="M35" i="1"/>
  <c r="E36" i="1"/>
  <c r="O34" i="1"/>
  <c r="J36" i="1"/>
  <c r="G29" i="2"/>
  <c r="E19" i="3"/>
  <c r="O30" i="1"/>
  <c r="F36" i="1"/>
  <c r="O35" i="1"/>
  <c r="K36" i="1"/>
  <c r="G36" i="1"/>
  <c r="O31" i="1"/>
  <c r="O32" i="1"/>
  <c r="C19" i="3"/>
  <c r="D24" i="3"/>
  <c r="G14" i="3"/>
  <c r="D36" i="1"/>
  <c r="D27" i="3"/>
  <c r="D23" i="3"/>
  <c r="G17" i="3"/>
  <c r="D25" i="3"/>
  <c r="G39" i="2"/>
  <c r="D26" i="3"/>
  <c r="D22" i="3"/>
  <c r="G30" i="2" l="1"/>
  <c r="C30" i="2" s="1"/>
  <c r="G31" i="2"/>
  <c r="C31" i="2" s="1"/>
  <c r="C22" i="3" s="1"/>
  <c r="E22" i="3" s="1"/>
  <c r="G32" i="2"/>
  <c r="C32" i="2" s="1"/>
  <c r="C23" i="3" s="1"/>
  <c r="E23" i="3" s="1"/>
  <c r="G33" i="2"/>
  <c r="C33" i="2" s="1"/>
  <c r="C24" i="3" s="1"/>
  <c r="E24" i="3" s="1"/>
  <c r="G34" i="2"/>
  <c r="C34" i="2" s="1"/>
  <c r="C25" i="3" s="1"/>
  <c r="E25" i="3" s="1"/>
  <c r="G35" i="2"/>
  <c r="C35" i="2" s="1"/>
  <c r="C26" i="3" s="1"/>
  <c r="E26" i="3" s="1"/>
  <c r="G36" i="2"/>
  <c r="C36" i="2" s="1"/>
  <c r="C27" i="3" s="1"/>
  <c r="E27" i="3" s="1"/>
  <c r="G19" i="3"/>
  <c r="M8" i="1"/>
  <c r="M36" i="1"/>
  <c r="K12" i="2"/>
  <c r="C29" i="2" l="1"/>
  <c r="C39" i="2" s="1"/>
  <c r="C21" i="3"/>
  <c r="E21" i="3" l="1"/>
  <c r="C20" i="3"/>
  <c r="C31" i="3" s="1"/>
  <c r="G21" i="3" l="1"/>
  <c r="G22" i="3" s="1"/>
  <c r="G23" i="3" s="1"/>
  <c r="G24" i="3" s="1"/>
  <c r="G25" i="3" s="1"/>
  <c r="G26" i="3" s="1"/>
  <c r="G27" i="3" s="1"/>
  <c r="E20" i="3"/>
  <c r="G20" i="3" l="1"/>
  <c r="G31" i="3" s="1"/>
  <c r="E31" i="3"/>
</calcChain>
</file>

<file path=xl/sharedStrings.xml><?xml version="1.0" encoding="utf-8"?>
<sst xmlns="http://schemas.openxmlformats.org/spreadsheetml/2006/main" count="251" uniqueCount="167">
  <si>
    <t>2/3+1/3</t>
  </si>
  <si>
    <t>Mittel</t>
  </si>
  <si>
    <t>Empa</t>
  </si>
  <si>
    <t>Fuller</t>
  </si>
  <si>
    <t>Annahme: V-% gleich M-%</t>
  </si>
  <si>
    <t>Abweichung in %</t>
  </si>
  <si>
    <t>Istsieblinie</t>
  </si>
  <si>
    <t>8,0  / 16,0</t>
  </si>
  <si>
    <t>4,0  /  8,0</t>
  </si>
  <si>
    <t>2,0  /  4,0</t>
  </si>
  <si>
    <t>1,0  /  2,0</t>
  </si>
  <si>
    <t>0,5  /  1,0</t>
  </si>
  <si>
    <t>0  /  0,5</t>
  </si>
  <si>
    <t xml:space="preserve">  0  /  0,3</t>
  </si>
  <si>
    <t>U16</t>
  </si>
  <si>
    <t>C16</t>
  </si>
  <si>
    <t>B16</t>
  </si>
  <si>
    <t>A16</t>
  </si>
  <si>
    <t>ziffer</t>
  </si>
  <si>
    <t>Anteil in %</t>
  </si>
  <si>
    <t>mm</t>
  </si>
  <si>
    <t>Körnungs-</t>
  </si>
  <si>
    <t>Durchgang in M-% durch die Siebe (Maschen-bzw. Lochweite in mm)</t>
  </si>
  <si>
    <t>Korngruppe</t>
  </si>
  <si>
    <t>Sollsieblinie</t>
  </si>
  <si>
    <t>Berechnung der Sieblinie</t>
  </si>
  <si>
    <t xml:space="preserve">Okrilla  </t>
  </si>
  <si>
    <t>8,0  /16,0</t>
  </si>
  <si>
    <t>4,0  / 8,0</t>
  </si>
  <si>
    <t>2,0  / 4,0</t>
  </si>
  <si>
    <t>1,0  / 2,0</t>
  </si>
  <si>
    <t>0,5  / 1,0</t>
  </si>
  <si>
    <t>Quarz</t>
  </si>
  <si>
    <t>0 / 0,3</t>
  </si>
  <si>
    <t>herkunft</t>
  </si>
  <si>
    <t>Material-</t>
  </si>
  <si>
    <t>Durchgang in M.-% durch die Siebe (Maschen-bzw. Lochweite in mm)</t>
  </si>
  <si>
    <t>Körnungsziffer</t>
  </si>
  <si>
    <t>Kennwert:</t>
  </si>
  <si>
    <t>Zusammensetzung der Korngruppen</t>
  </si>
  <si>
    <t>SVB (aus BA-Zivkov)</t>
  </si>
  <si>
    <t>Sieblinie:</t>
  </si>
  <si>
    <t>Betonsorte u. -festigkeitsklasse:</t>
  </si>
  <si>
    <t xml:space="preserve">Datei: </t>
  </si>
  <si>
    <t>BA-Losert</t>
  </si>
  <si>
    <t>Antrags-/ Projekt-Nr.:</t>
  </si>
  <si>
    <t>Sand/Kies</t>
  </si>
  <si>
    <t>BAM 7.0 (Werner)</t>
  </si>
  <si>
    <t>Antragsteller:</t>
  </si>
  <si>
    <t>Wer</t>
  </si>
  <si>
    <t xml:space="preserve">  Bearbeiter: </t>
  </si>
  <si>
    <t>Rechnerische Ermittlung der Sieblinie und graphische Darstellung</t>
  </si>
  <si>
    <t>VII.1</t>
  </si>
  <si>
    <t xml:space="preserve">  Datum:</t>
  </si>
  <si>
    <t>Kornzusammensetzung von Zuschlaggemischen für Beton</t>
  </si>
  <si>
    <t>BAM</t>
  </si>
  <si>
    <t>---</t>
  </si>
  <si>
    <t xml:space="preserve">  Mörtelanteil</t>
  </si>
  <si>
    <t xml:space="preserve">  Mehlkornanteil</t>
  </si>
  <si>
    <t xml:space="preserve">  Frischbeton</t>
  </si>
  <si>
    <t>--</t>
  </si>
  <si>
    <t>8,0 / 16,0</t>
  </si>
  <si>
    <t>4,0 / 8,0</t>
  </si>
  <si>
    <t>2,0 / 4,0</t>
  </si>
  <si>
    <t>1,0 / 2,0</t>
  </si>
  <si>
    <t>0,5 / 1,0</t>
  </si>
  <si>
    <t>0,1 / 0,5</t>
  </si>
  <si>
    <t>Vol. -%</t>
  </si>
  <si>
    <t xml:space="preserve">  Zuschlag (gesamt)</t>
  </si>
  <si>
    <t xml:space="preserve">  Gesamt</t>
  </si>
  <si>
    <t>FM 595 BASF</t>
  </si>
  <si>
    <t xml:space="preserve">  Zusatzmittel</t>
  </si>
  <si>
    <t>Medenbach</t>
  </si>
  <si>
    <t>Kalksteinmehl</t>
  </si>
  <si>
    <t>Zusatzstoff</t>
  </si>
  <si>
    <t xml:space="preserve">  Luftgehalt</t>
  </si>
  <si>
    <t xml:space="preserve">  Wasser (wirksam)</t>
  </si>
  <si>
    <t xml:space="preserve">  Wasser (gesamt)</t>
  </si>
  <si>
    <t>CEM I 42,5 R</t>
  </si>
  <si>
    <t xml:space="preserve">  Zement</t>
  </si>
  <si>
    <t>dm³</t>
  </si>
  <si>
    <t>kg/dm³</t>
  </si>
  <si>
    <t>kg/m³</t>
  </si>
  <si>
    <t>Rohdichte</t>
  </si>
  <si>
    <t>Sonstiges/Bemerkungen</t>
  </si>
  <si>
    <t>Stoffraum</t>
  </si>
  <si>
    <t>Dichte bzw.</t>
  </si>
  <si>
    <t>Stoffmenge</t>
  </si>
  <si>
    <t>Stoffart</t>
  </si>
  <si>
    <t>Berechnung der Betonzusammensetzung</t>
  </si>
  <si>
    <t xml:space="preserve"> Durchgang in Vol. -% </t>
  </si>
  <si>
    <t>k-Wert</t>
  </si>
  <si>
    <t xml:space="preserve"> Sieblochweite in mm</t>
  </si>
  <si>
    <t>Vol Leim/Zuschlag</t>
  </si>
  <si>
    <t>Sieblinie des Zuschlags:</t>
  </si>
  <si>
    <t>Körnungsziffer (k-Wert):</t>
  </si>
  <si>
    <t>SVB</t>
  </si>
  <si>
    <t xml:space="preserve">Sieblinie n. DIN 1045:   </t>
  </si>
  <si>
    <t>Konsistenz:</t>
  </si>
  <si>
    <t>0,53 w/b = 0,43</t>
  </si>
  <si>
    <t>Wasserzementwert</t>
  </si>
  <si>
    <t>Betonsorte u.-festigkeitsklasse:</t>
  </si>
  <si>
    <t>BA-Losert MIV</t>
  </si>
  <si>
    <t>Bezeichnung der Proben:</t>
  </si>
  <si>
    <t>BAM 7.0</t>
  </si>
  <si>
    <t>Werner</t>
  </si>
  <si>
    <t xml:space="preserve">  Bearbeiter:</t>
  </si>
  <si>
    <t>7.0</t>
  </si>
  <si>
    <t>Berechnung der Zusammensetzung von Beton</t>
  </si>
  <si>
    <t xml:space="preserve"> Mittelwert</t>
  </si>
  <si>
    <t xml:space="preserve"> Frischbetonrohdichte</t>
  </si>
  <si>
    <t xml:space="preserve"> Volumen des Probekörpers</t>
  </si>
  <si>
    <t>kg</t>
  </si>
  <si>
    <t xml:space="preserve"> Masse des Probekörpers</t>
  </si>
  <si>
    <t>Nr.</t>
  </si>
  <si>
    <t xml:space="preserve"> Probenbezeichnung</t>
  </si>
  <si>
    <t>Hergestellt am:</t>
  </si>
  <si>
    <t xml:space="preserve"> 3. Frischbetonrohdichten</t>
  </si>
  <si>
    <t>15 sec.</t>
  </si>
  <si>
    <t xml:space="preserve">  Rütteltisch:</t>
  </si>
  <si>
    <t xml:space="preserve">  Verdichtung des Frischbetons</t>
  </si>
  <si>
    <t>16,0   / 31,5</t>
  </si>
  <si>
    <t>Dosierbereich 0,1-2,3 M.-% v. Zement</t>
  </si>
  <si>
    <t xml:space="preserve">8,0    / 16,0 </t>
  </si>
  <si>
    <t>BASF FM 595</t>
  </si>
  <si>
    <t>4,0    /   8,0</t>
  </si>
  <si>
    <t xml:space="preserve">  Beurteilung der Verarbeitbarkeit</t>
  </si>
  <si>
    <t>2,0    /   4,0</t>
  </si>
  <si>
    <t>W/Z - Ist</t>
  </si>
  <si>
    <t>1,0    /   2,0</t>
  </si>
  <si>
    <t>W/Z - Soll</t>
  </si>
  <si>
    <t>0,50  /   1,0</t>
  </si>
  <si>
    <t xml:space="preserve">  Wasserzementwert  W/Z</t>
  </si>
  <si>
    <t>0        /   0,5</t>
  </si>
  <si>
    <t>0        /   0,3</t>
  </si>
  <si>
    <t>Luft</t>
  </si>
  <si>
    <t>Frischbeton</t>
  </si>
  <si>
    <t>%</t>
  </si>
  <si>
    <t xml:space="preserve">  Temperatur  in °C</t>
  </si>
  <si>
    <t xml:space="preserve">  Rohdichte in kg/dm³:</t>
  </si>
  <si>
    <r>
      <t xml:space="preserve"> </t>
    </r>
    <r>
      <rPr>
        <sz val="8.5"/>
        <rFont val="Arial"/>
        <family val="2"/>
      </rPr>
      <t xml:space="preserve"> Zusatzmittel</t>
    </r>
  </si>
  <si>
    <t xml:space="preserve">  Topfvolumen in dm³:</t>
  </si>
  <si>
    <t xml:space="preserve">  Betonmasse in kg</t>
  </si>
  <si>
    <t xml:space="preserve">  Rohdichte im Luftgehaltsprüftopf</t>
  </si>
  <si>
    <t>Luftgehalt P in Vol.-%:</t>
  </si>
  <si>
    <t>-</t>
  </si>
  <si>
    <t xml:space="preserve">  Setzmaß in cm</t>
  </si>
  <si>
    <t>Rüdersdorf</t>
  </si>
  <si>
    <t xml:space="preserve">Zementwerk: </t>
  </si>
  <si>
    <t xml:space="preserve">  Verdichtungsmaß:</t>
  </si>
  <si>
    <t>additiv</t>
  </si>
  <si>
    <t>Einzelkomp.</t>
  </si>
  <si>
    <t xml:space="preserve">  Ausbreitmaß in mm</t>
  </si>
  <si>
    <t>l</t>
  </si>
  <si>
    <t>setzung</t>
  </si>
  <si>
    <t xml:space="preserve">  Betonkonsistenbereich </t>
  </si>
  <si>
    <t>Mischanweisung</t>
  </si>
  <si>
    <t>Zusammen-</t>
  </si>
  <si>
    <t xml:space="preserve">  2. Frischbetonprüfung</t>
  </si>
  <si>
    <t xml:space="preserve"> 1. Betonzusammensetzung und Mischanweisung</t>
  </si>
  <si>
    <t>Mischer:</t>
  </si>
  <si>
    <t>7 - FE</t>
  </si>
  <si>
    <t>We</t>
  </si>
  <si>
    <t>Name:</t>
  </si>
  <si>
    <t>Frischbetonprüfung</t>
  </si>
  <si>
    <t>Datum:</t>
  </si>
  <si>
    <t>Betonzusammensetzung, Mischanweisung,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</si>
</sst>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dd/mm/yy"/>
    <numFmt numFmtId="167" formatCode="###\ \ \l"/>
    <numFmt numFmtId="168" formatCode="0.000"/>
    <numFmt numFmtId="169" formatCode="dd/mm/yy;@"/>
  </numFmts>
  <fonts count="15" x14ac:knownFonts="1">
    <font>
      <sz val="10"/>
      <name val="MS Sans Serif"/>
    </font>
    <font>
      <sz val="11"/>
      <color rgb="FF006100"/>
      <name val="Calibri"/>
      <family val="2"/>
      <scheme val="minor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.5"/>
      <name val="MS Sans Serif"/>
      <family val="2"/>
    </font>
    <font>
      <sz val="12"/>
      <name val="MS Sans Serif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8.5"/>
      <name val="Arial"/>
      <family val="2"/>
    </font>
    <font>
      <b/>
      <i/>
      <sz val="8.5"/>
      <name val="Arial"/>
      <family val="2"/>
    </font>
    <font>
      <b/>
      <sz val="8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5" fontId="0" fillId="0" borderId="0" xfId="0" applyNumberFormat="1"/>
    <xf numFmtId="2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5" fontId="0" fillId="0" borderId="12" xfId="0" applyNumberFormat="1" applyBorder="1" applyAlignment="1">
      <alignment horizontal="center" vertical="center"/>
    </xf>
    <xf numFmtId="0" fontId="2" fillId="0" borderId="0" xfId="0" applyFont="1"/>
    <xf numFmtId="0" fontId="3" fillId="0" borderId="13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Continuous" vertical="center"/>
    </xf>
    <xf numFmtId="0" fontId="3" fillId="0" borderId="20" xfId="0" applyFont="1" applyBorder="1" applyAlignment="1">
      <alignment horizontal="centerContinuous" vertical="center"/>
    </xf>
    <xf numFmtId="0" fontId="0" fillId="0" borderId="20" xfId="0" applyBorder="1" applyAlignment="1">
      <alignment horizontal="centerContinuous" vertical="center"/>
    </xf>
    <xf numFmtId="0" fontId="0" fillId="0" borderId="21" xfId="0" applyBorder="1" applyAlignment="1">
      <alignment horizontal="centerContinuous" vertical="center"/>
    </xf>
    <xf numFmtId="0" fontId="0" fillId="0" borderId="22" xfId="0" applyBorder="1" applyAlignment="1">
      <alignment horizontal="centerContinuous" vertical="center"/>
    </xf>
    <xf numFmtId="165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Continuous" vertical="center"/>
    </xf>
    <xf numFmtId="165" fontId="0" fillId="0" borderId="0" xfId="0" applyNumberForma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5" fontId="0" fillId="0" borderId="7" xfId="0" quotePrefix="1" applyNumberFormat="1" applyBorder="1" applyAlignment="1">
      <alignment horizontal="center" vertical="center"/>
    </xf>
    <xf numFmtId="165" fontId="0" fillId="0" borderId="23" xfId="0" applyNumberFormat="1" applyBorder="1" applyAlignment="1">
      <alignment vertical="center"/>
    </xf>
    <xf numFmtId="0" fontId="0" fillId="0" borderId="25" xfId="0" applyBorder="1" applyAlignment="1">
      <alignment horizontal="centerContinuous" vertical="center"/>
    </xf>
    <xf numFmtId="165" fontId="0" fillId="0" borderId="26" xfId="0" applyNumberForma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19" xfId="0" applyBorder="1" applyAlignment="1">
      <alignment horizontal="centerContinuous" vertical="center"/>
    </xf>
    <xf numFmtId="0" fontId="0" fillId="0" borderId="28" xfId="0" applyBorder="1" applyAlignment="1">
      <alignment horizontal="centerContinuous" vertical="center"/>
    </xf>
    <xf numFmtId="0" fontId="0" fillId="0" borderId="29" xfId="0" applyBorder="1" applyAlignment="1">
      <alignment horizontal="centerContinuous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horizontal="centerContinuous" vertical="center"/>
    </xf>
    <xf numFmtId="0" fontId="0" fillId="0" borderId="30" xfId="0" applyBorder="1"/>
    <xf numFmtId="0" fontId="0" fillId="0" borderId="0" xfId="0" applyAlignment="1">
      <alignment horizontal="centerContinuous"/>
    </xf>
    <xf numFmtId="0" fontId="5" fillId="0" borderId="3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16" xfId="0" applyFont="1" applyBorder="1" applyAlignment="1">
      <alignment horizontal="centerContinuous" vertical="center"/>
    </xf>
    <xf numFmtId="0" fontId="0" fillId="0" borderId="16" xfId="0" applyBorder="1" applyAlignment="1">
      <alignment horizontal="centerContinuous"/>
    </xf>
    <xf numFmtId="0" fontId="7" fillId="0" borderId="16" xfId="0" applyFont="1" applyBorder="1" applyAlignment="1">
      <alignment horizontal="centerContinuous" vertical="center"/>
    </xf>
    <xf numFmtId="0" fontId="0" fillId="0" borderId="13" xfId="0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Continuous" vertical="center"/>
    </xf>
    <xf numFmtId="0" fontId="5" fillId="0" borderId="29" xfId="0" applyFont="1" applyBorder="1" applyAlignment="1">
      <alignment vertical="center"/>
    </xf>
    <xf numFmtId="0" fontId="6" fillId="0" borderId="20" xfId="0" applyFont="1" applyBorder="1" applyAlignment="1">
      <alignment horizontal="centerContinuous" vertical="center"/>
    </xf>
    <xf numFmtId="0" fontId="0" fillId="0" borderId="20" xfId="0" applyBorder="1" applyAlignment="1">
      <alignment horizontal="centerContinuous"/>
    </xf>
    <xf numFmtId="0" fontId="7" fillId="0" borderId="20" xfId="0" applyFont="1" applyBorder="1" applyAlignment="1">
      <alignment horizontal="centerContinuous" vertical="center"/>
    </xf>
    <xf numFmtId="0" fontId="0" fillId="0" borderId="18" xfId="0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Continuous" vertical="center"/>
    </xf>
    <xf numFmtId="0" fontId="8" fillId="0" borderId="17" xfId="0" quotePrefix="1" applyFont="1" applyBorder="1" applyAlignment="1">
      <alignment horizontal="centerContinuous" vertical="center"/>
    </xf>
    <xf numFmtId="2" fontId="8" fillId="0" borderId="31" xfId="0" applyNumberFormat="1" applyFont="1" applyBorder="1" applyAlignment="1">
      <alignment horizontal="centerContinuous" vertical="center"/>
    </xf>
    <xf numFmtId="0" fontId="8" fillId="0" borderId="31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Continuous" vertical="center"/>
    </xf>
    <xf numFmtId="0" fontId="8" fillId="0" borderId="33" xfId="0" quotePrefix="1" applyFont="1" applyBorder="1" applyAlignment="1">
      <alignment horizontal="centerContinuous" vertical="center"/>
    </xf>
    <xf numFmtId="2" fontId="8" fillId="0" borderId="32" xfId="0" applyNumberFormat="1" applyFont="1" applyBorder="1" applyAlignment="1">
      <alignment horizontal="centerContinuous" vertical="center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1" fontId="8" fillId="0" borderId="32" xfId="0" applyNumberFormat="1" applyFont="1" applyBorder="1" applyAlignment="1">
      <alignment horizontal="centerContinuous" vertical="center"/>
    </xf>
    <xf numFmtId="1" fontId="8" fillId="0" borderId="33" xfId="0" applyNumberFormat="1" applyFont="1" applyBorder="1" applyAlignment="1">
      <alignment horizontal="centerContinuous" vertical="center"/>
    </xf>
    <xf numFmtId="2" fontId="8" fillId="0" borderId="33" xfId="0" quotePrefix="1" applyNumberFormat="1" applyFont="1" applyBorder="1" applyAlignment="1">
      <alignment horizontal="centerContinuous" vertical="center"/>
    </xf>
    <xf numFmtId="165" fontId="8" fillId="0" borderId="32" xfId="0" quotePrefix="1" applyNumberFormat="1" applyFont="1" applyBorder="1" applyAlignment="1">
      <alignment horizontal="center" vertical="center"/>
    </xf>
    <xf numFmtId="165" fontId="8" fillId="0" borderId="34" xfId="0" quotePrefix="1" applyNumberFormat="1" applyFont="1" applyBorder="1" applyAlignment="1">
      <alignment horizontal="center" vertical="center"/>
    </xf>
    <xf numFmtId="1" fontId="8" fillId="0" borderId="33" xfId="0" quotePrefix="1" applyNumberFormat="1" applyFont="1" applyBorder="1" applyAlignment="1">
      <alignment horizontal="centerContinuous" vertical="center"/>
    </xf>
    <xf numFmtId="0" fontId="8" fillId="0" borderId="33" xfId="0" applyFont="1" applyBorder="1" applyAlignment="1">
      <alignment horizontal="centerContinuous" vertical="center"/>
    </xf>
    <xf numFmtId="16" fontId="0" fillId="0" borderId="0" xfId="0" applyNumberFormat="1"/>
    <xf numFmtId="165" fontId="8" fillId="0" borderId="35" xfId="0" quotePrefix="1" applyNumberFormat="1" applyFont="1" applyBorder="1" applyAlignment="1">
      <alignment horizontal="center" vertical="center"/>
    </xf>
    <xf numFmtId="165" fontId="8" fillId="0" borderId="36" xfId="0" quotePrefix="1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Continuous" vertical="center"/>
    </xf>
    <xf numFmtId="2" fontId="8" fillId="0" borderId="37" xfId="0" quotePrefix="1" applyNumberFormat="1" applyFont="1" applyBorder="1" applyAlignment="1">
      <alignment horizontal="centerContinuous" vertical="center"/>
    </xf>
    <xf numFmtId="0" fontId="8" fillId="0" borderId="35" xfId="0" applyFont="1" applyBorder="1" applyAlignment="1">
      <alignment horizontal="centerContinuous" vertical="center"/>
    </xf>
    <xf numFmtId="1" fontId="8" fillId="0" borderId="37" xfId="0" quotePrefix="1" applyNumberFormat="1" applyFont="1" applyBorder="1" applyAlignment="1">
      <alignment horizontal="centerContinuous" vertical="center"/>
    </xf>
    <xf numFmtId="0" fontId="8" fillId="0" borderId="37" xfId="0" applyFont="1" applyBorder="1" applyAlignment="1">
      <alignment horizontal="centerContinuous" vertical="center"/>
    </xf>
    <xf numFmtId="2" fontId="8" fillId="0" borderId="25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165" fontId="8" fillId="0" borderId="35" xfId="0" applyNumberFormat="1" applyFont="1" applyBorder="1" applyAlignment="1">
      <alignment horizontal="center" vertical="center"/>
    </xf>
    <xf numFmtId="2" fontId="8" fillId="0" borderId="36" xfId="0" applyNumberFormat="1" applyFont="1" applyBorder="1" applyAlignment="1">
      <alignment horizontal="center" vertical="center"/>
    </xf>
    <xf numFmtId="2" fontId="8" fillId="0" borderId="37" xfId="0" applyNumberFormat="1" applyFont="1" applyBorder="1" applyAlignment="1">
      <alignment horizontal="centerContinuous" vertical="center"/>
    </xf>
    <xf numFmtId="1" fontId="8" fillId="0" borderId="37" xfId="0" applyNumberFormat="1" applyFont="1" applyBorder="1" applyAlignment="1">
      <alignment horizontal="centerContinuous" vertical="center"/>
    </xf>
    <xf numFmtId="0" fontId="8" fillId="0" borderId="35" xfId="0" applyFont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165" fontId="8" fillId="0" borderId="32" xfId="0" applyNumberFormat="1" applyFont="1" applyBorder="1" applyAlignment="1">
      <alignment horizontal="centerContinuous" vertical="center"/>
    </xf>
    <xf numFmtId="165" fontId="8" fillId="0" borderId="33" xfId="0" quotePrefix="1" applyNumberFormat="1" applyFont="1" applyBorder="1" applyAlignment="1">
      <alignment horizontal="centerContinuous" vertical="center"/>
    </xf>
    <xf numFmtId="0" fontId="8" fillId="0" borderId="2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8" fillId="0" borderId="33" xfId="0" applyNumberFormat="1" applyFont="1" applyBorder="1" applyAlignment="1">
      <alignment horizontal="centerContinuous" vertical="center"/>
    </xf>
    <xf numFmtId="2" fontId="8" fillId="0" borderId="33" xfId="0" applyNumberFormat="1" applyFont="1" applyBorder="1" applyAlignment="1">
      <alignment horizontal="centerContinuous" vertical="center"/>
    </xf>
    <xf numFmtId="0" fontId="8" fillId="0" borderId="2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16" xfId="0" applyFont="1" applyBorder="1" applyAlignment="1">
      <alignment horizontal="centerContinuous" vertical="center"/>
    </xf>
    <xf numFmtId="0" fontId="8" fillId="0" borderId="32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2" fillId="0" borderId="31" xfId="0" applyNumberFormat="1" applyFon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30" xfId="0" applyFont="1" applyBorder="1"/>
    <xf numFmtId="2" fontId="8" fillId="0" borderId="30" xfId="0" applyNumberFormat="1" applyFont="1" applyBorder="1"/>
    <xf numFmtId="0" fontId="8" fillId="0" borderId="0" xfId="0" applyFont="1" applyAlignment="1">
      <alignment horizontal="centerContinuous"/>
    </xf>
    <xf numFmtId="0" fontId="8" fillId="0" borderId="0" xfId="0" applyFont="1"/>
    <xf numFmtId="0" fontId="8" fillId="0" borderId="30" xfId="0" applyFont="1" applyBorder="1" applyAlignment="1">
      <alignment horizontal="centerContinuous"/>
    </xf>
    <xf numFmtId="0" fontId="8" fillId="0" borderId="31" xfId="0" applyFont="1" applyBorder="1" applyAlignment="1">
      <alignment horizontal="right" vertical="center"/>
    </xf>
    <xf numFmtId="0" fontId="9" fillId="0" borderId="16" xfId="0" applyFont="1" applyBorder="1" applyAlignment="1">
      <alignment vertical="center"/>
    </xf>
    <xf numFmtId="16" fontId="8" fillId="0" borderId="13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Continuous" vertical="center"/>
    </xf>
    <xf numFmtId="14" fontId="8" fillId="0" borderId="19" xfId="0" applyNumberFormat="1" applyFont="1" applyBorder="1" applyAlignment="1">
      <alignment horizontal="centerContinuous" vertical="center"/>
    </xf>
    <xf numFmtId="0" fontId="9" fillId="0" borderId="20" xfId="0" applyFont="1" applyBorder="1" applyAlignment="1">
      <alignment horizontal="centerContinuous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center"/>
    </xf>
    <xf numFmtId="0" fontId="10" fillId="0" borderId="15" xfId="0" applyFont="1" applyBorder="1" applyAlignment="1">
      <alignment horizontal="centerContinuous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Continuous" vertical="center"/>
    </xf>
    <xf numFmtId="0" fontId="10" fillId="0" borderId="44" xfId="0" applyFont="1" applyBorder="1" applyAlignment="1">
      <alignment horizontal="centerContinuous" vertical="center"/>
    </xf>
    <xf numFmtId="0" fontId="10" fillId="0" borderId="45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0" fillId="0" borderId="47" xfId="0" applyBorder="1"/>
    <xf numFmtId="0" fontId="0" fillId="0" borderId="48" xfId="0" applyBorder="1"/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Continuous" vertical="center"/>
    </xf>
    <xf numFmtId="0" fontId="10" fillId="0" borderId="49" xfId="0" applyFont="1" applyBorder="1" applyAlignment="1">
      <alignment horizontal="centerContinuous" vertical="center"/>
    </xf>
    <xf numFmtId="0" fontId="10" fillId="0" borderId="48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35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" fontId="8" fillId="0" borderId="52" xfId="0" applyNumberFormat="1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Continuous"/>
    </xf>
    <xf numFmtId="0" fontId="10" fillId="0" borderId="24" xfId="0" applyFont="1" applyBorder="1" applyAlignment="1">
      <alignment horizontal="centerContinuous"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8" fillId="0" borderId="21" xfId="0" applyFont="1" applyBorder="1"/>
    <xf numFmtId="0" fontId="8" fillId="0" borderId="20" xfId="0" applyFont="1" applyBorder="1"/>
    <xf numFmtId="14" fontId="8" fillId="0" borderId="19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1" fontId="8" fillId="0" borderId="20" xfId="0" applyNumberFormat="1" applyFont="1" applyBorder="1" applyAlignment="1">
      <alignment horizontal="centerContinuous" vertical="center"/>
    </xf>
    <xf numFmtId="0" fontId="9" fillId="0" borderId="22" xfId="0" applyFont="1" applyBorder="1" applyAlignment="1">
      <alignment vertical="center"/>
    </xf>
    <xf numFmtId="0" fontId="8" fillId="0" borderId="0" xfId="0" applyFont="1" applyAlignment="1">
      <alignment horizontal="centerContinuous" vertical="center"/>
    </xf>
    <xf numFmtId="1" fontId="8" fillId="0" borderId="0" xfId="0" applyNumberFormat="1" applyFont="1" applyAlignment="1">
      <alignment horizontal="centerContinuous" vertical="center"/>
    </xf>
    <xf numFmtId="168" fontId="0" fillId="0" borderId="0" xfId="0" applyNumberFormat="1"/>
    <xf numFmtId="0" fontId="10" fillId="0" borderId="31" xfId="0" applyFont="1" applyBorder="1" applyAlignment="1">
      <alignment vertical="center"/>
    </xf>
    <xf numFmtId="2" fontId="8" fillId="0" borderId="16" xfId="0" quotePrefix="1" applyNumberFormat="1" applyFont="1" applyBorder="1" applyAlignment="1">
      <alignment horizontal="centerContinuous" vertical="center"/>
    </xf>
    <xf numFmtId="2" fontId="8" fillId="0" borderId="38" xfId="0" applyNumberFormat="1" applyFont="1" applyBorder="1" applyAlignment="1">
      <alignment horizontal="centerContinuous" vertical="center"/>
    </xf>
    <xf numFmtId="0" fontId="8" fillId="0" borderId="31" xfId="0" quotePrefix="1" applyFont="1" applyBorder="1" applyAlignment="1">
      <alignment horizontal="centerContinuous" vertical="center"/>
    </xf>
    <xf numFmtId="1" fontId="8" fillId="0" borderId="27" xfId="0" quotePrefix="1" applyNumberFormat="1" applyFont="1" applyBorder="1" applyAlignment="1">
      <alignment horizontal="centerContinuous" vertical="center"/>
    </xf>
    <xf numFmtId="0" fontId="10" fillId="0" borderId="47" xfId="0" applyFont="1" applyBorder="1" applyAlignment="1">
      <alignment vertical="center"/>
    </xf>
    <xf numFmtId="2" fontId="8" fillId="0" borderId="30" xfId="0" quotePrefix="1" applyNumberFormat="1" applyFont="1" applyBorder="1" applyAlignment="1">
      <alignment horizontal="centerContinuous" vertical="center"/>
    </xf>
    <xf numFmtId="2" fontId="8" fillId="0" borderId="12" xfId="0" quotePrefix="1" applyNumberFormat="1" applyFont="1" applyBorder="1" applyAlignment="1">
      <alignment horizontal="centerContinuous" vertical="center"/>
    </xf>
    <xf numFmtId="0" fontId="8" fillId="0" borderId="55" xfId="0" quotePrefix="1" applyFont="1" applyBorder="1" applyAlignment="1">
      <alignment horizontal="centerContinuous" vertical="center"/>
    </xf>
    <xf numFmtId="1" fontId="8" fillId="0" borderId="33" xfId="0" quotePrefix="1" applyNumberFormat="1" applyFont="1" applyBorder="1" applyAlignment="1">
      <alignment horizontal="center" vertical="center"/>
    </xf>
    <xf numFmtId="0" fontId="9" fillId="0" borderId="30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2" fontId="8" fillId="0" borderId="56" xfId="0" quotePrefix="1" applyNumberFormat="1" applyFont="1" applyBorder="1" applyAlignment="1">
      <alignment horizontal="centerContinuous" vertical="center"/>
    </xf>
    <xf numFmtId="2" fontId="8" fillId="0" borderId="52" xfId="0" applyNumberFormat="1" applyFont="1" applyBorder="1" applyAlignment="1">
      <alignment horizontal="centerContinuous" vertical="center"/>
    </xf>
    <xf numFmtId="0" fontId="8" fillId="0" borderId="57" xfId="0" quotePrefix="1" applyFont="1" applyBorder="1" applyAlignment="1">
      <alignment horizontal="centerContinuous" vertical="center"/>
    </xf>
    <xf numFmtId="1" fontId="8" fillId="0" borderId="37" xfId="0" quotePrefix="1" applyNumberFormat="1" applyFont="1" applyBorder="1" applyAlignment="1">
      <alignment horizontal="center" vertical="center"/>
    </xf>
    <xf numFmtId="0" fontId="8" fillId="0" borderId="37" xfId="0" quotePrefix="1" applyFont="1" applyBorder="1" applyAlignment="1">
      <alignment horizontal="centerContinuous" vertical="center"/>
    </xf>
    <xf numFmtId="0" fontId="10" fillId="0" borderId="16" xfId="0" applyFont="1" applyBorder="1" applyAlignment="1">
      <alignment horizontal="left" vertical="center" indent="1"/>
    </xf>
    <xf numFmtId="2" fontId="8" fillId="0" borderId="52" xfId="0" quotePrefix="1" applyNumberFormat="1" applyFont="1" applyBorder="1" applyAlignment="1">
      <alignment horizontal="centerContinuous" vertical="center"/>
    </xf>
    <xf numFmtId="0" fontId="12" fillId="0" borderId="35" xfId="0" applyFont="1" applyBorder="1" applyAlignment="1">
      <alignment horizontal="centerContinuous" vertical="center"/>
    </xf>
    <xf numFmtId="0" fontId="12" fillId="0" borderId="37" xfId="0" applyFont="1" applyBorder="1" applyAlignment="1">
      <alignment horizontal="center" vertical="center"/>
    </xf>
    <xf numFmtId="0" fontId="10" fillId="0" borderId="48" xfId="0" applyFont="1" applyBorder="1" applyAlignment="1">
      <alignment horizontal="left" vertical="center" indent="1"/>
    </xf>
    <xf numFmtId="168" fontId="8" fillId="0" borderId="56" xfId="0" quotePrefix="1" applyNumberFormat="1" applyFont="1" applyBorder="1" applyAlignment="1">
      <alignment horizontal="centerContinuous" vertical="center"/>
    </xf>
    <xf numFmtId="168" fontId="8" fillId="0" borderId="52" xfId="0" applyNumberFormat="1" applyFont="1" applyBorder="1" applyAlignment="1">
      <alignment horizontal="centerContinuous" vertical="center"/>
    </xf>
    <xf numFmtId="1" fontId="8" fillId="0" borderId="57" xfId="0" applyNumberFormat="1" applyFont="1" applyBorder="1" applyAlignment="1">
      <alignment horizontal="centerContinuous" vertical="center"/>
    </xf>
    <xf numFmtId="1" fontId="8" fillId="0" borderId="37" xfId="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Continuous" vertical="center"/>
    </xf>
    <xf numFmtId="0" fontId="10" fillId="0" borderId="58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1" fontId="8" fillId="0" borderId="57" xfId="0" quotePrefix="1" applyNumberFormat="1" applyFont="1" applyBorder="1" applyAlignment="1">
      <alignment horizontal="centerContinuous" vertical="center"/>
    </xf>
    <xf numFmtId="0" fontId="10" fillId="0" borderId="15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2" fontId="10" fillId="0" borderId="48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0" fontId="14" fillId="0" borderId="30" xfId="0" applyFont="1" applyBorder="1" applyAlignment="1">
      <alignment vertical="center"/>
    </xf>
    <xf numFmtId="0" fontId="10" fillId="0" borderId="3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Continuous" vertical="center"/>
    </xf>
    <xf numFmtId="0" fontId="10" fillId="0" borderId="56" xfId="0" applyFont="1" applyBorder="1" applyAlignment="1">
      <alignment horizontal="centerContinuous" vertical="center"/>
    </xf>
    <xf numFmtId="0" fontId="10" fillId="0" borderId="52" xfId="0" applyFont="1" applyBorder="1" applyAlignment="1">
      <alignment horizontal="centerContinuous" vertical="center"/>
    </xf>
    <xf numFmtId="168" fontId="8" fillId="0" borderId="52" xfId="0" applyNumberFormat="1" applyFont="1" applyBorder="1" applyAlignment="1">
      <alignment vertical="center"/>
    </xf>
    <xf numFmtId="168" fontId="8" fillId="0" borderId="37" xfId="0" applyNumberFormat="1" applyFont="1" applyBorder="1" applyAlignment="1">
      <alignment vertical="center"/>
    </xf>
    <xf numFmtId="9" fontId="8" fillId="0" borderId="57" xfId="0" applyNumberFormat="1" applyFont="1" applyBorder="1" applyAlignment="1">
      <alignment horizontal="centerContinuous" vertical="center"/>
    </xf>
    <xf numFmtId="168" fontId="8" fillId="0" borderId="30" xfId="0" quotePrefix="1" applyNumberFormat="1" applyFont="1" applyBorder="1" applyAlignment="1">
      <alignment horizontal="centerContinuous" vertical="center"/>
    </xf>
    <xf numFmtId="168" fontId="8" fillId="0" borderId="12" xfId="0" quotePrefix="1" applyNumberFormat="1" applyFont="1" applyBorder="1" applyAlignment="1">
      <alignment horizontal="centerContinuous" vertical="center"/>
    </xf>
    <xf numFmtId="1" fontId="8" fillId="0" borderId="38" xfId="0" applyNumberFormat="1" applyFont="1" applyBorder="1" applyAlignment="1">
      <alignment horizontal="center" vertical="center"/>
    </xf>
    <xf numFmtId="1" fontId="10" fillId="0" borderId="38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8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168" fontId="8" fillId="0" borderId="35" xfId="0" applyNumberFormat="1" applyFont="1" applyBorder="1" applyAlignment="1">
      <alignment horizontal="center" vertical="center"/>
    </xf>
    <xf numFmtId="168" fontId="10" fillId="0" borderId="52" xfId="0" applyNumberFormat="1" applyFont="1" applyBorder="1" applyAlignment="1">
      <alignment horizontal="center" vertical="center"/>
    </xf>
    <xf numFmtId="165" fontId="8" fillId="0" borderId="59" xfId="0" applyNumberFormat="1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Continuous" vertical="center"/>
    </xf>
    <xf numFmtId="0" fontId="12" fillId="0" borderId="61" xfId="0" applyFont="1" applyBorder="1" applyAlignment="1">
      <alignment horizontal="centerContinuous" vertical="center"/>
    </xf>
    <xf numFmtId="0" fontId="10" fillId="0" borderId="58" xfId="0" applyFont="1" applyBorder="1" applyAlignment="1">
      <alignment horizontal="center" vertical="center"/>
    </xf>
    <xf numFmtId="0" fontId="10" fillId="0" borderId="62" xfId="0" applyFont="1" applyBorder="1" applyAlignment="1">
      <alignment vertical="center"/>
    </xf>
    <xf numFmtId="0" fontId="12" fillId="0" borderId="0" xfId="0" applyFont="1" applyAlignment="1">
      <alignment vertical="center"/>
    </xf>
    <xf numFmtId="2" fontId="8" fillId="0" borderId="12" xfId="0" applyNumberFormat="1" applyFont="1" applyBorder="1" applyAlignment="1">
      <alignment horizontal="centerContinuous" vertical="center"/>
    </xf>
    <xf numFmtId="0" fontId="10" fillId="0" borderId="6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Continuous" vertical="center"/>
    </xf>
    <xf numFmtId="0" fontId="7" fillId="0" borderId="31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2" fontId="10" fillId="0" borderId="63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Continuous" vertical="center"/>
    </xf>
    <xf numFmtId="0" fontId="10" fillId="0" borderId="30" xfId="0" applyFont="1" applyBorder="1" applyAlignment="1">
      <alignment horizontal="centerContinuous" vertical="center"/>
    </xf>
    <xf numFmtId="0" fontId="10" fillId="0" borderId="12" xfId="0" applyFont="1" applyBorder="1" applyAlignment="1">
      <alignment horizontal="centerContinuous" vertical="center"/>
    </xf>
    <xf numFmtId="0" fontId="1" fillId="2" borderId="32" xfId="1" applyBorder="1" applyAlignment="1">
      <alignment vertical="center"/>
    </xf>
    <xf numFmtId="0" fontId="1" fillId="2" borderId="30" xfId="1" applyBorder="1" applyAlignment="1">
      <alignment horizontal="center" vertical="center"/>
    </xf>
    <xf numFmtId="0" fontId="1" fillId="2" borderId="12" xfId="1" applyBorder="1" applyAlignment="1">
      <alignment vertical="center"/>
    </xf>
    <xf numFmtId="0" fontId="8" fillId="0" borderId="58" xfId="0" applyFont="1" applyBorder="1" applyAlignment="1">
      <alignment horizontal="centerContinuous" vertical="center"/>
    </xf>
    <xf numFmtId="0" fontId="8" fillId="0" borderId="58" xfId="0" applyFont="1" applyBorder="1" applyAlignment="1">
      <alignment vertical="center"/>
    </xf>
    <xf numFmtId="0" fontId="8" fillId="0" borderId="64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30" xfId="0" applyFont="1" applyBorder="1"/>
    <xf numFmtId="0" fontId="12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Continuous" vertical="center"/>
    </xf>
    <xf numFmtId="169" fontId="8" fillId="0" borderId="19" xfId="0" applyNumberFormat="1" applyFont="1" applyBorder="1" applyAlignment="1">
      <alignment horizontal="centerContinuous" vertical="center"/>
    </xf>
    <xf numFmtId="0" fontId="12" fillId="0" borderId="29" xfId="0" applyFont="1" applyBorder="1" applyAlignment="1">
      <alignment horizontal="center"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MI-V'!$O$26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0.6</c:v>
                </c:pt>
                <c:pt idx="2">
                  <c:v>8.4</c:v>
                </c:pt>
                <c:pt idx="3">
                  <c:v>20.399999999999999</c:v>
                </c:pt>
                <c:pt idx="4">
                  <c:v>31.8</c:v>
                </c:pt>
                <c:pt idx="5">
                  <c:v>42.4</c:v>
                </c:pt>
                <c:pt idx="6">
                  <c:v>50.7</c:v>
                </c:pt>
                <c:pt idx="7">
                  <c:v>60.5</c:v>
                </c:pt>
                <c:pt idx="8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6-4DB5-8217-8166CB234C33}"/>
            </c:ext>
          </c:extLst>
        </c:ser>
        <c:ser>
          <c:idx val="1"/>
          <c:order val="1"/>
          <c:tx>
            <c:strRef>
              <c:f>'Sieblinie MI-V'!$P$26</c:f>
              <c:strCache>
                <c:ptCount val="1"/>
                <c:pt idx="0">
                  <c:v>A16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96-4DB5-8217-8166CB234C3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MI-V'!$P$27:$P$35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21</c:v>
                </c:pt>
                <c:pt idx="6">
                  <c:v>36</c:v>
                </c:pt>
                <c:pt idx="7">
                  <c:v>60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96-4DB5-8217-8166CB234C33}"/>
            </c:ext>
          </c:extLst>
        </c:ser>
        <c:ser>
          <c:idx val="2"/>
          <c:order val="2"/>
          <c:tx>
            <c:strRef>
              <c:f>'Sieblinie MI-V'!$Q$26</c:f>
              <c:strCache>
                <c:ptCount val="1"/>
                <c:pt idx="0">
                  <c:v>B16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96-4DB5-8217-8166CB234C3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MI-V'!$Q$27:$Q$35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76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96-4DB5-8217-8166CB234C33}"/>
            </c:ext>
          </c:extLst>
        </c:ser>
        <c:ser>
          <c:idx val="3"/>
          <c:order val="3"/>
          <c:tx>
            <c:strRef>
              <c:f>'Sieblinie MI-V'!$R$26</c:f>
              <c:strCache>
                <c:ptCount val="1"/>
                <c:pt idx="0">
                  <c:v>C16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D96-4DB5-8217-8166CB234C3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MI-V'!$R$27:$R$35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88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96-4DB5-8217-8166CB234C33}"/>
            </c:ext>
          </c:extLst>
        </c:ser>
        <c:ser>
          <c:idx val="4"/>
          <c:order val="4"/>
          <c:tx>
            <c:strRef>
              <c:f>'Sieblinie MI-V'!$S$26</c:f>
              <c:strCache>
                <c:ptCount val="1"/>
                <c:pt idx="0">
                  <c:v>U16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D96-4DB5-8217-8166CB234C3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D96-4DB5-8217-8166CB234C33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D96-4DB5-8217-8166CB234C3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D96-4DB5-8217-8166CB234C3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D96-4DB5-8217-8166CB234C33}"/>
                </c:ext>
              </c:extLst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D96-4DB5-8217-8166CB234C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MI-V'!$S$27:$S$35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D96-4DB5-8217-8166CB23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9520"/>
        <c:axId val="43913984"/>
      </c:lineChart>
      <c:catAx>
        <c:axId val="4389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91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9139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8995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53D45-B95C-4C81-B035-83259ACD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0.46443</cdr:x>
      <cdr:y>0.4837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9946" y="1146648"/>
          <a:ext cx="327513" cy="2097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0.60775</cdr:x>
      <cdr:y>0.63095</cdr:y>
    </cdr:from>
    <cdr:to>
      <cdr:x>0.68043</cdr:x>
      <cdr:y>0.69741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449" y="1769284"/>
          <a:ext cx="397090" cy="18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0.36397</cdr:x>
      <cdr:y>0.35266</cdr:y>
    </cdr:from>
    <cdr:to>
      <cdr:x>0.4104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571" y="988913"/>
          <a:ext cx="253659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0.71967</cdr:x>
      <cdr:y>0.39402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706" y="778687"/>
          <a:ext cx="764214" cy="326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0.8697</cdr:x>
      <cdr:y>0.50155</cdr:y>
    </cdr:from>
    <cdr:to>
      <cdr:x>0.93575</cdr:x>
      <cdr:y>0.56244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1665" y="1406439"/>
          <a:ext cx="360867" cy="170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U16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08_04%20Rezepturen_auf%2085%20Liter_Werner_Los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Sieblinie MVI"/>
      <sheetName val="RezepturMI"/>
      <sheetName val="RezepturMII"/>
      <sheetName val="RezepturMIII"/>
      <sheetName val="RezepturMV"/>
      <sheetName val="RezepturMVI"/>
      <sheetName val="MischanweisungMI"/>
      <sheetName val="MischanweisungMII"/>
      <sheetName val="MischanweisungMIII"/>
      <sheetName val="MischanweisungMV"/>
      <sheetName val="MischanweisungMVI"/>
    </sheetNames>
    <sheetDataSet>
      <sheetData sheetId="0">
        <row r="26">
          <cell r="O26" t="str">
            <v>Istsieblinie</v>
          </cell>
        </row>
      </sheetData>
      <sheetData sheetId="1">
        <row r="12">
          <cell r="M12" t="str">
            <v>Quarz</v>
          </cell>
        </row>
        <row r="13">
          <cell r="M13" t="str">
            <v xml:space="preserve">Okrilla  </v>
          </cell>
        </row>
        <row r="14">
          <cell r="M14" t="str">
            <v xml:space="preserve">Okrilla  </v>
          </cell>
        </row>
        <row r="15">
          <cell r="M15" t="str">
            <v xml:space="preserve">Okrilla  </v>
          </cell>
        </row>
        <row r="16">
          <cell r="M16" t="str">
            <v xml:space="preserve">Okrilla  </v>
          </cell>
        </row>
        <row r="17">
          <cell r="M17" t="str">
            <v xml:space="preserve">Okrilla  </v>
          </cell>
        </row>
        <row r="18">
          <cell r="M18" t="str">
            <v xml:space="preserve">Okrilla  </v>
          </cell>
        </row>
      </sheetData>
      <sheetData sheetId="2">
        <row r="6">
          <cell r="D6" t="str">
            <v>BA-Losert MI</v>
          </cell>
        </row>
        <row r="30">
          <cell r="H30">
            <v>0</v>
          </cell>
        </row>
        <row r="31">
          <cell r="H31">
            <v>20</v>
          </cell>
        </row>
        <row r="32">
          <cell r="H32">
            <v>11.5</v>
          </cell>
        </row>
        <row r="33">
          <cell r="H33">
            <v>11.5</v>
          </cell>
        </row>
        <row r="34">
          <cell r="H34">
            <v>7.5</v>
          </cell>
        </row>
        <row r="35">
          <cell r="H35">
            <v>7.5</v>
          </cell>
        </row>
        <row r="36">
          <cell r="H36">
            <v>42</v>
          </cell>
        </row>
      </sheetData>
      <sheetData sheetId="3"/>
      <sheetData sheetId="4" refreshError="1"/>
      <sheetData sheetId="5"/>
      <sheetData sheetId="6">
        <row r="30">
          <cell r="I30" t="str">
            <v>Quarz</v>
          </cell>
        </row>
        <row r="31">
          <cell r="I31" t="str">
            <v xml:space="preserve">Okrilla  </v>
          </cell>
        </row>
        <row r="32">
          <cell r="I32" t="str">
            <v xml:space="preserve">Okrilla  </v>
          </cell>
        </row>
        <row r="33">
          <cell r="I33" t="str">
            <v xml:space="preserve">Okrilla  </v>
          </cell>
        </row>
        <row r="34">
          <cell r="I34" t="str">
            <v xml:space="preserve">Okrilla  </v>
          </cell>
        </row>
        <row r="35">
          <cell r="I35" t="str">
            <v xml:space="preserve">Okrilla  </v>
          </cell>
        </row>
        <row r="36">
          <cell r="I36" t="str">
            <v xml:space="preserve">Okrilla  </v>
          </cell>
        </row>
      </sheetData>
      <sheetData sheetId="7"/>
      <sheetData sheetId="8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8CFF-9D14-4B49-A70E-FC337A5967CD}">
  <dimension ref="A1:S62"/>
  <sheetViews>
    <sheetView tabSelected="1" workbookViewId="0">
      <selection activeCell="E13" sqref="E13"/>
    </sheetView>
  </sheetViews>
  <sheetFormatPr baseColWidth="10" defaultRowHeight="13" x14ac:dyDescent="0.3"/>
  <cols>
    <col min="1" max="1" width="6.1796875" customWidth="1"/>
    <col min="2" max="2" width="3.26953125" customWidth="1"/>
    <col min="3" max="3" width="9.1796875" customWidth="1"/>
    <col min="4" max="6" width="6.453125" customWidth="1"/>
    <col min="7" max="7" width="6.54296875" customWidth="1"/>
    <col min="8" max="12" width="6.453125" customWidth="1"/>
    <col min="13" max="13" width="10.81640625" customWidth="1"/>
  </cols>
  <sheetData>
    <row r="1" spans="1:13" ht="20.149999999999999" customHeight="1" x14ac:dyDescent="0.3">
      <c r="A1" s="74" t="s">
        <v>55</v>
      </c>
      <c r="B1" s="73" t="s">
        <v>54</v>
      </c>
      <c r="C1" s="72"/>
      <c r="D1" s="72"/>
      <c r="E1" s="71"/>
      <c r="F1" s="71"/>
      <c r="G1" s="71"/>
      <c r="H1" s="71"/>
      <c r="I1" s="71"/>
      <c r="J1" s="71"/>
      <c r="K1" s="70" t="s">
        <v>53</v>
      </c>
      <c r="L1" s="69"/>
      <c r="M1" s="68">
        <v>38667</v>
      </c>
    </row>
    <row r="2" spans="1:13" ht="20.149999999999999" customHeight="1" thickBot="1" x14ac:dyDescent="0.35">
      <c r="A2" s="67" t="s">
        <v>52</v>
      </c>
      <c r="B2" s="66" t="s">
        <v>51</v>
      </c>
      <c r="C2" s="65"/>
      <c r="D2" s="65"/>
      <c r="E2" s="64"/>
      <c r="F2" s="64"/>
      <c r="G2" s="64"/>
      <c r="H2" s="64"/>
      <c r="I2" s="64"/>
      <c r="J2" s="64"/>
      <c r="K2" s="63" t="s">
        <v>50</v>
      </c>
      <c r="L2" s="62"/>
      <c r="M2" s="61" t="s">
        <v>49</v>
      </c>
    </row>
    <row r="3" spans="1:13" ht="5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0.149999999999999" customHeight="1" x14ac:dyDescent="0.3">
      <c r="A4" t="s">
        <v>48</v>
      </c>
      <c r="E4" s="59" t="s">
        <v>47</v>
      </c>
      <c r="F4" s="59"/>
      <c r="G4" s="59"/>
      <c r="H4" s="59"/>
      <c r="J4" s="59" t="s">
        <v>46</v>
      </c>
      <c r="K4" s="59"/>
      <c r="L4" s="57"/>
      <c r="M4" s="57"/>
    </row>
    <row r="5" spans="1:13" ht="20.149999999999999" customHeight="1" x14ac:dyDescent="0.3">
      <c r="A5" t="s">
        <v>45</v>
      </c>
      <c r="E5" s="59" t="s">
        <v>44</v>
      </c>
      <c r="F5" s="59"/>
      <c r="G5" s="59"/>
      <c r="H5" s="59"/>
      <c r="J5" s="59" t="s">
        <v>43</v>
      </c>
      <c r="K5" s="59"/>
      <c r="L5" s="57"/>
      <c r="M5" s="57"/>
    </row>
    <row r="6" spans="1:13" ht="20.149999999999999" customHeight="1" x14ac:dyDescent="0.3">
      <c r="A6" t="s">
        <v>42</v>
      </c>
      <c r="G6" s="59"/>
      <c r="H6" s="59"/>
      <c r="I6" s="60" t="s">
        <v>41</v>
      </c>
      <c r="J6" s="60"/>
      <c r="K6" s="59" t="s">
        <v>40</v>
      </c>
      <c r="L6" s="57"/>
      <c r="M6" s="57"/>
    </row>
    <row r="7" spans="1:13" ht="10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6" customHeight="1" x14ac:dyDescent="0.3">
      <c r="A8" s="41" t="s">
        <v>39</v>
      </c>
      <c r="B8" s="3"/>
      <c r="C8" s="3"/>
      <c r="D8" s="3"/>
      <c r="E8" s="3"/>
      <c r="F8" s="3"/>
      <c r="G8" s="3"/>
      <c r="H8" s="3"/>
      <c r="I8" s="58" t="s">
        <v>38</v>
      </c>
      <c r="J8" s="58"/>
      <c r="K8" s="57" t="s">
        <v>37</v>
      </c>
      <c r="L8" s="57"/>
      <c r="M8" s="56">
        <f>M35</f>
        <v>3.863</v>
      </c>
    </row>
    <row r="9" spans="1:13" ht="5.15" customHeight="1" thickBo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6" customHeight="1" x14ac:dyDescent="0.3">
      <c r="A10" s="55" t="s">
        <v>23</v>
      </c>
      <c r="B10" s="53"/>
      <c r="C10" s="54"/>
      <c r="D10" s="33"/>
      <c r="E10" s="31" t="s">
        <v>36</v>
      </c>
      <c r="F10" s="53"/>
      <c r="G10" s="53"/>
      <c r="H10" s="53"/>
      <c r="I10" s="53"/>
      <c r="J10" s="53"/>
      <c r="K10" s="53"/>
      <c r="L10" s="53"/>
      <c r="M10" s="30" t="s">
        <v>35</v>
      </c>
    </row>
    <row r="11" spans="1:13" ht="16" customHeight="1" thickBot="1" x14ac:dyDescent="0.35">
      <c r="A11" s="18" t="s">
        <v>20</v>
      </c>
      <c r="B11" s="17"/>
      <c r="C11" s="44"/>
      <c r="D11" s="52">
        <v>0.125</v>
      </c>
      <c r="E11" s="24">
        <v>0.25</v>
      </c>
      <c r="F11" s="24">
        <v>0.5</v>
      </c>
      <c r="G11" s="24">
        <v>1</v>
      </c>
      <c r="H11" s="24">
        <v>2</v>
      </c>
      <c r="I11" s="24">
        <v>4</v>
      </c>
      <c r="J11" s="24">
        <v>8</v>
      </c>
      <c r="K11" s="24">
        <v>16</v>
      </c>
      <c r="L11" s="24">
        <v>31.5</v>
      </c>
      <c r="M11" s="51" t="s">
        <v>34</v>
      </c>
    </row>
    <row r="12" spans="1:13" ht="16" customHeight="1" x14ac:dyDescent="0.3">
      <c r="A12" s="20" t="s">
        <v>33</v>
      </c>
      <c r="B12" s="19"/>
      <c r="C12" s="49"/>
      <c r="D12" s="50">
        <v>52.4</v>
      </c>
      <c r="E12" s="11">
        <v>77</v>
      </c>
      <c r="F12" s="11">
        <v>99.968699948018553</v>
      </c>
      <c r="G12" s="11">
        <v>100</v>
      </c>
      <c r="H12" s="11">
        <v>100</v>
      </c>
      <c r="I12" s="11">
        <v>100</v>
      </c>
      <c r="J12" s="11">
        <v>100</v>
      </c>
      <c r="K12" s="11">
        <v>100</v>
      </c>
      <c r="L12" s="11">
        <v>100</v>
      </c>
      <c r="M12" s="46" t="s">
        <v>32</v>
      </c>
    </row>
    <row r="13" spans="1:13" ht="16" customHeight="1" x14ac:dyDescent="0.3">
      <c r="A13" s="20" t="s">
        <v>12</v>
      </c>
      <c r="B13" s="19"/>
      <c r="C13" s="49"/>
      <c r="D13" s="48">
        <v>2.9</v>
      </c>
      <c r="E13" s="11">
        <v>41.7</v>
      </c>
      <c r="F13" s="11">
        <v>99.8</v>
      </c>
      <c r="G13" s="11">
        <v>100</v>
      </c>
      <c r="H13" s="11">
        <v>100</v>
      </c>
      <c r="I13" s="11">
        <v>100</v>
      </c>
      <c r="J13" s="11">
        <v>100</v>
      </c>
      <c r="K13" s="11">
        <v>100</v>
      </c>
      <c r="L13" s="11">
        <v>100</v>
      </c>
      <c r="M13" s="46" t="s">
        <v>26</v>
      </c>
    </row>
    <row r="14" spans="1:13" ht="16" customHeight="1" x14ac:dyDescent="0.3">
      <c r="A14" s="20" t="s">
        <v>31</v>
      </c>
      <c r="B14" s="19"/>
      <c r="C14" s="49"/>
      <c r="D14" s="48">
        <v>0.3</v>
      </c>
      <c r="E14" s="11">
        <v>1.1000000000000001</v>
      </c>
      <c r="F14" s="11">
        <v>3.6</v>
      </c>
      <c r="G14" s="11">
        <v>99.1</v>
      </c>
      <c r="H14" s="11">
        <v>100</v>
      </c>
      <c r="I14" s="11">
        <v>100</v>
      </c>
      <c r="J14" s="11">
        <v>100</v>
      </c>
      <c r="K14" s="11">
        <v>100</v>
      </c>
      <c r="L14" s="11">
        <v>100</v>
      </c>
      <c r="M14" s="46" t="s">
        <v>26</v>
      </c>
    </row>
    <row r="15" spans="1:13" ht="16" customHeight="1" x14ac:dyDescent="0.3">
      <c r="A15" s="20" t="s">
        <v>30</v>
      </c>
      <c r="B15" s="19"/>
      <c r="C15" s="49"/>
      <c r="D15" s="48">
        <v>0.1</v>
      </c>
      <c r="E15" s="47">
        <v>0.1</v>
      </c>
      <c r="F15" s="47">
        <v>0.2</v>
      </c>
      <c r="G15" s="11">
        <v>3.1</v>
      </c>
      <c r="H15" s="11">
        <v>93.1</v>
      </c>
      <c r="I15" s="11">
        <v>100</v>
      </c>
      <c r="J15" s="11">
        <v>100</v>
      </c>
      <c r="K15" s="11">
        <v>100</v>
      </c>
      <c r="L15" s="11">
        <v>100</v>
      </c>
      <c r="M15" s="46" t="s">
        <v>26</v>
      </c>
    </row>
    <row r="16" spans="1:13" ht="16" customHeight="1" x14ac:dyDescent="0.3">
      <c r="A16" s="20" t="s">
        <v>29</v>
      </c>
      <c r="B16" s="19"/>
      <c r="C16" s="49"/>
      <c r="D16" s="48">
        <v>6.4489099453481913E-3</v>
      </c>
      <c r="E16" s="47">
        <v>0</v>
      </c>
      <c r="F16" s="47">
        <v>0</v>
      </c>
      <c r="G16" s="47">
        <v>0</v>
      </c>
      <c r="H16" s="11">
        <v>0.5</v>
      </c>
      <c r="I16" s="11">
        <v>97.8</v>
      </c>
      <c r="J16" s="11">
        <v>100</v>
      </c>
      <c r="K16" s="11">
        <v>100</v>
      </c>
      <c r="L16" s="11">
        <v>100</v>
      </c>
      <c r="M16" s="46" t="s">
        <v>26</v>
      </c>
    </row>
    <row r="17" spans="1:19" ht="16" customHeight="1" x14ac:dyDescent="0.3">
      <c r="A17" s="20" t="s">
        <v>28</v>
      </c>
      <c r="B17" s="19"/>
      <c r="C17" s="49"/>
      <c r="D17" s="48">
        <v>1.5879434670367232E-2</v>
      </c>
      <c r="E17" s="47">
        <v>0.3</v>
      </c>
      <c r="F17" s="47">
        <v>0.3</v>
      </c>
      <c r="G17" s="47">
        <v>0.4</v>
      </c>
      <c r="H17" s="47">
        <v>0.8</v>
      </c>
      <c r="I17" s="11">
        <v>0.7</v>
      </c>
      <c r="J17" s="11">
        <v>93.2</v>
      </c>
      <c r="K17" s="11">
        <v>100</v>
      </c>
      <c r="L17" s="11">
        <v>100</v>
      </c>
      <c r="M17" s="46" t="s">
        <v>26</v>
      </c>
    </row>
    <row r="18" spans="1:19" ht="16" customHeight="1" x14ac:dyDescent="0.3">
      <c r="A18" s="20" t="s">
        <v>27</v>
      </c>
      <c r="B18" s="19"/>
      <c r="C18" s="49"/>
      <c r="D18" s="48">
        <v>4.3344736856695931E-2</v>
      </c>
      <c r="E18" s="47">
        <v>0.1</v>
      </c>
      <c r="F18" s="47">
        <v>0.1</v>
      </c>
      <c r="G18" s="47">
        <v>0.1</v>
      </c>
      <c r="H18" s="47">
        <v>0.3</v>
      </c>
      <c r="I18" s="47">
        <v>0.8</v>
      </c>
      <c r="J18" s="11">
        <v>7.2</v>
      </c>
      <c r="K18" s="11">
        <v>98.9</v>
      </c>
      <c r="L18" s="11">
        <v>100</v>
      </c>
      <c r="M18" s="46" t="s">
        <v>26</v>
      </c>
      <c r="O18" s="45"/>
    </row>
    <row r="19" spans="1:19" ht="15.75" customHeight="1" thickBot="1" x14ac:dyDescent="0.35">
      <c r="A19" s="18"/>
      <c r="B19" s="17"/>
      <c r="C19" s="44"/>
      <c r="D19" s="17"/>
      <c r="E19" s="43"/>
      <c r="F19" s="5"/>
      <c r="G19" s="5"/>
      <c r="H19" s="5"/>
      <c r="I19" s="5"/>
      <c r="J19" s="5"/>
      <c r="K19" s="5"/>
      <c r="L19" s="5"/>
      <c r="M19" s="42"/>
    </row>
    <row r="20" spans="1:19" ht="4.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9" ht="16" customHeight="1" x14ac:dyDescent="0.3">
      <c r="A21" s="41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9" ht="5.1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ht="16" customHeight="1" x14ac:dyDescent="0.3">
      <c r="A23" s="40" t="s">
        <v>24</v>
      </c>
      <c r="B23" s="39"/>
      <c r="C23" s="38"/>
      <c r="D23" s="37">
        <v>0</v>
      </c>
      <c r="E23" s="36">
        <v>8</v>
      </c>
      <c r="F23" s="36">
        <v>20</v>
      </c>
      <c r="G23" s="36">
        <v>32</v>
      </c>
      <c r="H23" s="36">
        <v>44</v>
      </c>
      <c r="I23" s="36">
        <v>52</v>
      </c>
      <c r="J23" s="36">
        <v>61</v>
      </c>
      <c r="K23" s="36">
        <v>99</v>
      </c>
      <c r="L23" s="36">
        <v>100</v>
      </c>
      <c r="M23" s="10">
        <f>(700-SUM(E23:K23))/100</f>
        <v>3.84</v>
      </c>
    </row>
    <row r="24" spans="1:19" ht="3.75" customHeight="1" thickBo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9" ht="16" customHeight="1" x14ac:dyDescent="0.3">
      <c r="A25" s="35" t="s">
        <v>23</v>
      </c>
      <c r="B25" s="33"/>
      <c r="C25" s="34"/>
      <c r="D25" s="33"/>
      <c r="E25" s="32" t="s">
        <v>22</v>
      </c>
      <c r="F25" s="31"/>
      <c r="G25" s="31"/>
      <c r="H25" s="31"/>
      <c r="I25" s="31"/>
      <c r="J25" s="31"/>
      <c r="K25" s="31"/>
      <c r="L25" s="31"/>
      <c r="M25" s="30" t="s">
        <v>21</v>
      </c>
    </row>
    <row r="26" spans="1:19" ht="16" customHeight="1" thickBot="1" x14ac:dyDescent="0.35">
      <c r="A26" s="29" t="s">
        <v>20</v>
      </c>
      <c r="B26" s="28"/>
      <c r="C26" s="27" t="s">
        <v>19</v>
      </c>
      <c r="D26" s="26">
        <v>0.125</v>
      </c>
      <c r="E26" s="25">
        <v>0.25</v>
      </c>
      <c r="F26" s="24">
        <v>0.5</v>
      </c>
      <c r="G26" s="24">
        <v>1</v>
      </c>
      <c r="H26" s="24">
        <v>2</v>
      </c>
      <c r="I26" s="24">
        <v>4</v>
      </c>
      <c r="J26" s="24">
        <v>8</v>
      </c>
      <c r="K26" s="24">
        <v>16</v>
      </c>
      <c r="L26" s="24">
        <v>31.5</v>
      </c>
      <c r="M26" s="23" t="s">
        <v>18</v>
      </c>
      <c r="O26" t="s">
        <v>6</v>
      </c>
      <c r="P26" s="22" t="s">
        <v>17</v>
      </c>
      <c r="Q26" s="22" t="s">
        <v>16</v>
      </c>
      <c r="R26" s="22" t="s">
        <v>15</v>
      </c>
      <c r="S26" s="22" t="s">
        <v>14</v>
      </c>
    </row>
    <row r="27" spans="1:19" ht="16" customHeight="1" x14ac:dyDescent="0.3">
      <c r="A27" s="20" t="s">
        <v>13</v>
      </c>
      <c r="B27" s="19"/>
      <c r="C27" s="12">
        <v>0</v>
      </c>
      <c r="D27" s="21">
        <f>ROUND((($C27*D12)/100),1)</f>
        <v>0</v>
      </c>
      <c r="E27" s="21">
        <f>ROUND((($C27*E12)/100),1)</f>
        <v>0</v>
      </c>
      <c r="F27" s="11">
        <f>ROUND((($C27*F12)/100),1)</f>
        <v>0</v>
      </c>
      <c r="G27" s="11">
        <f>ROUND((($C27*G12)/100),1)</f>
        <v>0</v>
      </c>
      <c r="H27" s="11">
        <f>ROUND((($C27*H12)/100),1)</f>
        <v>0</v>
      </c>
      <c r="I27" s="11">
        <f>ROUND((($C27*I12)/100),1)</f>
        <v>0</v>
      </c>
      <c r="J27" s="11">
        <f>ROUND((($C27*J12)/100),1)</f>
        <v>0</v>
      </c>
      <c r="K27" s="11">
        <f>ROUND((($C27*K12)/100),1)</f>
        <v>0</v>
      </c>
      <c r="L27" s="11"/>
      <c r="M27" s="10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6" customHeight="1" x14ac:dyDescent="0.3">
      <c r="A28" s="20" t="s">
        <v>12</v>
      </c>
      <c r="B28" s="19"/>
      <c r="C28" s="12">
        <v>20</v>
      </c>
      <c r="D28" s="11">
        <f>ROUND((($C28*D13)/100),1)</f>
        <v>0.6</v>
      </c>
      <c r="E28" s="11">
        <f>ROUND((($C28*E13)/100),1)</f>
        <v>8.3000000000000007</v>
      </c>
      <c r="F28" s="11">
        <f>ROUND((($C28*F13)/100),1)</f>
        <v>20</v>
      </c>
      <c r="G28" s="11">
        <f>ROUND((($C28*G13)/100),1)</f>
        <v>20</v>
      </c>
      <c r="H28" s="11">
        <f>ROUND((($C28*H13)/100),1)</f>
        <v>20</v>
      </c>
      <c r="I28" s="11">
        <f>ROUND((($C28*I13)/100),1)</f>
        <v>20</v>
      </c>
      <c r="J28" s="11">
        <f>ROUND((($C28*J13)/100),1)</f>
        <v>20</v>
      </c>
      <c r="K28" s="11">
        <f>ROUND((($C28*K13)/100),1)</f>
        <v>20</v>
      </c>
      <c r="L28" s="11"/>
      <c r="M28" s="10"/>
      <c r="N28">
        <v>0.125</v>
      </c>
      <c r="O28" s="9">
        <f>D35</f>
        <v>0.6</v>
      </c>
      <c r="P28">
        <v>0</v>
      </c>
      <c r="Q28">
        <v>0</v>
      </c>
      <c r="R28">
        <v>0</v>
      </c>
      <c r="S28">
        <v>0</v>
      </c>
    </row>
    <row r="29" spans="1:19" ht="16" customHeight="1" x14ac:dyDescent="0.3">
      <c r="A29" s="20" t="s">
        <v>11</v>
      </c>
      <c r="B29" s="19"/>
      <c r="C29" s="12">
        <v>11.5</v>
      </c>
      <c r="D29" s="11">
        <f>ROUND((($C29*D14)/100),1)</f>
        <v>0</v>
      </c>
      <c r="E29" s="11">
        <f>ROUND((($C29*E14)/100),1)</f>
        <v>0.1</v>
      </c>
      <c r="F29" s="11">
        <f>ROUND((($C29*F14)/100),1)</f>
        <v>0.4</v>
      </c>
      <c r="G29" s="11">
        <f>ROUND((($C29*G14)/100),1)</f>
        <v>11.4</v>
      </c>
      <c r="H29" s="11">
        <f>ROUND((($C29*H14)/100),1)</f>
        <v>11.5</v>
      </c>
      <c r="I29" s="11">
        <f>ROUND((($C29*I14)/100),1)</f>
        <v>11.5</v>
      </c>
      <c r="J29" s="11">
        <f>ROUND((($C29*J14)/100),1)</f>
        <v>11.5</v>
      </c>
      <c r="K29" s="11">
        <f>ROUND((($C29*K14)/100),1)</f>
        <v>11.5</v>
      </c>
      <c r="L29" s="11"/>
      <c r="M29" s="10"/>
      <c r="N29">
        <v>0.25</v>
      </c>
      <c r="O29" s="9">
        <f>E$35</f>
        <v>8.4</v>
      </c>
      <c r="P29">
        <v>3</v>
      </c>
      <c r="Q29">
        <v>8</v>
      </c>
      <c r="R29">
        <v>18</v>
      </c>
      <c r="S29">
        <v>3</v>
      </c>
    </row>
    <row r="30" spans="1:19" ht="16" customHeight="1" x14ac:dyDescent="0.3">
      <c r="A30" s="20" t="s">
        <v>10</v>
      </c>
      <c r="B30" s="19"/>
      <c r="C30" s="12">
        <v>11.5</v>
      </c>
      <c r="D30" s="11">
        <f>ROUND((($C30*D15)/100),1)</f>
        <v>0</v>
      </c>
      <c r="E30" s="11">
        <f>ROUND((($C30*E15)/100),1)</f>
        <v>0</v>
      </c>
      <c r="F30" s="11">
        <f>ROUND((($C30*F15)/100),1)</f>
        <v>0</v>
      </c>
      <c r="G30" s="11">
        <f>ROUND((($C30*G15)/100),1)</f>
        <v>0.4</v>
      </c>
      <c r="H30" s="11">
        <f>ROUND((($C30*H15)/100),1)</f>
        <v>10.7</v>
      </c>
      <c r="I30" s="11">
        <f>ROUND((($C30*I15)/100),1)</f>
        <v>11.5</v>
      </c>
      <c r="J30" s="11">
        <f>ROUND((($C30*J15)/100),1)</f>
        <v>11.5</v>
      </c>
      <c r="K30" s="11">
        <f>ROUND((($C30*K15)/100),1)</f>
        <v>11.5</v>
      </c>
      <c r="L30" s="11"/>
      <c r="M30" s="10"/>
      <c r="N30">
        <v>0.5</v>
      </c>
      <c r="O30" s="9">
        <f>F$35</f>
        <v>20.399999999999999</v>
      </c>
      <c r="P30">
        <v>8</v>
      </c>
      <c r="Q30">
        <v>20</v>
      </c>
      <c r="R30">
        <v>34</v>
      </c>
      <c r="S30">
        <v>8</v>
      </c>
    </row>
    <row r="31" spans="1:19" ht="16" customHeight="1" x14ac:dyDescent="0.3">
      <c r="A31" s="20" t="s">
        <v>9</v>
      </c>
      <c r="B31" s="19"/>
      <c r="C31" s="12">
        <v>7.5</v>
      </c>
      <c r="D31" s="11">
        <f>ROUND((($C31*D16)/100),1)</f>
        <v>0</v>
      </c>
      <c r="E31" s="11">
        <f>ROUND((($C31*E16)/100),1)</f>
        <v>0</v>
      </c>
      <c r="F31" s="11">
        <f>ROUND((($C31*F16)/100),1)</f>
        <v>0</v>
      </c>
      <c r="G31" s="11">
        <f>ROUND((($C31*G16)/100),1)</f>
        <v>0</v>
      </c>
      <c r="H31" s="11">
        <f>ROUND((($C31*H16)/100),1)</f>
        <v>0</v>
      </c>
      <c r="I31" s="11">
        <f>ROUND((($C31*I16)/100),1)</f>
        <v>7.3</v>
      </c>
      <c r="J31" s="11">
        <f>ROUND((($C31*J16)/100),1)</f>
        <v>7.5</v>
      </c>
      <c r="K31" s="11">
        <f>ROUND((($C31*K16)/100),1)</f>
        <v>7.5</v>
      </c>
      <c r="L31" s="11"/>
      <c r="M31" s="10"/>
      <c r="N31">
        <v>1</v>
      </c>
      <c r="O31" s="9">
        <f>G$35</f>
        <v>31.8</v>
      </c>
      <c r="P31">
        <v>12</v>
      </c>
      <c r="Q31">
        <v>32</v>
      </c>
      <c r="R31">
        <v>49</v>
      </c>
      <c r="S31">
        <v>12</v>
      </c>
    </row>
    <row r="32" spans="1:19" ht="16.5" customHeight="1" x14ac:dyDescent="0.3">
      <c r="A32" s="20" t="s">
        <v>8</v>
      </c>
      <c r="B32" s="19"/>
      <c r="C32" s="12">
        <v>7.5</v>
      </c>
      <c r="D32" s="11">
        <f>ROUND((($C32*D17)/100),1)</f>
        <v>0</v>
      </c>
      <c r="E32" s="11">
        <f>ROUND((($C32*E17)/100),1)</f>
        <v>0</v>
      </c>
      <c r="F32" s="11">
        <f>ROUND((($C32*F17)/100),1)</f>
        <v>0</v>
      </c>
      <c r="G32" s="11">
        <f>ROUND((($C32*G17)/100),1)</f>
        <v>0</v>
      </c>
      <c r="H32" s="11">
        <f>ROUND((($C32*H17)/100),1)</f>
        <v>0.1</v>
      </c>
      <c r="I32" s="11">
        <f>ROUND((($C32*I17)/100),1)</f>
        <v>0.1</v>
      </c>
      <c r="J32" s="11">
        <f>ROUND((($C32*J17)/100),1)</f>
        <v>7</v>
      </c>
      <c r="K32" s="11">
        <f>ROUND((($C32*K17)/100),1)</f>
        <v>7.5</v>
      </c>
      <c r="L32" s="11"/>
      <c r="M32" s="10"/>
      <c r="N32">
        <v>2</v>
      </c>
      <c r="O32" s="9">
        <f>H$35</f>
        <v>42.4</v>
      </c>
      <c r="P32">
        <v>21</v>
      </c>
      <c r="Q32">
        <v>42</v>
      </c>
      <c r="R32">
        <v>62</v>
      </c>
      <c r="S32">
        <v>30</v>
      </c>
    </row>
    <row r="33" spans="1:19" ht="16" customHeight="1" x14ac:dyDescent="0.3">
      <c r="A33" s="20" t="s">
        <v>7</v>
      </c>
      <c r="B33" s="19"/>
      <c r="C33" s="12">
        <v>42</v>
      </c>
      <c r="D33" s="11">
        <f>ROUND((($C33*D18)/100),1)</f>
        <v>0</v>
      </c>
      <c r="E33" s="11">
        <f>ROUND((($C33*E18)/100),1)</f>
        <v>0</v>
      </c>
      <c r="F33" s="11">
        <f>ROUND((($C33*F18)/100),1)</f>
        <v>0</v>
      </c>
      <c r="G33" s="11">
        <f>ROUND((($C33*G18)/100),1)</f>
        <v>0</v>
      </c>
      <c r="H33" s="11">
        <f>ROUND((($C33*H18)/100),1)</f>
        <v>0.1</v>
      </c>
      <c r="I33" s="11">
        <f>ROUND((($C33*I18)/100),1)</f>
        <v>0.3</v>
      </c>
      <c r="J33" s="11">
        <f>ROUND((($C33*J18)/100),1)</f>
        <v>3</v>
      </c>
      <c r="K33" s="11">
        <f>ROUND((($C33*K18)/100),1)</f>
        <v>41.5</v>
      </c>
      <c r="L33" s="11"/>
      <c r="M33" s="10"/>
      <c r="N33">
        <v>4</v>
      </c>
      <c r="O33" s="9">
        <f>I$35</f>
        <v>50.7</v>
      </c>
      <c r="P33">
        <v>36</v>
      </c>
      <c r="Q33">
        <v>56</v>
      </c>
      <c r="R33">
        <v>74</v>
      </c>
      <c r="S33">
        <v>30</v>
      </c>
    </row>
    <row r="34" spans="1:19" ht="16" customHeight="1" thickBot="1" x14ac:dyDescent="0.35">
      <c r="A34" s="18"/>
      <c r="B34" s="17"/>
      <c r="C34" s="16"/>
      <c r="D34" s="15"/>
      <c r="E34" s="5"/>
      <c r="F34" s="5"/>
      <c r="G34" s="5"/>
      <c r="H34" s="5"/>
      <c r="I34" s="5"/>
      <c r="J34" s="5"/>
      <c r="K34" s="5"/>
      <c r="L34" s="5"/>
      <c r="M34" s="4"/>
      <c r="N34">
        <v>8</v>
      </c>
      <c r="O34" s="9">
        <f>J$35</f>
        <v>60.5</v>
      </c>
      <c r="P34">
        <v>60</v>
      </c>
      <c r="Q34">
        <v>76</v>
      </c>
      <c r="R34">
        <v>88</v>
      </c>
      <c r="S34">
        <v>30</v>
      </c>
    </row>
    <row r="35" spans="1:19" ht="16" customHeight="1" x14ac:dyDescent="0.3">
      <c r="A35" s="14" t="s">
        <v>6</v>
      </c>
      <c r="B35" s="13"/>
      <c r="C35" s="12">
        <f>SUM(C27:C33)</f>
        <v>100</v>
      </c>
      <c r="D35" s="11">
        <f>ROUND((SUM(D27:D33)),1)</f>
        <v>0.6</v>
      </c>
      <c r="E35" s="11">
        <f>ROUND((SUM(E27:E33)),1)</f>
        <v>8.4</v>
      </c>
      <c r="F35" s="11">
        <f>ROUND((SUM(F27:F33)),1)</f>
        <v>20.399999999999999</v>
      </c>
      <c r="G35" s="11">
        <f>ROUND((SUM(G27:G33)),1)</f>
        <v>31.8</v>
      </c>
      <c r="H35" s="11">
        <f>ROUND((SUM(H27:H33)),1)</f>
        <v>42.4</v>
      </c>
      <c r="I35" s="11">
        <f>ROUND((SUM(I27:I33)),1)</f>
        <v>50.7</v>
      </c>
      <c r="J35" s="11">
        <f>ROUND((SUM(J27:J33)),1)</f>
        <v>60.5</v>
      </c>
      <c r="K35" s="11">
        <f>ROUND((SUM(K27:K33)),1)</f>
        <v>99.5</v>
      </c>
      <c r="L35" s="11"/>
      <c r="M35" s="10">
        <f>(700-SUM(E35:K35))/100</f>
        <v>3.863</v>
      </c>
      <c r="N35">
        <v>16</v>
      </c>
      <c r="O35" s="9">
        <f>K$35</f>
        <v>99.5</v>
      </c>
      <c r="P35">
        <v>100</v>
      </c>
      <c r="Q35">
        <v>100</v>
      </c>
      <c r="R35">
        <v>100</v>
      </c>
      <c r="S35">
        <v>100</v>
      </c>
    </row>
    <row r="36" spans="1:19" ht="16" customHeight="1" thickBot="1" x14ac:dyDescent="0.35">
      <c r="A36" s="8" t="s">
        <v>5</v>
      </c>
      <c r="B36" s="7"/>
      <c r="C36" s="6"/>
      <c r="D36" s="5">
        <f>D35-D23</f>
        <v>0.6</v>
      </c>
      <c r="E36" s="5">
        <f>E35-E23</f>
        <v>0.40000000000000036</v>
      </c>
      <c r="F36" s="5">
        <f>F35-F23</f>
        <v>0.39999999999999858</v>
      </c>
      <c r="G36" s="5">
        <f>G35-G23</f>
        <v>-0.19999999999999929</v>
      </c>
      <c r="H36" s="5">
        <f>H35-H23</f>
        <v>-1.6000000000000014</v>
      </c>
      <c r="I36" s="5">
        <f>I35-I23</f>
        <v>-1.2999999999999972</v>
      </c>
      <c r="J36" s="5">
        <f>J35-J23</f>
        <v>-0.5</v>
      </c>
      <c r="K36" s="5">
        <f>K35-K23</f>
        <v>0.5</v>
      </c>
      <c r="L36" s="5"/>
      <c r="M36" s="4">
        <f>M35-M23</f>
        <v>2.3000000000000131E-2</v>
      </c>
    </row>
    <row r="37" spans="1:19" ht="16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O37" t="s">
        <v>4</v>
      </c>
    </row>
    <row r="39" spans="1:19" x14ac:dyDescent="0.3">
      <c r="E39" s="2"/>
    </row>
    <row r="44" spans="1:19" x14ac:dyDescent="0.3">
      <c r="O44" s="1"/>
    </row>
    <row r="57" spans="3:13" x14ac:dyDescent="0.3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3">
      <c r="C58" t="s">
        <v>3</v>
      </c>
      <c r="F58">
        <f>POWER((F57/16),0.5)*100</f>
        <v>8.8388347648318444</v>
      </c>
      <c r="G58">
        <f>POWER((G57/16),0.5)*100</f>
        <v>12.5</v>
      </c>
      <c r="H58">
        <f>POWER((H57/16),0.5)*100</f>
        <v>17.677669529663689</v>
      </c>
      <c r="I58">
        <f>POWER((I57/16),0.5)*100</f>
        <v>25</v>
      </c>
      <c r="J58">
        <f>POWER((J57/16),0.5)*100</f>
        <v>35.355339059327378</v>
      </c>
      <c r="K58">
        <f>POWER((K57/16),0.5)*100</f>
        <v>50</v>
      </c>
      <c r="L58">
        <f>POWER((L57/16),0.5)*100</f>
        <v>70.710678118654755</v>
      </c>
      <c r="M58">
        <f>POWER((M57/16),0.5)*100</f>
        <v>100</v>
      </c>
    </row>
    <row r="59" spans="3:13" x14ac:dyDescent="0.3">
      <c r="C59" t="s">
        <v>2</v>
      </c>
      <c r="F59">
        <f>(F57/16+POWER(F57/16,0.5))*50</f>
        <v>4.8100423824159222</v>
      </c>
      <c r="G59">
        <f>(G57/16+POWER(G57/16,0.5))*50</f>
        <v>7.03125</v>
      </c>
      <c r="H59">
        <f>(H57/16+POWER(H57/16,0.5))*50</f>
        <v>10.401334764831844</v>
      </c>
      <c r="I59">
        <f>(I57/16+POWER(I57/16,0.5))*50</f>
        <v>15.625</v>
      </c>
      <c r="J59">
        <f>(J57/16+POWER(J57/16,0.5))*50</f>
        <v>23.927669529663689</v>
      </c>
      <c r="K59">
        <f>(K57/16+POWER(K57/16,0.5))*50</f>
        <v>37.5</v>
      </c>
      <c r="L59">
        <f>(L57/16+POWER(L57/16,0.5))*50</f>
        <v>60.35533905932737</v>
      </c>
      <c r="M59">
        <f>(M57/16+POWER(M57/16,0.5))*50</f>
        <v>100</v>
      </c>
    </row>
    <row r="61" spans="3:13" x14ac:dyDescent="0.3">
      <c r="C61" t="s">
        <v>1</v>
      </c>
      <c r="F61">
        <f>(F58+F59)/2</f>
        <v>6.8244385736238833</v>
      </c>
      <c r="G61">
        <f>(G58+G59)/2</f>
        <v>9.765625</v>
      </c>
      <c r="H61">
        <f>(H58+H59)/2</f>
        <v>14.039502147247767</v>
      </c>
      <c r="I61">
        <f>(I58+I59)/2</f>
        <v>20.3125</v>
      </c>
      <c r="J61">
        <f>(J58+J59)/2</f>
        <v>29.641504294495533</v>
      </c>
      <c r="K61">
        <f>(K58+K59)/2</f>
        <v>43.75</v>
      </c>
      <c r="L61">
        <f>(L58+L59)/2</f>
        <v>65.533008588991066</v>
      </c>
      <c r="M61">
        <f>(M58+M59)/2</f>
        <v>100</v>
      </c>
    </row>
    <row r="62" spans="3:13" x14ac:dyDescent="0.3">
      <c r="C62" t="s">
        <v>0</v>
      </c>
      <c r="F62">
        <f>(2*F58+F59)/3</f>
        <v>7.4959039706932034</v>
      </c>
      <c r="G62">
        <f>(2*G58+G59)/3</f>
        <v>10.677083333333334</v>
      </c>
      <c r="H62">
        <f>(2*H58+H59)/3</f>
        <v>15.252224608053075</v>
      </c>
      <c r="I62">
        <f>(2*I58+I59)/3</f>
        <v>21.875</v>
      </c>
      <c r="J62">
        <f>(2*J58+J59)/3</f>
        <v>31.546115882772813</v>
      </c>
      <c r="K62">
        <f>(2*K58+K59)/3</f>
        <v>45.833333333333336</v>
      </c>
      <c r="L62">
        <f>(2*L58+L59)/3</f>
        <v>67.258898432212291</v>
      </c>
      <c r="M62">
        <f>(2*M58+M59)/3</f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14B6-6F27-49B5-A986-82F0CB8F900E}">
  <dimension ref="A1:M51"/>
  <sheetViews>
    <sheetView topLeftCell="A28" workbookViewId="0">
      <selection activeCell="E13" sqref="E13"/>
    </sheetView>
  </sheetViews>
  <sheetFormatPr baseColWidth="10" defaultRowHeight="13" x14ac:dyDescent="0.3"/>
  <cols>
    <col min="1" max="1" width="9.1796875" customWidth="1"/>
    <col min="2" max="2" width="10" customWidth="1"/>
    <col min="3" max="6" width="6.7265625" customWidth="1"/>
    <col min="7" max="7" width="7.26953125" customWidth="1"/>
    <col min="8" max="10" width="6.7265625" customWidth="1"/>
    <col min="11" max="11" width="8" customWidth="1"/>
    <col min="12" max="12" width="8.7265625" customWidth="1"/>
  </cols>
  <sheetData>
    <row r="1" spans="1:11" ht="17.149999999999999" customHeight="1" x14ac:dyDescent="0.3">
      <c r="A1" s="163" t="s">
        <v>55</v>
      </c>
      <c r="B1" s="162" t="s">
        <v>108</v>
      </c>
      <c r="C1" s="162"/>
      <c r="D1" s="162"/>
      <c r="E1" s="162"/>
      <c r="F1" s="162"/>
      <c r="G1" s="162"/>
      <c r="H1" s="162"/>
      <c r="I1" s="150" t="s">
        <v>53</v>
      </c>
      <c r="J1" s="161">
        <v>41820</v>
      </c>
      <c r="K1" s="160"/>
    </row>
    <row r="2" spans="1:11" ht="17.149999999999999" customHeight="1" thickBot="1" x14ac:dyDescent="0.35">
      <c r="A2" s="159" t="s">
        <v>107</v>
      </c>
      <c r="B2" s="158"/>
      <c r="C2" s="158"/>
      <c r="D2" s="158"/>
      <c r="E2" s="158"/>
      <c r="F2" s="158"/>
      <c r="G2" s="158"/>
      <c r="H2" s="158"/>
      <c r="I2" s="84" t="s">
        <v>106</v>
      </c>
      <c r="J2" s="145"/>
      <c r="K2" s="157" t="s">
        <v>105</v>
      </c>
    </row>
    <row r="3" spans="1:11" ht="8.15" customHeight="1" x14ac:dyDescent="0.3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spans="1:11" ht="18" customHeight="1" x14ac:dyDescent="0.3">
      <c r="A4" s="155" t="s">
        <v>48</v>
      </c>
      <c r="B4" s="155"/>
      <c r="C4" s="155"/>
      <c r="D4" s="152" t="s">
        <v>104</v>
      </c>
      <c r="E4" s="152"/>
      <c r="F4" s="152"/>
      <c r="G4" s="152"/>
      <c r="H4" s="152"/>
      <c r="I4" s="152"/>
      <c r="J4" s="152"/>
      <c r="K4" s="152"/>
    </row>
    <row r="5" spans="1:11" ht="18" customHeight="1" x14ac:dyDescent="0.3">
      <c r="A5" s="155" t="s">
        <v>45</v>
      </c>
      <c r="B5" s="155"/>
      <c r="C5" s="155"/>
      <c r="D5" s="152" t="s">
        <v>44</v>
      </c>
      <c r="E5" s="152"/>
      <c r="F5" s="152"/>
      <c r="G5" s="152"/>
      <c r="H5" s="152"/>
      <c r="I5" s="152"/>
      <c r="J5" s="152"/>
      <c r="K5" s="152"/>
    </row>
    <row r="6" spans="1:11" ht="18" customHeight="1" x14ac:dyDescent="0.3">
      <c r="A6" s="155" t="s">
        <v>103</v>
      </c>
      <c r="B6" s="155"/>
      <c r="C6" s="155"/>
      <c r="D6" s="152" t="s">
        <v>102</v>
      </c>
      <c r="E6" s="152"/>
      <c r="F6" s="152"/>
      <c r="G6" s="152"/>
      <c r="H6" s="152"/>
      <c r="I6" s="152"/>
      <c r="J6" s="152"/>
      <c r="K6" s="152"/>
    </row>
    <row r="7" spans="1:11" ht="3.75" customHeight="1" x14ac:dyDescent="0.3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</row>
    <row r="8" spans="1:11" ht="18" customHeight="1" x14ac:dyDescent="0.3">
      <c r="A8" s="155" t="s">
        <v>101</v>
      </c>
      <c r="B8" s="155"/>
      <c r="C8" s="155"/>
      <c r="D8" s="155"/>
      <c r="E8" s="152"/>
      <c r="F8" s="152"/>
      <c r="G8" s="152"/>
      <c r="H8" s="152"/>
      <c r="I8" s="152"/>
      <c r="J8" s="152"/>
      <c r="K8" s="152"/>
    </row>
    <row r="9" spans="1:11" ht="18" customHeight="1" x14ac:dyDescent="0.3">
      <c r="A9" s="155" t="s">
        <v>100</v>
      </c>
      <c r="B9" s="155"/>
      <c r="C9" s="153" t="s">
        <v>99</v>
      </c>
      <c r="D9" s="152"/>
      <c r="E9" s="152"/>
      <c r="F9" s="154" t="s">
        <v>98</v>
      </c>
      <c r="G9" s="154"/>
      <c r="H9" s="152" t="s">
        <v>96</v>
      </c>
      <c r="I9" s="152"/>
      <c r="J9" s="152"/>
      <c r="K9" s="152"/>
    </row>
    <row r="10" spans="1:11" ht="18" customHeight="1" x14ac:dyDescent="0.3">
      <c r="A10" s="155" t="s">
        <v>97</v>
      </c>
      <c r="B10" s="155"/>
      <c r="C10" s="156" t="s">
        <v>96</v>
      </c>
      <c r="D10" s="156"/>
      <c r="E10" s="155"/>
      <c r="F10" s="154" t="s">
        <v>95</v>
      </c>
      <c r="G10" s="154"/>
      <c r="H10" s="154"/>
      <c r="I10" s="153">
        <v>3.88</v>
      </c>
      <c r="J10" s="152"/>
      <c r="K10" s="152"/>
    </row>
    <row r="11" spans="1:11" ht="5.25" customHeight="1" x14ac:dyDescent="0.3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</row>
    <row r="12" spans="1:11" ht="17.149999999999999" customHeight="1" x14ac:dyDescent="0.3">
      <c r="A12" s="141" t="s">
        <v>94</v>
      </c>
      <c r="B12" s="141"/>
      <c r="C12" s="141"/>
      <c r="D12" s="140"/>
      <c r="E12" s="140"/>
      <c r="F12" s="140"/>
      <c r="G12" s="140"/>
      <c r="H12" s="141" t="s">
        <v>93</v>
      </c>
      <c r="I12" s="141"/>
      <c r="J12" s="141"/>
      <c r="K12" s="151">
        <f>(G28)/G29*100</f>
        <v>49.880095923261379</v>
      </c>
    </row>
    <row r="13" spans="1:11" ht="3" customHeight="1" thickBot="1" x14ac:dyDescent="0.3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</row>
    <row r="14" spans="1:11" ht="20.149999999999999" customHeight="1" x14ac:dyDescent="0.3">
      <c r="A14" s="150" t="s">
        <v>92</v>
      </c>
      <c r="B14" s="149"/>
      <c r="C14" s="148">
        <v>0.25</v>
      </c>
      <c r="D14" s="147">
        <v>0.5</v>
      </c>
      <c r="E14" s="147">
        <v>1</v>
      </c>
      <c r="F14" s="147">
        <v>2</v>
      </c>
      <c r="G14" s="147">
        <v>4</v>
      </c>
      <c r="H14" s="147">
        <v>8</v>
      </c>
      <c r="I14" s="147">
        <v>16</v>
      </c>
      <c r="J14" s="147">
        <v>31.5</v>
      </c>
      <c r="K14" s="146" t="s">
        <v>91</v>
      </c>
    </row>
    <row r="15" spans="1:11" ht="20.149999999999999" customHeight="1" thickBot="1" x14ac:dyDescent="0.35">
      <c r="A15" s="84" t="s">
        <v>90</v>
      </c>
      <c r="B15" s="145"/>
      <c r="C15" s="144">
        <v>8.1</v>
      </c>
      <c r="D15" s="143">
        <v>19.399999999999999</v>
      </c>
      <c r="E15" s="143">
        <v>31.6</v>
      </c>
      <c r="F15" s="143">
        <v>43.1</v>
      </c>
      <c r="G15" s="143">
        <v>50.8</v>
      </c>
      <c r="H15" s="143">
        <v>59.8</v>
      </c>
      <c r="I15" s="143">
        <v>99.1</v>
      </c>
      <c r="J15" s="143">
        <v>100</v>
      </c>
      <c r="K15" s="142">
        <f>(700-SUM(C15:I15))/100</f>
        <v>3.8810000000000002</v>
      </c>
    </row>
    <row r="16" spans="1:11" ht="5.25" customHeight="1" x14ac:dyDescent="0.3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</row>
    <row r="17" spans="1:13" ht="17.149999999999999" customHeight="1" x14ac:dyDescent="0.3">
      <c r="A17" s="141" t="s">
        <v>89</v>
      </c>
      <c r="B17" s="141"/>
      <c r="C17" s="141"/>
      <c r="D17" s="141"/>
      <c r="E17" s="141"/>
      <c r="F17" s="140"/>
      <c r="G17" s="140"/>
      <c r="H17" s="140"/>
      <c r="I17" s="140"/>
      <c r="J17" s="140"/>
      <c r="K17" s="140"/>
    </row>
    <row r="18" spans="1:13" ht="3" customHeight="1" thickBot="1" x14ac:dyDescent="0.3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</row>
    <row r="19" spans="1:13" ht="17.149999999999999" customHeight="1" x14ac:dyDescent="0.3">
      <c r="A19" s="139" t="s">
        <v>88</v>
      </c>
      <c r="B19" s="137"/>
      <c r="C19" s="138" t="s">
        <v>87</v>
      </c>
      <c r="D19" s="137"/>
      <c r="E19" s="138" t="s">
        <v>86</v>
      </c>
      <c r="F19" s="137"/>
      <c r="G19" s="138" t="s">
        <v>85</v>
      </c>
      <c r="H19" s="137"/>
      <c r="I19" s="139" t="s">
        <v>84</v>
      </c>
      <c r="J19" s="138"/>
      <c r="K19" s="137"/>
    </row>
    <row r="20" spans="1:13" ht="17.149999999999999" customHeight="1" x14ac:dyDescent="0.3">
      <c r="A20" s="92"/>
      <c r="B20" s="91"/>
      <c r="C20" s="136"/>
      <c r="D20" s="88"/>
      <c r="E20" s="136" t="s">
        <v>83</v>
      </c>
      <c r="F20" s="88"/>
      <c r="G20" s="135"/>
      <c r="H20" s="134"/>
      <c r="I20" s="133"/>
      <c r="J20" s="132"/>
      <c r="K20" s="131"/>
    </row>
    <row r="21" spans="1:13" ht="20.149999999999999" customHeight="1" thickBot="1" x14ac:dyDescent="0.35">
      <c r="A21" s="84"/>
      <c r="B21" s="83"/>
      <c r="C21" s="130" t="s">
        <v>82</v>
      </c>
      <c r="D21" s="80"/>
      <c r="E21" s="130" t="s">
        <v>81</v>
      </c>
      <c r="F21" s="80"/>
      <c r="G21" s="130" t="s">
        <v>80</v>
      </c>
      <c r="H21" s="80"/>
      <c r="I21" s="81" t="s">
        <v>56</v>
      </c>
      <c r="J21" s="130"/>
      <c r="K21" s="80"/>
    </row>
    <row r="22" spans="1:13" ht="20.149999999999999" customHeight="1" x14ac:dyDescent="0.3">
      <c r="A22" s="129" t="s">
        <v>79</v>
      </c>
      <c r="B22" s="128"/>
      <c r="C22" s="99">
        <v>330</v>
      </c>
      <c r="D22" s="88"/>
      <c r="E22" s="124">
        <v>3.1230000000000002</v>
      </c>
      <c r="F22" s="90"/>
      <c r="G22" s="123">
        <f>ROUND((C22/E22),1)</f>
        <v>105.7</v>
      </c>
      <c r="H22" s="119"/>
      <c r="I22" s="127" t="s">
        <v>78</v>
      </c>
      <c r="J22" s="126"/>
      <c r="K22" s="125"/>
    </row>
    <row r="23" spans="1:13" ht="20.149999999999999" customHeight="1" x14ac:dyDescent="0.3">
      <c r="A23" s="92" t="s">
        <v>77</v>
      </c>
      <c r="B23" s="91"/>
      <c r="C23" s="94">
        <v>175</v>
      </c>
      <c r="D23" s="93"/>
      <c r="E23" s="124">
        <v>1</v>
      </c>
      <c r="F23" s="90"/>
      <c r="G23" s="123">
        <f>C23</f>
        <v>175</v>
      </c>
      <c r="H23" s="119"/>
      <c r="I23" s="87"/>
      <c r="J23" s="86"/>
      <c r="K23" s="85"/>
    </row>
    <row r="24" spans="1:13" ht="20.149999999999999" customHeight="1" x14ac:dyDescent="0.3">
      <c r="A24" s="92" t="s">
        <v>76</v>
      </c>
      <c r="B24" s="91"/>
      <c r="C24" s="89" t="s">
        <v>56</v>
      </c>
      <c r="D24" s="88"/>
      <c r="E24" s="95" t="s">
        <v>56</v>
      </c>
      <c r="F24" s="90"/>
      <c r="G24" s="120" t="s">
        <v>56</v>
      </c>
      <c r="H24" s="119"/>
      <c r="I24" s="87"/>
      <c r="J24" s="86"/>
      <c r="K24" s="85"/>
    </row>
    <row r="25" spans="1:13" ht="20.149999999999999" customHeight="1" x14ac:dyDescent="0.3">
      <c r="A25" s="92" t="s">
        <v>75</v>
      </c>
      <c r="B25" s="91"/>
      <c r="C25" s="89" t="s">
        <v>56</v>
      </c>
      <c r="D25" s="88"/>
      <c r="E25" s="95" t="s">
        <v>56</v>
      </c>
      <c r="F25" s="90"/>
      <c r="G25" s="123">
        <v>20</v>
      </c>
      <c r="H25" s="119"/>
      <c r="I25" s="87"/>
      <c r="J25" s="86"/>
      <c r="K25" s="85"/>
    </row>
    <row r="26" spans="1:13" ht="20.149999999999999" customHeight="1" x14ac:dyDescent="0.3">
      <c r="A26" s="92" t="s">
        <v>74</v>
      </c>
      <c r="B26" s="91" t="s">
        <v>73</v>
      </c>
      <c r="C26" s="89">
        <v>76</v>
      </c>
      <c r="D26" s="88"/>
      <c r="E26" s="95">
        <v>2.74</v>
      </c>
      <c r="F26" s="90"/>
      <c r="G26" s="123">
        <f>ROUND((C26/E26),1)</f>
        <v>27.7</v>
      </c>
      <c r="H26" s="119"/>
      <c r="I26" s="87" t="s">
        <v>72</v>
      </c>
      <c r="J26" s="86"/>
      <c r="K26" s="85"/>
    </row>
    <row r="27" spans="1:13" ht="20.149999999999999" customHeight="1" x14ac:dyDescent="0.3">
      <c r="A27" s="92" t="s">
        <v>71</v>
      </c>
      <c r="B27" s="91"/>
      <c r="C27" s="89">
        <v>4.62</v>
      </c>
      <c r="D27" s="88"/>
      <c r="E27" s="95">
        <v>1.05</v>
      </c>
      <c r="F27" s="90"/>
      <c r="G27" s="123">
        <f>ROUND((C27/E27),1)</f>
        <v>4.4000000000000004</v>
      </c>
      <c r="H27" s="119"/>
      <c r="I27" s="87" t="s">
        <v>70</v>
      </c>
      <c r="J27" s="86"/>
      <c r="K27" s="85"/>
    </row>
    <row r="28" spans="1:13" ht="20.149999999999999" customHeight="1" x14ac:dyDescent="0.3">
      <c r="A28" s="122" t="s">
        <v>69</v>
      </c>
      <c r="B28" s="121"/>
      <c r="C28" s="99">
        <f>SUM(C22:C27)</f>
        <v>585.62</v>
      </c>
      <c r="D28" s="88"/>
      <c r="E28" s="95" t="s">
        <v>56</v>
      </c>
      <c r="F28" s="90"/>
      <c r="G28" s="120">
        <f>SUM(G22:G27)</f>
        <v>332.79999999999995</v>
      </c>
      <c r="H28" s="119"/>
      <c r="I28" s="87"/>
      <c r="J28" s="86"/>
      <c r="K28" s="85"/>
    </row>
    <row r="29" spans="1:13" ht="20.149999999999999" customHeight="1" x14ac:dyDescent="0.3">
      <c r="A29" s="118" t="s">
        <v>68</v>
      </c>
      <c r="B29" s="117"/>
      <c r="C29" s="114">
        <f>SUM(C30:C38)</f>
        <v>1756</v>
      </c>
      <c r="D29" s="105"/>
      <c r="E29" s="104" t="s">
        <v>56</v>
      </c>
      <c r="F29" s="103"/>
      <c r="G29" s="116">
        <f>1000-G28</f>
        <v>667.2</v>
      </c>
      <c r="H29" s="115" t="s">
        <v>67</v>
      </c>
      <c r="I29" s="87"/>
      <c r="J29" s="86"/>
      <c r="K29" s="85"/>
    </row>
    <row r="30" spans="1:13" ht="20.149999999999999" customHeight="1" x14ac:dyDescent="0.3">
      <c r="A30" s="107" t="s">
        <v>33</v>
      </c>
      <c r="B30" s="105"/>
      <c r="C30" s="114">
        <f>ROUND((G30*E30),0)</f>
        <v>0</v>
      </c>
      <c r="D30" s="105"/>
      <c r="E30" s="113">
        <v>2.65</v>
      </c>
      <c r="F30" s="103"/>
      <c r="G30" s="112">
        <f>ROUND(((G$29*H30)/100),2)</f>
        <v>0</v>
      </c>
      <c r="H30" s="111">
        <f>'Sieblinie MI-V'!C27</f>
        <v>0</v>
      </c>
      <c r="I30" s="110" t="str">
        <f>'[1]Sieblinie MVI'!M12</f>
        <v>Quarz</v>
      </c>
      <c r="J30" s="109"/>
      <c r="K30" s="108"/>
    </row>
    <row r="31" spans="1:13" ht="20.149999999999999" customHeight="1" x14ac:dyDescent="0.3">
      <c r="A31" s="107" t="s">
        <v>66</v>
      </c>
      <c r="B31" s="105"/>
      <c r="C31" s="114">
        <f>ROUND((G31*E31),0)</f>
        <v>351</v>
      </c>
      <c r="D31" s="105"/>
      <c r="E31" s="113">
        <v>2.63</v>
      </c>
      <c r="F31" s="103"/>
      <c r="G31" s="112">
        <f>ROUND(((G$29*H31)/100),2)</f>
        <v>133.44</v>
      </c>
      <c r="H31" s="111">
        <f>'Sieblinie MI-V'!C28</f>
        <v>20</v>
      </c>
      <c r="I31" s="110" t="str">
        <f>'[1]Sieblinie MVI'!M13</f>
        <v xml:space="preserve">Okrilla  </v>
      </c>
      <c r="J31" s="109"/>
      <c r="K31" s="108"/>
    </row>
    <row r="32" spans="1:13" ht="20.149999999999999" customHeight="1" x14ac:dyDescent="0.3">
      <c r="A32" s="107" t="s">
        <v>65</v>
      </c>
      <c r="B32" s="105"/>
      <c r="C32" s="114">
        <f>ROUND((G32*E32),0)</f>
        <v>202</v>
      </c>
      <c r="D32" s="105"/>
      <c r="E32" s="113">
        <v>2.63</v>
      </c>
      <c r="F32" s="103"/>
      <c r="G32" s="112">
        <f>ROUND(((G$29*H32)/100),2)</f>
        <v>76.73</v>
      </c>
      <c r="H32" s="111">
        <f>'Sieblinie MI-V'!C29</f>
        <v>11.5</v>
      </c>
      <c r="I32" s="110" t="str">
        <f>'[1]Sieblinie MVI'!M14</f>
        <v xml:space="preserve">Okrilla  </v>
      </c>
      <c r="J32" s="109"/>
      <c r="K32" s="108"/>
      <c r="M32" s="100"/>
    </row>
    <row r="33" spans="1:13" ht="20.149999999999999" customHeight="1" x14ac:dyDescent="0.3">
      <c r="A33" s="107" t="s">
        <v>64</v>
      </c>
      <c r="B33" s="105"/>
      <c r="C33" s="114">
        <f>ROUND((G33*E33),0)</f>
        <v>202</v>
      </c>
      <c r="D33" s="105"/>
      <c r="E33" s="113">
        <v>2.63</v>
      </c>
      <c r="F33" s="103"/>
      <c r="G33" s="112">
        <f>ROUND(((G$29*H33)/100),2)</f>
        <v>76.73</v>
      </c>
      <c r="H33" s="111">
        <f>'Sieblinie MI-V'!C30</f>
        <v>11.5</v>
      </c>
      <c r="I33" s="110" t="str">
        <f>'[1]Sieblinie MVI'!M15</f>
        <v xml:space="preserve">Okrilla  </v>
      </c>
      <c r="J33" s="109"/>
      <c r="K33" s="108"/>
      <c r="M33" s="1"/>
    </row>
    <row r="34" spans="1:13" ht="20.149999999999999" customHeight="1" x14ac:dyDescent="0.3">
      <c r="A34" s="107" t="s">
        <v>63</v>
      </c>
      <c r="B34" s="105"/>
      <c r="C34" s="114">
        <f>ROUND((G34*E34),0)</f>
        <v>132</v>
      </c>
      <c r="D34" s="105"/>
      <c r="E34" s="113">
        <v>2.63</v>
      </c>
      <c r="F34" s="103"/>
      <c r="G34" s="112">
        <f>ROUND(((G$29*H34)/100),2)</f>
        <v>50.04</v>
      </c>
      <c r="H34" s="111">
        <f>'Sieblinie MI-V'!C31</f>
        <v>7.5</v>
      </c>
      <c r="I34" s="110" t="str">
        <f>'[1]Sieblinie MVI'!M16</f>
        <v xml:space="preserve">Okrilla  </v>
      </c>
      <c r="J34" s="109"/>
      <c r="K34" s="108"/>
    </row>
    <row r="35" spans="1:13" ht="20.149999999999999" customHeight="1" x14ac:dyDescent="0.3">
      <c r="A35" s="107" t="s">
        <v>62</v>
      </c>
      <c r="B35" s="105"/>
      <c r="C35" s="114">
        <f>ROUND((G35*E35),0)</f>
        <v>132</v>
      </c>
      <c r="D35" s="105"/>
      <c r="E35" s="113">
        <v>2.63</v>
      </c>
      <c r="F35" s="103"/>
      <c r="G35" s="112">
        <f>ROUND(((G$29*H35)/100),2)</f>
        <v>50.04</v>
      </c>
      <c r="H35" s="111">
        <f>'Sieblinie MI-V'!C32</f>
        <v>7.5</v>
      </c>
      <c r="I35" s="110" t="str">
        <f>'[1]Sieblinie MVI'!M17</f>
        <v xml:space="preserve">Okrilla  </v>
      </c>
      <c r="J35" s="109"/>
      <c r="K35" s="108"/>
    </row>
    <row r="36" spans="1:13" ht="20.149999999999999" customHeight="1" x14ac:dyDescent="0.3">
      <c r="A36" s="107" t="s">
        <v>61</v>
      </c>
      <c r="B36" s="105"/>
      <c r="C36" s="114">
        <f>ROUND((G36*E36),0)</f>
        <v>737</v>
      </c>
      <c r="D36" s="105"/>
      <c r="E36" s="113">
        <v>2.63</v>
      </c>
      <c r="F36" s="103"/>
      <c r="G36" s="112">
        <f>ROUND(((G$29*H36)/100),2)</f>
        <v>280.22000000000003</v>
      </c>
      <c r="H36" s="111">
        <f>'Sieblinie MI-V'!C33</f>
        <v>42</v>
      </c>
      <c r="I36" s="110" t="str">
        <f>'[1]Sieblinie MVI'!M18</f>
        <v xml:space="preserve">Okrilla  </v>
      </c>
      <c r="J36" s="109"/>
      <c r="K36" s="108"/>
    </row>
    <row r="37" spans="1:13" ht="20.149999999999999" customHeight="1" x14ac:dyDescent="0.3">
      <c r="A37" s="107"/>
      <c r="B37" s="105"/>
      <c r="C37" s="106" t="s">
        <v>56</v>
      </c>
      <c r="D37" s="105"/>
      <c r="E37" s="104" t="s">
        <v>56</v>
      </c>
      <c r="F37" s="103"/>
      <c r="G37" s="102" t="s">
        <v>60</v>
      </c>
      <c r="H37" s="101" t="s">
        <v>60</v>
      </c>
      <c r="I37" s="87"/>
      <c r="J37" s="86"/>
      <c r="K37" s="85"/>
      <c r="M37" s="100"/>
    </row>
    <row r="38" spans="1:13" ht="20.149999999999999" customHeight="1" x14ac:dyDescent="0.3">
      <c r="A38" s="99"/>
      <c r="B38" s="88"/>
      <c r="C38" s="98" t="s">
        <v>56</v>
      </c>
      <c r="D38" s="88"/>
      <c r="E38" s="95" t="s">
        <v>56</v>
      </c>
      <c r="F38" s="90"/>
      <c r="G38" s="97" t="s">
        <v>60</v>
      </c>
      <c r="H38" s="96" t="s">
        <v>60</v>
      </c>
      <c r="I38" s="87"/>
      <c r="J38" s="86"/>
      <c r="K38" s="85"/>
      <c r="M38" s="1"/>
    </row>
    <row r="39" spans="1:13" ht="20.149999999999999" customHeight="1" x14ac:dyDescent="0.3">
      <c r="A39" s="92" t="s">
        <v>59</v>
      </c>
      <c r="B39" s="91"/>
      <c r="C39" s="94">
        <f>SUM(C22:C27)+C29</f>
        <v>2341.62</v>
      </c>
      <c r="D39" s="88"/>
      <c r="E39" s="95" t="s">
        <v>56</v>
      </c>
      <c r="F39" s="90"/>
      <c r="G39" s="94">
        <f>SUM(G22,G23,G25,G26,G27,G29)</f>
        <v>1000</v>
      </c>
      <c r="H39" s="93"/>
      <c r="I39" s="87"/>
      <c r="J39" s="86"/>
      <c r="K39" s="85"/>
    </row>
    <row r="40" spans="1:13" ht="20.149999999999999" customHeight="1" x14ac:dyDescent="0.3">
      <c r="A40" s="92" t="s">
        <v>58</v>
      </c>
      <c r="B40" s="91"/>
      <c r="C40" s="89" t="s">
        <v>56</v>
      </c>
      <c r="D40" s="88"/>
      <c r="E40" s="89" t="s">
        <v>56</v>
      </c>
      <c r="F40" s="90"/>
      <c r="G40" s="89" t="s">
        <v>56</v>
      </c>
      <c r="H40" s="88"/>
      <c r="I40" s="87"/>
      <c r="J40" s="86"/>
      <c r="K40" s="85"/>
    </row>
    <row r="41" spans="1:13" ht="20.149999999999999" customHeight="1" thickBot="1" x14ac:dyDescent="0.35">
      <c r="A41" s="84" t="s">
        <v>57</v>
      </c>
      <c r="B41" s="83"/>
      <c r="C41" s="81" t="s">
        <v>56</v>
      </c>
      <c r="D41" s="80"/>
      <c r="E41" s="81" t="s">
        <v>56</v>
      </c>
      <c r="F41" s="82"/>
      <c r="G41" s="81" t="s">
        <v>56</v>
      </c>
      <c r="H41" s="80"/>
      <c r="I41" s="79"/>
      <c r="J41" s="78"/>
      <c r="K41" s="77"/>
    </row>
    <row r="42" spans="1:13" ht="6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3" ht="6" customHeight="1" x14ac:dyDescent="0.3"/>
    <row r="44" spans="1:13" ht="15" customHeight="1" x14ac:dyDescent="0.3">
      <c r="C44" s="75"/>
      <c r="E44" s="76"/>
      <c r="H44" s="75"/>
      <c r="I44" s="75"/>
      <c r="J44" s="1"/>
      <c r="L44" s="76"/>
    </row>
    <row r="45" spans="1:13" ht="15" customHeight="1" x14ac:dyDescent="0.3">
      <c r="E45" s="76"/>
      <c r="F45" s="75"/>
      <c r="G45" s="75"/>
      <c r="I45" s="9"/>
      <c r="J45" s="76"/>
    </row>
    <row r="46" spans="1:13" ht="15" customHeight="1" x14ac:dyDescent="0.3">
      <c r="C46" s="75"/>
      <c r="E46" s="76"/>
      <c r="J46" s="1"/>
      <c r="L46" s="75"/>
    </row>
    <row r="47" spans="1:13" ht="15" customHeight="1" x14ac:dyDescent="0.3">
      <c r="C47" s="75"/>
      <c r="E47" s="76"/>
      <c r="J47" s="1"/>
    </row>
    <row r="48" spans="1:13" ht="15" customHeight="1" x14ac:dyDescent="0.3">
      <c r="C48" s="1"/>
    </row>
    <row r="51" spans="7:7" x14ac:dyDescent="0.3">
      <c r="G51" s="75"/>
    </row>
  </sheetData>
  <mergeCells count="22">
    <mergeCell ref="I36:K36"/>
    <mergeCell ref="I37:K37"/>
    <mergeCell ref="I29:K29"/>
    <mergeCell ref="I30:K30"/>
    <mergeCell ref="I38:K38"/>
    <mergeCell ref="I39:K39"/>
    <mergeCell ref="I40:K40"/>
    <mergeCell ref="I41:K41"/>
    <mergeCell ref="I32:K32"/>
    <mergeCell ref="I33:K33"/>
    <mergeCell ref="I34:K34"/>
    <mergeCell ref="I35:K35"/>
    <mergeCell ref="I31:K31"/>
    <mergeCell ref="A22:B22"/>
    <mergeCell ref="I22:K22"/>
    <mergeCell ref="I23:K23"/>
    <mergeCell ref="I24:K24"/>
    <mergeCell ref="I25:K25"/>
    <mergeCell ref="I26:K26"/>
    <mergeCell ref="I27:K27"/>
    <mergeCell ref="A28:B28"/>
    <mergeCell ref="I28:K28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4BED-7E0F-4F03-8966-00EBA20C55CA}">
  <dimension ref="A1:O43"/>
  <sheetViews>
    <sheetView workbookViewId="0">
      <selection activeCell="E13" sqref="E13"/>
    </sheetView>
  </sheetViews>
  <sheetFormatPr baseColWidth="10" defaultRowHeight="13" x14ac:dyDescent="0.3"/>
  <cols>
    <col min="1" max="1" width="10.453125" customWidth="1"/>
    <col min="2" max="2" width="11.26953125" customWidth="1"/>
    <col min="3" max="3" width="8" customWidth="1"/>
    <col min="4" max="4" width="3.81640625" customWidth="1"/>
    <col min="5" max="5" width="7.26953125" customWidth="1"/>
    <col min="6" max="6" width="1.1796875" customWidth="1"/>
    <col min="7" max="7" width="7.26953125" customWidth="1"/>
    <col min="8" max="8" width="1.1796875" customWidth="1"/>
    <col min="9" max="9" width="8.26953125" customWidth="1"/>
    <col min="10" max="10" width="7.7265625" customWidth="1"/>
    <col min="11" max="11" width="8" customWidth="1"/>
    <col min="12" max="12" width="7.453125" customWidth="1"/>
  </cols>
  <sheetData>
    <row r="1" spans="1:12" ht="17.149999999999999" customHeight="1" x14ac:dyDescent="0.3">
      <c r="A1" s="163" t="s">
        <v>55</v>
      </c>
      <c r="B1" s="162" t="s">
        <v>166</v>
      </c>
      <c r="C1" s="162"/>
      <c r="D1" s="162"/>
      <c r="E1" s="162"/>
      <c r="F1" s="162"/>
      <c r="G1" s="162"/>
      <c r="H1" s="162"/>
      <c r="I1" s="162"/>
      <c r="J1" s="300" t="s">
        <v>165</v>
      </c>
      <c r="K1" s="299">
        <v>41820</v>
      </c>
      <c r="L1" s="160"/>
    </row>
    <row r="2" spans="1:12" ht="17.149999999999999" customHeight="1" thickBot="1" x14ac:dyDescent="0.35">
      <c r="A2" s="159" t="s">
        <v>107</v>
      </c>
      <c r="B2" s="298" t="s">
        <v>164</v>
      </c>
      <c r="C2" s="298"/>
      <c r="D2" s="298"/>
      <c r="E2" s="298"/>
      <c r="F2" s="298"/>
      <c r="G2" s="298"/>
      <c r="H2" s="298"/>
      <c r="I2" s="298"/>
      <c r="J2" s="297" t="s">
        <v>163</v>
      </c>
      <c r="K2" s="130" t="s">
        <v>162</v>
      </c>
      <c r="L2" s="80"/>
    </row>
    <row r="3" spans="1:12" ht="8.15" customHeight="1" x14ac:dyDescent="0.3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ht="18" customHeight="1" x14ac:dyDescent="0.3">
      <c r="A4" s="155" t="s">
        <v>48</v>
      </c>
      <c r="B4" s="155"/>
      <c r="C4" s="155"/>
      <c r="D4" s="152" t="s">
        <v>105</v>
      </c>
      <c r="E4" s="152"/>
      <c r="F4" s="152"/>
      <c r="G4" s="152"/>
      <c r="H4" s="152"/>
      <c r="I4" s="152"/>
      <c r="J4" s="296"/>
      <c r="K4" s="296"/>
      <c r="L4" s="152"/>
    </row>
    <row r="5" spans="1:12" ht="18" customHeight="1" x14ac:dyDescent="0.3">
      <c r="A5" s="155" t="s">
        <v>45</v>
      </c>
      <c r="B5" s="155"/>
      <c r="C5" s="155"/>
      <c r="D5" s="152" t="s">
        <v>161</v>
      </c>
      <c r="E5" s="152"/>
      <c r="F5" s="152"/>
      <c r="G5" s="152"/>
      <c r="H5" s="152"/>
      <c r="I5" s="152"/>
      <c r="J5" s="152" t="s">
        <v>160</v>
      </c>
      <c r="K5" s="152"/>
      <c r="L5" s="152"/>
    </row>
    <row r="6" spans="1:12" ht="18" customHeight="1" x14ac:dyDescent="0.3">
      <c r="A6" s="155" t="s">
        <v>103</v>
      </c>
      <c r="B6" s="155"/>
      <c r="C6" s="155"/>
      <c r="D6" s="152" t="str">
        <f>RezepturMIV!D6</f>
        <v>BA-Losert MIV</v>
      </c>
      <c r="E6" s="152"/>
      <c r="F6" s="152"/>
      <c r="G6" s="152"/>
      <c r="H6" s="152"/>
      <c r="I6" s="152"/>
      <c r="J6" s="152"/>
      <c r="K6" s="152"/>
      <c r="L6" s="152"/>
    </row>
    <row r="7" spans="1:12" ht="12.75" customHeight="1" thickBot="1" x14ac:dyDescent="0.3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</row>
    <row r="8" spans="1:12" ht="17.149999999999999" customHeight="1" thickBot="1" x14ac:dyDescent="0.35">
      <c r="A8" s="211" t="s">
        <v>159</v>
      </c>
      <c r="B8" s="295"/>
      <c r="C8" s="295"/>
      <c r="D8" s="295"/>
      <c r="E8" s="295"/>
      <c r="F8" s="295"/>
      <c r="G8" s="295"/>
      <c r="H8" s="294"/>
      <c r="I8" s="295" t="s">
        <v>158</v>
      </c>
      <c r="J8" s="167"/>
      <c r="K8" s="167"/>
      <c r="L8" s="294"/>
    </row>
    <row r="9" spans="1:12" ht="17.149999999999999" customHeight="1" x14ac:dyDescent="0.3">
      <c r="A9" s="139" t="s">
        <v>88</v>
      </c>
      <c r="B9" s="137"/>
      <c r="C9" s="138" t="s">
        <v>157</v>
      </c>
      <c r="D9" s="137"/>
      <c r="E9" s="138" t="s">
        <v>156</v>
      </c>
      <c r="F9" s="138"/>
      <c r="G9" s="138"/>
      <c r="H9" s="137"/>
      <c r="I9" s="293" t="s">
        <v>155</v>
      </c>
      <c r="J9" s="149"/>
      <c r="K9" s="149"/>
      <c r="L9" s="292"/>
    </row>
    <row r="10" spans="1:12" ht="17.149999999999999" customHeight="1" x14ac:dyDescent="0.3">
      <c r="A10" s="291"/>
      <c r="B10" s="290"/>
      <c r="C10" s="212" t="s">
        <v>154</v>
      </c>
      <c r="D10" s="289"/>
      <c r="E10" s="287">
        <v>85</v>
      </c>
      <c r="F10" s="288" t="s">
        <v>153</v>
      </c>
      <c r="G10" s="287">
        <v>85</v>
      </c>
      <c r="H10" s="286" t="s">
        <v>153</v>
      </c>
      <c r="I10" s="267" t="s">
        <v>152</v>
      </c>
      <c r="J10" s="267"/>
      <c r="K10" s="278"/>
      <c r="L10" s="115"/>
    </row>
    <row r="11" spans="1:12" ht="17.149999999999999" customHeight="1" x14ac:dyDescent="0.3">
      <c r="A11" s="92"/>
      <c r="B11" s="91"/>
      <c r="C11" s="136"/>
      <c r="D11" s="88"/>
      <c r="E11" s="284" t="s">
        <v>151</v>
      </c>
      <c r="F11" s="285"/>
      <c r="G11" s="284" t="s">
        <v>150</v>
      </c>
      <c r="H11" s="283"/>
      <c r="I11" s="267" t="s">
        <v>149</v>
      </c>
      <c r="J11" s="267"/>
      <c r="K11" s="282" t="s">
        <v>145</v>
      </c>
      <c r="L11" s="193"/>
    </row>
    <row r="12" spans="1:12" ht="20.149999999999999" customHeight="1" thickBot="1" x14ac:dyDescent="0.35">
      <c r="A12" s="281" t="s">
        <v>148</v>
      </c>
      <c r="B12" s="280" t="s">
        <v>147</v>
      </c>
      <c r="C12" s="130" t="s">
        <v>82</v>
      </c>
      <c r="D12" s="80"/>
      <c r="E12" s="130" t="s">
        <v>112</v>
      </c>
      <c r="F12" s="279"/>
      <c r="G12" s="130" t="s">
        <v>112</v>
      </c>
      <c r="H12" s="80"/>
      <c r="I12" s="267" t="s">
        <v>146</v>
      </c>
      <c r="J12" s="267"/>
      <c r="K12" s="278" t="s">
        <v>145</v>
      </c>
      <c r="L12" s="193"/>
    </row>
    <row r="13" spans="1:12" ht="20.149999999999999" customHeight="1" thickBot="1" x14ac:dyDescent="0.35">
      <c r="A13" s="92" t="s">
        <v>79</v>
      </c>
      <c r="B13" s="264" t="s">
        <v>78</v>
      </c>
      <c r="C13" s="99">
        <f>RezepturMIV!C22</f>
        <v>330</v>
      </c>
      <c r="D13" s="88"/>
      <c r="E13" s="221">
        <f>ROUND(((C13*E$10)/1000),2)</f>
        <v>28.05</v>
      </c>
      <c r="F13" s="277"/>
      <c r="G13" s="221">
        <f>ROUND(((C13*E$10)/1000),2)</f>
        <v>28.05</v>
      </c>
      <c r="H13" s="90"/>
      <c r="I13" s="276"/>
      <c r="J13" s="243"/>
      <c r="K13" s="275"/>
      <c r="L13" s="274"/>
    </row>
    <row r="14" spans="1:12" ht="20.149999999999999" customHeight="1" thickBot="1" x14ac:dyDescent="0.35">
      <c r="A14" s="92" t="s">
        <v>77</v>
      </c>
      <c r="B14" s="91"/>
      <c r="C14" s="99">
        <f>RezepturMIV!C23</f>
        <v>175</v>
      </c>
      <c r="D14" s="93"/>
      <c r="E14" s="221">
        <f>ROUND(((C14*E$10)/1000),2)</f>
        <v>14.88</v>
      </c>
      <c r="F14" s="222"/>
      <c r="G14" s="221">
        <f>ROUND(((C14*G$10)/1000),2)</f>
        <v>14.88</v>
      </c>
      <c r="H14" s="90"/>
      <c r="I14" s="273" t="s">
        <v>144</v>
      </c>
      <c r="J14" s="272"/>
      <c r="K14" s="271"/>
      <c r="L14" s="270"/>
    </row>
    <row r="15" spans="1:12" ht="20.149999999999999" customHeight="1" x14ac:dyDescent="0.3">
      <c r="A15" s="92" t="s">
        <v>76</v>
      </c>
      <c r="B15" s="91"/>
      <c r="C15" s="89" t="s">
        <v>56</v>
      </c>
      <c r="D15" s="88"/>
      <c r="E15" s="221" t="s">
        <v>56</v>
      </c>
      <c r="F15" s="222"/>
      <c r="G15" s="221" t="s">
        <v>56</v>
      </c>
      <c r="H15" s="90"/>
      <c r="I15" s="226" t="s">
        <v>143</v>
      </c>
      <c r="J15" s="166"/>
      <c r="K15" s="166"/>
      <c r="L15" s="91"/>
    </row>
    <row r="16" spans="1:12" ht="20.149999999999999" customHeight="1" x14ac:dyDescent="0.3">
      <c r="A16" s="92" t="s">
        <v>75</v>
      </c>
      <c r="B16" s="91"/>
      <c r="C16" s="89" t="s">
        <v>56</v>
      </c>
      <c r="D16" s="88"/>
      <c r="E16" s="221" t="s">
        <v>56</v>
      </c>
      <c r="F16" s="222"/>
      <c r="G16" s="221" t="s">
        <v>56</v>
      </c>
      <c r="H16" s="90"/>
      <c r="I16" s="267" t="s">
        <v>142</v>
      </c>
      <c r="J16" s="266"/>
      <c r="K16" s="269"/>
      <c r="L16" s="268"/>
    </row>
    <row r="17" spans="1:15" ht="20.149999999999999" customHeight="1" x14ac:dyDescent="0.3">
      <c r="A17" s="92" t="s">
        <v>74</v>
      </c>
      <c r="B17" s="264" t="s">
        <v>73</v>
      </c>
      <c r="C17" s="89">
        <f>RezepturMIV!C26</f>
        <v>76</v>
      </c>
      <c r="D17" s="88"/>
      <c r="E17" s="259">
        <f>C17*E$10/1000</f>
        <v>6.46</v>
      </c>
      <c r="F17" s="260"/>
      <c r="G17" s="259">
        <f>C17*E$10/1000</f>
        <v>6.46</v>
      </c>
      <c r="H17" s="90"/>
      <c r="I17" s="267" t="s">
        <v>141</v>
      </c>
      <c r="J17" s="266"/>
      <c r="K17" s="194">
        <v>8</v>
      </c>
      <c r="L17" s="265">
        <v>8</v>
      </c>
    </row>
    <row r="18" spans="1:15" ht="20.149999999999999" customHeight="1" thickBot="1" x14ac:dyDescent="0.35">
      <c r="A18" s="92" t="s">
        <v>140</v>
      </c>
      <c r="B18" s="264" t="s">
        <v>70</v>
      </c>
      <c r="C18" s="89">
        <f>RezepturMIV!C27</f>
        <v>4.62</v>
      </c>
      <c r="D18" s="88"/>
      <c r="E18" s="259">
        <f>ROUND(((C18*E$10)/1000),3)</f>
        <v>0.39300000000000002</v>
      </c>
      <c r="F18" s="260"/>
      <c r="G18" s="259">
        <f>ROUND(((C18*E$10)/1000),3)</f>
        <v>0.39300000000000002</v>
      </c>
      <c r="H18" s="90"/>
      <c r="I18" s="175" t="s">
        <v>139</v>
      </c>
      <c r="J18" s="263"/>
      <c r="K18" s="262">
        <f>ROUND(K16/K17*1000,-1)</f>
        <v>0</v>
      </c>
      <c r="L18" s="261">
        <f>ROUND(L16/L17*1000,-1)</f>
        <v>0</v>
      </c>
    </row>
    <row r="19" spans="1:15" ht="20.149999999999999" customHeight="1" x14ac:dyDescent="0.3">
      <c r="A19" s="92" t="s">
        <v>69</v>
      </c>
      <c r="B19" s="91"/>
      <c r="C19" s="89">
        <f>SUM(C13:C18)</f>
        <v>585.62</v>
      </c>
      <c r="D19" s="88"/>
      <c r="E19" s="259">
        <f>SUM(E13:E18)</f>
        <v>49.783000000000001</v>
      </c>
      <c r="F19" s="260"/>
      <c r="G19" s="259">
        <f>SUM(G13:G18)</f>
        <v>49.783000000000001</v>
      </c>
      <c r="H19" s="90"/>
      <c r="I19" s="251" t="s">
        <v>138</v>
      </c>
      <c r="J19" s="166"/>
      <c r="K19" s="166"/>
      <c r="L19" s="91"/>
      <c r="N19" s="22"/>
    </row>
    <row r="20" spans="1:15" ht="20.149999999999999" customHeight="1" x14ac:dyDescent="0.3">
      <c r="A20" s="118" t="s">
        <v>68</v>
      </c>
      <c r="B20" s="117"/>
      <c r="C20" s="240">
        <f>SUM(C21:C27)</f>
        <v>1756</v>
      </c>
      <c r="D20" s="258" t="s">
        <v>137</v>
      </c>
      <c r="E20" s="257">
        <f>SUM(E21:E30)</f>
        <v>149.26000000000002</v>
      </c>
      <c r="F20" s="256"/>
      <c r="G20" s="237">
        <f>E20</f>
        <v>149.26000000000002</v>
      </c>
      <c r="H20" s="103"/>
      <c r="I20" s="254" t="s">
        <v>136</v>
      </c>
      <c r="J20" s="255"/>
      <c r="K20" s="254" t="s">
        <v>135</v>
      </c>
      <c r="L20" s="253"/>
    </row>
    <row r="21" spans="1:15" ht="20.149999999999999" customHeight="1" thickBot="1" x14ac:dyDescent="0.35">
      <c r="A21" s="235" t="s">
        <v>134</v>
      </c>
      <c r="B21" s="241" t="str">
        <f>[1]RezepturMVI!I30</f>
        <v>Quarz</v>
      </c>
      <c r="C21" s="240">
        <f>RezepturMIV!C30</f>
        <v>0</v>
      </c>
      <c r="D21" s="239">
        <f>[1]RezepturMI!H30</f>
        <v>0</v>
      </c>
      <c r="E21" s="237">
        <f>ROUND(((C21*E$10)/1000),32)</f>
        <v>0</v>
      </c>
      <c r="F21" s="238"/>
      <c r="G21" s="237">
        <f>ROUND((E21),3)</f>
        <v>0</v>
      </c>
      <c r="H21" s="103"/>
      <c r="I21" s="252"/>
      <c r="J21" s="252"/>
      <c r="K21" s="252"/>
      <c r="L21" s="215"/>
    </row>
    <row r="22" spans="1:15" ht="20.149999999999999" customHeight="1" x14ac:dyDescent="0.3">
      <c r="A22" s="235" t="s">
        <v>133</v>
      </c>
      <c r="B22" s="241" t="str">
        <f>[1]RezepturMVI!I31</f>
        <v xml:space="preserve">Okrilla  </v>
      </c>
      <c r="C22" s="240">
        <f>RezepturMIV!C31</f>
        <v>351</v>
      </c>
      <c r="D22" s="239">
        <f>[1]RezepturMI!H31</f>
        <v>20</v>
      </c>
      <c r="E22" s="237">
        <f>ROUND(((C22*E$10)/1000),3)</f>
        <v>29.835000000000001</v>
      </c>
      <c r="F22" s="238"/>
      <c r="G22" s="237">
        <f>ROUND((G21+E22),3)</f>
        <v>29.835000000000001</v>
      </c>
      <c r="H22" s="103"/>
      <c r="I22" s="251" t="s">
        <v>132</v>
      </c>
      <c r="J22" s="166"/>
      <c r="K22" s="166"/>
      <c r="L22" s="91"/>
    </row>
    <row r="23" spans="1:15" ht="20.149999999999999" customHeight="1" x14ac:dyDescent="0.3">
      <c r="A23" s="235" t="s">
        <v>131</v>
      </c>
      <c r="B23" s="241" t="str">
        <f>[1]RezepturMVI!I32</f>
        <v xml:space="preserve">Okrilla  </v>
      </c>
      <c r="C23" s="240">
        <f>RezepturMIV!C32</f>
        <v>202</v>
      </c>
      <c r="D23" s="239">
        <f>[1]RezepturMI!H32</f>
        <v>11.5</v>
      </c>
      <c r="E23" s="237">
        <f>ROUND(((C23*E$10)/1000),3)</f>
        <v>17.170000000000002</v>
      </c>
      <c r="F23" s="238"/>
      <c r="G23" s="237">
        <f>ROUND((G22+E23),3)</f>
        <v>47.005000000000003</v>
      </c>
      <c r="H23" s="103"/>
      <c r="I23" s="250" t="s">
        <v>130</v>
      </c>
      <c r="J23" s="249"/>
      <c r="K23" s="248"/>
      <c r="L23" s="220"/>
    </row>
    <row r="24" spans="1:15" ht="20.149999999999999" customHeight="1" thickBot="1" x14ac:dyDescent="0.35">
      <c r="A24" s="235" t="s">
        <v>129</v>
      </c>
      <c r="B24" s="241" t="str">
        <f>[1]RezepturMVI!I33</f>
        <v xml:space="preserve">Okrilla  </v>
      </c>
      <c r="C24" s="240">
        <f>RezepturMIV!C33</f>
        <v>202</v>
      </c>
      <c r="D24" s="239">
        <f>[1]RezepturMI!H33</f>
        <v>11.5</v>
      </c>
      <c r="E24" s="237">
        <f>ROUND(((C24*E$10)/1000),3)</f>
        <v>17.170000000000002</v>
      </c>
      <c r="F24" s="238"/>
      <c r="G24" s="237">
        <f>ROUND((G23+E24),3)</f>
        <v>64.174999999999997</v>
      </c>
      <c r="H24" s="103"/>
      <c r="I24" s="247" t="s">
        <v>128</v>
      </c>
      <c r="J24" s="246"/>
      <c r="K24" s="175"/>
      <c r="L24" s="215"/>
    </row>
    <row r="25" spans="1:15" ht="20.149999999999999" customHeight="1" x14ac:dyDescent="0.3">
      <c r="A25" s="235" t="s">
        <v>127</v>
      </c>
      <c r="B25" s="241" t="str">
        <f>[1]RezepturMVI!I34</f>
        <v xml:space="preserve">Okrilla  </v>
      </c>
      <c r="C25" s="240">
        <f>RezepturMIV!C34</f>
        <v>132</v>
      </c>
      <c r="D25" s="239">
        <f>[1]RezepturMI!H34</f>
        <v>7.5</v>
      </c>
      <c r="E25" s="237">
        <f>ROUND(((C25*E$10)/1000),3)</f>
        <v>11.22</v>
      </c>
      <c r="F25" s="238"/>
      <c r="G25" s="237">
        <f>ROUND((G24+E25),2)</f>
        <v>75.400000000000006</v>
      </c>
      <c r="H25" s="103"/>
      <c r="I25" s="226" t="s">
        <v>126</v>
      </c>
      <c r="J25" s="225"/>
      <c r="K25" s="225"/>
      <c r="L25" s="91"/>
    </row>
    <row r="26" spans="1:15" ht="20.149999999999999" customHeight="1" x14ac:dyDescent="0.3">
      <c r="A26" s="235" t="s">
        <v>125</v>
      </c>
      <c r="B26" s="241" t="str">
        <f>[1]RezepturMVI!I35</f>
        <v xml:space="preserve">Okrilla  </v>
      </c>
      <c r="C26" s="240">
        <f>RezepturMIV!C35</f>
        <v>132</v>
      </c>
      <c r="D26" s="245">
        <f>[1]RezepturMI!H35</f>
        <v>7.5</v>
      </c>
      <c r="E26" s="237">
        <f>ROUND(((C26*E$10)/1000),3)</f>
        <v>11.22</v>
      </c>
      <c r="F26" s="238"/>
      <c r="G26" s="237">
        <f>ROUND((G25+E26),3)</f>
        <v>86.62</v>
      </c>
      <c r="H26" s="103"/>
      <c r="I26" s="244" t="s">
        <v>124</v>
      </c>
      <c r="J26" s="243"/>
      <c r="K26" s="243"/>
      <c r="L26" s="242"/>
    </row>
    <row r="27" spans="1:15" ht="20.149999999999999" customHeight="1" x14ac:dyDescent="0.3">
      <c r="A27" s="235" t="s">
        <v>123</v>
      </c>
      <c r="B27" s="241" t="str">
        <f>[1]RezepturMVI!I36</f>
        <v xml:space="preserve">Okrilla  </v>
      </c>
      <c r="C27" s="240">
        <f>RezepturMIV!C36</f>
        <v>737</v>
      </c>
      <c r="D27" s="239">
        <f>[1]RezepturMI!H36</f>
        <v>42</v>
      </c>
      <c r="E27" s="237">
        <f>ROUND(((C27*E$10)/1000),3)</f>
        <v>62.645000000000003</v>
      </c>
      <c r="F27" s="238"/>
      <c r="G27" s="237">
        <f>ROUND((G26+E27),3)</f>
        <v>149.26499999999999</v>
      </c>
      <c r="H27" s="103"/>
      <c r="I27" s="236" t="s">
        <v>122</v>
      </c>
      <c r="J27" s="191"/>
      <c r="K27" s="191"/>
      <c r="L27" s="220"/>
      <c r="O27" s="214"/>
    </row>
    <row r="28" spans="1:15" ht="20.149999999999999" customHeight="1" thickBot="1" x14ac:dyDescent="0.35">
      <c r="A28" s="235" t="s">
        <v>121</v>
      </c>
      <c r="B28" s="234"/>
      <c r="C28" s="230" t="s">
        <v>56</v>
      </c>
      <c r="D28" s="229" t="s">
        <v>60</v>
      </c>
      <c r="E28" s="227" t="s">
        <v>56</v>
      </c>
      <c r="F28" s="233"/>
      <c r="G28" s="227" t="s">
        <v>56</v>
      </c>
      <c r="H28" s="103"/>
      <c r="I28" s="232">
        <f>[1]RezepturMVI!H9</f>
        <v>0</v>
      </c>
      <c r="J28" s="175"/>
      <c r="K28" s="175"/>
      <c r="L28" s="215"/>
      <c r="O28" s="214"/>
    </row>
    <row r="29" spans="1:15" ht="20.149999999999999" customHeight="1" x14ac:dyDescent="0.3">
      <c r="A29" s="231" t="s">
        <v>56</v>
      </c>
      <c r="B29" s="105"/>
      <c r="C29" s="230" t="s">
        <v>56</v>
      </c>
      <c r="D29" s="229" t="s">
        <v>60</v>
      </c>
      <c r="E29" s="227" t="s">
        <v>56</v>
      </c>
      <c r="F29" s="228"/>
      <c r="G29" s="227" t="s">
        <v>56</v>
      </c>
      <c r="H29" s="103"/>
      <c r="I29" s="226" t="s">
        <v>120</v>
      </c>
      <c r="J29" s="225"/>
      <c r="K29" s="166"/>
      <c r="L29" s="91"/>
      <c r="O29" s="214"/>
    </row>
    <row r="30" spans="1:15" ht="20.149999999999999" customHeight="1" x14ac:dyDescent="0.3">
      <c r="A30" s="89" t="s">
        <v>56</v>
      </c>
      <c r="B30" s="88"/>
      <c r="C30" s="224" t="s">
        <v>56</v>
      </c>
      <c r="D30" s="223" t="s">
        <v>60</v>
      </c>
      <c r="E30" s="221" t="s">
        <v>56</v>
      </c>
      <c r="F30" s="222"/>
      <c r="G30" s="221" t="s">
        <v>56</v>
      </c>
      <c r="H30" s="90"/>
      <c r="I30" s="191" t="s">
        <v>119</v>
      </c>
      <c r="J30" s="191"/>
      <c r="K30" s="191" t="s">
        <v>118</v>
      </c>
      <c r="L30" s="220"/>
      <c r="O30" s="214"/>
    </row>
    <row r="31" spans="1:15" ht="20.149999999999999" customHeight="1" thickBot="1" x14ac:dyDescent="0.35">
      <c r="A31" s="84" t="s">
        <v>59</v>
      </c>
      <c r="B31" s="83"/>
      <c r="C31" s="219">
        <f>ROUND((C19+C20),2)</f>
        <v>2341.62</v>
      </c>
      <c r="D31" s="218" t="s">
        <v>60</v>
      </c>
      <c r="E31" s="216">
        <f>ROUND((E19+E20),2)</f>
        <v>199.04</v>
      </c>
      <c r="F31" s="217"/>
      <c r="G31" s="216">
        <f>ROUND((SUM(G13,G14,G17,G18,G20)),2)</f>
        <v>199.04</v>
      </c>
      <c r="H31" s="82"/>
      <c r="I31" s="175"/>
      <c r="J31" s="175"/>
      <c r="K31" s="175"/>
      <c r="L31" s="215"/>
      <c r="O31" s="214"/>
    </row>
    <row r="32" spans="1:15" ht="5.25" customHeight="1" thickBot="1" x14ac:dyDescent="0.35">
      <c r="A32" s="140"/>
      <c r="B32" s="140"/>
      <c r="C32" s="213"/>
      <c r="D32" s="212"/>
      <c r="E32" s="155"/>
      <c r="F32" s="155"/>
      <c r="G32" s="155"/>
      <c r="H32" s="155"/>
      <c r="I32" s="155"/>
      <c r="J32" s="155"/>
      <c r="K32" s="155"/>
      <c r="L32" s="155"/>
    </row>
    <row r="33" spans="1:12" ht="20.149999999999999" customHeight="1" x14ac:dyDescent="0.3">
      <c r="A33" s="211" t="s">
        <v>117</v>
      </c>
      <c r="B33" s="167"/>
      <c r="C33" s="210"/>
      <c r="D33" s="138"/>
      <c r="E33" s="209" t="s">
        <v>116</v>
      </c>
      <c r="F33" s="207"/>
      <c r="G33" s="207"/>
      <c r="H33" s="208">
        <f>K1</f>
        <v>41820</v>
      </c>
      <c r="I33" s="208"/>
      <c r="J33" s="208"/>
      <c r="K33" s="207"/>
      <c r="L33" s="206"/>
    </row>
    <row r="34" spans="1:12" ht="19" customHeight="1" x14ac:dyDescent="0.3">
      <c r="A34" s="205" t="s">
        <v>115</v>
      </c>
      <c r="B34" s="204"/>
      <c r="C34" s="203" t="s">
        <v>114</v>
      </c>
      <c r="D34" s="202"/>
      <c r="E34" s="201">
        <v>1</v>
      </c>
      <c r="F34" s="200"/>
      <c r="G34" s="201">
        <v>2</v>
      </c>
      <c r="H34" s="200"/>
      <c r="I34" s="199">
        <v>3</v>
      </c>
      <c r="J34" s="199"/>
      <c r="K34" s="199"/>
      <c r="L34" s="198"/>
    </row>
    <row r="35" spans="1:12" ht="19" customHeight="1" x14ac:dyDescent="0.3">
      <c r="A35" s="192" t="s">
        <v>113</v>
      </c>
      <c r="B35" s="191"/>
      <c r="C35" s="190" t="s">
        <v>112</v>
      </c>
      <c r="D35" s="189"/>
      <c r="E35" s="197"/>
      <c r="F35" s="196"/>
      <c r="G35" s="197"/>
      <c r="H35" s="196"/>
      <c r="I35" s="195"/>
      <c r="J35" s="194"/>
      <c r="K35" s="194"/>
      <c r="L35" s="193"/>
    </row>
    <row r="36" spans="1:12" ht="19" customHeight="1" x14ac:dyDescent="0.3">
      <c r="A36" s="192" t="s">
        <v>111</v>
      </c>
      <c r="B36" s="191"/>
      <c r="C36" s="190" t="s">
        <v>80</v>
      </c>
      <c r="D36" s="189"/>
      <c r="E36" s="188">
        <v>3.375</v>
      </c>
      <c r="F36" s="187"/>
      <c r="G36" s="187"/>
      <c r="H36" s="187"/>
      <c r="I36" s="187"/>
      <c r="J36" s="187"/>
      <c r="K36" s="187"/>
      <c r="L36" s="186"/>
    </row>
    <row r="37" spans="1:12" ht="19" customHeight="1" x14ac:dyDescent="0.3">
      <c r="A37" s="185" t="s">
        <v>110</v>
      </c>
      <c r="B37" s="184"/>
      <c r="C37" s="183" t="s">
        <v>81</v>
      </c>
      <c r="D37" s="182"/>
      <c r="E37" s="181">
        <f>ROUND(E35/E36,-1)</f>
        <v>0</v>
      </c>
      <c r="F37" s="180"/>
      <c r="G37" s="181">
        <f>ROUND(G35/E36,-1)</f>
        <v>0</v>
      </c>
      <c r="H37" s="180"/>
      <c r="I37" s="179">
        <f>ROUND(I35/E36,-1)</f>
        <v>0</v>
      </c>
      <c r="J37" s="178">
        <f>ROUND(J35/E36,-1)</f>
        <v>0</v>
      </c>
      <c r="K37" s="178">
        <f>ROUND(K35/E36,-1)</f>
        <v>0</v>
      </c>
      <c r="L37" s="177">
        <f>ROUND(L35/E36,-1)</f>
        <v>0</v>
      </c>
    </row>
    <row r="38" spans="1:12" ht="19" customHeight="1" thickBot="1" x14ac:dyDescent="0.35">
      <c r="A38" s="176" t="s">
        <v>109</v>
      </c>
      <c r="B38" s="175"/>
      <c r="C38" s="174" t="s">
        <v>81</v>
      </c>
      <c r="D38" s="173"/>
      <c r="E38" s="172">
        <f>ROUND(AVERAGE(E37:I37),-1)</f>
        <v>0</v>
      </c>
      <c r="F38" s="78"/>
      <c r="G38" s="78"/>
      <c r="H38" s="78"/>
      <c r="I38" s="171"/>
      <c r="J38" s="170">
        <f>ROUND(AVERAGE(J37:L37),-1)</f>
        <v>0</v>
      </c>
      <c r="K38" s="169"/>
      <c r="L38" s="168"/>
    </row>
    <row r="39" spans="1:12" ht="6.75" customHeight="1" x14ac:dyDescent="0.3">
      <c r="A39" s="167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</row>
    <row r="40" spans="1:12" ht="18" customHeight="1" x14ac:dyDescent="0.3">
      <c r="A40" s="152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</row>
    <row r="41" spans="1:12" ht="18" customHeight="1" x14ac:dyDescent="0.3">
      <c r="A41" s="164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</row>
    <row r="42" spans="1:12" ht="18" customHeight="1" x14ac:dyDescent="0.3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</row>
    <row r="43" spans="1:12" ht="18" customHeight="1" x14ac:dyDescent="0.3">
      <c r="A43" s="165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MI-V</vt:lpstr>
      <vt:lpstr>RezepturMIV</vt:lpstr>
      <vt:lpstr>MischanweisungMIV</vt:lpstr>
      <vt:lpstr>MischanweisungMIV!Druckbereich</vt:lpstr>
      <vt:lpstr>RezepturMIV!Druckbereich</vt:lpstr>
      <vt:lpstr>'Sieblinie MI-V'!Druckbereich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Noell, Mathis</dc:creator>
  <cp:lastModifiedBy>Noell, Mathis</cp:lastModifiedBy>
  <dcterms:created xsi:type="dcterms:W3CDTF">2021-07-19T13:38:43Z</dcterms:created>
  <dcterms:modified xsi:type="dcterms:W3CDTF">2021-07-19T13:51:13Z</dcterms:modified>
</cp:coreProperties>
</file>