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27925\Desktop\HSoB\"/>
    </mc:Choice>
  </mc:AlternateContent>
  <xr:revisionPtr revIDLastSave="0" documentId="13_ncr:1_{90261102-214C-46A3-BE1E-D1ECCCBC1CD2}" xr6:coauthVersionLast="47" xr6:coauthVersionMax="47" xr10:uidLastSave="{00000000-0000-0000-0000-000000000000}"/>
  <bookViews>
    <workbookView xWindow="3900" yWindow="3900" windowWidth="28800" windowHeight="15345" activeTab="2" xr2:uid="{00000000-000D-0000-FFFF-FFFF00000000}"/>
  </bookViews>
  <sheets>
    <sheet name="Statistics" sheetId="1" r:id="rId1"/>
    <sheet name="Extra" sheetId="5" r:id="rId2"/>
    <sheet name="Yellow" sheetId="4" r:id="rId3"/>
    <sheet name="System" sheetId="3" r:id="rId4"/>
    <sheet name="Power" sheetId="6" r:id="rId5"/>
    <sheet name="TAS Env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4" i="4" l="1"/>
  <c r="O75" i="4"/>
  <c r="O52" i="4"/>
  <c r="O37" i="4"/>
  <c r="O23" i="4"/>
  <c r="O12" i="4"/>
  <c r="H21" i="6"/>
  <c r="G21" i="6"/>
  <c r="F21" i="6"/>
  <c r="D21" i="6"/>
  <c r="H20" i="6"/>
  <c r="G20" i="6"/>
  <c r="F20" i="6"/>
  <c r="D20" i="6"/>
  <c r="E16" i="6"/>
  <c r="D16" i="6"/>
  <c r="F6" i="6"/>
  <c r="D6" i="6"/>
  <c r="D19" i="6"/>
  <c r="H14" i="6"/>
  <c r="F16" i="6"/>
  <c r="G16" i="6" s="1"/>
  <c r="H16" i="6" s="1"/>
  <c r="E18" i="6"/>
  <c r="H18" i="6" s="1"/>
  <c r="E17" i="6"/>
  <c r="H17" i="6" s="1"/>
  <c r="D18" i="6"/>
  <c r="D17" i="6"/>
  <c r="E13" i="6"/>
  <c r="H13" i="6" s="1"/>
  <c r="E12" i="6"/>
  <c r="H12" i="6" s="1"/>
  <c r="E11" i="6"/>
  <c r="H11" i="6" s="1"/>
  <c r="D13" i="6"/>
  <c r="D12" i="6"/>
  <c r="D11" i="6"/>
  <c r="E6" i="6"/>
  <c r="G6" i="6" s="1"/>
  <c r="H6" i="6" s="1"/>
  <c r="E8" i="6"/>
  <c r="H8" i="6" s="1"/>
  <c r="D8" i="6"/>
  <c r="E7" i="6"/>
  <c r="H7" i="6" s="1"/>
  <c r="H9" i="6" s="1"/>
  <c r="D7" i="6"/>
  <c r="E3" i="6"/>
  <c r="H3" i="6" s="1"/>
  <c r="D3" i="6"/>
  <c r="D2" i="6"/>
  <c r="E2" i="6"/>
  <c r="H2" i="6" s="1"/>
  <c r="AC30" i="5"/>
  <c r="AC29" i="5"/>
  <c r="AC28" i="5"/>
  <c r="AF26" i="5"/>
  <c r="AE26" i="5"/>
  <c r="AD26" i="5"/>
  <c r="AF4" i="5"/>
  <c r="AF5" i="5"/>
  <c r="AF6" i="5"/>
  <c r="AF7" i="5"/>
  <c r="AF8" i="5"/>
  <c r="AF9" i="5"/>
  <c r="AF10" i="5"/>
  <c r="AF3" i="5"/>
  <c r="AD27" i="5"/>
  <c r="AC26" i="5"/>
  <c r="X3" i="5"/>
  <c r="X4" i="5"/>
  <c r="X5" i="5"/>
  <c r="Y5" i="5" s="1"/>
  <c r="X6" i="5"/>
  <c r="Y8" i="5" s="1"/>
  <c r="X8" i="5"/>
  <c r="X9" i="5"/>
  <c r="X12" i="5"/>
  <c r="Y12" i="5" s="1"/>
  <c r="X13" i="5"/>
  <c r="Y15" i="5" s="1"/>
  <c r="X15" i="5"/>
  <c r="X16" i="5"/>
  <c r="Y16" i="5" s="1"/>
  <c r="X17" i="5"/>
  <c r="X18" i="5"/>
  <c r="X21" i="5"/>
  <c r="Y24" i="5" s="1"/>
  <c r="X24" i="5"/>
  <c r="X25" i="5"/>
  <c r="Y25" i="5" s="1"/>
  <c r="X26" i="5"/>
  <c r="X27" i="5"/>
  <c r="Y28" i="5" s="1"/>
  <c r="X28" i="5"/>
  <c r="X29" i="5"/>
  <c r="X30" i="5"/>
  <c r="Y30" i="5" s="1"/>
  <c r="X31" i="5"/>
  <c r="X32" i="5"/>
  <c r="X33" i="5"/>
  <c r="Y34" i="5" s="1"/>
  <c r="X34" i="5"/>
  <c r="X35" i="5"/>
  <c r="X36" i="5"/>
  <c r="Y36" i="5" s="1"/>
  <c r="X37" i="5"/>
  <c r="Y37" i="5" s="1"/>
  <c r="X38" i="5"/>
  <c r="X39" i="5"/>
  <c r="Y39" i="5" s="1"/>
  <c r="X40" i="5"/>
  <c r="Y40" i="5" s="1"/>
  <c r="X41" i="5"/>
  <c r="X42" i="5"/>
  <c r="Y42" i="5" s="1"/>
  <c r="X43" i="5"/>
  <c r="X44" i="5"/>
  <c r="X2" i="5"/>
  <c r="Y38" i="5"/>
  <c r="Y29" i="5"/>
  <c r="Y26" i="5"/>
  <c r="Y9" i="5"/>
  <c r="Y44" i="5"/>
  <c r="Y41" i="5"/>
  <c r="Y35" i="5"/>
  <c r="Y32" i="5"/>
  <c r="Y31" i="5"/>
  <c r="Y18" i="5"/>
  <c r="Y17" i="5"/>
  <c r="Y4" i="5"/>
  <c r="Y3" i="5"/>
  <c r="AA44" i="5"/>
  <c r="AA43" i="5"/>
  <c r="AA42" i="5"/>
  <c r="AA41" i="5"/>
  <c r="AA40" i="5"/>
  <c r="AA39" i="5"/>
  <c r="AA38" i="5"/>
  <c r="AA30" i="5"/>
  <c r="AA29" i="5"/>
  <c r="AA28" i="5"/>
  <c r="AA24" i="5"/>
  <c r="AA21" i="5"/>
  <c r="AA18" i="5"/>
  <c r="AA17" i="5"/>
  <c r="AA16" i="5"/>
  <c r="AA15" i="5"/>
  <c r="AA13" i="5"/>
  <c r="W26" i="5"/>
  <c r="W27" i="5"/>
  <c r="W28" i="5"/>
  <c r="W35" i="5"/>
  <c r="W36" i="5"/>
  <c r="W37" i="5"/>
  <c r="W38" i="5"/>
  <c r="W21" i="5"/>
  <c r="W15" i="5"/>
  <c r="W18" i="5"/>
  <c r="W16" i="5"/>
  <c r="W13" i="5"/>
  <c r="W9" i="5"/>
  <c r="W4" i="5"/>
  <c r="W5" i="5"/>
  <c r="W6" i="5"/>
  <c r="V3" i="5"/>
  <c r="W3" i="5" s="1"/>
  <c r="V4" i="5"/>
  <c r="V5" i="5"/>
  <c r="V6" i="5"/>
  <c r="W8" i="5" s="1"/>
  <c r="Z44" i="5"/>
  <c r="Z43" i="5"/>
  <c r="Z42" i="5"/>
  <c r="Z41" i="5"/>
  <c r="Z40" i="5"/>
  <c r="Z39" i="5"/>
  <c r="Z38" i="5"/>
  <c r="Z37" i="5"/>
  <c r="AA37" i="5" s="1"/>
  <c r="Z36" i="5"/>
  <c r="AA36" i="5" s="1"/>
  <c r="Z35" i="5"/>
  <c r="AA35" i="5" s="1"/>
  <c r="Z34" i="5"/>
  <c r="AA34" i="5" s="1"/>
  <c r="Z33" i="5"/>
  <c r="AA33" i="5" s="1"/>
  <c r="Z32" i="5"/>
  <c r="AA32" i="5" s="1"/>
  <c r="Z31" i="5"/>
  <c r="AA31" i="5" s="1"/>
  <c r="Z30" i="5"/>
  <c r="Z29" i="5"/>
  <c r="Z28" i="5"/>
  <c r="Z27" i="5"/>
  <c r="AA27" i="5" s="1"/>
  <c r="Z26" i="5"/>
  <c r="AA26" i="5" s="1"/>
  <c r="Z25" i="5"/>
  <c r="Z24" i="5"/>
  <c r="AA25" i="5" s="1"/>
  <c r="Z21" i="5"/>
  <c r="Z16" i="5"/>
  <c r="Z17" i="5"/>
  <c r="Z18" i="5"/>
  <c r="Z15" i="5"/>
  <c r="Z13" i="5"/>
  <c r="Z12" i="5"/>
  <c r="AA12" i="5" s="1"/>
  <c r="Z9" i="5"/>
  <c r="AA9" i="5" s="1"/>
  <c r="Z8" i="5"/>
  <c r="AA8" i="5" s="1"/>
  <c r="Z3" i="5"/>
  <c r="AA3" i="5" s="1"/>
  <c r="Z4" i="5"/>
  <c r="AA4" i="5" s="1"/>
  <c r="Z5" i="5"/>
  <c r="AA5" i="5" s="1"/>
  <c r="Z6" i="5"/>
  <c r="AA6" i="5" s="1"/>
  <c r="Z2" i="5"/>
  <c r="V8" i="5"/>
  <c r="V9" i="5"/>
  <c r="V12" i="5"/>
  <c r="W12" i="5" s="1"/>
  <c r="V13" i="5"/>
  <c r="V15" i="5"/>
  <c r="V16" i="5"/>
  <c r="V17" i="5"/>
  <c r="W17" i="5" s="1"/>
  <c r="V18" i="5"/>
  <c r="V21" i="5"/>
  <c r="V24" i="5"/>
  <c r="W25" i="5" s="1"/>
  <c r="V25" i="5"/>
  <c r="V26" i="5"/>
  <c r="V27" i="5"/>
  <c r="V28" i="5"/>
  <c r="V29" i="5"/>
  <c r="W29" i="5" s="1"/>
  <c r="V30" i="5"/>
  <c r="W30" i="5" s="1"/>
  <c r="V31" i="5"/>
  <c r="W31" i="5" s="1"/>
  <c r="V32" i="5"/>
  <c r="W32" i="5" s="1"/>
  <c r="V33" i="5"/>
  <c r="W34" i="5" s="1"/>
  <c r="V34" i="5"/>
  <c r="V35" i="5"/>
  <c r="V36" i="5"/>
  <c r="V37" i="5"/>
  <c r="V38" i="5"/>
  <c r="V39" i="5"/>
  <c r="W39" i="5" s="1"/>
  <c r="V40" i="5"/>
  <c r="W40" i="5" s="1"/>
  <c r="V41" i="5"/>
  <c r="W41" i="5" s="1"/>
  <c r="V42" i="5"/>
  <c r="W42" i="5" s="1"/>
  <c r="V43" i="5"/>
  <c r="W43" i="5" s="1"/>
  <c r="V44" i="5"/>
  <c r="W44" i="5" s="1"/>
  <c r="V2" i="5"/>
  <c r="O46" i="5"/>
  <c r="O47" i="5" s="1"/>
  <c r="B46" i="5"/>
  <c r="B47" i="5" s="1"/>
  <c r="J6" i="5"/>
  <c r="A106" i="1"/>
  <c r="A97" i="1"/>
  <c r="N75" i="4"/>
  <c r="N52" i="4"/>
  <c r="N37" i="4"/>
  <c r="N23" i="4"/>
  <c r="N12" i="4"/>
  <c r="B94" i="4"/>
  <c r="K94" i="4" s="1"/>
  <c r="B75" i="4"/>
  <c r="K75" i="4" s="1"/>
  <c r="B52" i="4"/>
  <c r="K52" i="4" s="1"/>
  <c r="B37" i="4"/>
  <c r="K37" i="4" s="1"/>
  <c r="B23" i="4"/>
  <c r="K23" i="4" s="1"/>
  <c r="B12" i="4"/>
  <c r="K12" i="4" s="1"/>
  <c r="T3" i="3"/>
  <c r="T4" i="3"/>
  <c r="T5" i="3"/>
  <c r="T6" i="3"/>
  <c r="T7" i="3"/>
  <c r="T8" i="3"/>
  <c r="S3" i="3"/>
  <c r="S4" i="3"/>
  <c r="S5" i="3"/>
  <c r="S6" i="3"/>
  <c r="S7" i="3"/>
  <c r="S8" i="3"/>
  <c r="S2" i="3"/>
  <c r="T2" i="3"/>
  <c r="P96" i="1"/>
  <c r="P88" i="1"/>
  <c r="P86" i="1"/>
  <c r="P57" i="1"/>
  <c r="P48" i="1"/>
  <c r="P45" i="1"/>
  <c r="P40" i="1"/>
  <c r="P33" i="1"/>
  <c r="P28" i="1"/>
  <c r="P27" i="1"/>
  <c r="P21" i="1"/>
  <c r="P16" i="1"/>
  <c r="R6" i="1"/>
  <c r="Q6" i="1"/>
  <c r="P6" i="1"/>
  <c r="P4" i="1"/>
  <c r="C97" i="1"/>
  <c r="W33" i="1"/>
  <c r="W60" i="1"/>
  <c r="W61" i="1"/>
  <c r="W73" i="1"/>
  <c r="W80" i="1"/>
  <c r="W81" i="1"/>
  <c r="V66" i="1"/>
  <c r="V67" i="1"/>
  <c r="V87" i="1"/>
  <c r="AC6" i="1"/>
  <c r="AC18" i="1"/>
  <c r="AC47" i="1"/>
  <c r="AC93" i="1"/>
  <c r="AC95" i="1"/>
  <c r="AG11" i="1"/>
  <c r="AG9" i="1"/>
  <c r="AG8" i="1"/>
  <c r="AG7" i="1"/>
  <c r="AG6" i="1"/>
  <c r="AG5" i="1"/>
  <c r="AG4" i="1"/>
  <c r="AG3" i="1"/>
  <c r="AG2" i="1"/>
  <c r="S5" i="1"/>
  <c r="W5" i="1" s="1"/>
  <c r="T5" i="1"/>
  <c r="AC5" i="1" s="1"/>
  <c r="U5" i="1"/>
  <c r="S6" i="1"/>
  <c r="W6" i="1" s="1"/>
  <c r="T6" i="1"/>
  <c r="U6" i="1"/>
  <c r="S7" i="1"/>
  <c r="W7" i="1" s="1"/>
  <c r="T7" i="1"/>
  <c r="AC7" i="1" s="1"/>
  <c r="U7" i="1"/>
  <c r="S8" i="1"/>
  <c r="W8" i="1" s="1"/>
  <c r="T8" i="1"/>
  <c r="AC8" i="1" s="1"/>
  <c r="U8" i="1"/>
  <c r="S9" i="1"/>
  <c r="W9" i="1" s="1"/>
  <c r="T9" i="1"/>
  <c r="AC9" i="1" s="1"/>
  <c r="U9" i="1"/>
  <c r="S10" i="1"/>
  <c r="T10" i="1"/>
  <c r="AC10" i="1" s="1"/>
  <c r="U10" i="1"/>
  <c r="S11" i="1"/>
  <c r="T11" i="1"/>
  <c r="AC11" i="1" s="1"/>
  <c r="U11" i="1"/>
  <c r="S12" i="1"/>
  <c r="V12" i="1" s="1"/>
  <c r="T12" i="1"/>
  <c r="AC12" i="1" s="1"/>
  <c r="U12" i="1"/>
  <c r="S13" i="1"/>
  <c r="V13" i="1" s="1"/>
  <c r="T13" i="1"/>
  <c r="AC13" i="1" s="1"/>
  <c r="U13" i="1"/>
  <c r="T14" i="1"/>
  <c r="U14" i="1"/>
  <c r="S15" i="1"/>
  <c r="V15" i="1" s="1"/>
  <c r="T15" i="1"/>
  <c r="AC15" i="1" s="1"/>
  <c r="U15" i="1"/>
  <c r="S16" i="1"/>
  <c r="V16" i="1" s="1"/>
  <c r="T16" i="1"/>
  <c r="AC16" i="1" s="1"/>
  <c r="U16" i="1"/>
  <c r="S17" i="1"/>
  <c r="V17" i="1" s="1"/>
  <c r="T17" i="1"/>
  <c r="AC17" i="1" s="1"/>
  <c r="U17" i="1"/>
  <c r="S18" i="1"/>
  <c r="V18" i="1" s="1"/>
  <c r="T18" i="1"/>
  <c r="U18" i="1"/>
  <c r="S19" i="1"/>
  <c r="V19" i="1" s="1"/>
  <c r="T19" i="1"/>
  <c r="AC19" i="1" s="1"/>
  <c r="U19" i="1"/>
  <c r="S20" i="1"/>
  <c r="V20" i="1" s="1"/>
  <c r="T20" i="1"/>
  <c r="AC20" i="1" s="1"/>
  <c r="U20" i="1"/>
  <c r="S21" i="1"/>
  <c r="V21" i="1" s="1"/>
  <c r="T21" i="1"/>
  <c r="AC21" i="1" s="1"/>
  <c r="U21" i="1"/>
  <c r="S22" i="1"/>
  <c r="V22" i="1" s="1"/>
  <c r="T22" i="1"/>
  <c r="AC22" i="1" s="1"/>
  <c r="U22" i="1"/>
  <c r="S23" i="1"/>
  <c r="W23" i="1" s="1"/>
  <c r="T23" i="1"/>
  <c r="AC23" i="1" s="1"/>
  <c r="U23" i="1"/>
  <c r="S24" i="1"/>
  <c r="W24" i="1" s="1"/>
  <c r="T24" i="1"/>
  <c r="AC24" i="1" s="1"/>
  <c r="U24" i="1"/>
  <c r="T25" i="1"/>
  <c r="U25" i="1"/>
  <c r="T26" i="1"/>
  <c r="AC26" i="1" s="1"/>
  <c r="U26" i="1"/>
  <c r="S27" i="1"/>
  <c r="W27" i="1" s="1"/>
  <c r="T27" i="1"/>
  <c r="AC27" i="1" s="1"/>
  <c r="U27" i="1"/>
  <c r="S28" i="1"/>
  <c r="W28" i="1" s="1"/>
  <c r="T28" i="1"/>
  <c r="AC28" i="1" s="1"/>
  <c r="U28" i="1"/>
  <c r="S29" i="1"/>
  <c r="W29" i="1" s="1"/>
  <c r="T29" i="1"/>
  <c r="AC29" i="1" s="1"/>
  <c r="U29" i="1"/>
  <c r="S30" i="1"/>
  <c r="V30" i="1" s="1"/>
  <c r="T30" i="1"/>
  <c r="AC30" i="1" s="1"/>
  <c r="U30" i="1"/>
  <c r="S31" i="1"/>
  <c r="T31" i="1"/>
  <c r="AC31" i="1" s="1"/>
  <c r="U31" i="1"/>
  <c r="S32" i="1"/>
  <c r="V32" i="1" s="1"/>
  <c r="T32" i="1"/>
  <c r="AC32" i="1" s="1"/>
  <c r="U32" i="1"/>
  <c r="S33" i="1"/>
  <c r="V33" i="1" s="1"/>
  <c r="T33" i="1"/>
  <c r="AC33" i="1" s="1"/>
  <c r="U33" i="1"/>
  <c r="S34" i="1"/>
  <c r="V34" i="1" s="1"/>
  <c r="T34" i="1"/>
  <c r="AC34" i="1" s="1"/>
  <c r="U34" i="1"/>
  <c r="S35" i="1"/>
  <c r="V35" i="1" s="1"/>
  <c r="T35" i="1"/>
  <c r="AC35" i="1" s="1"/>
  <c r="U35" i="1"/>
  <c r="S36" i="1"/>
  <c r="V36" i="1" s="1"/>
  <c r="T36" i="1"/>
  <c r="AC36" i="1" s="1"/>
  <c r="U36" i="1"/>
  <c r="S37" i="1"/>
  <c r="V37" i="1" s="1"/>
  <c r="T37" i="1"/>
  <c r="AC37" i="1" s="1"/>
  <c r="U37" i="1"/>
  <c r="S38" i="1"/>
  <c r="V38" i="1" s="1"/>
  <c r="T38" i="1"/>
  <c r="AC38" i="1" s="1"/>
  <c r="U38" i="1"/>
  <c r="T39" i="1"/>
  <c r="U39" i="1"/>
  <c r="T40" i="1"/>
  <c r="AC40" i="1" s="1"/>
  <c r="U40" i="1"/>
  <c r="S41" i="1"/>
  <c r="T41" i="1"/>
  <c r="AC41" i="1" s="1"/>
  <c r="U41" i="1"/>
  <c r="S42" i="1"/>
  <c r="W42" i="1" s="1"/>
  <c r="T42" i="1"/>
  <c r="AC42" i="1" s="1"/>
  <c r="U42" i="1"/>
  <c r="S43" i="1"/>
  <c r="W43" i="1" s="1"/>
  <c r="T43" i="1"/>
  <c r="AC43" i="1" s="1"/>
  <c r="U43" i="1"/>
  <c r="S44" i="1"/>
  <c r="T44" i="1"/>
  <c r="AC44" i="1" s="1"/>
  <c r="U44" i="1"/>
  <c r="S45" i="1"/>
  <c r="T45" i="1"/>
  <c r="AC45" i="1" s="1"/>
  <c r="U45" i="1"/>
  <c r="S46" i="1"/>
  <c r="W46" i="1" s="1"/>
  <c r="T46" i="1"/>
  <c r="AC46" i="1" s="1"/>
  <c r="U46" i="1"/>
  <c r="S47" i="1"/>
  <c r="W47" i="1" s="1"/>
  <c r="T47" i="1"/>
  <c r="U47" i="1"/>
  <c r="S48" i="1"/>
  <c r="W48" i="1" s="1"/>
  <c r="T48" i="1"/>
  <c r="AC48" i="1" s="1"/>
  <c r="U48" i="1"/>
  <c r="S49" i="1"/>
  <c r="V49" i="1" s="1"/>
  <c r="T49" i="1"/>
  <c r="AC49" i="1" s="1"/>
  <c r="U49" i="1"/>
  <c r="S50" i="1"/>
  <c r="V50" i="1" s="1"/>
  <c r="T50" i="1"/>
  <c r="AC50" i="1" s="1"/>
  <c r="U50" i="1"/>
  <c r="S51" i="1"/>
  <c r="T51" i="1"/>
  <c r="AC51" i="1" s="1"/>
  <c r="U51" i="1"/>
  <c r="S52" i="1"/>
  <c r="W52" i="1" s="1"/>
  <c r="T52" i="1"/>
  <c r="AC52" i="1" s="1"/>
  <c r="U52" i="1"/>
  <c r="S53" i="1"/>
  <c r="V53" i="1" s="1"/>
  <c r="T53" i="1"/>
  <c r="AC53" i="1" s="1"/>
  <c r="U53" i="1"/>
  <c r="T54" i="1"/>
  <c r="U54" i="1"/>
  <c r="T55" i="1"/>
  <c r="AC55" i="1" s="1"/>
  <c r="U55" i="1"/>
  <c r="S56" i="1"/>
  <c r="V56" i="1" s="1"/>
  <c r="T56" i="1"/>
  <c r="AC56" i="1" s="1"/>
  <c r="U56" i="1"/>
  <c r="S57" i="1"/>
  <c r="V57" i="1" s="1"/>
  <c r="T57" i="1"/>
  <c r="AC57" i="1" s="1"/>
  <c r="U57" i="1"/>
  <c r="S58" i="1"/>
  <c r="W58" i="1" s="1"/>
  <c r="T58" i="1"/>
  <c r="AC58" i="1" s="1"/>
  <c r="U58" i="1"/>
  <c r="S59" i="1"/>
  <c r="V59" i="1" s="1"/>
  <c r="T59" i="1"/>
  <c r="AC59" i="1" s="1"/>
  <c r="U59" i="1"/>
  <c r="S60" i="1"/>
  <c r="V60" i="1" s="1"/>
  <c r="T60" i="1"/>
  <c r="AC60" i="1" s="1"/>
  <c r="U60" i="1"/>
  <c r="S61" i="1"/>
  <c r="V61" i="1" s="1"/>
  <c r="T61" i="1"/>
  <c r="AC61" i="1" s="1"/>
  <c r="U61" i="1"/>
  <c r="S62" i="1"/>
  <c r="V62" i="1" s="1"/>
  <c r="T62" i="1"/>
  <c r="AC62" i="1" s="1"/>
  <c r="U62" i="1"/>
  <c r="S63" i="1"/>
  <c r="W63" i="1" s="1"/>
  <c r="T63" i="1"/>
  <c r="AC63" i="1" s="1"/>
  <c r="U63" i="1"/>
  <c r="S64" i="1"/>
  <c r="W64" i="1" s="1"/>
  <c r="T64" i="1"/>
  <c r="AC64" i="1" s="1"/>
  <c r="U64" i="1"/>
  <c r="S65" i="1"/>
  <c r="T65" i="1"/>
  <c r="AC65" i="1" s="1"/>
  <c r="U65" i="1"/>
  <c r="S66" i="1"/>
  <c r="W66" i="1" s="1"/>
  <c r="T66" i="1"/>
  <c r="AC66" i="1" s="1"/>
  <c r="U66" i="1"/>
  <c r="S67" i="1"/>
  <c r="W67" i="1" s="1"/>
  <c r="T67" i="1"/>
  <c r="AC67" i="1" s="1"/>
  <c r="U67" i="1"/>
  <c r="S68" i="1"/>
  <c r="W68" i="1" s="1"/>
  <c r="T68" i="1"/>
  <c r="AC68" i="1" s="1"/>
  <c r="U68" i="1"/>
  <c r="S69" i="1"/>
  <c r="W69" i="1" s="1"/>
  <c r="T69" i="1"/>
  <c r="AC69" i="1" s="1"/>
  <c r="U69" i="1"/>
  <c r="S70" i="1"/>
  <c r="V70" i="1" s="1"/>
  <c r="T70" i="1"/>
  <c r="AC70" i="1" s="1"/>
  <c r="U70" i="1"/>
  <c r="S71" i="1"/>
  <c r="V71" i="1" s="1"/>
  <c r="T71" i="1"/>
  <c r="AC71" i="1" s="1"/>
  <c r="U71" i="1"/>
  <c r="S72" i="1"/>
  <c r="T72" i="1"/>
  <c r="AC72" i="1" s="1"/>
  <c r="U72" i="1"/>
  <c r="S73" i="1"/>
  <c r="V73" i="1" s="1"/>
  <c r="T73" i="1"/>
  <c r="AC73" i="1" s="1"/>
  <c r="U73" i="1"/>
  <c r="S74" i="1"/>
  <c r="V74" i="1" s="1"/>
  <c r="T74" i="1"/>
  <c r="AC74" i="1" s="1"/>
  <c r="U74" i="1"/>
  <c r="S75" i="1"/>
  <c r="V75" i="1" s="1"/>
  <c r="T75" i="1"/>
  <c r="AC75" i="1" s="1"/>
  <c r="U75" i="1"/>
  <c r="S76" i="1"/>
  <c r="V76" i="1" s="1"/>
  <c r="T76" i="1"/>
  <c r="AC76" i="1" s="1"/>
  <c r="U76" i="1"/>
  <c r="T77" i="1"/>
  <c r="U77" i="1"/>
  <c r="T78" i="1"/>
  <c r="AC78" i="1" s="1"/>
  <c r="U78" i="1"/>
  <c r="S79" i="1"/>
  <c r="W79" i="1" s="1"/>
  <c r="T79" i="1"/>
  <c r="AC79" i="1" s="1"/>
  <c r="U79" i="1"/>
  <c r="S80" i="1"/>
  <c r="V80" i="1" s="1"/>
  <c r="T80" i="1"/>
  <c r="AC80" i="1" s="1"/>
  <c r="U80" i="1"/>
  <c r="S81" i="1"/>
  <c r="V81" i="1" s="1"/>
  <c r="T81" i="1"/>
  <c r="AC81" i="1" s="1"/>
  <c r="U81" i="1"/>
  <c r="S82" i="1"/>
  <c r="T82" i="1"/>
  <c r="AC82" i="1" s="1"/>
  <c r="U82" i="1"/>
  <c r="S83" i="1"/>
  <c r="T83" i="1"/>
  <c r="AC83" i="1" s="1"/>
  <c r="U83" i="1"/>
  <c r="S84" i="1"/>
  <c r="W84" i="1" s="1"/>
  <c r="T84" i="1"/>
  <c r="AC84" i="1" s="1"/>
  <c r="U84" i="1"/>
  <c r="S85" i="1"/>
  <c r="W85" i="1" s="1"/>
  <c r="T85" i="1"/>
  <c r="AC85" i="1" s="1"/>
  <c r="U85" i="1"/>
  <c r="S86" i="1"/>
  <c r="T86" i="1"/>
  <c r="AC86" i="1" s="1"/>
  <c r="U86" i="1"/>
  <c r="S87" i="1"/>
  <c r="W87" i="1" s="1"/>
  <c r="T87" i="1"/>
  <c r="AC87" i="1" s="1"/>
  <c r="U87" i="1"/>
  <c r="S88" i="1"/>
  <c r="W88" i="1" s="1"/>
  <c r="T88" i="1"/>
  <c r="AC88" i="1" s="1"/>
  <c r="U88" i="1"/>
  <c r="S89" i="1"/>
  <c r="T89" i="1"/>
  <c r="AC89" i="1" s="1"/>
  <c r="U89" i="1"/>
  <c r="S90" i="1"/>
  <c r="V90" i="1" s="1"/>
  <c r="T90" i="1"/>
  <c r="AC90" i="1" s="1"/>
  <c r="U90" i="1"/>
  <c r="S91" i="1"/>
  <c r="V91" i="1" s="1"/>
  <c r="T91" i="1"/>
  <c r="AC91" i="1" s="1"/>
  <c r="U91" i="1"/>
  <c r="S92" i="1"/>
  <c r="T92" i="1"/>
  <c r="AC92" i="1" s="1"/>
  <c r="U92" i="1"/>
  <c r="S93" i="1"/>
  <c r="T93" i="1"/>
  <c r="U93" i="1"/>
  <c r="S94" i="1"/>
  <c r="V94" i="1" s="1"/>
  <c r="T94" i="1"/>
  <c r="AC94" i="1" s="1"/>
  <c r="U94" i="1"/>
  <c r="S95" i="1"/>
  <c r="V95" i="1" s="1"/>
  <c r="T95" i="1"/>
  <c r="U95" i="1"/>
  <c r="T96" i="1"/>
  <c r="U96" i="1"/>
  <c r="S3" i="1"/>
  <c r="V3" i="1" s="1"/>
  <c r="T3" i="1"/>
  <c r="AC3" i="1" s="1"/>
  <c r="U3" i="1"/>
  <c r="S4" i="1"/>
  <c r="W4" i="1" s="1"/>
  <c r="T4" i="1"/>
  <c r="AC4" i="1" s="1"/>
  <c r="U4" i="1"/>
  <c r="J11" i="3"/>
  <c r="J9" i="3"/>
  <c r="E9" i="3"/>
  <c r="J8" i="3"/>
  <c r="D8" i="3"/>
  <c r="E8" i="3" s="1"/>
  <c r="J7" i="3"/>
  <c r="D7" i="3"/>
  <c r="E7" i="3" s="1"/>
  <c r="J6" i="3"/>
  <c r="D6" i="3"/>
  <c r="E6" i="3" s="1"/>
  <c r="J5" i="3"/>
  <c r="D5" i="3"/>
  <c r="E5" i="3" s="1"/>
  <c r="J4" i="3"/>
  <c r="D4" i="3"/>
  <c r="E4" i="3" s="1"/>
  <c r="J3" i="3"/>
  <c r="D3" i="3"/>
  <c r="E3" i="3" s="1"/>
  <c r="J2" i="3"/>
  <c r="D2" i="3"/>
  <c r="E2" i="3" s="1"/>
  <c r="B96" i="1"/>
  <c r="S96" i="1" s="1"/>
  <c r="W96" i="1" s="1"/>
  <c r="X96" i="1" s="1"/>
  <c r="Y96" i="1" s="1"/>
  <c r="I93" i="1"/>
  <c r="I91" i="1"/>
  <c r="I89" i="1"/>
  <c r="I87" i="1"/>
  <c r="I85" i="1"/>
  <c r="B77" i="1"/>
  <c r="S78" i="1" s="1"/>
  <c r="I75" i="1"/>
  <c r="I74" i="1"/>
  <c r="I72" i="1"/>
  <c r="I70" i="1"/>
  <c r="I68" i="1"/>
  <c r="I64" i="1"/>
  <c r="I58" i="1"/>
  <c r="B54" i="1"/>
  <c r="S54" i="1" s="1"/>
  <c r="V54" i="1" s="1"/>
  <c r="I53" i="1"/>
  <c r="I52" i="1"/>
  <c r="I51" i="1"/>
  <c r="I49" i="1"/>
  <c r="I47" i="1"/>
  <c r="I43" i="1"/>
  <c r="B39" i="1"/>
  <c r="S39" i="1" s="1"/>
  <c r="V39" i="1" s="1"/>
  <c r="I38" i="1"/>
  <c r="I37" i="1"/>
  <c r="I36" i="1"/>
  <c r="I34" i="1"/>
  <c r="I32" i="1"/>
  <c r="I29" i="1"/>
  <c r="B25" i="1"/>
  <c r="S26" i="1" s="1"/>
  <c r="I24" i="1"/>
  <c r="I22" i="1"/>
  <c r="I20" i="1"/>
  <c r="K21" i="1" s="1"/>
  <c r="B14" i="1"/>
  <c r="S14" i="1" s="1"/>
  <c r="V14" i="1" s="1"/>
  <c r="I13" i="1"/>
  <c r="I12" i="1"/>
  <c r="I6" i="1"/>
  <c r="I10" i="1"/>
  <c r="F19" i="6" l="1"/>
  <c r="G19" i="6"/>
  <c r="H19" i="6"/>
  <c r="D14" i="6"/>
  <c r="H4" i="6"/>
  <c r="D9" i="6"/>
  <c r="D4" i="6"/>
  <c r="F11" i="6"/>
  <c r="G11" i="6"/>
  <c r="F17" i="6"/>
  <c r="G17" i="6"/>
  <c r="G18" i="6"/>
  <c r="G3" i="6"/>
  <c r="F18" i="6"/>
  <c r="G8" i="6"/>
  <c r="F3" i="6"/>
  <c r="F2" i="6"/>
  <c r="F4" i="6" s="1"/>
  <c r="F12" i="6"/>
  <c r="G12" i="6"/>
  <c r="F7" i="6"/>
  <c r="G7" i="6"/>
  <c r="F13" i="6"/>
  <c r="G13" i="6"/>
  <c r="F8" i="6"/>
  <c r="G2" i="6"/>
  <c r="Y43" i="5"/>
  <c r="Y6" i="5"/>
  <c r="Y13" i="5"/>
  <c r="Y27" i="5"/>
  <c r="Y21" i="5"/>
  <c r="Y33" i="5"/>
  <c r="W33" i="5"/>
  <c r="W24" i="5"/>
  <c r="V96" i="1"/>
  <c r="V69" i="1"/>
  <c r="V68" i="1"/>
  <c r="V47" i="1"/>
  <c r="V6" i="1"/>
  <c r="V5" i="1"/>
  <c r="V4" i="1"/>
  <c r="W16" i="1"/>
  <c r="V23" i="1"/>
  <c r="W21" i="1"/>
  <c r="S25" i="1"/>
  <c r="V8" i="1"/>
  <c r="W20" i="1"/>
  <c r="V7" i="1"/>
  <c r="W19" i="1"/>
  <c r="W57" i="1"/>
  <c r="W53" i="1"/>
  <c r="V46" i="1"/>
  <c r="W39" i="1"/>
  <c r="V63" i="1"/>
  <c r="W38" i="1"/>
  <c r="V43" i="1"/>
  <c r="V28" i="1"/>
  <c r="W37" i="1"/>
  <c r="S40" i="1"/>
  <c r="V27" i="1"/>
  <c r="W36" i="1"/>
  <c r="V72" i="1"/>
  <c r="W72" i="1"/>
  <c r="W44" i="1"/>
  <c r="V44" i="1"/>
  <c r="V79" i="1"/>
  <c r="V83" i="1"/>
  <c r="W83" i="1"/>
  <c r="W18" i="1"/>
  <c r="V51" i="1"/>
  <c r="W51" i="1"/>
  <c r="V10" i="1"/>
  <c r="W10" i="1"/>
  <c r="W17" i="1"/>
  <c r="W89" i="1"/>
  <c r="V89" i="1"/>
  <c r="V41" i="1"/>
  <c r="W41" i="1"/>
  <c r="V82" i="1"/>
  <c r="W82" i="1"/>
  <c r="V58" i="1"/>
  <c r="W62" i="1"/>
  <c r="V48" i="1"/>
  <c r="W59" i="1"/>
  <c r="W86" i="1"/>
  <c r="V86" i="1"/>
  <c r="V31" i="1"/>
  <c r="W31" i="1"/>
  <c r="V11" i="1"/>
  <c r="W11" i="1"/>
  <c r="W65" i="1"/>
  <c r="V65" i="1"/>
  <c r="V24" i="1"/>
  <c r="V92" i="1"/>
  <c r="W92" i="1"/>
  <c r="V78" i="1"/>
  <c r="W78" i="1"/>
  <c r="V93" i="1"/>
  <c r="W93" i="1"/>
  <c r="W45" i="1"/>
  <c r="V45" i="1"/>
  <c r="V64" i="1"/>
  <c r="W71" i="1"/>
  <c r="W70" i="1"/>
  <c r="W30" i="1"/>
  <c r="V9" i="1"/>
  <c r="W50" i="1"/>
  <c r="W91" i="1"/>
  <c r="V85" i="1"/>
  <c r="V88" i="1"/>
  <c r="W13" i="1"/>
  <c r="V84" i="1"/>
  <c r="W26" i="1"/>
  <c r="V26" i="1"/>
  <c r="W22" i="1"/>
  <c r="W3" i="1"/>
  <c r="W95" i="1"/>
  <c r="X95" i="1" s="1"/>
  <c r="Y95" i="1" s="1"/>
  <c r="Z95" i="1" s="1"/>
  <c r="AA95" i="1" s="1"/>
  <c r="W75" i="1"/>
  <c r="W35" i="1"/>
  <c r="W15" i="1"/>
  <c r="V42" i="1"/>
  <c r="W76" i="1"/>
  <c r="W56" i="1"/>
  <c r="W94" i="1"/>
  <c r="W74" i="1"/>
  <c r="W54" i="1"/>
  <c r="W34" i="1"/>
  <c r="W14" i="1"/>
  <c r="S55" i="1"/>
  <c r="W32" i="1"/>
  <c r="V29" i="1"/>
  <c r="W12" i="1"/>
  <c r="W49" i="1"/>
  <c r="V52" i="1"/>
  <c r="W90" i="1"/>
  <c r="S77" i="1"/>
  <c r="G4" i="6" l="1"/>
  <c r="G9" i="6"/>
  <c r="F14" i="6"/>
  <c r="F9" i="6"/>
  <c r="G14" i="6"/>
  <c r="X80" i="1"/>
  <c r="Y80" i="1" s="1"/>
  <c r="X91" i="1"/>
  <c r="Y91" i="1" s="1"/>
  <c r="Z91" i="1" s="1"/>
  <c r="AA91" i="1" s="1"/>
  <c r="V40" i="1"/>
  <c r="W40" i="1"/>
  <c r="W25" i="1"/>
  <c r="V25" i="1"/>
  <c r="X94" i="1"/>
  <c r="Y94" i="1" s="1"/>
  <c r="Z94" i="1" s="1"/>
  <c r="AA94" i="1" s="1"/>
  <c r="X84" i="1"/>
  <c r="Y84" i="1" s="1"/>
  <c r="X85" i="1"/>
  <c r="Y85" i="1" s="1"/>
  <c r="Z85" i="1" s="1"/>
  <c r="AA85" i="1" s="1"/>
  <c r="X86" i="1"/>
  <c r="Y86" i="1" s="1"/>
  <c r="X93" i="1"/>
  <c r="Y93" i="1" s="1"/>
  <c r="Z93" i="1" s="1"/>
  <c r="AA93" i="1" s="1"/>
  <c r="X89" i="1"/>
  <c r="Y89" i="1" s="1"/>
  <c r="Z89" i="1" s="1"/>
  <c r="AA89" i="1" s="1"/>
  <c r="X87" i="1"/>
  <c r="Y87" i="1" s="1"/>
  <c r="Z87" i="1" s="1"/>
  <c r="AA87" i="1" s="1"/>
  <c r="X75" i="1"/>
  <c r="Y75" i="1" s="1"/>
  <c r="Z75" i="1" s="1"/>
  <c r="AA75" i="1" s="1"/>
  <c r="X78" i="1"/>
  <c r="Y78" i="1" s="1"/>
  <c r="X81" i="1"/>
  <c r="Y81" i="1" s="1"/>
  <c r="X88" i="1"/>
  <c r="Y88" i="1" s="1"/>
  <c r="X28" i="1"/>
  <c r="Y28" i="1" s="1"/>
  <c r="X90" i="1"/>
  <c r="Y90" i="1" s="1"/>
  <c r="X92" i="1"/>
  <c r="Y92" i="1" s="1"/>
  <c r="X83" i="1"/>
  <c r="Y83" i="1" s="1"/>
  <c r="X82" i="1"/>
  <c r="Y82" i="1" s="1"/>
  <c r="X79" i="1"/>
  <c r="Y79" i="1" s="1"/>
  <c r="V55" i="1"/>
  <c r="W55" i="1"/>
  <c r="V77" i="1"/>
  <c r="W77" i="1"/>
  <c r="X77" i="1" s="1"/>
  <c r="Y77" i="1" s="1"/>
  <c r="X25" i="1" l="1"/>
  <c r="Y25" i="1" s="1"/>
  <c r="X18" i="1"/>
  <c r="Y18" i="1" s="1"/>
  <c r="X38" i="1"/>
  <c r="Y38" i="1" s="1"/>
  <c r="X54" i="1"/>
  <c r="Y54" i="1" s="1"/>
  <c r="X72" i="1"/>
  <c r="Y72" i="1" s="1"/>
  <c r="Z72" i="1" s="1"/>
  <c r="AA72" i="1" s="1"/>
  <c r="X53" i="1"/>
  <c r="Y53" i="1" s="1"/>
  <c r="Z53" i="1" s="1"/>
  <c r="AA53" i="1" s="1"/>
  <c r="X40" i="1"/>
  <c r="Y40" i="1" s="1"/>
  <c r="X52" i="1"/>
  <c r="Y52" i="1" s="1"/>
  <c r="Z52" i="1" s="1"/>
  <c r="AA52" i="1" s="1"/>
  <c r="X19" i="1"/>
  <c r="Y19" i="1" s="1"/>
  <c r="X45" i="1"/>
  <c r="Y45" i="1" s="1"/>
  <c r="X50" i="1"/>
  <c r="Y50" i="1" s="1"/>
  <c r="X65" i="1"/>
  <c r="Y65" i="1" s="1"/>
  <c r="X39" i="1"/>
  <c r="Y39" i="1" s="1"/>
  <c r="X61" i="1"/>
  <c r="Y61" i="1" s="1"/>
  <c r="X64" i="1"/>
  <c r="Y64" i="1" s="1"/>
  <c r="Z64" i="1" s="1"/>
  <c r="AA64" i="1" s="1"/>
  <c r="X36" i="1"/>
  <c r="Y36" i="1" s="1"/>
  <c r="Z36" i="1" s="1"/>
  <c r="AA36" i="1" s="1"/>
  <c r="X5" i="1"/>
  <c r="Y5" i="1" s="1"/>
  <c r="X13" i="1"/>
  <c r="Y13" i="1" s="1"/>
  <c r="Z13" i="1" s="1"/>
  <c r="AA13" i="1" s="1"/>
  <c r="X56" i="1"/>
  <c r="Y56" i="1" s="1"/>
  <c r="X4" i="1"/>
  <c r="Y4" i="1" s="1"/>
  <c r="X73" i="1"/>
  <c r="Y73" i="1" s="1"/>
  <c r="X59" i="1"/>
  <c r="Y59" i="1" s="1"/>
  <c r="X6" i="1"/>
  <c r="Y6" i="1" s="1"/>
  <c r="Z6" i="1" s="1"/>
  <c r="AA6" i="1" s="1"/>
  <c r="X21" i="1"/>
  <c r="Y21" i="1" s="1"/>
  <c r="X8" i="1"/>
  <c r="Y8" i="1" s="1"/>
  <c r="X12" i="1"/>
  <c r="Y12" i="1" s="1"/>
  <c r="Z12" i="1" s="1"/>
  <c r="AA12" i="1" s="1"/>
  <c r="X34" i="1"/>
  <c r="Y34" i="1" s="1"/>
  <c r="Z34" i="1" s="1"/>
  <c r="AA34" i="1" s="1"/>
  <c r="X58" i="1"/>
  <c r="Y58" i="1" s="1"/>
  <c r="Z58" i="1" s="1"/>
  <c r="AA58" i="1" s="1"/>
  <c r="X33" i="1"/>
  <c r="Y33" i="1" s="1"/>
  <c r="X68" i="1"/>
  <c r="Y68" i="1" s="1"/>
  <c r="Z68" i="1" s="1"/>
  <c r="AA68" i="1" s="1"/>
  <c r="X42" i="1"/>
  <c r="Y42" i="1" s="1"/>
  <c r="X57" i="1"/>
  <c r="Y57" i="1" s="1"/>
  <c r="X3" i="1"/>
  <c r="Y3" i="1" s="1"/>
  <c r="X26" i="1"/>
  <c r="Y26" i="1" s="1"/>
  <c r="X66" i="1"/>
  <c r="Y66" i="1" s="1"/>
  <c r="X35" i="1"/>
  <c r="Y35" i="1" s="1"/>
  <c r="X10" i="1"/>
  <c r="Y10" i="1" s="1"/>
  <c r="Z10" i="1" s="1"/>
  <c r="AA10" i="1" s="1"/>
  <c r="X49" i="1"/>
  <c r="Y49" i="1" s="1"/>
  <c r="Z49" i="1" s="1"/>
  <c r="AA49" i="1" s="1"/>
  <c r="X67" i="1"/>
  <c r="Y67" i="1" s="1"/>
  <c r="X15" i="1"/>
  <c r="Y15" i="1" s="1"/>
  <c r="X31" i="1"/>
  <c r="Y31" i="1" s="1"/>
  <c r="X55" i="1"/>
  <c r="Y55" i="1" s="1"/>
  <c r="X20" i="1"/>
  <c r="Y20" i="1" s="1"/>
  <c r="Z20" i="1" s="1"/>
  <c r="AA20" i="1" s="1"/>
  <c r="X48" i="1"/>
  <c r="Y48" i="1" s="1"/>
  <c r="X43" i="1"/>
  <c r="Y43" i="1" s="1"/>
  <c r="Z43" i="1" s="1"/>
  <c r="AA43" i="1" s="1"/>
  <c r="X70" i="1"/>
  <c r="Y70" i="1" s="1"/>
  <c r="Z70" i="1" s="1"/>
  <c r="AA70" i="1" s="1"/>
  <c r="X51" i="1"/>
  <c r="Y51" i="1" s="1"/>
  <c r="Z51" i="1" s="1"/>
  <c r="AA51" i="1" s="1"/>
  <c r="X9" i="1"/>
  <c r="Y9" i="1" s="1"/>
  <c r="X16" i="1"/>
  <c r="Y16" i="1" s="1"/>
  <c r="X44" i="1"/>
  <c r="Y44" i="1" s="1"/>
  <c r="X14" i="1"/>
  <c r="Y14" i="1" s="1"/>
  <c r="X46" i="1"/>
  <c r="Y46" i="1" s="1"/>
  <c r="X17" i="1"/>
  <c r="Y17" i="1" s="1"/>
  <c r="X76" i="1"/>
  <c r="Y76" i="1" s="1"/>
  <c r="X60" i="1"/>
  <c r="Y60" i="1" s="1"/>
  <c r="X7" i="1"/>
  <c r="Y7" i="1" s="1"/>
  <c r="X69" i="1"/>
  <c r="Y69" i="1" s="1"/>
  <c r="X27" i="1"/>
  <c r="Y27" i="1" s="1"/>
  <c r="X71" i="1"/>
  <c r="Y71" i="1" s="1"/>
  <c r="X24" i="1"/>
  <c r="Y24" i="1" s="1"/>
  <c r="Z24" i="1" s="1"/>
  <c r="AA24" i="1" s="1"/>
  <c r="X41" i="1"/>
  <c r="Y41" i="1" s="1"/>
  <c r="X62" i="1"/>
  <c r="Y62" i="1" s="1"/>
  <c r="X30" i="1"/>
  <c r="Y30" i="1" s="1"/>
  <c r="X37" i="1"/>
  <c r="Y37" i="1" s="1"/>
  <c r="Z37" i="1" s="1"/>
  <c r="AA37" i="1" s="1"/>
  <c r="X63" i="1"/>
  <c r="Y63" i="1" s="1"/>
  <c r="X11" i="1"/>
  <c r="Y11" i="1" s="1"/>
  <c r="X29" i="1"/>
  <c r="Y29" i="1" s="1"/>
  <c r="Z29" i="1" s="1"/>
  <c r="AA29" i="1" s="1"/>
  <c r="X23" i="1"/>
  <c r="Y23" i="1" s="1"/>
  <c r="Z23" i="1" s="1"/>
  <c r="AA23" i="1" s="1"/>
  <c r="X32" i="1"/>
  <c r="Y32" i="1" s="1"/>
  <c r="Z32" i="1" s="1"/>
  <c r="AA32" i="1" s="1"/>
  <c r="X22" i="1"/>
  <c r="Y22" i="1" s="1"/>
  <c r="Z22" i="1" s="1"/>
  <c r="AA22" i="1" s="1"/>
  <c r="X74" i="1"/>
  <c r="Y74" i="1" s="1"/>
  <c r="Z74" i="1" s="1"/>
  <c r="AA74" i="1" s="1"/>
  <c r="X47" i="1"/>
  <c r="Y47" i="1" s="1"/>
  <c r="Z47" i="1" s="1"/>
  <c r="AA47" i="1" s="1"/>
</calcChain>
</file>

<file path=xl/sharedStrings.xml><?xml version="1.0" encoding="utf-8"?>
<sst xmlns="http://schemas.openxmlformats.org/spreadsheetml/2006/main" count="547" uniqueCount="310">
  <si>
    <t>PIV</t>
    <phoneticPr fontId="1" type="noConversion"/>
  </si>
  <si>
    <t>Score</t>
    <phoneticPr fontId="1" type="noConversion"/>
  </si>
  <si>
    <t>Graze</t>
    <phoneticPr fontId="1" type="noConversion"/>
  </si>
  <si>
    <t>Life</t>
    <phoneticPr fontId="1" type="noConversion"/>
  </si>
  <si>
    <t>Bomb</t>
    <phoneticPr fontId="1" type="noConversion"/>
  </si>
  <si>
    <t>Spell (in 12)</t>
    <phoneticPr fontId="1" type="noConversion"/>
  </si>
  <si>
    <t>1-1</t>
    <phoneticPr fontId="1" type="noConversion"/>
  </si>
  <si>
    <t>1-2</t>
    <phoneticPr fontId="1" type="noConversion"/>
  </si>
  <si>
    <t>lv3bomb+</t>
    <phoneticPr fontId="1" type="noConversion"/>
  </si>
  <si>
    <t>midnon</t>
    <phoneticPr fontId="1" type="noConversion"/>
  </si>
  <si>
    <t>Usage</t>
    <phoneticPr fontId="1" type="noConversion"/>
  </si>
  <si>
    <t>Length</t>
    <phoneticPr fontId="1" type="noConversion"/>
  </si>
  <si>
    <t>Remain</t>
    <phoneticPr fontId="1" type="noConversion"/>
  </si>
  <si>
    <t>midsp</t>
    <phoneticPr fontId="1" type="noConversion"/>
  </si>
  <si>
    <t>lv2bomb+</t>
    <phoneticPr fontId="1" type="noConversion"/>
  </si>
  <si>
    <t>lv1bomb+</t>
    <phoneticPr fontId="1" type="noConversion"/>
  </si>
  <si>
    <t xml:space="preserve"> </t>
    <phoneticPr fontId="1" type="noConversion"/>
  </si>
  <si>
    <t>1-3</t>
    <phoneticPr fontId="1" type="noConversion"/>
  </si>
  <si>
    <t>suicide</t>
    <phoneticPr fontId="1" type="noConversion"/>
  </si>
  <si>
    <t>1-4</t>
    <phoneticPr fontId="1" type="noConversion"/>
  </si>
  <si>
    <t>non1</t>
    <phoneticPr fontId="1" type="noConversion"/>
  </si>
  <si>
    <t>SCB</t>
    <phoneticPr fontId="1" type="noConversion"/>
  </si>
  <si>
    <t>sp1</t>
    <phoneticPr fontId="1" type="noConversion"/>
  </si>
  <si>
    <t>spell</t>
    <phoneticPr fontId="1" type="noConversion"/>
  </si>
  <si>
    <t>non2</t>
    <phoneticPr fontId="1" type="noConversion"/>
  </si>
  <si>
    <t>SCBmax</t>
    <phoneticPr fontId="1" type="noConversion"/>
  </si>
  <si>
    <t>sp2</t>
    <phoneticPr fontId="1" type="noConversion"/>
  </si>
  <si>
    <t>History</t>
    <phoneticPr fontId="1" type="noConversion"/>
  </si>
  <si>
    <t>66/99</t>
    <phoneticPr fontId="1" type="noConversion"/>
  </si>
  <si>
    <t>73/88</t>
    <phoneticPr fontId="1" type="noConversion"/>
  </si>
  <si>
    <t>51/82</t>
    <phoneticPr fontId="1" type="noConversion"/>
  </si>
  <si>
    <t>lw</t>
    <phoneticPr fontId="1" type="noConversion"/>
  </si>
  <si>
    <t>15/74</t>
    <phoneticPr fontId="1" type="noConversion"/>
  </si>
  <si>
    <t>Stage2</t>
    <phoneticPr fontId="1" type="noConversion"/>
  </si>
  <si>
    <t>Stage1</t>
    <phoneticPr fontId="1" type="noConversion"/>
  </si>
  <si>
    <t>2-1</t>
    <phoneticPr fontId="1" type="noConversion"/>
  </si>
  <si>
    <t>2-2</t>
    <phoneticPr fontId="1" type="noConversion"/>
  </si>
  <si>
    <t>lv6bomb</t>
    <phoneticPr fontId="1" type="noConversion"/>
  </si>
  <si>
    <t>lv6bomb+</t>
    <phoneticPr fontId="1" type="noConversion"/>
  </si>
  <si>
    <t>2-3</t>
    <phoneticPr fontId="1" type="noConversion"/>
  </si>
  <si>
    <t>2-4</t>
    <phoneticPr fontId="1" type="noConversion"/>
  </si>
  <si>
    <t>53/61</t>
    <phoneticPr fontId="1" type="noConversion"/>
  </si>
  <si>
    <t>lv7bomb+</t>
    <phoneticPr fontId="1" type="noConversion"/>
  </si>
  <si>
    <t>sp3</t>
    <phoneticPr fontId="1" type="noConversion"/>
  </si>
  <si>
    <t>25/57</t>
    <phoneticPr fontId="1" type="noConversion"/>
  </si>
  <si>
    <t>42/58</t>
    <phoneticPr fontId="1" type="noConversion"/>
  </si>
  <si>
    <t>11/49</t>
    <phoneticPr fontId="1" type="noConversion"/>
  </si>
  <si>
    <t>Stage3</t>
    <phoneticPr fontId="1" type="noConversion"/>
  </si>
  <si>
    <t>3-1</t>
    <phoneticPr fontId="1" type="noConversion"/>
  </si>
  <si>
    <t>3-2</t>
    <phoneticPr fontId="1" type="noConversion"/>
  </si>
  <si>
    <t>+</t>
    <phoneticPr fontId="1" type="noConversion"/>
  </si>
  <si>
    <t>54/56</t>
    <phoneticPr fontId="1" type="noConversion"/>
  </si>
  <si>
    <t>3-3</t>
    <phoneticPr fontId="1" type="noConversion"/>
  </si>
  <si>
    <t>41/47</t>
    <phoneticPr fontId="1" type="noConversion"/>
  </si>
  <si>
    <t>37/45</t>
    <phoneticPr fontId="1" type="noConversion"/>
  </si>
  <si>
    <t>non3</t>
    <phoneticPr fontId="1" type="noConversion"/>
  </si>
  <si>
    <t>38/45</t>
    <phoneticPr fontId="1" type="noConversion"/>
  </si>
  <si>
    <t>sp4</t>
    <phoneticPr fontId="1" type="noConversion"/>
  </si>
  <si>
    <t>44/45</t>
    <phoneticPr fontId="1" type="noConversion"/>
  </si>
  <si>
    <t>18/40</t>
    <phoneticPr fontId="1" type="noConversion"/>
  </si>
  <si>
    <t>Stage4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</si>
  <si>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</si>
  <si>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</si>
  <si>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</si>
  <si>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</si>
  <si>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lv8bomb</t>
    <phoneticPr fontId="1" type="noConversion"/>
  </si>
  <si>
    <t>4-5</t>
    <phoneticPr fontId="1" type="noConversion"/>
  </si>
  <si>
    <t>34/45</t>
    <phoneticPr fontId="1" type="noConversion"/>
  </si>
  <si>
    <t>27/40</t>
    <phoneticPr fontId="1" type="noConversion"/>
  </si>
  <si>
    <t>non2</t>
  </si>
  <si>
    <t>sp2</t>
  </si>
  <si>
    <t>non3</t>
  </si>
  <si>
    <t>sp3</t>
  </si>
  <si>
    <t>lv8bomb+</t>
    <phoneticPr fontId="1" type="noConversion"/>
  </si>
  <si>
    <t>22/39</t>
    <phoneticPr fontId="1" type="noConversion"/>
  </si>
  <si>
    <t>28/38</t>
    <phoneticPr fontId="1" type="noConversion"/>
  </si>
  <si>
    <t>sp4</t>
  </si>
  <si>
    <t>23/26</t>
    <phoneticPr fontId="1" type="noConversion"/>
  </si>
  <si>
    <t>Stage5</t>
    <phoneticPr fontId="1" type="noConversion"/>
  </si>
  <si>
    <t>5-1</t>
    <phoneticPr fontId="1" type="noConversion"/>
  </si>
  <si>
    <t>5-2</t>
    <phoneticPr fontId="1" type="noConversion"/>
  </si>
  <si>
    <t>with half 5-2</t>
    <phoneticPr fontId="1" type="noConversion"/>
  </si>
  <si>
    <t>miss</t>
    <phoneticPr fontId="1" type="noConversion"/>
  </si>
  <si>
    <t>5-3</t>
    <phoneticPr fontId="1" type="noConversion"/>
  </si>
  <si>
    <t>lv7bomb</t>
    <phoneticPr fontId="1" type="noConversion"/>
  </si>
  <si>
    <t>midsp1</t>
    <phoneticPr fontId="1" type="noConversion"/>
  </si>
  <si>
    <t>34/46</t>
    <phoneticPr fontId="1" type="noConversion"/>
  </si>
  <si>
    <t>5-4-1</t>
    <phoneticPr fontId="1" type="noConversion"/>
  </si>
  <si>
    <t>5-4-2</t>
    <phoneticPr fontId="1" type="noConversion"/>
  </si>
  <si>
    <t>5-5</t>
    <phoneticPr fontId="1" type="noConversion"/>
  </si>
  <si>
    <t>5-6</t>
    <phoneticPr fontId="1" type="noConversion"/>
  </si>
  <si>
    <t>midsp2</t>
    <phoneticPr fontId="1" type="noConversion"/>
  </si>
  <si>
    <t>31/39</t>
    <phoneticPr fontId="1" type="noConversion"/>
  </si>
  <si>
    <t>5-7</t>
    <phoneticPr fontId="1" type="noConversion"/>
  </si>
  <si>
    <t>5-8</t>
    <phoneticPr fontId="1" type="noConversion"/>
  </si>
  <si>
    <t>30/39</t>
    <phoneticPr fontId="1" type="noConversion"/>
  </si>
  <si>
    <t>16/38</t>
    <phoneticPr fontId="1" type="noConversion"/>
  </si>
  <si>
    <t>19/35</t>
    <phoneticPr fontId="1" type="noConversion"/>
  </si>
  <si>
    <t>non4</t>
    <phoneticPr fontId="1" type="noConversion"/>
  </si>
  <si>
    <t>10/34</t>
    <phoneticPr fontId="1" type="noConversion"/>
  </si>
  <si>
    <t>sp5</t>
  </si>
  <si>
    <t>sp5</t>
    <phoneticPr fontId="1" type="noConversion"/>
  </si>
  <si>
    <t>19/32</t>
    <phoneticPr fontId="1" type="noConversion"/>
  </si>
  <si>
    <t>Stage6</t>
    <phoneticPr fontId="1" type="noConversion"/>
  </si>
  <si>
    <t>6-1</t>
    <phoneticPr fontId="1" type="noConversion"/>
  </si>
  <si>
    <t>6-2B</t>
    <phoneticPr fontId="1" type="noConversion"/>
  </si>
  <si>
    <t>6-3B</t>
    <phoneticPr fontId="1" type="noConversion"/>
  </si>
  <si>
    <t>6-4</t>
    <phoneticPr fontId="1" type="noConversion"/>
  </si>
  <si>
    <t>6-5</t>
    <phoneticPr fontId="1" type="noConversion"/>
  </si>
  <si>
    <t>lv5bomb</t>
    <phoneticPr fontId="1" type="noConversion"/>
  </si>
  <si>
    <t>6-6</t>
    <phoneticPr fontId="1" type="noConversion"/>
  </si>
  <si>
    <t>lv4bomb+</t>
    <phoneticPr fontId="1" type="noConversion"/>
  </si>
  <si>
    <t>Clear</t>
    <phoneticPr fontId="1" type="noConversion"/>
  </si>
  <si>
    <t>0/0</t>
    <phoneticPr fontId="1" type="noConversion"/>
  </si>
  <si>
    <t>lv5bomb+</t>
    <phoneticPr fontId="1" type="noConversion"/>
  </si>
  <si>
    <t>lv3bomb</t>
    <phoneticPr fontId="1" type="noConversion"/>
  </si>
  <si>
    <t>2bm</t>
    <phoneticPr fontId="1" type="noConversion"/>
  </si>
  <si>
    <t>3bm</t>
    <phoneticPr fontId="1" type="noConversion"/>
  </si>
  <si>
    <t>2bmb</t>
  </si>
  <si>
    <t>Hyper-V + Ubuntu + WineHQ + libTAS</t>
    <phoneticPr fontId="1" type="noConversion"/>
  </si>
  <si>
    <t>游戏运行正常
性能极低
一般无法正常暂停、帧进
有两帧输入延迟
可存档（需要游戏崩溃前转移rep）
可结合虚拟机快照
有desync
环境配置比较稳定</t>
    <phoneticPr fontId="1" type="noConversion"/>
  </si>
  <si>
    <t>VMWare + Ubuntu + WineHQ + libTAS</t>
    <phoneticPr fontId="1" type="noConversion"/>
  </si>
  <si>
    <t>游戏无法运行</t>
    <phoneticPr fontId="1" type="noConversion"/>
  </si>
  <si>
    <t>游戏运行正常
性能一般
有一帧输入延迟
可存档
可结合虚拟机快照
环境配置看运气</t>
    <phoneticPr fontId="1" type="noConversion"/>
  </si>
  <si>
    <t>游戏运行正常
性能一般
无输入延迟
不支持vpatch、thprac
可存档
可结合虚拟机快照
环境配置看运气</t>
    <phoneticPr fontId="1" type="noConversion"/>
  </si>
  <si>
    <t>WSL2 + Ubuntu + WineHQ + libTAS</t>
    <phoneticPr fontId="1" type="noConversion"/>
  </si>
  <si>
    <t>游戏运行正常
性能高
游戏结束、rep保存偶尔有问题
（可以用MILUFU ver解决）
需要尝试不同HG版本
有一帧输入延迟
可存档
可结合虚拟机快照
一般有desync</t>
    <phoneticPr fontId="1" type="noConversion"/>
  </si>
  <si>
    <t>Hyper-V + Win x86 + HG</t>
    <phoneticPr fontId="1" type="noConversion"/>
  </si>
  <si>
    <t>游戏运行正常
性能高
无输入延迟
可存档（性能低）
可结合虚拟机快照</t>
    <phoneticPr fontId="1" type="noConversion"/>
  </si>
  <si>
    <t>游戏运行正常
性能高
一般无法正常暂停、帧进
可存档</t>
    <phoneticPr fontId="1" type="noConversion"/>
  </si>
  <si>
    <t>游戏运行正常
性能极低</t>
    <phoneticPr fontId="1" type="noConversion"/>
  </si>
  <si>
    <t>游戏运行正常
性能高
游戏结束、rep保存偶尔有问题
（可以用MILUFU ver解决）
需要尝试不同HG版本
无输入延迟
可能不支持vpatch、thprac
可存档
可结合虚拟机快照
一般有desync</t>
    <phoneticPr fontId="1" type="noConversion"/>
  </si>
  <si>
    <t>VMware + Win x86 + HG</t>
    <phoneticPr fontId="1" type="noConversion"/>
  </si>
  <si>
    <t>DLW (dnh ph3.5)</t>
    <phoneticPr fontId="1" type="noConversion"/>
  </si>
  <si>
    <t>HSoB (dnh ph3)</t>
    <phoneticPr fontId="1" type="noConversion"/>
  </si>
  <si>
    <t>Len'en</t>
    <phoneticPr fontId="1" type="noConversion"/>
  </si>
  <si>
    <t>Touhou</t>
    <phoneticPr fontId="1" type="noConversion"/>
  </si>
  <si>
    <t>Stage</t>
    <phoneticPr fontId="1" type="noConversion"/>
  </si>
  <si>
    <t>Corr</t>
    <phoneticPr fontId="1" type="noConversion"/>
  </si>
  <si>
    <t>Equiv Graze</t>
    <phoneticPr fontId="1" type="noConversion"/>
  </si>
  <si>
    <t>With Remaining SCB</t>
    <phoneticPr fontId="1" type="noConversion"/>
  </si>
  <si>
    <t>Extend (Oku)</t>
    <phoneticPr fontId="1" type="noConversion"/>
  </si>
  <si>
    <t>Bomb Gauge</t>
    <phoneticPr fontId="1" type="noConversion"/>
  </si>
  <si>
    <t>●时空结晶（根据大小不同分为1～10）</t>
  </si>
  <si>
    <t>最大得点加算 +5</t>
  </si>
  <si>
    <t>分数加算 (最大得点)</t>
  </si>
  <si>
    <t>禁咒槽点数 +1</t>
  </si>
  <si>
    <t>灵击槽 +1</t>
  </si>
  <si>
    <t>※ 每5次擦弹产生一个时空结晶。如果是朱装备则需要10次擦弹。</t>
  </si>
  <si>
    <t>ZLW</t>
    <phoneticPr fontId="1" type="noConversion"/>
  </si>
  <si>
    <t>·敌方掉落的个数（特例很多，这里只是基准值）</t>
  </si>
  <si>
    <t>杂鱼(小)：3</t>
  </si>
  <si>
    <t>PIV x (5 + 3) x 50 x Corr</t>
    <phoneticPr fontId="1" type="noConversion"/>
  </si>
  <si>
    <t>2 Extend Items</t>
    <phoneticPr fontId="1" type="noConversion"/>
  </si>
  <si>
    <t>杂鱼(中)：8</t>
  </si>
  <si>
    <t>400 x Corr x PIV</t>
    <phoneticPr fontId="1" type="noConversion"/>
  </si>
  <si>
    <t>杂鱼(大)：20</t>
  </si>
  <si>
    <t>Boss：48/96/144</t>
  </si>
  <si>
    <t>5 Graze = PIV</t>
    <phoneticPr fontId="1" type="noConversion"/>
  </si>
  <si>
    <t>●有色时空结晶</t>
  </si>
  <si>
    <t>最大得点加算 +5×(灵击Lv)</t>
  </si>
  <si>
    <t>分数加算 (最大得点)×(灵击Lv)</t>
  </si>
  <si>
    <t>禁咒槽点数 +5 ※固定值，无视灵击Lv</t>
  </si>
  <si>
    <t>灵击槽 +0</t>
  </si>
  <si>
    <t>DeltaScore</t>
    <phoneticPr fontId="1" type="noConversion"/>
  </si>
  <si>
    <t>DeltaPIV</t>
    <phoneticPr fontId="1" type="noConversion"/>
  </si>
  <si>
    <t>DeltaGraze</t>
    <phoneticPr fontId="1" type="noConversion"/>
  </si>
  <si>
    <t>Aqua</t>
    <phoneticPr fontId="1" type="noConversion"/>
  </si>
  <si>
    <t>Black</t>
    <phoneticPr fontId="1" type="noConversion"/>
  </si>
  <si>
    <t>Blue</t>
    <phoneticPr fontId="1" type="noConversion"/>
  </si>
  <si>
    <t>Green</t>
    <phoneticPr fontId="1" type="noConversion"/>
  </si>
  <si>
    <t>Orange</t>
    <phoneticPr fontId="1" type="noConversion"/>
  </si>
  <si>
    <t>Purple</t>
    <phoneticPr fontId="1" type="noConversion"/>
  </si>
  <si>
    <t>Rainbow</t>
    <phoneticPr fontId="1" type="noConversion"/>
  </si>
  <si>
    <t>Red</t>
    <phoneticPr fontId="1" type="noConversion"/>
  </si>
  <si>
    <t>White</t>
    <phoneticPr fontId="1" type="noConversion"/>
  </si>
  <si>
    <t>Yellow</t>
    <phoneticPr fontId="1" type="noConversion"/>
  </si>
  <si>
    <t>皇</t>
  </si>
  <si>
    <t>碧</t>
  </si>
  <si>
    <t>黒</t>
  </si>
  <si>
    <t>瑞</t>
  </si>
  <si>
    <t>翠</t>
  </si>
  <si>
    <t>朱</t>
  </si>
  <si>
    <t>菫</t>
  </si>
  <si>
    <t>虹</t>
  </si>
  <si>
    <t>緋</t>
  </si>
  <si>
    <t>白</t>
  </si>
  <si>
    <t>Bomb Gauge</t>
  </si>
  <si>
    <t>Equiv Graze</t>
  </si>
  <si>
    <t>Gauge(est)</t>
    <phoneticPr fontId="1" type="noConversion"/>
  </si>
  <si>
    <t>GrazeTarget</t>
    <phoneticPr fontId="1" type="noConversion"/>
  </si>
  <si>
    <r>
      <t>19wav</t>
    </r>
    <r>
      <rPr>
        <b/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2"/>
        <scheme val="minor"/>
      </rPr>
      <t>s22frogs</t>
    </r>
    <phoneticPr fontId="1" type="noConversion"/>
  </si>
  <si>
    <t>frogs 10 in a row each time</t>
    <phoneticPr fontId="1" type="noConversion"/>
  </si>
  <si>
    <t>DeltaScorePerPIV(low est)</t>
    <phoneticPr fontId="1" type="noConversion"/>
  </si>
  <si>
    <t>DeltaScorePerPIV(high est)</t>
    <phoneticPr fontId="1" type="noConversion"/>
  </si>
  <si>
    <t>FutureScorePerPIV</t>
    <phoneticPr fontId="1" type="noConversion"/>
  </si>
  <si>
    <t>ScorePerGraze (est)</t>
    <phoneticPr fontId="1" type="noConversion"/>
  </si>
  <si>
    <t>GrazeCoverSCB</t>
    <phoneticPr fontId="1" type="noConversion"/>
  </si>
  <si>
    <t>GrazePSCoverSCB</t>
    <phoneticPr fontId="1" type="noConversion"/>
  </si>
  <si>
    <t>non5  aqua</t>
    <phoneticPr fontId="1" type="noConversion"/>
  </si>
  <si>
    <t>non4 blue</t>
    <phoneticPr fontId="1" type="noConversion"/>
  </si>
  <si>
    <t>sp2 red</t>
    <phoneticPr fontId="1" type="noConversion"/>
  </si>
  <si>
    <t>non3 purple</t>
    <phoneticPr fontId="1" type="noConversion"/>
  </si>
  <si>
    <t>sp6 green</t>
    <phoneticPr fontId="1" type="noConversion"/>
  </si>
  <si>
    <t>sp7 yellow</t>
    <phoneticPr fontId="1" type="noConversion"/>
  </si>
  <si>
    <t>DeltaPIV+</t>
    <phoneticPr fontId="1" type="noConversion"/>
  </si>
  <si>
    <t>1 graze item = 10pts</t>
    <phoneticPr fontId="1" type="noConversion"/>
  </si>
  <si>
    <t>1 cancel = 2 piv + int(piv/100) pts</t>
    <phoneticPr fontId="1" type="noConversion"/>
  </si>
  <si>
    <t>Spell</t>
    <phoneticPr fontId="1" type="noConversion"/>
  </si>
  <si>
    <t>Note</t>
    <phoneticPr fontId="1" type="noConversion"/>
  </si>
  <si>
    <t>red</t>
  </si>
  <si>
    <t>purple</t>
  </si>
  <si>
    <t>blue</t>
  </si>
  <si>
    <t>non5</t>
    <phoneticPr fontId="1" type="noConversion"/>
  </si>
  <si>
    <t>aqua</t>
  </si>
  <si>
    <t>sp6</t>
    <phoneticPr fontId="1" type="noConversion"/>
  </si>
  <si>
    <t>green</t>
    <phoneticPr fontId="1" type="noConversion"/>
  </si>
  <si>
    <t>sp7</t>
    <phoneticPr fontId="1" type="noConversion"/>
  </si>
  <si>
    <t>yellow</t>
  </si>
  <si>
    <t>增援</t>
    <phoneticPr fontId="1" type="noConversion"/>
  </si>
  <si>
    <t>移动速度</t>
  </si>
  <si>
    <t>高/低速</t>
  </si>
  <si>
    <t>中弹判定</t>
  </si>
  <si>
    <t>擦弹判定</t>
  </si>
  <si>
    <t>低速道具收集半径</t>
  </si>
  <si>
    <t>被弹bomb限制时间</t>
  </si>
  <si>
    <t>灵梦</t>
  </si>
  <si>
    <t>4/1.8</t>
  </si>
  <si>
    <t>魔理沙</t>
  </si>
  <si>
    <t>5/2.2</t>
  </si>
  <si>
    <t>咲夜</t>
  </si>
  <si>
    <t>4.5/2</t>
  </si>
  <si>
    <t>辉夜</t>
  </si>
  <si>
    <t>3.5/1.6</t>
  </si>
  <si>
    <t>中弹或使用Z技能后，被弹bomb限制时间会提高12f（灵梦10f），上限39f（灵梦44f）；使用灵击后，限制时间会减少6f（灵梦5f），但不会低于初始值。</t>
  </si>
  <si>
    <t>灵梦造成的点燃（绯）、冻结（碧）、炸裂（瑞）伤害会降低20%。</t>
  </si>
  <si>
    <t>灵击配置</t>
  </si>
  <si>
    <t>基本性能</t>
  </si>
  <si>
    <t>灵击范围修正</t>
  </si>
  <si>
    <t>灵击时间修正</t>
  </si>
  <si>
    <t>灵击伤害修正</t>
  </si>
  <si>
    <t>绯</t>
  </si>
  <si>
    <t>堇</t>
  </si>
  <si>
    <t>灵击回复率+34%</t>
  </si>
  <si>
    <t>玄</t>
  </si>
  <si>
    <t>全等级108px</t>
  </si>
  <si>
    <t>全等级60f</t>
  </si>
  <si>
    <t>素</t>
  </si>
  <si>
    <t>全等级180px</t>
  </si>
  <si>
    <t>全等级180f</t>
  </si>
  <si>
    <r>
      <rPr>
        <sz val="11"/>
        <color rgb="FF262626"/>
        <rFont val="微软雅黑"/>
        <family val="2"/>
        <charset val="134"/>
      </rPr>
      <t>灵击给予（等级</t>
    </r>
    <r>
      <rPr>
        <sz val="11"/>
        <color rgb="FF262626"/>
        <rFont val="Arial"/>
        <family val="2"/>
      </rPr>
      <t>*2+4</t>
    </r>
    <r>
      <rPr>
        <sz val="11"/>
        <color rgb="FF262626"/>
        <rFont val="微软雅黑"/>
        <family val="2"/>
        <charset val="134"/>
      </rPr>
      <t>）秒护盾，撞弹或按</t>
    </r>
    <r>
      <rPr>
        <sz val="11"/>
        <color rgb="FF262626"/>
        <rFont val="Arial"/>
        <family val="2"/>
      </rPr>
      <t>X</t>
    </r>
    <r>
      <rPr>
        <sz val="11"/>
        <color rgb="FF262626"/>
        <rFont val="微软雅黑"/>
        <family val="2"/>
        <charset val="134"/>
      </rPr>
      <t>时引爆，无敌</t>
    </r>
    <r>
      <rPr>
        <sz val="11"/>
        <color rgb="FF262626"/>
        <rFont val="Arial"/>
        <family val="2"/>
      </rPr>
      <t>1</t>
    </r>
    <r>
      <rPr>
        <sz val="11"/>
        <color rgb="FF262626"/>
        <rFont val="微软雅黑"/>
        <family val="2"/>
        <charset val="134"/>
      </rPr>
      <t>秒。
无敌时间提高</t>
    </r>
    <r>
      <rPr>
        <sz val="11"/>
        <color rgb="FF262626"/>
        <rFont val="Arial"/>
        <family val="2"/>
        <charset val="134"/>
      </rPr>
      <t>50%</t>
    </r>
    <phoneticPr fontId="1" type="noConversion"/>
  </si>
  <si>
    <r>
      <rPr>
        <sz val="11"/>
        <color rgb="FF262626"/>
        <rFont val="微软雅黑"/>
        <family val="2"/>
        <charset val="134"/>
      </rPr>
      <t>中弹判定减半</t>
    </r>
    <r>
      <rPr>
        <sz val="11"/>
        <color rgb="FF262626"/>
        <rFont val="Arial"/>
        <family val="2"/>
      </rPr>
      <t xml:space="preserve">
</t>
    </r>
    <r>
      <rPr>
        <sz val="11"/>
        <color rgb="FF262626"/>
        <rFont val="微软雅黑"/>
        <family val="2"/>
        <charset val="134"/>
      </rPr>
      <t>道具收集范围</t>
    </r>
    <r>
      <rPr>
        <sz val="11"/>
        <color rgb="FF262626"/>
        <rFont val="Arial"/>
        <family val="2"/>
      </rPr>
      <t xml:space="preserve">+15%
</t>
    </r>
    <r>
      <rPr>
        <sz val="11"/>
        <color rgb="FF262626"/>
        <rFont val="微软雅黑"/>
        <family val="2"/>
        <charset val="134"/>
      </rPr>
      <t>主炮火力</t>
    </r>
    <r>
      <rPr>
        <sz val="11"/>
        <color rgb="FF262626"/>
        <rFont val="Arial"/>
        <family val="2"/>
      </rPr>
      <t xml:space="preserve">+12.5%
</t>
    </r>
    <r>
      <rPr>
        <sz val="11"/>
        <color rgb="FF262626"/>
        <rFont val="微软雅黑"/>
        <family val="2"/>
        <charset val="134"/>
      </rPr>
      <t>灵击随自机移动
高速移动超过</t>
    </r>
    <r>
      <rPr>
        <sz val="11"/>
        <color rgb="FF262626"/>
        <rFont val="Arial"/>
        <family val="2"/>
        <charset val="134"/>
      </rPr>
      <t>1</t>
    </r>
    <r>
      <rPr>
        <sz val="11"/>
        <color rgb="FF262626"/>
        <rFont val="微软雅黑"/>
        <family val="2"/>
        <charset val="134"/>
      </rPr>
      <t>秒时，移动速度</t>
    </r>
    <r>
      <rPr>
        <sz val="11"/>
        <color rgb="FF262626"/>
        <rFont val="Arial"/>
        <family val="2"/>
        <charset val="134"/>
      </rPr>
      <t>+2</t>
    </r>
    <r>
      <rPr>
        <sz val="11"/>
        <color rgb="FF262626"/>
        <rFont val="微软雅黑"/>
        <family val="2"/>
        <charset val="134"/>
      </rPr>
      <t>，主炮射速从每秒</t>
    </r>
    <r>
      <rPr>
        <sz val="11"/>
        <color rgb="FF262626"/>
        <rFont val="Arial"/>
        <family val="2"/>
        <charset val="134"/>
      </rPr>
      <t>10</t>
    </r>
    <r>
      <rPr>
        <sz val="11"/>
        <color rgb="FF262626"/>
        <rFont val="微软雅黑"/>
        <family val="2"/>
        <charset val="134"/>
      </rPr>
      <t>发提升至</t>
    </r>
    <r>
      <rPr>
        <sz val="11"/>
        <color rgb="FF262626"/>
        <rFont val="Arial"/>
        <family val="2"/>
        <charset val="134"/>
      </rPr>
      <t>15</t>
    </r>
    <r>
      <rPr>
        <sz val="11"/>
        <color rgb="FF262626"/>
        <rFont val="微软雅黑"/>
        <family val="2"/>
        <charset val="134"/>
      </rPr>
      <t>发。
高速移动超过</t>
    </r>
    <r>
      <rPr>
        <sz val="11"/>
        <color rgb="FF262626"/>
        <rFont val="Arial"/>
        <family val="2"/>
        <charset val="134"/>
      </rPr>
      <t>3</t>
    </r>
    <r>
      <rPr>
        <sz val="11"/>
        <color rgb="FF262626"/>
        <rFont val="微软雅黑"/>
        <family val="2"/>
        <charset val="134"/>
      </rPr>
      <t>秒时，移动速度</t>
    </r>
    <r>
      <rPr>
        <sz val="11"/>
        <color rgb="FF262626"/>
        <rFont val="Arial"/>
        <family val="2"/>
        <charset val="134"/>
      </rPr>
      <t>+4</t>
    </r>
    <r>
      <rPr>
        <sz val="11"/>
        <color rgb="FF262626"/>
        <rFont val="微软雅黑"/>
        <family val="2"/>
        <charset val="134"/>
      </rPr>
      <t>，主炮射速提升至每秒</t>
    </r>
    <r>
      <rPr>
        <sz val="11"/>
        <color rgb="FF262626"/>
        <rFont val="Arial"/>
        <family val="2"/>
        <charset val="134"/>
      </rPr>
      <t>20</t>
    </r>
    <r>
      <rPr>
        <sz val="11"/>
        <color rgb="FF262626"/>
        <rFont val="微软雅黑"/>
        <family val="2"/>
        <charset val="134"/>
      </rPr>
      <t>发。</t>
    </r>
    <phoneticPr fontId="1" type="noConversion"/>
  </si>
  <si>
    <t>Damage</t>
    <phoneticPr fontId="1" type="noConversion"/>
  </si>
  <si>
    <t>Radius(*sqrt(lv))</t>
    <phoneticPr fontId="1" type="noConversion"/>
  </si>
  <si>
    <t>Time(*sqrt(lv))</t>
    <phoneticPr fontId="1" type="noConversion"/>
  </si>
  <si>
    <t>32-384</t>
    <phoneticPr fontId="1" type="noConversion"/>
  </si>
  <si>
    <t>45-240</t>
    <phoneticPr fontId="1" type="noConversion"/>
  </si>
  <si>
    <t>Green:</t>
    <phoneticPr fontId="1" type="noConversion"/>
  </si>
  <si>
    <t>DeltaNetPIV</t>
    <phoneticPr fontId="1" type="noConversion"/>
  </si>
  <si>
    <t>MaxSCB</t>
    <phoneticPr fontId="1" type="noConversion"/>
  </si>
  <si>
    <t>Elapsed</t>
    <phoneticPr fontId="1" type="noConversion"/>
  </si>
  <si>
    <t>bomb</t>
    <phoneticPr fontId="1" type="noConversion"/>
  </si>
  <si>
    <t>5s no SCB loss</t>
    <phoneticPr fontId="1" type="noConversion"/>
  </si>
  <si>
    <t>6-2</t>
    <phoneticPr fontId="1" type="noConversion"/>
  </si>
  <si>
    <t>6-3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</si>
  <si>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</si>
  <si>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</si>
  <si>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</si>
  <si>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non4</t>
  </si>
  <si>
    <t>non5</t>
  </si>
  <si>
    <t>non6</t>
  </si>
  <si>
    <t>sp6</t>
  </si>
  <si>
    <t>non7</t>
  </si>
  <si>
    <t>sp7</t>
  </si>
  <si>
    <t>sp8</t>
  </si>
  <si>
    <t>2bomb</t>
    <phoneticPr fontId="1" type="noConversion"/>
  </si>
  <si>
    <t>non8</t>
    <phoneticPr fontId="1" type="noConversion"/>
  </si>
  <si>
    <t>sp8</t>
    <phoneticPr fontId="1" type="noConversion"/>
  </si>
  <si>
    <t>sp9</t>
    <phoneticPr fontId="1" type="noConversion"/>
  </si>
  <si>
    <t>lw2</t>
    <phoneticPr fontId="1" type="noConversion"/>
  </si>
  <si>
    <t>lw1</t>
    <phoneticPr fontId="1" type="noConversion"/>
  </si>
  <si>
    <t>clear bonus</t>
    <phoneticPr fontId="1" type="noConversion"/>
  </si>
  <si>
    <t>life &amp; bomb</t>
    <phoneticPr fontId="1" type="noConversion"/>
  </si>
  <si>
    <t>Total</t>
    <phoneticPr fontId="1" type="noConversion"/>
  </si>
  <si>
    <t>DiffScore</t>
    <phoneticPr fontId="1" type="noConversion"/>
  </si>
  <si>
    <t>4bomb</t>
    <phoneticPr fontId="1" type="noConversion"/>
  </si>
  <si>
    <t>DiffGraze</t>
    <phoneticPr fontId="1" type="noConversion"/>
  </si>
  <si>
    <t>DiffPIV</t>
    <phoneticPr fontId="1" type="noConversion"/>
  </si>
  <si>
    <t>針</t>
  </si>
  <si>
    <t>ホーミング札</t>
  </si>
  <si>
    <t>Normal</t>
    <phoneticPr fontId="1" type="noConversion"/>
  </si>
  <si>
    <t>Green1</t>
    <phoneticPr fontId="1" type="noConversion"/>
  </si>
  <si>
    <t>Green2</t>
    <phoneticPr fontId="1" type="noConversion"/>
  </si>
  <si>
    <t>霊夢</t>
  </si>
  <si>
    <t>Num</t>
    <phoneticPr fontId="1" type="noConversion"/>
  </si>
  <si>
    <t>Base</t>
    <phoneticPr fontId="1" type="noConversion"/>
  </si>
  <si>
    <t>魔理沙</t>
    <phoneticPr fontId="1" type="noConversion"/>
  </si>
  <si>
    <t>レーザー</t>
  </si>
  <si>
    <t>エネルギー弾</t>
  </si>
  <si>
    <t>Green0</t>
    <phoneticPr fontId="1" type="noConversion"/>
  </si>
  <si>
    <t>GreenBase</t>
    <phoneticPr fontId="1" type="noConversion"/>
  </si>
  <si>
    <t>サブショット</t>
  </si>
  <si>
    <t>輝夜</t>
    <phoneticPr fontId="1" type="noConversion"/>
  </si>
  <si>
    <t>龍の顎の弾</t>
  </si>
  <si>
    <t>メインショット</t>
  </si>
  <si>
    <t>main</t>
    <phoneticPr fontId="1" type="noConversion"/>
  </si>
  <si>
    <t>not trans</t>
    <phoneticPr fontId="1" type="noConversion"/>
  </si>
  <si>
    <t>5l</t>
    <phoneticPr fontId="1" type="noConversion"/>
  </si>
  <si>
    <t>3l</t>
    <phoneticPr fontId="1" type="noConversion"/>
  </si>
  <si>
    <t>1l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</si>
</sst>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_ "/>
    <numFmt numFmtId="177" formatCode="#,##0.0_ "/>
    <numFmt numFmtId="178" formatCode="#,##0.000_ "/>
    <numFmt numFmtId="179" formatCode="0.00_ "/>
    <numFmt numFmtId="180" formatCode="#,##0_);[Red]\(#,##0\)"/>
    <numFmt numFmtId="181" formatCode="0_ "/>
    <numFmt numFmtId="182" formatCode="0.0_ "/>
    <numFmt numFmtId="183" formatCode="0.00000_ "/>
    <numFmt numFmtId="184" formatCode="0.00_);[Red]\(0.00\)"/>
    <numFmt numFmtId="185" formatCode="0.000_);[Red]\(0.000\)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rgb="FF262626"/>
      <name val="Courier New"/>
      <family val="3"/>
    </font>
    <font>
      <b/>
      <sz val="11"/>
      <color theme="1"/>
      <name val="等线"/>
      <family val="3"/>
      <charset val="134"/>
      <scheme val="minor"/>
    </font>
    <font>
      <b/>
      <sz val="11"/>
      <color rgb="FF262626"/>
      <name val="Arial"/>
      <family val="2"/>
    </font>
    <font>
      <sz val="11"/>
      <color rgb="FF262626"/>
      <name val="Arial"/>
      <family val="2"/>
    </font>
    <font>
      <sz val="11"/>
      <color rgb="FFFF0000"/>
      <name val="Arial"/>
      <family val="2"/>
    </font>
    <font>
      <sz val="11"/>
      <color rgb="FF800080"/>
      <name val="Arial"/>
      <family val="2"/>
    </font>
    <font>
      <sz val="11"/>
      <color rgb="FF0000FF"/>
      <name val="Arial"/>
      <family val="2"/>
    </font>
    <font>
      <sz val="11"/>
      <color rgb="FF00FFFF"/>
      <name val="Arial"/>
      <family val="2"/>
    </font>
    <font>
      <sz val="11"/>
      <color rgb="FF008000"/>
      <name val="Arial"/>
      <family val="2"/>
    </font>
    <font>
      <sz val="11"/>
      <color rgb="FFFFFF00"/>
      <name val="Arial"/>
      <family val="2"/>
    </font>
    <font>
      <sz val="11"/>
      <color rgb="FFFFA500"/>
      <name val="Arial"/>
      <family val="2"/>
    </font>
    <font>
      <sz val="11"/>
      <color rgb="FF000000"/>
      <name val="Arial"/>
      <family val="2"/>
    </font>
    <font>
      <sz val="11"/>
      <color rgb="FF808080"/>
      <name val="Arial"/>
      <family val="2"/>
    </font>
    <font>
      <sz val="11"/>
      <color rgb="FF262626"/>
      <name val="微软雅黑"/>
      <family val="2"/>
      <charset val="134"/>
    </font>
    <font>
      <sz val="11"/>
      <color rgb="FF262626"/>
      <name val="Arial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FFFFFF"/>
      </right>
      <top style="medium">
        <color rgb="FFD9D9D9"/>
      </top>
      <bottom/>
      <diagonal/>
    </border>
    <border>
      <left style="medium">
        <color rgb="FFFFFFFF"/>
      </left>
      <right style="medium">
        <color rgb="FFFFFFFF"/>
      </right>
      <top style="medium">
        <color rgb="FFD9D9D9"/>
      </top>
      <bottom/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FFFFFF"/>
      </right>
      <top/>
      <bottom/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FFFFFF"/>
      </right>
      <top style="medium">
        <color rgb="FFD9D9D9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D9D9D9"/>
      </top>
      <bottom style="medium">
        <color rgb="FFFFFFFF"/>
      </bottom>
      <diagonal/>
    </border>
    <border>
      <left style="medium">
        <color rgb="FFFFFFFF"/>
      </left>
      <right style="medium">
        <color rgb="FFD9D9D9"/>
      </right>
      <top style="medium">
        <color rgb="FFD9D9D9"/>
      </top>
      <bottom style="medium">
        <color rgb="FFFFFFFF"/>
      </bottom>
      <diagonal/>
    </border>
  </borders>
  <cellStyleXfs count="1">
    <xf numFmtId="0" fontId="0" fillId="0" borderId="0"/>
  </cellStyleXfs>
  <cellXfs count="63">
    <xf numFmtId="0" fontId="0" fillId="0" borderId="0" xfId="0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6" fontId="2" fillId="0" borderId="0" xfId="0" applyNumberFormat="1" applyFont="1"/>
    <xf numFmtId="49" fontId="0" fillId="0" borderId="1" xfId="0" applyNumberFormat="1" applyBorder="1"/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176" fontId="0" fillId="0" borderId="2" xfId="0" applyNumberFormat="1" applyBorder="1"/>
    <xf numFmtId="176" fontId="0" fillId="0" borderId="0" xfId="0" applyNumberFormat="1" applyBorder="1"/>
    <xf numFmtId="179" fontId="0" fillId="0" borderId="0" xfId="0" applyNumberFormat="1"/>
    <xf numFmtId="179" fontId="0" fillId="0" borderId="1" xfId="0" applyNumberFormat="1" applyBorder="1"/>
    <xf numFmtId="180" fontId="0" fillId="0" borderId="0" xfId="0" applyNumberFormat="1"/>
    <xf numFmtId="181" fontId="0" fillId="0" borderId="0" xfId="0" applyNumberFormat="1"/>
    <xf numFmtId="180" fontId="0" fillId="0" borderId="1" xfId="0" applyNumberFormat="1" applyBorder="1"/>
    <xf numFmtId="181" fontId="0" fillId="0" borderId="1" xfId="0" applyNumberFormat="1" applyBorder="1"/>
    <xf numFmtId="182" fontId="0" fillId="0" borderId="0" xfId="0" applyNumberFormat="1"/>
    <xf numFmtId="182" fontId="0" fillId="0" borderId="1" xfId="0" applyNumberFormat="1" applyBorder="1"/>
    <xf numFmtId="0" fontId="6" fillId="2" borderId="4" xfId="0" applyFont="1" applyFill="1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7" xfId="0" applyFill="1" applyBorder="1"/>
    <xf numFmtId="0" fontId="5" fillId="3" borderId="8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5" fillId="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7" fillId="2" borderId="12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 wrapText="1"/>
    </xf>
    <xf numFmtId="0" fontId="6" fillId="2" borderId="13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vertical="center" wrapText="1"/>
    </xf>
    <xf numFmtId="0" fontId="6" fillId="2" borderId="14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3" fillId="2" borderId="12" xfId="0" applyFont="1" applyFill="1" applyBorder="1" applyAlignment="1">
      <alignment vertical="center" wrapText="1"/>
    </xf>
    <xf numFmtId="0" fontId="14" fillId="2" borderId="12" xfId="0" applyFont="1" applyFill="1" applyBorder="1" applyAlignment="1">
      <alignment vertical="center" wrapText="1"/>
    </xf>
    <xf numFmtId="0" fontId="15" fillId="2" borderId="12" xfId="0" applyFont="1" applyFill="1" applyBorder="1" applyAlignment="1">
      <alignment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vertical="center" wrapText="1"/>
    </xf>
    <xf numFmtId="0" fontId="14" fillId="2" borderId="14" xfId="0" applyFont="1" applyFill="1" applyBorder="1" applyAlignment="1">
      <alignment vertical="center" wrapText="1"/>
    </xf>
    <xf numFmtId="0" fontId="14" fillId="2" borderId="13" xfId="0" applyFont="1" applyFill="1" applyBorder="1" applyAlignment="1">
      <alignment vertical="center" wrapText="1"/>
    </xf>
    <xf numFmtId="0" fontId="15" fillId="2" borderId="14" xfId="0" applyFont="1" applyFill="1" applyBorder="1" applyAlignment="1">
      <alignment vertical="center" wrapText="1"/>
    </xf>
    <xf numFmtId="0" fontId="15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  <xf numFmtId="0" fontId="17" fillId="2" borderId="12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horizontal="center" vertical="center" wrapText="1"/>
    </xf>
    <xf numFmtId="183" fontId="0" fillId="0" borderId="0" xfId="0" applyNumberFormat="1"/>
    <xf numFmtId="184" fontId="0" fillId="0" borderId="0" xfId="0" applyNumberFormat="1"/>
    <xf numFmtId="0" fontId="0" fillId="0" borderId="0" xfId="0" applyNumberFormat="1"/>
    <xf numFmtId="185" fontId="0" fillId="0" borderId="0" xfId="0" applyNumberFormat="1"/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6"/>
  <sheetViews>
    <sheetView zoomScaleNormal="100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106" sqref="A106"/>
    </sheetView>
  </sheetViews>
  <sheetFormatPr defaultColWidth="7.5" defaultRowHeight="14.25" x14ac:dyDescent="0.2"/>
  <cols>
    <col min="1" max="1" width="11.5" style="1" bestFit="1" customWidth="1"/>
    <col min="2" max="2" width="14.625" style="2" bestFit="1" customWidth="1"/>
    <col min="3" max="3" width="8.375" style="2" bestFit="1" customWidth="1"/>
    <col min="4" max="4" width="7.375" style="2" bestFit="1" customWidth="1"/>
    <col min="5" max="5" width="4.25" style="2" bestFit="1" customWidth="1"/>
    <col min="6" max="6" width="6.375" style="3" bestFit="1" customWidth="1"/>
    <col min="7" max="7" width="10.875" style="2" bestFit="1" customWidth="1"/>
    <col min="8" max="8" width="7.125" style="2" bestFit="1" customWidth="1"/>
    <col min="9" max="9" width="7.625" style="4" bestFit="1" customWidth="1"/>
    <col min="10" max="11" width="11.875" style="2" bestFit="1" customWidth="1"/>
    <col min="12" max="12" width="7.125" bestFit="1" customWidth="1"/>
    <col min="13" max="13" width="10" bestFit="1" customWidth="1"/>
    <col min="14" max="14" width="11.875" bestFit="1" customWidth="1"/>
    <col min="15" max="15" width="10" bestFit="1" customWidth="1"/>
    <col min="16" max="16" width="9.5" bestFit="1" customWidth="1"/>
    <col min="19" max="19" width="13.5" bestFit="1" customWidth="1"/>
    <col min="20" max="20" width="8.375" bestFit="1" customWidth="1"/>
    <col min="21" max="21" width="10.5" bestFit="1" customWidth="1"/>
    <col min="22" max="22" width="24.375" style="16" bestFit="1" customWidth="1"/>
    <col min="23" max="23" width="23.75" style="16" bestFit="1" customWidth="1"/>
    <col min="24" max="24" width="17.25" bestFit="1" customWidth="1"/>
    <col min="25" max="25" width="18.125" bestFit="1" customWidth="1"/>
    <col min="26" max="26" width="14.625" style="16" bestFit="1" customWidth="1"/>
    <col min="27" max="27" width="16.75" style="16" bestFit="1" customWidth="1"/>
    <col min="28" max="28" width="11.75" bestFit="1" customWidth="1"/>
    <col min="29" max="29" width="10.25" bestFit="1" customWidth="1"/>
    <col min="30" max="30" width="15.125" bestFit="1" customWidth="1"/>
    <col min="31" max="31" width="25.125" bestFit="1" customWidth="1"/>
    <col min="33" max="33" width="11.25" bestFit="1" customWidth="1"/>
  </cols>
  <sheetData>
    <row r="1" spans="1:33" x14ac:dyDescent="0.2">
      <c r="B1" s="2" t="s">
        <v>1</v>
      </c>
      <c r="C1" s="2" t="s">
        <v>0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11</v>
      </c>
      <c r="I1" s="4" t="s">
        <v>12</v>
      </c>
      <c r="J1" s="2" t="s">
        <v>21</v>
      </c>
      <c r="K1" s="2" t="s">
        <v>25</v>
      </c>
      <c r="L1" s="2" t="s">
        <v>27</v>
      </c>
      <c r="M1" t="s">
        <v>10</v>
      </c>
      <c r="P1" t="s">
        <v>205</v>
      </c>
      <c r="S1" t="s">
        <v>164</v>
      </c>
      <c r="T1" t="s">
        <v>165</v>
      </c>
      <c r="U1" t="s">
        <v>166</v>
      </c>
      <c r="V1" s="16" t="s">
        <v>194</v>
      </c>
      <c r="W1" s="16" t="s">
        <v>193</v>
      </c>
      <c r="X1" t="s">
        <v>195</v>
      </c>
      <c r="Y1" t="s">
        <v>196</v>
      </c>
      <c r="Z1" s="16" t="s">
        <v>197</v>
      </c>
      <c r="AA1" s="16" t="s">
        <v>198</v>
      </c>
      <c r="AB1" t="s">
        <v>190</v>
      </c>
      <c r="AC1" t="s">
        <v>189</v>
      </c>
      <c r="AE1" t="s">
        <v>187</v>
      </c>
      <c r="AG1" t="s">
        <v>188</v>
      </c>
    </row>
    <row r="2" spans="1:33" s="10" customFormat="1" x14ac:dyDescent="0.2">
      <c r="A2" s="6" t="s">
        <v>34</v>
      </c>
      <c r="B2" s="7">
        <v>0</v>
      </c>
      <c r="C2" s="7">
        <v>25000</v>
      </c>
      <c r="D2" s="7">
        <v>0</v>
      </c>
      <c r="E2" s="7">
        <v>2</v>
      </c>
      <c r="F2" s="8">
        <v>3</v>
      </c>
      <c r="G2" s="7">
        <v>0</v>
      </c>
      <c r="H2" s="7"/>
      <c r="I2" s="9"/>
      <c r="J2" s="7"/>
      <c r="K2" s="7"/>
      <c r="S2" s="14"/>
      <c r="T2" s="14"/>
      <c r="U2" s="14"/>
      <c r="V2" s="17"/>
      <c r="W2" s="17"/>
      <c r="Z2" s="17"/>
      <c r="AA2" s="17"/>
      <c r="AE2" s="10">
        <v>150</v>
      </c>
      <c r="AG2" s="10">
        <f>5 * AE2</f>
        <v>750</v>
      </c>
    </row>
    <row r="3" spans="1:33" x14ac:dyDescent="0.2">
      <c r="A3" s="1" t="s">
        <v>6</v>
      </c>
      <c r="B3" s="2">
        <v>4426340</v>
      </c>
      <c r="C3" s="2">
        <v>25820</v>
      </c>
      <c r="D3" s="2">
        <v>202</v>
      </c>
      <c r="E3" s="2">
        <v>2</v>
      </c>
      <c r="F3" s="3">
        <v>3.4</v>
      </c>
      <c r="G3" s="2">
        <v>0</v>
      </c>
      <c r="S3" s="14">
        <f t="shared" ref="S3:S34" si="0">B3-B2</f>
        <v>4426340</v>
      </c>
      <c r="T3" s="14">
        <f t="shared" ref="T3:T34" si="1">C3-C2</f>
        <v>820</v>
      </c>
      <c r="U3" s="14">
        <f t="shared" ref="U3:U34" si="2">D3-D2</f>
        <v>202</v>
      </c>
      <c r="V3" s="16">
        <f t="shared" ref="V3:V34" si="3">S3/C2</f>
        <v>177.05359999999999</v>
      </c>
      <c r="W3" s="16">
        <f t="shared" ref="W3:W34" si="4">S3/C3</f>
        <v>171.4306738962045</v>
      </c>
      <c r="X3" s="16">
        <f>SUM(W3:$W$96)</f>
        <v>138343.00247604464</v>
      </c>
      <c r="Y3">
        <f t="shared" ref="Y3:Y34" si="5">X3+C2/5</f>
        <v>143343.00247604464</v>
      </c>
      <c r="AC3">
        <f t="shared" ref="AC3:AC13" si="6">T3/5</f>
        <v>164</v>
      </c>
      <c r="AE3">
        <v>210</v>
      </c>
      <c r="AG3">
        <f t="shared" ref="AG3:AG11" si="7">5 * AE3</f>
        <v>1050</v>
      </c>
    </row>
    <row r="4" spans="1:33" x14ac:dyDescent="0.2">
      <c r="A4" s="1" t="s">
        <v>7</v>
      </c>
      <c r="B4" s="2">
        <v>28760710</v>
      </c>
      <c r="C4" s="2">
        <v>30610</v>
      </c>
      <c r="D4" s="2">
        <v>402</v>
      </c>
      <c r="E4" s="2">
        <v>2</v>
      </c>
      <c r="F4" s="3">
        <v>3</v>
      </c>
      <c r="G4" s="2">
        <v>5</v>
      </c>
      <c r="M4" t="s">
        <v>8</v>
      </c>
      <c r="P4">
        <f>30110-29670</f>
        <v>440</v>
      </c>
      <c r="S4" s="15">
        <f t="shared" si="0"/>
        <v>24334370</v>
      </c>
      <c r="T4" s="15">
        <f t="shared" si="1"/>
        <v>4790</v>
      </c>
      <c r="U4" s="15">
        <f t="shared" si="2"/>
        <v>200</v>
      </c>
      <c r="V4" s="16">
        <f t="shared" si="3"/>
        <v>942.46204492641368</v>
      </c>
      <c r="W4" s="16">
        <f t="shared" si="4"/>
        <v>794.98105194380923</v>
      </c>
      <c r="X4" s="16">
        <f>SUM(W4:$W$96)</f>
        <v>138171.57180214845</v>
      </c>
      <c r="Y4">
        <f t="shared" si="5"/>
        <v>143335.57180214845</v>
      </c>
      <c r="AC4">
        <f t="shared" si="6"/>
        <v>958</v>
      </c>
      <c r="AE4">
        <v>277</v>
      </c>
      <c r="AG4">
        <f t="shared" si="7"/>
        <v>1385</v>
      </c>
    </row>
    <row r="5" spans="1:33" x14ac:dyDescent="0.2">
      <c r="A5" s="1" t="s">
        <v>9</v>
      </c>
      <c r="B5" s="2">
        <v>31642500</v>
      </c>
      <c r="C5" s="2">
        <v>31000</v>
      </c>
      <c r="D5" s="2">
        <v>1112</v>
      </c>
      <c r="E5" s="2">
        <v>2</v>
      </c>
      <c r="F5" s="3">
        <v>3.2</v>
      </c>
      <c r="G5" s="2">
        <v>5</v>
      </c>
      <c r="H5" s="2">
        <v>21</v>
      </c>
      <c r="I5" s="4">
        <v>1</v>
      </c>
      <c r="S5" s="15">
        <f t="shared" si="0"/>
        <v>2881790</v>
      </c>
      <c r="T5" s="15">
        <f t="shared" si="1"/>
        <v>390</v>
      </c>
      <c r="U5" s="15">
        <f t="shared" si="2"/>
        <v>710</v>
      </c>
      <c r="V5" s="16">
        <f t="shared" si="3"/>
        <v>94.145377327670701</v>
      </c>
      <c r="W5" s="16">
        <f t="shared" si="4"/>
        <v>92.960967741935491</v>
      </c>
      <c r="X5" s="16">
        <f>SUM(W5:$W$96)</f>
        <v>137376.59075020463</v>
      </c>
      <c r="Y5">
        <f t="shared" si="5"/>
        <v>143498.59075020463</v>
      </c>
      <c r="AC5">
        <f t="shared" si="6"/>
        <v>78</v>
      </c>
      <c r="AE5">
        <v>360</v>
      </c>
      <c r="AG5">
        <f t="shared" si="7"/>
        <v>1800</v>
      </c>
    </row>
    <row r="6" spans="1:33" x14ac:dyDescent="0.2">
      <c r="A6" s="1" t="s">
        <v>13</v>
      </c>
      <c r="B6" s="2">
        <v>54701860</v>
      </c>
      <c r="C6" s="2">
        <v>43840</v>
      </c>
      <c r="D6" s="2">
        <v>1299</v>
      </c>
      <c r="E6" s="2">
        <v>2</v>
      </c>
      <c r="F6" s="3">
        <v>0.2</v>
      </c>
      <c r="G6" s="2">
        <v>9</v>
      </c>
      <c r="H6" s="2">
        <v>25</v>
      </c>
      <c r="I6" s="4">
        <f>H6-24.483</f>
        <v>0.51699999999999946</v>
      </c>
      <c r="J6" s="2">
        <v>0</v>
      </c>
      <c r="K6" s="2">
        <v>12400000</v>
      </c>
      <c r="L6" t="s">
        <v>28</v>
      </c>
      <c r="M6" t="s">
        <v>8</v>
      </c>
      <c r="N6" t="s">
        <v>14</v>
      </c>
      <c r="O6" t="s">
        <v>15</v>
      </c>
      <c r="P6">
        <f>36630-35040</f>
        <v>1590</v>
      </c>
      <c r="Q6">
        <f>39990-38520</f>
        <v>1470</v>
      </c>
      <c r="R6">
        <f>42600-41180</f>
        <v>1420</v>
      </c>
      <c r="S6" s="15">
        <f t="shared" si="0"/>
        <v>23059360</v>
      </c>
      <c r="T6" s="15">
        <f t="shared" si="1"/>
        <v>12840</v>
      </c>
      <c r="U6" s="15">
        <f t="shared" si="2"/>
        <v>187</v>
      </c>
      <c r="V6" s="16">
        <f t="shared" si="3"/>
        <v>743.85032258064518</v>
      </c>
      <c r="W6" s="16">
        <f t="shared" si="4"/>
        <v>525.98905109489056</v>
      </c>
      <c r="X6" s="16">
        <f>SUM(W6:$W$96)</f>
        <v>137283.6297824627</v>
      </c>
      <c r="Y6">
        <f t="shared" si="5"/>
        <v>143483.6297824627</v>
      </c>
      <c r="Z6" s="16">
        <f>K6*0.75/Y6</f>
        <v>64.815756432283209</v>
      </c>
      <c r="AA6" s="16">
        <f>Z6/H6</f>
        <v>2.5926302572913285</v>
      </c>
      <c r="AC6">
        <f t="shared" si="6"/>
        <v>2568</v>
      </c>
      <c r="AE6">
        <v>450</v>
      </c>
      <c r="AG6">
        <f t="shared" si="7"/>
        <v>2250</v>
      </c>
    </row>
    <row r="7" spans="1:33" x14ac:dyDescent="0.2">
      <c r="A7" s="1" t="s">
        <v>17</v>
      </c>
      <c r="B7" s="2">
        <v>70164510</v>
      </c>
      <c r="C7" s="2">
        <v>45400</v>
      </c>
      <c r="D7" s="2">
        <v>1393</v>
      </c>
      <c r="E7" s="2">
        <v>1</v>
      </c>
      <c r="F7" s="3">
        <v>4.2</v>
      </c>
      <c r="G7" s="2">
        <v>10</v>
      </c>
      <c r="M7" t="s">
        <v>18</v>
      </c>
      <c r="S7" s="15">
        <f t="shared" si="0"/>
        <v>15462650</v>
      </c>
      <c r="T7" s="15">
        <f t="shared" si="1"/>
        <v>1560</v>
      </c>
      <c r="U7" s="15">
        <f t="shared" si="2"/>
        <v>94</v>
      </c>
      <c r="V7" s="16">
        <f t="shared" si="3"/>
        <v>352.70643248175185</v>
      </c>
      <c r="W7" s="16">
        <f t="shared" si="4"/>
        <v>340.58700440528634</v>
      </c>
      <c r="X7" s="16">
        <f>SUM(W7:$W$96)</f>
        <v>136757.64073136781</v>
      </c>
      <c r="Y7">
        <f t="shared" si="5"/>
        <v>145525.64073136781</v>
      </c>
      <c r="AC7">
        <f t="shared" si="6"/>
        <v>312</v>
      </c>
      <c r="AE7">
        <v>550</v>
      </c>
      <c r="AG7">
        <f t="shared" si="7"/>
        <v>2750</v>
      </c>
    </row>
    <row r="8" spans="1:33" x14ac:dyDescent="0.2">
      <c r="A8" s="1" t="s">
        <v>19</v>
      </c>
      <c r="B8" s="2">
        <v>78694630</v>
      </c>
      <c r="C8" s="2">
        <v>46270</v>
      </c>
      <c r="D8" s="2">
        <v>1519</v>
      </c>
      <c r="E8" s="2">
        <v>1</v>
      </c>
      <c r="F8" s="3">
        <v>4.5</v>
      </c>
      <c r="G8" s="2">
        <v>10</v>
      </c>
      <c r="S8" s="15">
        <f t="shared" si="0"/>
        <v>8530120</v>
      </c>
      <c r="T8" s="15">
        <f t="shared" si="1"/>
        <v>870</v>
      </c>
      <c r="U8" s="15">
        <f t="shared" si="2"/>
        <v>126</v>
      </c>
      <c r="V8" s="16">
        <f t="shared" si="3"/>
        <v>187.88810572687225</v>
      </c>
      <c r="W8" s="16">
        <f t="shared" si="4"/>
        <v>184.35530581370219</v>
      </c>
      <c r="X8" s="16">
        <f>SUM(W8:$W$96)</f>
        <v>136417.05372696251</v>
      </c>
      <c r="Y8">
        <f t="shared" si="5"/>
        <v>145497.05372696251</v>
      </c>
      <c r="AC8">
        <f t="shared" si="6"/>
        <v>174</v>
      </c>
      <c r="AE8">
        <v>650</v>
      </c>
      <c r="AG8">
        <f t="shared" si="7"/>
        <v>3250</v>
      </c>
    </row>
    <row r="9" spans="1:33" x14ac:dyDescent="0.2">
      <c r="A9" s="1" t="s">
        <v>20</v>
      </c>
      <c r="B9" s="2">
        <v>91213900</v>
      </c>
      <c r="C9" s="2">
        <v>47500</v>
      </c>
      <c r="D9" s="2">
        <v>2593</v>
      </c>
      <c r="E9" s="2">
        <v>1</v>
      </c>
      <c r="F9" s="3">
        <v>5.0999999999999996</v>
      </c>
      <c r="G9" s="2">
        <v>11</v>
      </c>
      <c r="H9" s="2">
        <v>30</v>
      </c>
      <c r="I9" s="4">
        <v>1</v>
      </c>
      <c r="S9" s="15">
        <f t="shared" si="0"/>
        <v>12519270</v>
      </c>
      <c r="T9" s="15">
        <f t="shared" si="1"/>
        <v>1230</v>
      </c>
      <c r="U9" s="15">
        <f t="shared" si="2"/>
        <v>1074</v>
      </c>
      <c r="V9" s="16">
        <f t="shared" si="3"/>
        <v>270.5699157121245</v>
      </c>
      <c r="W9" s="16">
        <f t="shared" si="4"/>
        <v>263.5635789473684</v>
      </c>
      <c r="X9" s="16">
        <f>SUM(W9:$W$96)</f>
        <v>136232.69842114882</v>
      </c>
      <c r="Y9">
        <f t="shared" si="5"/>
        <v>145486.69842114882</v>
      </c>
      <c r="AC9">
        <f t="shared" si="6"/>
        <v>246</v>
      </c>
      <c r="AE9">
        <v>777</v>
      </c>
      <c r="AG9">
        <f t="shared" si="7"/>
        <v>3885</v>
      </c>
    </row>
    <row r="10" spans="1:33" x14ac:dyDescent="0.2">
      <c r="A10" s="1" t="s">
        <v>22</v>
      </c>
      <c r="B10" s="2">
        <v>107235260</v>
      </c>
      <c r="C10" s="2">
        <v>48900</v>
      </c>
      <c r="D10" s="2">
        <v>3087</v>
      </c>
      <c r="E10" s="2">
        <v>2</v>
      </c>
      <c r="F10" s="3">
        <v>5.4</v>
      </c>
      <c r="G10" s="2">
        <v>12</v>
      </c>
      <c r="H10" s="2">
        <v>35</v>
      </c>
      <c r="I10" s="4">
        <f>H10-33.083</f>
        <v>1.9170000000000016</v>
      </c>
      <c r="J10" s="2">
        <v>5629430</v>
      </c>
      <c r="K10" s="2">
        <v>18896000</v>
      </c>
      <c r="L10" t="s">
        <v>29</v>
      </c>
      <c r="M10" t="s">
        <v>23</v>
      </c>
      <c r="S10" s="15">
        <f t="shared" si="0"/>
        <v>16021360</v>
      </c>
      <c r="T10" s="15">
        <f t="shared" si="1"/>
        <v>1400</v>
      </c>
      <c r="U10" s="15">
        <f t="shared" si="2"/>
        <v>494</v>
      </c>
      <c r="V10" s="16">
        <f t="shared" si="3"/>
        <v>337.29178947368422</v>
      </c>
      <c r="W10" s="16">
        <f t="shared" si="4"/>
        <v>327.6351738241309</v>
      </c>
      <c r="X10" s="16">
        <f>SUM(W10:$W$96)</f>
        <v>135969.13484220146</v>
      </c>
      <c r="Y10">
        <f t="shared" si="5"/>
        <v>145469.13484220146</v>
      </c>
      <c r="Z10" s="16">
        <f>K10*0.75/Y10</f>
        <v>97.422728301595825</v>
      </c>
      <c r="AA10" s="16">
        <f>Z10/H10</f>
        <v>2.783506522902738</v>
      </c>
      <c r="AC10">
        <f t="shared" si="6"/>
        <v>280</v>
      </c>
    </row>
    <row r="11" spans="1:33" x14ac:dyDescent="0.2">
      <c r="A11" s="1" t="s">
        <v>24</v>
      </c>
      <c r="B11" s="2">
        <v>196739510</v>
      </c>
      <c r="C11" s="2">
        <v>57220</v>
      </c>
      <c r="D11" s="2">
        <v>3548</v>
      </c>
      <c r="E11" s="2">
        <v>2</v>
      </c>
      <c r="F11" s="3">
        <v>5.6</v>
      </c>
      <c r="G11" s="2">
        <v>0</v>
      </c>
      <c r="H11" s="2">
        <v>30</v>
      </c>
      <c r="I11" s="4">
        <v>1</v>
      </c>
      <c r="M11" t="s">
        <v>16</v>
      </c>
      <c r="S11" s="15">
        <f t="shared" si="0"/>
        <v>89504250</v>
      </c>
      <c r="T11" s="15">
        <f t="shared" si="1"/>
        <v>8320</v>
      </c>
      <c r="U11" s="15">
        <f t="shared" si="2"/>
        <v>461</v>
      </c>
      <c r="V11" s="16">
        <f t="shared" si="3"/>
        <v>1830.3527607361964</v>
      </c>
      <c r="W11" s="16">
        <f t="shared" si="4"/>
        <v>1564.2126878713736</v>
      </c>
      <c r="X11" s="16">
        <f>SUM(W11:$W$96)</f>
        <v>135641.49966837731</v>
      </c>
      <c r="Y11">
        <f t="shared" si="5"/>
        <v>145421.49966837731</v>
      </c>
      <c r="AC11">
        <f t="shared" si="6"/>
        <v>1664</v>
      </c>
      <c r="AE11">
        <v>3333</v>
      </c>
      <c r="AG11">
        <f t="shared" si="7"/>
        <v>16665</v>
      </c>
    </row>
    <row r="12" spans="1:33" x14ac:dyDescent="0.2">
      <c r="A12" s="1" t="s">
        <v>26</v>
      </c>
      <c r="B12" s="2">
        <v>208858270</v>
      </c>
      <c r="C12" s="2">
        <v>58630</v>
      </c>
      <c r="D12" s="2">
        <v>3815</v>
      </c>
      <c r="E12" s="2">
        <v>2</v>
      </c>
      <c r="F12" s="3">
        <v>5.8</v>
      </c>
      <c r="G12" s="2">
        <v>0</v>
      </c>
      <c r="H12" s="2">
        <v>40</v>
      </c>
      <c r="I12" s="4">
        <f>H12-39.733</f>
        <v>0.26700000000000301</v>
      </c>
      <c r="J12" s="2">
        <v>5851760</v>
      </c>
      <c r="K12" s="2">
        <v>22884000</v>
      </c>
      <c r="L12" t="s">
        <v>30</v>
      </c>
      <c r="S12" s="15">
        <f t="shared" si="0"/>
        <v>12118760</v>
      </c>
      <c r="T12" s="15">
        <f t="shared" si="1"/>
        <v>1410</v>
      </c>
      <c r="U12" s="15">
        <f t="shared" si="2"/>
        <v>267</v>
      </c>
      <c r="V12" s="16">
        <f t="shared" si="3"/>
        <v>211.79238028661308</v>
      </c>
      <c r="W12" s="16">
        <f t="shared" si="4"/>
        <v>206.69895957700837</v>
      </c>
      <c r="X12" s="16">
        <f>SUM(W12:$W$96)</f>
        <v>134077.28698050595</v>
      </c>
      <c r="Y12">
        <f t="shared" si="5"/>
        <v>145521.28698050595</v>
      </c>
      <c r="Z12" s="16">
        <f>K12*0.75/Y12</f>
        <v>117.94150777610398</v>
      </c>
      <c r="AA12" s="16">
        <f>Z12/H12</f>
        <v>2.9485376944025994</v>
      </c>
      <c r="AC12">
        <f t="shared" si="6"/>
        <v>282</v>
      </c>
    </row>
    <row r="13" spans="1:33" x14ac:dyDescent="0.2">
      <c r="A13" s="1" t="s">
        <v>31</v>
      </c>
      <c r="B13" s="2">
        <v>212834900</v>
      </c>
      <c r="C13" s="2">
        <v>59280</v>
      </c>
      <c r="D13" s="2">
        <v>4145</v>
      </c>
      <c r="E13" s="2">
        <v>2</v>
      </c>
      <c r="F13" s="3">
        <v>5.9</v>
      </c>
      <c r="G13" s="2">
        <v>0</v>
      </c>
      <c r="H13" s="2">
        <v>90</v>
      </c>
      <c r="I13" s="4">
        <f>H13-24.6</f>
        <v>65.400000000000006</v>
      </c>
      <c r="J13" s="2">
        <v>0</v>
      </c>
      <c r="K13" s="2">
        <v>58630000</v>
      </c>
      <c r="L13" t="s">
        <v>32</v>
      </c>
      <c r="S13" s="15">
        <f t="shared" si="0"/>
        <v>3976630</v>
      </c>
      <c r="T13" s="15">
        <f t="shared" si="1"/>
        <v>650</v>
      </c>
      <c r="U13" s="15">
        <f t="shared" si="2"/>
        <v>330</v>
      </c>
      <c r="V13" s="16">
        <f t="shared" si="3"/>
        <v>67.825857069759508</v>
      </c>
      <c r="W13" s="16">
        <f t="shared" si="4"/>
        <v>67.082152496626179</v>
      </c>
      <c r="X13" s="16">
        <f>SUM(W13:$W$96)</f>
        <v>133870.58802092893</v>
      </c>
      <c r="Y13">
        <f t="shared" si="5"/>
        <v>145596.58802092893</v>
      </c>
      <c r="Z13" s="16">
        <f>K13*0.75/Y13</f>
        <v>302.01600599101351</v>
      </c>
      <c r="AA13" s="16">
        <f>Z13/H13</f>
        <v>3.3557333999001502</v>
      </c>
      <c r="AB13">
        <v>4000</v>
      </c>
      <c r="AC13">
        <f t="shared" si="6"/>
        <v>130</v>
      </c>
      <c r="AD13" t="s">
        <v>191</v>
      </c>
      <c r="AE13" t="s">
        <v>192</v>
      </c>
    </row>
    <row r="14" spans="1:33" s="10" customFormat="1" x14ac:dyDescent="0.2">
      <c r="A14" s="6" t="s">
        <v>33</v>
      </c>
      <c r="B14" s="7">
        <f>B13+20000000</f>
        <v>232834900</v>
      </c>
      <c r="C14" s="7">
        <v>59280</v>
      </c>
      <c r="D14" s="7">
        <v>4145</v>
      </c>
      <c r="E14" s="7"/>
      <c r="F14" s="8"/>
      <c r="G14" s="7"/>
      <c r="H14" s="7"/>
      <c r="I14" s="9"/>
      <c r="J14" s="7"/>
      <c r="K14" s="7" t="s">
        <v>16</v>
      </c>
      <c r="S14" s="7">
        <f t="shared" si="0"/>
        <v>20000000</v>
      </c>
      <c r="T14" s="7">
        <f t="shared" si="1"/>
        <v>0</v>
      </c>
      <c r="U14" s="7">
        <f t="shared" si="2"/>
        <v>0</v>
      </c>
      <c r="V14" s="16">
        <f t="shared" si="3"/>
        <v>337.38191632928476</v>
      </c>
      <c r="W14" s="16">
        <f t="shared" si="4"/>
        <v>337.38191632928476</v>
      </c>
      <c r="X14" s="16">
        <f>SUM(W14:$W$96)</f>
        <v>133803.50586843229</v>
      </c>
      <c r="Y14">
        <f t="shared" si="5"/>
        <v>145659.50586843229</v>
      </c>
      <c r="Z14" s="17"/>
      <c r="AA14" s="17"/>
    </row>
    <row r="15" spans="1:33" x14ac:dyDescent="0.2">
      <c r="A15" s="1" t="s">
        <v>35</v>
      </c>
      <c r="B15" s="2">
        <v>245667580</v>
      </c>
      <c r="C15" s="2">
        <v>60290</v>
      </c>
      <c r="D15" s="2">
        <v>4199</v>
      </c>
      <c r="E15" s="2">
        <v>2</v>
      </c>
      <c r="F15" s="3">
        <v>6.2</v>
      </c>
      <c r="G15" s="2">
        <v>1</v>
      </c>
      <c r="S15" s="15">
        <f t="shared" si="0"/>
        <v>12832680</v>
      </c>
      <c r="T15" s="15">
        <f t="shared" si="1"/>
        <v>1010</v>
      </c>
      <c r="U15" s="15">
        <f t="shared" si="2"/>
        <v>54</v>
      </c>
      <c r="V15" s="16">
        <f t="shared" si="3"/>
        <v>216.4757085020243</v>
      </c>
      <c r="W15" s="16">
        <f t="shared" si="4"/>
        <v>212.84922872781556</v>
      </c>
      <c r="X15" s="16">
        <f>SUM(W15:$W$96)</f>
        <v>133466.12395210302</v>
      </c>
      <c r="Y15">
        <f t="shared" si="5"/>
        <v>145322.12395210302</v>
      </c>
      <c r="AC15">
        <f t="shared" ref="AC15:AC24" si="8">T15/5</f>
        <v>202</v>
      </c>
    </row>
    <row r="16" spans="1:33" x14ac:dyDescent="0.2">
      <c r="A16" s="1" t="s">
        <v>36</v>
      </c>
      <c r="B16" s="2">
        <v>394047590</v>
      </c>
      <c r="C16" s="2">
        <v>72160</v>
      </c>
      <c r="D16" s="2">
        <v>4329</v>
      </c>
      <c r="E16" s="2">
        <v>3</v>
      </c>
      <c r="F16" s="3">
        <v>5.8</v>
      </c>
      <c r="G16" s="2">
        <v>8</v>
      </c>
      <c r="M16" t="s">
        <v>38</v>
      </c>
      <c r="P16">
        <f>70540-70220</f>
        <v>320</v>
      </c>
      <c r="S16" s="15">
        <f t="shared" si="0"/>
        <v>148380010</v>
      </c>
      <c r="T16" s="15">
        <f t="shared" si="1"/>
        <v>11870</v>
      </c>
      <c r="U16" s="15">
        <f t="shared" si="2"/>
        <v>130</v>
      </c>
      <c r="V16" s="16">
        <f t="shared" si="3"/>
        <v>2461.1048266710895</v>
      </c>
      <c r="W16" s="16">
        <f t="shared" si="4"/>
        <v>2056.2639966740576</v>
      </c>
      <c r="X16" s="16">
        <f>SUM(W16:$W$96)</f>
        <v>133253.27472337519</v>
      </c>
      <c r="Y16">
        <f t="shared" si="5"/>
        <v>145311.27472337519</v>
      </c>
      <c r="AC16">
        <f t="shared" si="8"/>
        <v>2374</v>
      </c>
    </row>
    <row r="17" spans="1:29" x14ac:dyDescent="0.2">
      <c r="A17" s="1" t="s">
        <v>39</v>
      </c>
      <c r="B17" s="2">
        <v>411015720</v>
      </c>
      <c r="C17" s="2">
        <v>73280</v>
      </c>
      <c r="D17" s="2">
        <v>4340</v>
      </c>
      <c r="E17" s="2">
        <v>3</v>
      </c>
      <c r="F17" s="3">
        <v>6.2</v>
      </c>
      <c r="G17" s="2">
        <v>9</v>
      </c>
      <c r="S17" s="15">
        <f t="shared" si="0"/>
        <v>16968130</v>
      </c>
      <c r="T17" s="15">
        <f t="shared" si="1"/>
        <v>1120</v>
      </c>
      <c r="U17" s="15">
        <f t="shared" si="2"/>
        <v>11</v>
      </c>
      <c r="V17" s="16">
        <f t="shared" si="3"/>
        <v>235.14592572062085</v>
      </c>
      <c r="W17" s="16">
        <f t="shared" si="4"/>
        <v>231.55199235807859</v>
      </c>
      <c r="X17" s="16">
        <f>SUM(W17:$W$96)</f>
        <v>131197.01072670115</v>
      </c>
      <c r="Y17">
        <f t="shared" si="5"/>
        <v>145629.01072670115</v>
      </c>
      <c r="AC17">
        <f t="shared" si="8"/>
        <v>224</v>
      </c>
    </row>
    <row r="18" spans="1:29" x14ac:dyDescent="0.2">
      <c r="A18" s="1" t="s">
        <v>40</v>
      </c>
      <c r="B18" s="2">
        <v>446048840</v>
      </c>
      <c r="C18" s="2">
        <v>75530</v>
      </c>
      <c r="D18" s="2">
        <v>4481</v>
      </c>
      <c r="E18" s="2">
        <v>3</v>
      </c>
      <c r="F18" s="3">
        <v>6.9</v>
      </c>
      <c r="G18" s="2">
        <v>10</v>
      </c>
      <c r="O18" t="s">
        <v>16</v>
      </c>
      <c r="S18" s="15">
        <f t="shared" si="0"/>
        <v>35033120</v>
      </c>
      <c r="T18" s="15">
        <f t="shared" si="1"/>
        <v>2250</v>
      </c>
      <c r="U18" s="15">
        <f t="shared" si="2"/>
        <v>141</v>
      </c>
      <c r="V18" s="16">
        <f t="shared" si="3"/>
        <v>478.0720524017467</v>
      </c>
      <c r="W18" s="16">
        <f t="shared" si="4"/>
        <v>463.83053091486829</v>
      </c>
      <c r="X18" s="16">
        <f>SUM(W18:$W$96)</f>
        <v>130965.4587343431</v>
      </c>
      <c r="Y18">
        <f t="shared" si="5"/>
        <v>145621.45873434312</v>
      </c>
      <c r="AC18">
        <f t="shared" si="8"/>
        <v>450</v>
      </c>
    </row>
    <row r="19" spans="1:29" x14ac:dyDescent="0.2">
      <c r="A19" s="1" t="s">
        <v>20</v>
      </c>
      <c r="B19" s="2">
        <v>457500000</v>
      </c>
      <c r="C19" s="2">
        <v>76190</v>
      </c>
      <c r="D19" s="2">
        <v>4899</v>
      </c>
      <c r="E19" s="2">
        <v>3</v>
      </c>
      <c r="F19" s="3">
        <v>7.1</v>
      </c>
      <c r="G19" s="2">
        <v>11</v>
      </c>
      <c r="H19" s="2">
        <v>35</v>
      </c>
      <c r="I19" s="4">
        <v>1</v>
      </c>
      <c r="S19" s="15">
        <f t="shared" si="0"/>
        <v>11451160</v>
      </c>
      <c r="T19" s="15">
        <f t="shared" si="1"/>
        <v>660</v>
      </c>
      <c r="U19" s="15">
        <f t="shared" si="2"/>
        <v>418</v>
      </c>
      <c r="V19" s="16">
        <f t="shared" si="3"/>
        <v>151.61075069508806</v>
      </c>
      <c r="W19" s="16">
        <f t="shared" si="4"/>
        <v>150.29741435883975</v>
      </c>
      <c r="X19" s="16">
        <f>SUM(W19:$W$96)</f>
        <v>130501.62820342822</v>
      </c>
      <c r="Y19">
        <f t="shared" si="5"/>
        <v>145607.62820342823</v>
      </c>
      <c r="AC19">
        <f t="shared" si="8"/>
        <v>132</v>
      </c>
    </row>
    <row r="20" spans="1:29" x14ac:dyDescent="0.2">
      <c r="A20" s="1" t="s">
        <v>22</v>
      </c>
      <c r="B20" s="2">
        <v>491408000</v>
      </c>
      <c r="C20" s="2">
        <v>77670</v>
      </c>
      <c r="D20" s="2">
        <v>5017</v>
      </c>
      <c r="E20" s="2">
        <v>3</v>
      </c>
      <c r="F20" s="3">
        <v>7.1</v>
      </c>
      <c r="G20" s="2">
        <v>11</v>
      </c>
      <c r="H20" s="2">
        <v>50</v>
      </c>
      <c r="I20" s="4">
        <f>H20-19.083</f>
        <v>30.917000000000002</v>
      </c>
      <c r="J20" s="2">
        <v>31373940</v>
      </c>
      <c r="K20" s="2">
        <v>40996800</v>
      </c>
      <c r="L20" t="s">
        <v>41</v>
      </c>
      <c r="S20" s="15">
        <f t="shared" si="0"/>
        <v>33908000</v>
      </c>
      <c r="T20" s="15">
        <f t="shared" si="1"/>
        <v>1480</v>
      </c>
      <c r="U20" s="15">
        <f t="shared" si="2"/>
        <v>118</v>
      </c>
      <c r="V20" s="16">
        <f t="shared" si="3"/>
        <v>445.04528153300959</v>
      </c>
      <c r="W20" s="16">
        <f t="shared" si="4"/>
        <v>436.56495429380715</v>
      </c>
      <c r="X20" s="16">
        <f>SUM(W20:$W$96)</f>
        <v>130351.3307890694</v>
      </c>
      <c r="Y20">
        <f t="shared" si="5"/>
        <v>145589.33078906941</v>
      </c>
      <c r="Z20" s="16">
        <f>K20*0.75/Y20</f>
        <v>211.19404721041877</v>
      </c>
      <c r="AA20" s="16">
        <f>Z20/H20</f>
        <v>4.2238809442083758</v>
      </c>
      <c r="AC20">
        <f t="shared" si="8"/>
        <v>296</v>
      </c>
    </row>
    <row r="21" spans="1:29" x14ac:dyDescent="0.2">
      <c r="A21" s="1" t="s">
        <v>24</v>
      </c>
      <c r="B21" s="2">
        <v>559800000</v>
      </c>
      <c r="C21" s="2">
        <v>83720</v>
      </c>
      <c r="D21" s="2">
        <v>5312</v>
      </c>
      <c r="E21" s="2">
        <v>3</v>
      </c>
      <c r="F21" s="3">
        <v>6.3</v>
      </c>
      <c r="G21" s="2">
        <v>12</v>
      </c>
      <c r="H21" s="2">
        <v>35</v>
      </c>
      <c r="I21" s="4">
        <v>1</v>
      </c>
      <c r="K21" s="5">
        <f>J20/(0.25+0.75*I20/H20)</f>
        <v>43956175.438350692</v>
      </c>
      <c r="M21" t="s">
        <v>42</v>
      </c>
      <c r="P21">
        <f>83280-82000</f>
        <v>1280</v>
      </c>
      <c r="S21" s="15">
        <f t="shared" si="0"/>
        <v>68392000</v>
      </c>
      <c r="T21" s="15">
        <f t="shared" si="1"/>
        <v>6050</v>
      </c>
      <c r="U21" s="15">
        <f t="shared" si="2"/>
        <v>295</v>
      </c>
      <c r="V21" s="16">
        <f t="shared" si="3"/>
        <v>880.54589931762587</v>
      </c>
      <c r="W21" s="16">
        <f t="shared" si="4"/>
        <v>816.91352126134734</v>
      </c>
      <c r="X21" s="16">
        <f>SUM(W21:$W$96)</f>
        <v>129914.76583477556</v>
      </c>
      <c r="Y21">
        <f t="shared" si="5"/>
        <v>145448.76583477558</v>
      </c>
      <c r="AC21">
        <f t="shared" si="8"/>
        <v>1210</v>
      </c>
    </row>
    <row r="22" spans="1:29" x14ac:dyDescent="0.2">
      <c r="A22" s="1" t="s">
        <v>26</v>
      </c>
      <c r="B22" s="2">
        <v>592131830</v>
      </c>
      <c r="C22" s="2">
        <v>85020</v>
      </c>
      <c r="D22" s="2">
        <v>5372</v>
      </c>
      <c r="E22" s="2">
        <v>3</v>
      </c>
      <c r="F22" s="3">
        <v>6.4</v>
      </c>
      <c r="G22" s="2">
        <v>12</v>
      </c>
      <c r="H22" s="2">
        <v>50</v>
      </c>
      <c r="I22" s="4">
        <f>H22-39.083</f>
        <v>10.917000000000002</v>
      </c>
      <c r="J22" s="2">
        <v>19469370</v>
      </c>
      <c r="K22" s="2">
        <v>45073800</v>
      </c>
      <c r="L22" t="s">
        <v>45</v>
      </c>
      <c r="S22" s="15">
        <f t="shared" si="0"/>
        <v>32331830</v>
      </c>
      <c r="T22" s="15">
        <f t="shared" si="1"/>
        <v>1300</v>
      </c>
      <c r="U22" s="15">
        <f t="shared" si="2"/>
        <v>60</v>
      </c>
      <c r="V22" s="16">
        <f t="shared" si="3"/>
        <v>386.19003822264693</v>
      </c>
      <c r="W22" s="16">
        <f t="shared" si="4"/>
        <v>380.28499176664315</v>
      </c>
      <c r="X22" s="16">
        <f>SUM(W22:$W$96)</f>
        <v>129097.85231351423</v>
      </c>
      <c r="Y22">
        <f t="shared" si="5"/>
        <v>145841.85231351422</v>
      </c>
      <c r="Z22" s="16">
        <f>K22*0.75/Y22</f>
        <v>231.79457380539233</v>
      </c>
      <c r="AA22" s="16">
        <f>Z22/H22</f>
        <v>4.6358914761078465</v>
      </c>
      <c r="AC22">
        <f t="shared" si="8"/>
        <v>260</v>
      </c>
    </row>
    <row r="23" spans="1:29" x14ac:dyDescent="0.2">
      <c r="A23" s="1" t="s">
        <v>43</v>
      </c>
      <c r="B23" s="2">
        <v>613542690</v>
      </c>
      <c r="C23" s="2">
        <v>87600</v>
      </c>
      <c r="D23" s="2">
        <v>6573</v>
      </c>
      <c r="E23" s="2">
        <v>3</v>
      </c>
      <c r="F23" s="3">
        <v>6.8</v>
      </c>
      <c r="G23" s="2">
        <v>12</v>
      </c>
      <c r="H23" s="2">
        <v>60</v>
      </c>
      <c r="I23" s="4">
        <v>0</v>
      </c>
      <c r="J23" s="2">
        <v>0</v>
      </c>
      <c r="K23" s="2">
        <v>45289800</v>
      </c>
      <c r="L23" t="s">
        <v>44</v>
      </c>
      <c r="S23" s="15">
        <f t="shared" si="0"/>
        <v>21410860</v>
      </c>
      <c r="T23" s="15">
        <f t="shared" si="1"/>
        <v>2580</v>
      </c>
      <c r="U23" s="15">
        <f t="shared" si="2"/>
        <v>1201</v>
      </c>
      <c r="V23" s="16">
        <f t="shared" si="3"/>
        <v>251.83321571394967</v>
      </c>
      <c r="W23" s="16">
        <f t="shared" si="4"/>
        <v>244.4162100456621</v>
      </c>
      <c r="X23" s="16">
        <f>SUM(W23:$W$96)</f>
        <v>128717.56732174759</v>
      </c>
      <c r="Y23">
        <f t="shared" si="5"/>
        <v>145721.5673217476</v>
      </c>
      <c r="Z23" s="16">
        <f>K23*0.75/Y23</f>
        <v>233.09761639470568</v>
      </c>
      <c r="AA23" s="16">
        <f>Z23/H23</f>
        <v>3.8849602732450945</v>
      </c>
      <c r="AC23">
        <f t="shared" si="8"/>
        <v>516</v>
      </c>
    </row>
    <row r="24" spans="1:29" x14ac:dyDescent="0.2">
      <c r="A24" s="1" t="s">
        <v>31</v>
      </c>
      <c r="B24" s="2">
        <v>694171710</v>
      </c>
      <c r="C24" s="2">
        <v>90410</v>
      </c>
      <c r="D24" s="2">
        <v>7305</v>
      </c>
      <c r="E24" s="2">
        <v>3</v>
      </c>
      <c r="F24" s="3">
        <v>7.1</v>
      </c>
      <c r="G24" s="2">
        <v>12</v>
      </c>
      <c r="H24" s="2">
        <v>90</v>
      </c>
      <c r="I24" s="4">
        <f>H24-37.233</f>
        <v>52.767000000000003</v>
      </c>
      <c r="J24" s="2">
        <v>62685520</v>
      </c>
      <c r="K24" s="2">
        <v>87600000</v>
      </c>
      <c r="L24" t="s">
        <v>46</v>
      </c>
      <c r="S24" s="15">
        <f t="shared" si="0"/>
        <v>80629020</v>
      </c>
      <c r="T24" s="15">
        <f t="shared" si="1"/>
        <v>2810</v>
      </c>
      <c r="U24" s="15">
        <f t="shared" si="2"/>
        <v>732</v>
      </c>
      <c r="V24" s="16">
        <f t="shared" si="3"/>
        <v>920.42260273972602</v>
      </c>
      <c r="W24" s="16">
        <f t="shared" si="4"/>
        <v>891.81528591969914</v>
      </c>
      <c r="X24" s="16">
        <f>SUM(W24:$W$96)</f>
        <v>128473.15111170193</v>
      </c>
      <c r="Y24">
        <f t="shared" si="5"/>
        <v>145993.15111170191</v>
      </c>
      <c r="Z24" s="16">
        <f>K24*0.75/Y24</f>
        <v>450.02111057752143</v>
      </c>
      <c r="AA24" s="16">
        <f>Z24/H24</f>
        <v>5.0002345619724604</v>
      </c>
      <c r="AC24">
        <f t="shared" si="8"/>
        <v>562</v>
      </c>
    </row>
    <row r="25" spans="1:29" s="10" customFormat="1" x14ac:dyDescent="0.2">
      <c r="A25" s="6" t="s">
        <v>47</v>
      </c>
      <c r="B25" s="7">
        <f>B24+80000000</f>
        <v>774171710</v>
      </c>
      <c r="C25" s="7">
        <v>90410</v>
      </c>
      <c r="D25" s="7">
        <v>7305</v>
      </c>
      <c r="E25" s="7"/>
      <c r="F25" s="8"/>
      <c r="G25" s="7"/>
      <c r="H25" s="7"/>
      <c r="I25" s="9"/>
      <c r="J25" s="7"/>
      <c r="K25" s="7"/>
      <c r="S25" s="7">
        <f t="shared" si="0"/>
        <v>80000000</v>
      </c>
      <c r="T25" s="7">
        <f t="shared" si="1"/>
        <v>0</v>
      </c>
      <c r="U25" s="7">
        <f t="shared" si="2"/>
        <v>0</v>
      </c>
      <c r="V25" s="16">
        <f t="shared" si="3"/>
        <v>884.85786970467871</v>
      </c>
      <c r="W25" s="16">
        <f t="shared" si="4"/>
        <v>884.85786970467871</v>
      </c>
      <c r="X25" s="16">
        <f>SUM(W25:$W$96)</f>
        <v>127581.33582578223</v>
      </c>
      <c r="Y25">
        <f t="shared" si="5"/>
        <v>145663.33582578221</v>
      </c>
      <c r="Z25" s="17"/>
      <c r="AA25" s="17"/>
    </row>
    <row r="26" spans="1:29" x14ac:dyDescent="0.2">
      <c r="A26" s="1" t="s">
        <v>48</v>
      </c>
      <c r="B26" s="2">
        <v>1263215740</v>
      </c>
      <c r="C26" s="2">
        <v>114180</v>
      </c>
      <c r="D26" s="2">
        <v>7526</v>
      </c>
      <c r="E26" s="2">
        <v>4</v>
      </c>
      <c r="F26" s="3">
        <v>7.2</v>
      </c>
      <c r="G26" s="2">
        <v>0</v>
      </c>
      <c r="M26" t="s">
        <v>23</v>
      </c>
      <c r="S26" s="15">
        <f t="shared" si="0"/>
        <v>489044030</v>
      </c>
      <c r="T26" s="15">
        <f t="shared" si="1"/>
        <v>23770</v>
      </c>
      <c r="U26" s="15">
        <f t="shared" si="2"/>
        <v>221</v>
      </c>
      <c r="V26" s="16">
        <f t="shared" si="3"/>
        <v>5409.1807322198874</v>
      </c>
      <c r="W26" s="16">
        <f t="shared" si="4"/>
        <v>4283.0971273427922</v>
      </c>
      <c r="X26" s="16">
        <f>SUM(W26:$W$96)</f>
        <v>126696.47795607754</v>
      </c>
      <c r="Y26">
        <f t="shared" si="5"/>
        <v>144778.47795607755</v>
      </c>
      <c r="AC26">
        <f t="shared" ref="AC26:AC38" si="9">T26/5</f>
        <v>4754</v>
      </c>
    </row>
    <row r="27" spans="1:29" x14ac:dyDescent="0.2">
      <c r="A27" s="1" t="s">
        <v>49</v>
      </c>
      <c r="B27" s="2">
        <v>1771470000</v>
      </c>
      <c r="C27" s="2">
        <v>138960</v>
      </c>
      <c r="D27" s="2">
        <v>7929</v>
      </c>
      <c r="E27" s="2">
        <v>5</v>
      </c>
      <c r="F27" s="3">
        <v>5.3</v>
      </c>
      <c r="G27" s="2">
        <v>11</v>
      </c>
      <c r="M27" t="s">
        <v>42</v>
      </c>
      <c r="N27" t="s">
        <v>37</v>
      </c>
      <c r="P27">
        <f>4470-3750</f>
        <v>720</v>
      </c>
      <c r="S27" s="15">
        <f t="shared" si="0"/>
        <v>508254260</v>
      </c>
      <c r="T27" s="15">
        <f t="shared" si="1"/>
        <v>24780</v>
      </c>
      <c r="U27" s="15">
        <f t="shared" si="2"/>
        <v>403</v>
      </c>
      <c r="V27" s="16">
        <f t="shared" si="3"/>
        <v>4451.3422665966018</v>
      </c>
      <c r="W27" s="16">
        <f t="shared" si="4"/>
        <v>3657.558002302821</v>
      </c>
      <c r="X27" s="16">
        <f>SUM(W27:$W$96)</f>
        <v>122413.38082873476</v>
      </c>
      <c r="Y27">
        <f t="shared" si="5"/>
        <v>145249.38082873478</v>
      </c>
      <c r="AC27">
        <f t="shared" si="9"/>
        <v>4956</v>
      </c>
    </row>
    <row r="28" spans="1:29" x14ac:dyDescent="0.2">
      <c r="A28" s="1" t="s">
        <v>9</v>
      </c>
      <c r="B28" s="2">
        <v>1799750000</v>
      </c>
      <c r="C28" s="2">
        <v>140280</v>
      </c>
      <c r="D28" s="2">
        <v>7951</v>
      </c>
      <c r="E28" s="2">
        <v>5</v>
      </c>
      <c r="F28" s="3">
        <v>5.5</v>
      </c>
      <c r="G28" s="2">
        <v>12</v>
      </c>
      <c r="H28" s="2">
        <v>20</v>
      </c>
      <c r="I28" s="4">
        <v>1</v>
      </c>
      <c r="M28" t="s">
        <v>50</v>
      </c>
      <c r="P28">
        <f>830-350</f>
        <v>480</v>
      </c>
      <c r="S28" s="15">
        <f t="shared" si="0"/>
        <v>28280000</v>
      </c>
      <c r="T28" s="15">
        <f t="shared" si="1"/>
        <v>1320</v>
      </c>
      <c r="U28" s="15">
        <f t="shared" si="2"/>
        <v>22</v>
      </c>
      <c r="V28" s="16">
        <f t="shared" si="3"/>
        <v>203.51180195739781</v>
      </c>
      <c r="W28" s="16">
        <f t="shared" si="4"/>
        <v>201.59680638722554</v>
      </c>
      <c r="X28" s="16">
        <f>SUM(W28:$W$96)</f>
        <v>118755.82282643193</v>
      </c>
      <c r="Y28">
        <f t="shared" si="5"/>
        <v>146547.82282643195</v>
      </c>
      <c r="AC28">
        <f t="shared" si="9"/>
        <v>264</v>
      </c>
    </row>
    <row r="29" spans="1:29" x14ac:dyDescent="0.2">
      <c r="A29" s="1" t="s">
        <v>13</v>
      </c>
      <c r="B29" s="2">
        <v>1867360000</v>
      </c>
      <c r="C29" s="2">
        <v>140760</v>
      </c>
      <c r="D29" s="2">
        <v>8010</v>
      </c>
      <c r="E29" s="2">
        <v>6</v>
      </c>
      <c r="F29" s="3">
        <v>5.6</v>
      </c>
      <c r="G29" s="2">
        <v>12</v>
      </c>
      <c r="H29" s="2">
        <v>30</v>
      </c>
      <c r="I29" s="4">
        <f>H29-13.1</f>
        <v>16.899999999999999</v>
      </c>
      <c r="J29" s="2">
        <v>63588000</v>
      </c>
      <c r="K29" s="2">
        <v>84000000</v>
      </c>
      <c r="L29" t="s">
        <v>51</v>
      </c>
      <c r="S29" s="15">
        <f t="shared" si="0"/>
        <v>67610000</v>
      </c>
      <c r="T29" s="15">
        <f t="shared" si="1"/>
        <v>480</v>
      </c>
      <c r="U29" s="15">
        <f t="shared" si="2"/>
        <v>59</v>
      </c>
      <c r="V29" s="16">
        <f t="shared" si="3"/>
        <v>481.96464214428289</v>
      </c>
      <c r="W29" s="16">
        <f t="shared" si="4"/>
        <v>480.32111395282749</v>
      </c>
      <c r="X29" s="16">
        <f>SUM(W29:$W$96)</f>
        <v>118554.22602004472</v>
      </c>
      <c r="Y29">
        <f t="shared" si="5"/>
        <v>146610.22602004471</v>
      </c>
      <c r="Z29" s="16">
        <f>K29*0.75/Y29</f>
        <v>429.71081697525364</v>
      </c>
      <c r="AA29" s="16">
        <f>Z29/H29</f>
        <v>14.323693899175121</v>
      </c>
      <c r="AC29">
        <f t="shared" si="9"/>
        <v>96</v>
      </c>
    </row>
    <row r="30" spans="1:29" x14ac:dyDescent="0.2">
      <c r="A30" s="1" t="s">
        <v>52</v>
      </c>
      <c r="B30" s="2">
        <v>2277828510</v>
      </c>
      <c r="C30" s="2">
        <v>154590</v>
      </c>
      <c r="D30" s="2">
        <v>8239</v>
      </c>
      <c r="E30" s="2">
        <v>6</v>
      </c>
      <c r="F30" s="3">
        <v>5.8</v>
      </c>
      <c r="G30" s="2">
        <v>0</v>
      </c>
      <c r="M30" t="s">
        <v>23</v>
      </c>
      <c r="S30" s="15">
        <f t="shared" si="0"/>
        <v>410468510</v>
      </c>
      <c r="T30" s="15">
        <f t="shared" si="1"/>
        <v>13830</v>
      </c>
      <c r="U30" s="15">
        <f t="shared" si="2"/>
        <v>229</v>
      </c>
      <c r="V30" s="16">
        <f t="shared" si="3"/>
        <v>2916.0877379937483</v>
      </c>
      <c r="W30" s="16">
        <f t="shared" si="4"/>
        <v>2655.207387282489</v>
      </c>
      <c r="X30" s="16">
        <f>SUM(W30:$W$96)</f>
        <v>118073.90490609188</v>
      </c>
      <c r="Y30">
        <f t="shared" si="5"/>
        <v>146225.90490609186</v>
      </c>
      <c r="AC30">
        <f t="shared" si="9"/>
        <v>2766</v>
      </c>
    </row>
    <row r="31" spans="1:29" x14ac:dyDescent="0.2">
      <c r="A31" s="1" t="s">
        <v>20</v>
      </c>
      <c r="B31" s="2">
        <v>2315943400</v>
      </c>
      <c r="C31" s="2">
        <v>155560</v>
      </c>
      <c r="D31" s="2">
        <v>8290</v>
      </c>
      <c r="E31" s="2">
        <v>6</v>
      </c>
      <c r="F31" s="3">
        <v>6.2</v>
      </c>
      <c r="G31" s="2">
        <v>1</v>
      </c>
      <c r="H31" s="2">
        <v>35</v>
      </c>
      <c r="I31" s="4">
        <v>18</v>
      </c>
      <c r="S31" s="15">
        <f t="shared" si="0"/>
        <v>38114890</v>
      </c>
      <c r="T31" s="15">
        <f t="shared" si="1"/>
        <v>970</v>
      </c>
      <c r="U31" s="15">
        <f t="shared" si="2"/>
        <v>51</v>
      </c>
      <c r="V31" s="16">
        <f t="shared" si="3"/>
        <v>246.55469305905945</v>
      </c>
      <c r="W31" s="16">
        <f t="shared" si="4"/>
        <v>245.01729236307534</v>
      </c>
      <c r="X31" s="16">
        <f>SUM(W31:$W$96)</f>
        <v>115418.69751880939</v>
      </c>
      <c r="Y31">
        <f t="shared" si="5"/>
        <v>146336.69751880941</v>
      </c>
      <c r="AC31">
        <f t="shared" si="9"/>
        <v>194</v>
      </c>
    </row>
    <row r="32" spans="1:29" x14ac:dyDescent="0.2">
      <c r="A32" s="1" t="s">
        <v>22</v>
      </c>
      <c r="B32" s="2">
        <v>2398170000</v>
      </c>
      <c r="C32" s="2">
        <v>158870</v>
      </c>
      <c r="D32" s="2">
        <v>9825</v>
      </c>
      <c r="E32" s="2">
        <v>6</v>
      </c>
      <c r="F32" s="3">
        <v>6.6</v>
      </c>
      <c r="G32" s="2">
        <v>2</v>
      </c>
      <c r="H32" s="2">
        <v>45</v>
      </c>
      <c r="I32" s="4">
        <f>H32-44.2</f>
        <v>0.79999999999999716</v>
      </c>
      <c r="J32" s="2">
        <v>24694280</v>
      </c>
      <c r="K32" s="2">
        <v>93186000</v>
      </c>
      <c r="L32" t="s">
        <v>53</v>
      </c>
      <c r="S32" s="15">
        <f t="shared" si="0"/>
        <v>82226600</v>
      </c>
      <c r="T32" s="15">
        <f t="shared" si="1"/>
        <v>3310</v>
      </c>
      <c r="U32" s="15">
        <f t="shared" si="2"/>
        <v>1535</v>
      </c>
      <c r="V32" s="16">
        <f t="shared" si="3"/>
        <v>528.58446901517095</v>
      </c>
      <c r="W32" s="16">
        <f t="shared" si="4"/>
        <v>517.57159942091016</v>
      </c>
      <c r="X32" s="16">
        <f>SUM(W32:$W$96)</f>
        <v>115173.68022644632</v>
      </c>
      <c r="Y32">
        <f t="shared" si="5"/>
        <v>146285.6802264463</v>
      </c>
      <c r="Z32" s="16">
        <f>K32*0.75/Y32</f>
        <v>477.76036514177554</v>
      </c>
      <c r="AA32" s="16">
        <f>Z32/H32</f>
        <v>10.616897003150568</v>
      </c>
      <c r="AC32">
        <f t="shared" si="9"/>
        <v>662</v>
      </c>
    </row>
    <row r="33" spans="1:29" x14ac:dyDescent="0.2">
      <c r="A33" s="1" t="s">
        <v>24</v>
      </c>
      <c r="B33" s="2">
        <v>2631690000</v>
      </c>
      <c r="C33" s="2">
        <v>166250</v>
      </c>
      <c r="D33" s="2">
        <v>9892</v>
      </c>
      <c r="E33" s="2">
        <v>7</v>
      </c>
      <c r="F33" s="3">
        <v>5.9</v>
      </c>
      <c r="G33" s="2">
        <v>6</v>
      </c>
      <c r="H33" s="2">
        <v>35</v>
      </c>
      <c r="I33" s="4">
        <v>15</v>
      </c>
      <c r="L33" t="s">
        <v>16</v>
      </c>
      <c r="M33" t="s">
        <v>38</v>
      </c>
      <c r="P33">
        <f>950-480</f>
        <v>470</v>
      </c>
      <c r="S33" s="15">
        <f t="shared" si="0"/>
        <v>233520000</v>
      </c>
      <c r="T33" s="15">
        <f t="shared" si="1"/>
        <v>7380</v>
      </c>
      <c r="U33" s="15">
        <f t="shared" si="2"/>
        <v>67</v>
      </c>
      <c r="V33" s="16">
        <f t="shared" si="3"/>
        <v>1469.8810348083339</v>
      </c>
      <c r="W33" s="16">
        <f t="shared" si="4"/>
        <v>1404.6315789473683</v>
      </c>
      <c r="X33" s="16">
        <f>SUM(W33:$W$96)</f>
        <v>114656.1086270254</v>
      </c>
      <c r="Y33">
        <f t="shared" si="5"/>
        <v>146430.10862702539</v>
      </c>
      <c r="AC33">
        <f t="shared" si="9"/>
        <v>1476</v>
      </c>
    </row>
    <row r="34" spans="1:29" x14ac:dyDescent="0.2">
      <c r="A34" s="1" t="s">
        <v>26</v>
      </c>
      <c r="B34" s="2">
        <v>2746000000</v>
      </c>
      <c r="C34" s="2">
        <v>168200</v>
      </c>
      <c r="D34" s="2">
        <v>9999</v>
      </c>
      <c r="E34" s="2">
        <v>7</v>
      </c>
      <c r="F34" s="3">
        <v>6.2</v>
      </c>
      <c r="G34" s="2">
        <v>7</v>
      </c>
      <c r="H34" s="2">
        <v>45</v>
      </c>
      <c r="I34" s="4">
        <f>H34-14.6</f>
        <v>30.4</v>
      </c>
      <c r="J34" s="2">
        <v>81676920</v>
      </c>
      <c r="K34" s="2">
        <v>99606000</v>
      </c>
      <c r="L34" t="s">
        <v>54</v>
      </c>
      <c r="S34" s="15">
        <f t="shared" si="0"/>
        <v>114310000</v>
      </c>
      <c r="T34" s="15">
        <f t="shared" si="1"/>
        <v>1950</v>
      </c>
      <c r="U34" s="15">
        <f t="shared" si="2"/>
        <v>107</v>
      </c>
      <c r="V34" s="16">
        <f t="shared" si="3"/>
        <v>687.57894736842104</v>
      </c>
      <c r="W34" s="16">
        <f t="shared" si="4"/>
        <v>679.6076099881094</v>
      </c>
      <c r="X34" s="16">
        <f>SUM(W34:$W$96)</f>
        <v>113251.47704807801</v>
      </c>
      <c r="Y34">
        <f t="shared" si="5"/>
        <v>146501.47704807803</v>
      </c>
      <c r="Z34" s="16">
        <f>K34*0.75/Y34</f>
        <v>509.92318647738887</v>
      </c>
      <c r="AA34" s="16">
        <f>Z34/H34</f>
        <v>11.331626366164198</v>
      </c>
      <c r="AC34">
        <f t="shared" si="9"/>
        <v>390</v>
      </c>
    </row>
    <row r="35" spans="1:29" x14ac:dyDescent="0.2">
      <c r="A35" s="1" t="s">
        <v>55</v>
      </c>
      <c r="B35" s="2">
        <v>2767980000</v>
      </c>
      <c r="C35" s="2">
        <v>168630</v>
      </c>
      <c r="D35" s="2">
        <v>10025</v>
      </c>
      <c r="E35" s="2">
        <v>7</v>
      </c>
      <c r="F35" s="3">
        <v>6.3</v>
      </c>
      <c r="G35" s="2">
        <v>7</v>
      </c>
      <c r="H35" s="2">
        <v>35</v>
      </c>
      <c r="I35" s="4">
        <v>18</v>
      </c>
      <c r="S35" s="15">
        <f t="shared" ref="S35:S66" si="10">B35-B34</f>
        <v>21980000</v>
      </c>
      <c r="T35" s="15">
        <f t="shared" ref="T35:T66" si="11">C35-C34</f>
        <v>430</v>
      </c>
      <c r="U35" s="15">
        <f t="shared" ref="U35:U66" si="12">D35-D34</f>
        <v>26</v>
      </c>
      <c r="V35" s="16">
        <f t="shared" ref="V35:V66" si="13">S35/C34</f>
        <v>130.67776456599287</v>
      </c>
      <c r="W35" s="16">
        <f t="shared" ref="W35:W66" si="14">S35/C35</f>
        <v>130.34454130344542</v>
      </c>
      <c r="X35" s="16">
        <f>SUM(W35:$W$96)</f>
        <v>112571.86943808991</v>
      </c>
      <c r="Y35">
        <f t="shared" ref="Y35:Y66" si="15">X35+C34/5</f>
        <v>146211.8694380899</v>
      </c>
      <c r="AC35">
        <f t="shared" si="9"/>
        <v>86</v>
      </c>
    </row>
    <row r="36" spans="1:29" x14ac:dyDescent="0.2">
      <c r="A36" s="1" t="s">
        <v>43</v>
      </c>
      <c r="B36" s="2">
        <v>2850156800</v>
      </c>
      <c r="C36" s="2">
        <v>168880</v>
      </c>
      <c r="D36" s="2">
        <v>10090</v>
      </c>
      <c r="E36" s="2">
        <v>7</v>
      </c>
      <c r="F36" s="3">
        <v>6.3</v>
      </c>
      <c r="G36" s="2">
        <v>7</v>
      </c>
      <c r="H36" s="2">
        <v>45</v>
      </c>
      <c r="I36" s="4">
        <f>H36-16.583</f>
        <v>28.417000000000002</v>
      </c>
      <c r="J36" s="2">
        <v>79085980</v>
      </c>
      <c r="K36" s="2">
        <v>101028000</v>
      </c>
      <c r="L36" t="s">
        <v>56</v>
      </c>
      <c r="S36" s="15">
        <f t="shared" si="10"/>
        <v>82176800</v>
      </c>
      <c r="T36" s="15">
        <f t="shared" si="11"/>
        <v>250</v>
      </c>
      <c r="U36" s="15">
        <f t="shared" si="12"/>
        <v>65</v>
      </c>
      <c r="V36" s="16">
        <f t="shared" si="13"/>
        <v>487.32016841605883</v>
      </c>
      <c r="W36" s="16">
        <f t="shared" si="14"/>
        <v>486.5987683562293</v>
      </c>
      <c r="X36" s="16">
        <f>SUM(W36:$W$96)</f>
        <v>112441.52489678648</v>
      </c>
      <c r="Y36">
        <f t="shared" si="15"/>
        <v>146167.52489678649</v>
      </c>
      <c r="Z36" s="16">
        <f>K36*0.75/Y36</f>
        <v>518.38464155088002</v>
      </c>
      <c r="AA36" s="16">
        <f>Z36/H36</f>
        <v>11.519658701130668</v>
      </c>
      <c r="AC36">
        <f t="shared" si="9"/>
        <v>50</v>
      </c>
    </row>
    <row r="37" spans="1:29" x14ac:dyDescent="0.2">
      <c r="A37" s="1" t="s">
        <v>57</v>
      </c>
      <c r="B37" s="2">
        <v>2928991850</v>
      </c>
      <c r="C37" s="2">
        <v>170010</v>
      </c>
      <c r="D37" s="2">
        <v>10225</v>
      </c>
      <c r="E37" s="2">
        <v>7</v>
      </c>
      <c r="F37" s="3">
        <v>6.3</v>
      </c>
      <c r="G37" s="2">
        <v>7</v>
      </c>
      <c r="H37" s="2">
        <v>60</v>
      </c>
      <c r="I37" s="4">
        <f>H37-25.733</f>
        <v>34.266999999999996</v>
      </c>
      <c r="J37" s="2">
        <v>72679810</v>
      </c>
      <c r="K37" s="2">
        <v>101328000</v>
      </c>
      <c r="L37" t="s">
        <v>58</v>
      </c>
      <c r="S37" s="15">
        <f t="shared" si="10"/>
        <v>78835050</v>
      </c>
      <c r="T37" s="15">
        <f t="shared" si="11"/>
        <v>1130</v>
      </c>
      <c r="U37" s="15">
        <f t="shared" si="12"/>
        <v>135</v>
      </c>
      <c r="V37" s="16">
        <f t="shared" si="13"/>
        <v>466.81104926575085</v>
      </c>
      <c r="W37" s="16">
        <f t="shared" si="14"/>
        <v>463.70831127580732</v>
      </c>
      <c r="X37" s="16">
        <f>SUM(W37:$W$96)</f>
        <v>111954.92612843025</v>
      </c>
      <c r="Y37">
        <f t="shared" si="15"/>
        <v>145730.92612843023</v>
      </c>
      <c r="Z37" s="16">
        <f>K37*0.75/Y37</f>
        <v>521.48162383203407</v>
      </c>
      <c r="AA37" s="16">
        <f>Z37/H37</f>
        <v>8.6913603972005671</v>
      </c>
      <c r="AC37">
        <f t="shared" si="9"/>
        <v>226</v>
      </c>
    </row>
    <row r="38" spans="1:29" x14ac:dyDescent="0.2">
      <c r="A38" s="1" t="s">
        <v>31</v>
      </c>
      <c r="B38" s="2">
        <v>2977954170</v>
      </c>
      <c r="C38" s="2">
        <v>173190</v>
      </c>
      <c r="D38" s="2">
        <v>11446</v>
      </c>
      <c r="E38" s="2">
        <v>7</v>
      </c>
      <c r="F38" s="3">
        <v>6.7</v>
      </c>
      <c r="G38" s="2">
        <v>8</v>
      </c>
      <c r="H38" s="2">
        <v>90</v>
      </c>
      <c r="I38" s="4">
        <f>H38-20.666</f>
        <v>69.334000000000003</v>
      </c>
      <c r="J38" s="2">
        <v>0</v>
      </c>
      <c r="K38" s="2">
        <v>170010000</v>
      </c>
      <c r="L38" t="s">
        <v>59</v>
      </c>
      <c r="S38" s="15">
        <f t="shared" si="10"/>
        <v>48962320</v>
      </c>
      <c r="T38" s="15">
        <f t="shared" si="11"/>
        <v>3180</v>
      </c>
      <c r="U38" s="15">
        <f t="shared" si="12"/>
        <v>1221</v>
      </c>
      <c r="V38" s="16">
        <f t="shared" si="13"/>
        <v>287.99670607611318</v>
      </c>
      <c r="W38" s="16">
        <f t="shared" si="14"/>
        <v>282.70870142617935</v>
      </c>
      <c r="X38" s="16">
        <f>SUM(W38:$W$96)</f>
        <v>111491.21781715444</v>
      </c>
      <c r="Y38">
        <f t="shared" si="15"/>
        <v>145493.21781715442</v>
      </c>
      <c r="AC38">
        <f t="shared" si="9"/>
        <v>636</v>
      </c>
    </row>
    <row r="39" spans="1:29" s="10" customFormat="1" x14ac:dyDescent="0.2">
      <c r="A39" s="6" t="s">
        <v>60</v>
      </c>
      <c r="B39" s="7">
        <f>B38+180000000</f>
        <v>3157954170</v>
      </c>
      <c r="C39" s="7">
        <v>173190</v>
      </c>
      <c r="D39" s="7">
        <v>11446</v>
      </c>
      <c r="E39" s="7"/>
      <c r="F39" s="8"/>
      <c r="G39" s="7"/>
      <c r="H39" s="7"/>
      <c r="I39" s="9"/>
      <c r="J39" s="7"/>
      <c r="K39" s="7"/>
      <c r="S39" s="7">
        <f t="shared" si="10"/>
        <v>180000000</v>
      </c>
      <c r="T39" s="7">
        <f t="shared" si="11"/>
        <v>0</v>
      </c>
      <c r="U39" s="7">
        <f t="shared" si="12"/>
        <v>0</v>
      </c>
      <c r="V39" s="16">
        <f t="shared" si="13"/>
        <v>1039.3209769617183</v>
      </c>
      <c r="W39" s="16">
        <f t="shared" si="14"/>
        <v>1039.3209769617183</v>
      </c>
      <c r="X39" s="16">
        <f>SUM(W39:$W$96)</f>
        <v>111208.50911572824</v>
      </c>
      <c r="Y39">
        <f t="shared" si="15"/>
        <v>145846.50911572826</v>
      </c>
      <c r="Z39" s="17"/>
      <c r="AA39" s="17"/>
    </row>
    <row r="40" spans="1:29" x14ac:dyDescent="0.2">
      <c r="A40" s="1" t="s">
        <v>61</v>
      </c>
      <c r="B40" s="2">
        <v>3409133930</v>
      </c>
      <c r="C40" s="2">
        <v>183360</v>
      </c>
      <c r="D40" s="2">
        <v>11740</v>
      </c>
      <c r="E40" s="2">
        <v>7</v>
      </c>
      <c r="F40" s="3">
        <v>5.9</v>
      </c>
      <c r="G40" s="2">
        <v>12</v>
      </c>
      <c r="M40" t="s">
        <v>38</v>
      </c>
      <c r="P40">
        <f>3180-1680</f>
        <v>1500</v>
      </c>
      <c r="S40" s="15">
        <f t="shared" si="10"/>
        <v>251179760</v>
      </c>
      <c r="T40" s="15">
        <f t="shared" si="11"/>
        <v>10170</v>
      </c>
      <c r="U40" s="15">
        <f t="shared" si="12"/>
        <v>294</v>
      </c>
      <c r="V40" s="16">
        <f t="shared" si="13"/>
        <v>1450.3132975344997</v>
      </c>
      <c r="W40" s="16">
        <f t="shared" si="14"/>
        <v>1369.8721640488657</v>
      </c>
      <c r="X40" s="16">
        <f>SUM(W40:$W$96)</f>
        <v>110169.18813876655</v>
      </c>
      <c r="Y40">
        <f t="shared" si="15"/>
        <v>144807.18813876656</v>
      </c>
      <c r="AC40">
        <f t="shared" ref="AC40:AC53" si="16">T40/5</f>
        <v>2034</v>
      </c>
    </row>
    <row r="41" spans="1:29" x14ac:dyDescent="0.2">
      <c r="A41" s="1" t="s">
        <v>62</v>
      </c>
      <c r="B41" s="2">
        <v>3460489700</v>
      </c>
      <c r="C41" s="2">
        <v>184680</v>
      </c>
      <c r="D41" s="2">
        <v>12109</v>
      </c>
      <c r="E41" s="2">
        <v>7</v>
      </c>
      <c r="F41" s="3">
        <v>6.3</v>
      </c>
      <c r="G41" s="2">
        <v>12</v>
      </c>
      <c r="S41" s="15">
        <f t="shared" si="10"/>
        <v>51355770</v>
      </c>
      <c r="T41" s="15">
        <f t="shared" si="11"/>
        <v>1320</v>
      </c>
      <c r="U41" s="15">
        <f t="shared" si="12"/>
        <v>369</v>
      </c>
      <c r="V41" s="16">
        <f t="shared" si="13"/>
        <v>280.08164267015707</v>
      </c>
      <c r="W41" s="16">
        <f t="shared" si="14"/>
        <v>278.07975958414556</v>
      </c>
      <c r="X41" s="16">
        <f>SUM(W41:$W$96)</f>
        <v>108799.31597471768</v>
      </c>
      <c r="Y41">
        <f t="shared" si="15"/>
        <v>145471.31597471767</v>
      </c>
      <c r="AC41">
        <f t="shared" si="16"/>
        <v>264</v>
      </c>
    </row>
    <row r="42" spans="1:29" x14ac:dyDescent="0.2">
      <c r="A42" s="1" t="s">
        <v>63</v>
      </c>
      <c r="B42" s="2">
        <v>4279853270</v>
      </c>
      <c r="C42" s="2">
        <v>205520</v>
      </c>
      <c r="D42" s="2">
        <v>12424</v>
      </c>
      <c r="E42" s="2">
        <v>8</v>
      </c>
      <c r="F42" s="3">
        <v>6.6</v>
      </c>
      <c r="G42" s="2">
        <v>0</v>
      </c>
      <c r="M42" t="s">
        <v>23</v>
      </c>
      <c r="S42" s="15">
        <f t="shared" si="10"/>
        <v>819363570</v>
      </c>
      <c r="T42" s="15">
        <f t="shared" si="11"/>
        <v>20840</v>
      </c>
      <c r="U42" s="15">
        <f t="shared" si="12"/>
        <v>315</v>
      </c>
      <c r="V42" s="16">
        <f t="shared" si="13"/>
        <v>4436.6665042235218</v>
      </c>
      <c r="W42" s="16">
        <f t="shared" si="14"/>
        <v>3986.7826488906189</v>
      </c>
      <c r="X42" s="16">
        <f>SUM(W42:$W$96)</f>
        <v>108521.23621513353</v>
      </c>
      <c r="Y42">
        <f t="shared" si="15"/>
        <v>145457.23621513351</v>
      </c>
      <c r="AC42">
        <f t="shared" si="16"/>
        <v>4168</v>
      </c>
    </row>
    <row r="43" spans="1:29" x14ac:dyDescent="0.2">
      <c r="A43" s="1" t="s">
        <v>13</v>
      </c>
      <c r="B43" s="2">
        <v>4376147900</v>
      </c>
      <c r="C43" s="2">
        <v>207370</v>
      </c>
      <c r="D43" s="2">
        <v>12649</v>
      </c>
      <c r="E43" s="2">
        <v>8</v>
      </c>
      <c r="F43" s="3">
        <v>7.6</v>
      </c>
      <c r="G43" s="2">
        <v>0</v>
      </c>
      <c r="H43" s="2">
        <v>22</v>
      </c>
      <c r="I43" s="4">
        <f>H43-13.95</f>
        <v>8.0500000000000007</v>
      </c>
      <c r="J43" s="2">
        <v>82084080</v>
      </c>
      <c r="K43" s="2">
        <v>135643200</v>
      </c>
      <c r="L43" t="s">
        <v>67</v>
      </c>
      <c r="S43" s="15">
        <f t="shared" si="10"/>
        <v>96294630</v>
      </c>
      <c r="T43" s="15">
        <f t="shared" si="11"/>
        <v>1850</v>
      </c>
      <c r="U43" s="15">
        <f t="shared" si="12"/>
        <v>225</v>
      </c>
      <c r="V43" s="16">
        <f t="shared" si="13"/>
        <v>468.54140716231996</v>
      </c>
      <c r="W43" s="16">
        <f t="shared" si="14"/>
        <v>464.36143125813766</v>
      </c>
      <c r="X43" s="16">
        <f>SUM(W43:$W$96)</f>
        <v>104534.4535662429</v>
      </c>
      <c r="Y43">
        <f t="shared" si="15"/>
        <v>145638.45356624288</v>
      </c>
      <c r="Z43" s="16">
        <f>K43*0.75/Y43</f>
        <v>698.52705455793341</v>
      </c>
      <c r="AA43" s="16">
        <f>Z43/H43</f>
        <v>31.751229752633336</v>
      </c>
      <c r="AC43">
        <f t="shared" si="16"/>
        <v>370</v>
      </c>
    </row>
    <row r="44" spans="1:29" x14ac:dyDescent="0.2">
      <c r="A44" s="1" t="s">
        <v>64</v>
      </c>
      <c r="B44" s="2">
        <v>4887900000</v>
      </c>
      <c r="C44" s="2">
        <v>219990</v>
      </c>
      <c r="D44" s="2">
        <v>13282</v>
      </c>
      <c r="E44" s="2">
        <v>8</v>
      </c>
      <c r="F44" s="3">
        <v>7</v>
      </c>
      <c r="G44" s="2">
        <v>6</v>
      </c>
      <c r="M44" t="s">
        <v>65</v>
      </c>
      <c r="S44" s="15">
        <f t="shared" si="10"/>
        <v>511752100</v>
      </c>
      <c r="T44" s="15">
        <f t="shared" si="11"/>
        <v>12620</v>
      </c>
      <c r="U44" s="15">
        <f t="shared" si="12"/>
        <v>633</v>
      </c>
      <c r="V44" s="16">
        <f t="shared" si="13"/>
        <v>2467.8212856247287</v>
      </c>
      <c r="W44" s="16">
        <f t="shared" si="14"/>
        <v>2326.251647802173</v>
      </c>
      <c r="X44" s="16">
        <f>SUM(W44:$W$96)</f>
        <v>104070.09213498478</v>
      </c>
      <c r="Y44">
        <f t="shared" si="15"/>
        <v>145544.09213498479</v>
      </c>
      <c r="AC44">
        <f t="shared" si="16"/>
        <v>2524</v>
      </c>
    </row>
    <row r="45" spans="1:29" x14ac:dyDescent="0.2">
      <c r="A45" s="1" t="s">
        <v>66</v>
      </c>
      <c r="B45" s="2">
        <v>4967491240</v>
      </c>
      <c r="C45" s="2">
        <v>222930</v>
      </c>
      <c r="D45" s="2">
        <v>13636</v>
      </c>
      <c r="E45" s="2">
        <v>8</v>
      </c>
      <c r="F45" s="3">
        <v>7.4</v>
      </c>
      <c r="G45" s="2">
        <v>7</v>
      </c>
      <c r="M45" t="s">
        <v>50</v>
      </c>
      <c r="P45">
        <f>1640-460</f>
        <v>1180</v>
      </c>
      <c r="S45" s="15">
        <f t="shared" si="10"/>
        <v>79591240</v>
      </c>
      <c r="T45" s="15">
        <f t="shared" si="11"/>
        <v>2940</v>
      </c>
      <c r="U45" s="15">
        <f t="shared" si="12"/>
        <v>354</v>
      </c>
      <c r="V45" s="16">
        <f t="shared" si="13"/>
        <v>361.79480885494797</v>
      </c>
      <c r="W45" s="16">
        <f t="shared" si="14"/>
        <v>357.02346027901137</v>
      </c>
      <c r="X45" s="16">
        <f>SUM(W45:$W$96)</f>
        <v>101743.84048718259</v>
      </c>
      <c r="Y45">
        <f t="shared" si="15"/>
        <v>145741.84048718261</v>
      </c>
      <c r="AC45">
        <f t="shared" si="16"/>
        <v>588</v>
      </c>
    </row>
    <row r="46" spans="1:29" x14ac:dyDescent="0.2">
      <c r="A46" s="1" t="s">
        <v>20</v>
      </c>
      <c r="B46" s="2">
        <v>5081000000</v>
      </c>
      <c r="C46" s="2">
        <v>225140</v>
      </c>
      <c r="D46" s="2">
        <v>13918</v>
      </c>
      <c r="E46" s="2">
        <v>8</v>
      </c>
      <c r="F46" s="3">
        <v>8</v>
      </c>
      <c r="G46" s="2">
        <v>9</v>
      </c>
      <c r="H46" s="2">
        <v>45</v>
      </c>
      <c r="I46" s="4">
        <v>5</v>
      </c>
      <c r="S46" s="15">
        <f t="shared" si="10"/>
        <v>113508760</v>
      </c>
      <c r="T46" s="15">
        <f t="shared" si="11"/>
        <v>2210</v>
      </c>
      <c r="U46" s="15">
        <f t="shared" si="12"/>
        <v>282</v>
      </c>
      <c r="V46" s="16">
        <f t="shared" si="13"/>
        <v>509.1677208092226</v>
      </c>
      <c r="W46" s="16">
        <f t="shared" si="14"/>
        <v>504.16967220396197</v>
      </c>
      <c r="X46" s="16">
        <f>SUM(W46:$W$96)</f>
        <v>101386.81702690358</v>
      </c>
      <c r="Y46">
        <f t="shared" si="15"/>
        <v>145972.81702690356</v>
      </c>
      <c r="AC46">
        <f t="shared" si="16"/>
        <v>442</v>
      </c>
    </row>
    <row r="47" spans="1:29" x14ac:dyDescent="0.2">
      <c r="A47" s="1" t="s">
        <v>22</v>
      </c>
      <c r="B47" s="2">
        <v>5192597150</v>
      </c>
      <c r="C47" s="2">
        <v>226950</v>
      </c>
      <c r="D47" s="2">
        <v>14024</v>
      </c>
      <c r="E47" s="2">
        <v>8</v>
      </c>
      <c r="F47" s="3">
        <v>8</v>
      </c>
      <c r="G47" s="2">
        <v>9</v>
      </c>
      <c r="H47" s="2">
        <v>55</v>
      </c>
      <c r="I47" s="4">
        <f>H47-26.933</f>
        <v>28.067</v>
      </c>
      <c r="J47" s="2">
        <v>99506210</v>
      </c>
      <c r="K47" s="2">
        <v>148295400</v>
      </c>
      <c r="L47" t="s">
        <v>68</v>
      </c>
      <c r="S47" s="15">
        <f t="shared" si="10"/>
        <v>111597150</v>
      </c>
      <c r="T47" s="15">
        <f t="shared" si="11"/>
        <v>1810</v>
      </c>
      <c r="U47" s="15">
        <f t="shared" si="12"/>
        <v>106</v>
      </c>
      <c r="V47" s="16">
        <f t="shared" si="13"/>
        <v>495.6789108998845</v>
      </c>
      <c r="W47" s="16">
        <f t="shared" si="14"/>
        <v>491.72571050892265</v>
      </c>
      <c r="X47" s="16">
        <f>SUM(W47:$W$96)</f>
        <v>100882.64735469963</v>
      </c>
      <c r="Y47">
        <f t="shared" si="15"/>
        <v>145910.64735469961</v>
      </c>
      <c r="Z47" s="16">
        <f>K47*0.75/Y47</f>
        <v>762.25794358671715</v>
      </c>
      <c r="AA47" s="16">
        <f>Z47/H47</f>
        <v>13.859235337940312</v>
      </c>
      <c r="AC47">
        <f t="shared" si="16"/>
        <v>362</v>
      </c>
    </row>
    <row r="48" spans="1:29" x14ac:dyDescent="0.2">
      <c r="A48" s="1" t="s">
        <v>69</v>
      </c>
      <c r="B48" s="2">
        <v>5727820910</v>
      </c>
      <c r="C48" s="2">
        <v>239980</v>
      </c>
      <c r="D48" s="2">
        <v>14257</v>
      </c>
      <c r="E48" s="2">
        <v>8</v>
      </c>
      <c r="F48" s="3">
        <v>7.6</v>
      </c>
      <c r="G48" s="2">
        <v>12</v>
      </c>
      <c r="H48" s="2">
        <v>45</v>
      </c>
      <c r="I48" s="4">
        <v>3</v>
      </c>
      <c r="M48" t="s">
        <v>73</v>
      </c>
      <c r="P48">
        <f>8000-7050</f>
        <v>950</v>
      </c>
      <c r="S48" s="15">
        <f t="shared" si="10"/>
        <v>535223760</v>
      </c>
      <c r="T48" s="15">
        <f t="shared" si="11"/>
        <v>13030</v>
      </c>
      <c r="U48" s="15">
        <f t="shared" si="12"/>
        <v>233</v>
      </c>
      <c r="V48" s="16">
        <f t="shared" si="13"/>
        <v>2358.3333773959021</v>
      </c>
      <c r="W48" s="16">
        <f t="shared" si="14"/>
        <v>2230.2848570714227</v>
      </c>
      <c r="X48" s="16">
        <f>SUM(W48:$W$96)</f>
        <v>100390.92164419069</v>
      </c>
      <c r="Y48">
        <f t="shared" si="15"/>
        <v>145780.92164419068</v>
      </c>
      <c r="AC48">
        <f t="shared" si="16"/>
        <v>2606</v>
      </c>
    </row>
    <row r="49" spans="1:29" x14ac:dyDescent="0.2">
      <c r="A49" s="1" t="s">
        <v>70</v>
      </c>
      <c r="B49" s="2">
        <v>5849690000</v>
      </c>
      <c r="C49" s="2">
        <v>242230</v>
      </c>
      <c r="D49" s="2">
        <v>15054</v>
      </c>
      <c r="E49" s="2">
        <v>8</v>
      </c>
      <c r="F49" s="3">
        <v>8</v>
      </c>
      <c r="G49" s="2">
        <v>12</v>
      </c>
      <c r="H49" s="2">
        <v>50</v>
      </c>
      <c r="I49" s="4">
        <f>H49-47.416</f>
        <v>2.5840000000000032</v>
      </c>
      <c r="J49" s="2">
        <v>46342630</v>
      </c>
      <c r="K49" s="2">
        <v>158136000</v>
      </c>
      <c r="L49" t="s">
        <v>74</v>
      </c>
      <c r="S49" s="15">
        <f t="shared" si="10"/>
        <v>121869090</v>
      </c>
      <c r="T49" s="15">
        <f t="shared" si="11"/>
        <v>2250</v>
      </c>
      <c r="U49" s="15">
        <f t="shared" si="12"/>
        <v>797</v>
      </c>
      <c r="V49" s="16">
        <f t="shared" si="13"/>
        <v>507.83019418284857</v>
      </c>
      <c r="W49" s="16">
        <f t="shared" si="14"/>
        <v>503.11311563390166</v>
      </c>
      <c r="X49" s="16">
        <f>SUM(W49:$W$96)</f>
        <v>98160.636787119278</v>
      </c>
      <c r="Y49">
        <f t="shared" si="15"/>
        <v>146156.63678711926</v>
      </c>
      <c r="Z49" s="16">
        <f>K49*0.75/Y49</f>
        <v>811.47187433401825</v>
      </c>
      <c r="AA49" s="16">
        <f>Z49/H49</f>
        <v>16.229437486680364</v>
      </c>
      <c r="AC49">
        <f t="shared" si="16"/>
        <v>450</v>
      </c>
    </row>
    <row r="50" spans="1:29" x14ac:dyDescent="0.2">
      <c r="A50" s="1" t="s">
        <v>71</v>
      </c>
      <c r="B50" s="2">
        <v>5875290000</v>
      </c>
      <c r="C50" s="2">
        <v>242600</v>
      </c>
      <c r="D50" s="2">
        <v>15181</v>
      </c>
      <c r="E50" s="2">
        <v>8</v>
      </c>
      <c r="F50" s="3">
        <v>8.1999999999999993</v>
      </c>
      <c r="G50" s="2">
        <v>12</v>
      </c>
      <c r="H50" s="2">
        <v>45</v>
      </c>
      <c r="I50" s="4">
        <v>22</v>
      </c>
      <c r="S50" s="15">
        <f t="shared" si="10"/>
        <v>25600000</v>
      </c>
      <c r="T50" s="15">
        <f t="shared" si="11"/>
        <v>370</v>
      </c>
      <c r="U50" s="15">
        <f t="shared" si="12"/>
        <v>127</v>
      </c>
      <c r="V50" s="16">
        <f t="shared" si="13"/>
        <v>105.68467984972959</v>
      </c>
      <c r="W50" s="16">
        <f t="shared" si="14"/>
        <v>105.52349546578731</v>
      </c>
      <c r="X50" s="16">
        <f>SUM(W50:$W$96)</f>
        <v>97657.523671485382</v>
      </c>
      <c r="Y50">
        <f t="shared" si="15"/>
        <v>146103.52367148537</v>
      </c>
      <c r="AC50">
        <f t="shared" si="16"/>
        <v>74</v>
      </c>
    </row>
    <row r="51" spans="1:29" x14ac:dyDescent="0.2">
      <c r="A51" s="1" t="s">
        <v>72</v>
      </c>
      <c r="B51" s="2">
        <v>6020700000</v>
      </c>
      <c r="C51" s="2">
        <v>248260</v>
      </c>
      <c r="D51" s="2">
        <v>16249</v>
      </c>
      <c r="E51" s="2">
        <v>8</v>
      </c>
      <c r="F51" s="3">
        <v>8.6</v>
      </c>
      <c r="G51" s="2">
        <v>12</v>
      </c>
      <c r="H51" s="2">
        <v>50</v>
      </c>
      <c r="I51" s="4">
        <f>H51-45.383</f>
        <v>4.6169999999999973</v>
      </c>
      <c r="J51" s="2">
        <v>52297240</v>
      </c>
      <c r="K51" s="2">
        <v>159957600</v>
      </c>
      <c r="L51" t="s">
        <v>75</v>
      </c>
      <c r="S51" s="15">
        <f t="shared" si="10"/>
        <v>145410000</v>
      </c>
      <c r="T51" s="15">
        <f t="shared" si="11"/>
        <v>5660</v>
      </c>
      <c r="U51" s="15">
        <f t="shared" si="12"/>
        <v>1068</v>
      </c>
      <c r="V51" s="16">
        <f t="shared" si="13"/>
        <v>599.38169826875514</v>
      </c>
      <c r="W51" s="16">
        <f t="shared" si="14"/>
        <v>585.7165874486426</v>
      </c>
      <c r="X51" s="16">
        <f>SUM(W51:$W$96)</f>
        <v>97552.000176019574</v>
      </c>
      <c r="Y51">
        <f t="shared" si="15"/>
        <v>146072.00017601956</v>
      </c>
      <c r="Z51" s="16">
        <f>K51*0.75/Y51</f>
        <v>821.29497682948147</v>
      </c>
      <c r="AA51" s="16">
        <f>Z51/H51</f>
        <v>16.425899536589629</v>
      </c>
      <c r="AC51">
        <f t="shared" si="16"/>
        <v>1132</v>
      </c>
    </row>
    <row r="52" spans="1:29" x14ac:dyDescent="0.2">
      <c r="A52" s="1" t="s">
        <v>57</v>
      </c>
      <c r="B52" s="2">
        <v>6125595070</v>
      </c>
      <c r="C52" s="2">
        <v>249970</v>
      </c>
      <c r="D52" s="2">
        <v>16353</v>
      </c>
      <c r="E52" s="2">
        <v>8</v>
      </c>
      <c r="F52" s="3">
        <v>8.6</v>
      </c>
      <c r="G52" s="2">
        <v>12</v>
      </c>
      <c r="H52" s="2">
        <v>60</v>
      </c>
      <c r="I52" s="4">
        <f>H52-37.95</f>
        <v>22.049999999999997</v>
      </c>
      <c r="J52" s="2">
        <v>88550950</v>
      </c>
      <c r="K52" s="2">
        <v>180802400</v>
      </c>
      <c r="S52" s="15">
        <f t="shared" si="10"/>
        <v>104895070</v>
      </c>
      <c r="T52" s="15">
        <f t="shared" si="11"/>
        <v>1710</v>
      </c>
      <c r="U52" s="15">
        <f t="shared" si="12"/>
        <v>104</v>
      </c>
      <c r="V52" s="16">
        <f t="shared" si="13"/>
        <v>422.52102634334972</v>
      </c>
      <c r="W52" s="16">
        <f t="shared" si="14"/>
        <v>419.63063567628114</v>
      </c>
      <c r="X52" s="16">
        <f>SUM(W52:$W$96)</f>
        <v>96966.283588570936</v>
      </c>
      <c r="Y52">
        <f t="shared" si="15"/>
        <v>146618.28358857095</v>
      </c>
      <c r="Z52" s="16">
        <f>K52*0.75/Y52</f>
        <v>924.86282529752862</v>
      </c>
      <c r="AA52" s="16">
        <f>Z52/H52</f>
        <v>15.414380421625477</v>
      </c>
      <c r="AC52">
        <f t="shared" si="16"/>
        <v>342</v>
      </c>
    </row>
    <row r="53" spans="1:29" x14ac:dyDescent="0.2">
      <c r="A53" s="1" t="s">
        <v>31</v>
      </c>
      <c r="B53" s="2">
        <v>6347252150</v>
      </c>
      <c r="C53" s="2">
        <v>252040</v>
      </c>
      <c r="D53" s="2">
        <v>16746</v>
      </c>
      <c r="E53" s="2">
        <v>8</v>
      </c>
      <c r="F53" s="3">
        <v>8.6999999999999993</v>
      </c>
      <c r="G53" s="2">
        <v>12</v>
      </c>
      <c r="H53" s="2">
        <v>90</v>
      </c>
      <c r="I53" s="4">
        <f>H53-33.183</f>
        <v>56.817</v>
      </c>
      <c r="J53" s="2">
        <v>187808340</v>
      </c>
      <c r="K53" s="2">
        <v>249970000</v>
      </c>
      <c r="L53" t="s">
        <v>77</v>
      </c>
      <c r="S53" s="15">
        <f t="shared" si="10"/>
        <v>221657080</v>
      </c>
      <c r="T53" s="15">
        <f t="shared" si="11"/>
        <v>2070</v>
      </c>
      <c r="U53" s="15">
        <f t="shared" si="12"/>
        <v>393</v>
      </c>
      <c r="V53" s="16">
        <f t="shared" si="13"/>
        <v>886.73472816738013</v>
      </c>
      <c r="W53" s="16">
        <f t="shared" si="14"/>
        <v>879.45199174734171</v>
      </c>
      <c r="X53" s="16">
        <f>SUM(W53:$W$96)</f>
        <v>96546.65295289467</v>
      </c>
      <c r="Y53">
        <f t="shared" si="15"/>
        <v>146540.65295289468</v>
      </c>
      <c r="Z53" s="16">
        <f>K53*0.75/Y53</f>
        <v>1279.3548835916845</v>
      </c>
      <c r="AA53" s="16">
        <f>Z53/H53</f>
        <v>14.215054262129827</v>
      </c>
      <c r="AC53">
        <f t="shared" si="16"/>
        <v>414</v>
      </c>
    </row>
    <row r="54" spans="1:29" s="10" customFormat="1" x14ac:dyDescent="0.2">
      <c r="A54" s="6" t="s">
        <v>78</v>
      </c>
      <c r="B54" s="7">
        <f>B53+320000000</f>
        <v>6667252150</v>
      </c>
      <c r="C54" s="7">
        <v>252040</v>
      </c>
      <c r="D54" s="7">
        <v>16746</v>
      </c>
      <c r="E54" s="7"/>
      <c r="F54" s="8"/>
      <c r="G54" s="7"/>
      <c r="H54" s="7"/>
      <c r="I54" s="9"/>
      <c r="J54" s="7"/>
      <c r="K54" s="7"/>
      <c r="S54" s="7">
        <f t="shared" si="10"/>
        <v>320000000</v>
      </c>
      <c r="T54" s="7">
        <f t="shared" si="11"/>
        <v>0</v>
      </c>
      <c r="U54" s="7">
        <f t="shared" si="12"/>
        <v>0</v>
      </c>
      <c r="V54" s="16">
        <f t="shared" si="13"/>
        <v>1269.6397397238534</v>
      </c>
      <c r="W54" s="16">
        <f t="shared" si="14"/>
        <v>1269.6397397238534</v>
      </c>
      <c r="X54" s="16">
        <f>SUM(W54:$W$96)</f>
        <v>95667.200961147333</v>
      </c>
      <c r="Y54">
        <f t="shared" si="15"/>
        <v>146075.20096114732</v>
      </c>
      <c r="Z54" s="17"/>
      <c r="AA54" s="17"/>
    </row>
    <row r="55" spans="1:29" x14ac:dyDescent="0.2">
      <c r="A55" s="1" t="s">
        <v>79</v>
      </c>
      <c r="B55" s="2">
        <v>7778200000</v>
      </c>
      <c r="C55" s="2">
        <v>273110</v>
      </c>
      <c r="D55" s="2">
        <v>17204</v>
      </c>
      <c r="E55" s="2">
        <v>8</v>
      </c>
      <c r="F55" s="3">
        <v>8.6999999999999993</v>
      </c>
      <c r="G55" s="2">
        <v>0</v>
      </c>
      <c r="M55" t="s">
        <v>23</v>
      </c>
      <c r="N55" t="s">
        <v>81</v>
      </c>
      <c r="S55" s="15">
        <f t="shared" si="10"/>
        <v>1110947850</v>
      </c>
      <c r="T55" s="15">
        <f t="shared" si="11"/>
        <v>21070</v>
      </c>
      <c r="U55" s="15">
        <f t="shared" si="12"/>
        <v>458</v>
      </c>
      <c r="V55" s="16">
        <f t="shared" si="13"/>
        <v>4407.8235597524199</v>
      </c>
      <c r="W55" s="16">
        <f t="shared" si="14"/>
        <v>4067.767016952876</v>
      </c>
      <c r="X55" s="16">
        <f>SUM(W55:$W$96)</f>
        <v>94397.561221423457</v>
      </c>
      <c r="Y55">
        <f t="shared" si="15"/>
        <v>144805.56122142344</v>
      </c>
      <c r="AC55">
        <f t="shared" ref="AC55:AC76" si="17">T55/5</f>
        <v>4214</v>
      </c>
    </row>
    <row r="56" spans="1:29" x14ac:dyDescent="0.2">
      <c r="A56" s="1" t="s">
        <v>80</v>
      </c>
      <c r="B56" s="2">
        <v>8689036210</v>
      </c>
      <c r="C56" s="2">
        <v>292250</v>
      </c>
      <c r="D56" s="2">
        <v>17382</v>
      </c>
      <c r="E56" s="2">
        <v>8</v>
      </c>
      <c r="F56" s="3">
        <v>7.7</v>
      </c>
      <c r="G56" s="2">
        <v>7</v>
      </c>
      <c r="M56" t="s">
        <v>65</v>
      </c>
      <c r="N56" t="s">
        <v>82</v>
      </c>
      <c r="S56" s="15">
        <f t="shared" si="10"/>
        <v>910836210</v>
      </c>
      <c r="T56" s="15">
        <f t="shared" si="11"/>
        <v>19140</v>
      </c>
      <c r="U56" s="15">
        <f t="shared" si="12"/>
        <v>178</v>
      </c>
      <c r="V56" s="16">
        <f t="shared" si="13"/>
        <v>3335.0525795467029</v>
      </c>
      <c r="W56" s="16">
        <f t="shared" si="14"/>
        <v>3116.6337382378101</v>
      </c>
      <c r="X56" s="16">
        <f>SUM(W56:$W$96)</f>
        <v>90329.794204470571</v>
      </c>
      <c r="Y56">
        <f t="shared" si="15"/>
        <v>144951.79420447059</v>
      </c>
      <c r="AC56">
        <f t="shared" si="17"/>
        <v>3828</v>
      </c>
    </row>
    <row r="57" spans="1:29" x14ac:dyDescent="0.2">
      <c r="A57" s="1" t="s">
        <v>83</v>
      </c>
      <c r="B57" s="2">
        <v>9428662120</v>
      </c>
      <c r="C57" s="2">
        <v>308590</v>
      </c>
      <c r="D57" s="2">
        <v>17530</v>
      </c>
      <c r="E57" s="2">
        <v>8</v>
      </c>
      <c r="F57" s="3">
        <v>6.8</v>
      </c>
      <c r="G57" s="2">
        <v>12</v>
      </c>
      <c r="M57" t="s">
        <v>50</v>
      </c>
      <c r="N57" t="s">
        <v>84</v>
      </c>
      <c r="P57">
        <f>3780-2300</f>
        <v>1480</v>
      </c>
      <c r="S57" s="15">
        <f t="shared" si="10"/>
        <v>739625910</v>
      </c>
      <c r="T57" s="15">
        <f t="shared" si="11"/>
        <v>16340</v>
      </c>
      <c r="U57" s="15">
        <f t="shared" si="12"/>
        <v>148</v>
      </c>
      <c r="V57" s="16">
        <f t="shared" si="13"/>
        <v>2530.7986655260906</v>
      </c>
      <c r="W57" s="16">
        <f t="shared" si="14"/>
        <v>2396.7915681000682</v>
      </c>
      <c r="X57" s="16">
        <f>SUM(W57:$W$96)</f>
        <v>87213.160466232788</v>
      </c>
      <c r="Y57">
        <f t="shared" si="15"/>
        <v>145663.1604662328</v>
      </c>
      <c r="AC57">
        <f t="shared" si="17"/>
        <v>3268</v>
      </c>
    </row>
    <row r="58" spans="1:29" x14ac:dyDescent="0.2">
      <c r="A58" s="1" t="s">
        <v>85</v>
      </c>
      <c r="B58" s="2">
        <v>10545718190</v>
      </c>
      <c r="C58" s="2">
        <v>323800</v>
      </c>
      <c r="D58" s="2">
        <v>17572</v>
      </c>
      <c r="E58" s="2">
        <v>8</v>
      </c>
      <c r="F58" s="3">
        <v>7.8</v>
      </c>
      <c r="G58" s="2">
        <v>0</v>
      </c>
      <c r="H58" s="2">
        <v>33</v>
      </c>
      <c r="I58" s="4">
        <f>H58-8.55</f>
        <v>24.45</v>
      </c>
      <c r="J58" s="2">
        <v>201057400</v>
      </c>
      <c r="K58" s="2">
        <v>222184800</v>
      </c>
      <c r="L58" t="s">
        <v>86</v>
      </c>
      <c r="M58" t="s">
        <v>23</v>
      </c>
      <c r="S58" s="15">
        <f t="shared" si="10"/>
        <v>1117056070</v>
      </c>
      <c r="T58" s="15">
        <f t="shared" si="11"/>
        <v>15210</v>
      </c>
      <c r="U58" s="15">
        <f t="shared" si="12"/>
        <v>42</v>
      </c>
      <c r="V58" s="16">
        <f t="shared" si="13"/>
        <v>3619.8712531190254</v>
      </c>
      <c r="W58" s="16">
        <f t="shared" si="14"/>
        <v>3449.8334465719581</v>
      </c>
      <c r="X58" s="16">
        <f>SUM(W58:$W$96)</f>
        <v>84816.368898132714</v>
      </c>
      <c r="Y58">
        <f t="shared" si="15"/>
        <v>146534.3688981327</v>
      </c>
      <c r="Z58" s="16">
        <f>K58*0.75/Y58</f>
        <v>1137.1980597660558</v>
      </c>
      <c r="AA58" s="16">
        <f>Z58/H58</f>
        <v>34.460547265638056</v>
      </c>
      <c r="AC58">
        <f t="shared" si="17"/>
        <v>3042</v>
      </c>
    </row>
    <row r="59" spans="1:29" x14ac:dyDescent="0.2">
      <c r="A59" s="1" t="s">
        <v>87</v>
      </c>
      <c r="B59" s="2">
        <v>11416540000</v>
      </c>
      <c r="C59" s="2">
        <v>339340</v>
      </c>
      <c r="D59" s="2">
        <v>17775</v>
      </c>
      <c r="E59" s="2">
        <v>8</v>
      </c>
      <c r="F59" s="3">
        <v>6.8</v>
      </c>
      <c r="G59" s="2">
        <v>7</v>
      </c>
      <c r="M59" t="s">
        <v>84</v>
      </c>
      <c r="S59" s="15">
        <f t="shared" si="10"/>
        <v>870821810</v>
      </c>
      <c r="T59" s="15">
        <f t="shared" si="11"/>
        <v>15540</v>
      </c>
      <c r="U59" s="15">
        <f t="shared" si="12"/>
        <v>203</v>
      </c>
      <c r="V59" s="16">
        <f t="shared" si="13"/>
        <v>2689.3817479925879</v>
      </c>
      <c r="W59" s="16">
        <f t="shared" si="14"/>
        <v>2566.2221076206756</v>
      </c>
      <c r="X59" s="16">
        <f>SUM(W59:$W$96)</f>
        <v>81366.535451560761</v>
      </c>
      <c r="Y59">
        <f t="shared" si="15"/>
        <v>146126.53545156075</v>
      </c>
      <c r="AC59">
        <f t="shared" si="17"/>
        <v>3108</v>
      </c>
    </row>
    <row r="60" spans="1:29" x14ac:dyDescent="0.2">
      <c r="A60" s="1" t="s">
        <v>88</v>
      </c>
      <c r="B60" s="2">
        <v>12005000000</v>
      </c>
      <c r="C60" s="2">
        <v>348000</v>
      </c>
      <c r="D60" s="2">
        <v>17811</v>
      </c>
      <c r="E60" s="2">
        <v>8</v>
      </c>
      <c r="F60" s="3">
        <v>5.9</v>
      </c>
      <c r="G60" s="2">
        <v>12</v>
      </c>
      <c r="M60" t="s">
        <v>50</v>
      </c>
      <c r="N60" t="s">
        <v>37</v>
      </c>
      <c r="P60">
        <v>100</v>
      </c>
      <c r="S60" s="15">
        <f t="shared" si="10"/>
        <v>588460000</v>
      </c>
      <c r="T60" s="15">
        <f t="shared" si="11"/>
        <v>8660</v>
      </c>
      <c r="U60" s="15">
        <f t="shared" si="12"/>
        <v>36</v>
      </c>
      <c r="V60" s="16">
        <f t="shared" si="13"/>
        <v>1734.1309600990157</v>
      </c>
      <c r="W60" s="16">
        <f t="shared" si="14"/>
        <v>1690.9770114942528</v>
      </c>
      <c r="X60" s="16">
        <f>SUM(W60:$W$96)</f>
        <v>78800.313343940084</v>
      </c>
      <c r="Y60">
        <f t="shared" si="15"/>
        <v>146668.31334394007</v>
      </c>
      <c r="AC60">
        <f t="shared" si="17"/>
        <v>1732</v>
      </c>
    </row>
    <row r="61" spans="1:29" x14ac:dyDescent="0.2">
      <c r="A61" s="1" t="s">
        <v>89</v>
      </c>
      <c r="B61" s="2">
        <v>15059617480</v>
      </c>
      <c r="C61" s="2">
        <v>389490</v>
      </c>
      <c r="D61" s="2">
        <v>18168</v>
      </c>
      <c r="E61" s="2">
        <v>7</v>
      </c>
      <c r="F61" s="3">
        <v>6.2</v>
      </c>
      <c r="G61" s="2">
        <v>0</v>
      </c>
      <c r="M61" t="s">
        <v>50</v>
      </c>
      <c r="N61" t="s">
        <v>23</v>
      </c>
      <c r="O61" t="s">
        <v>82</v>
      </c>
      <c r="P61">
        <v>700</v>
      </c>
      <c r="S61" s="15">
        <f t="shared" si="10"/>
        <v>3054617480</v>
      </c>
      <c r="T61" s="15">
        <f t="shared" si="11"/>
        <v>41490</v>
      </c>
      <c r="U61" s="15">
        <f t="shared" si="12"/>
        <v>357</v>
      </c>
      <c r="V61" s="16">
        <f t="shared" si="13"/>
        <v>8777.6364367816095</v>
      </c>
      <c r="W61" s="16">
        <f t="shared" si="14"/>
        <v>7842.6082312767976</v>
      </c>
      <c r="X61" s="16">
        <f>SUM(W61:$W$96)</f>
        <v>77109.336332445833</v>
      </c>
      <c r="Y61">
        <f t="shared" si="15"/>
        <v>146709.33633244585</v>
      </c>
      <c r="AC61">
        <f t="shared" si="17"/>
        <v>8298</v>
      </c>
    </row>
    <row r="62" spans="1:29" x14ac:dyDescent="0.2">
      <c r="A62" s="1" t="s">
        <v>90</v>
      </c>
      <c r="B62" s="2">
        <v>16089394460</v>
      </c>
      <c r="C62" s="2">
        <v>403970</v>
      </c>
      <c r="D62" s="2">
        <v>18266</v>
      </c>
      <c r="E62" s="2">
        <v>7</v>
      </c>
      <c r="F62" s="3">
        <v>5.3</v>
      </c>
      <c r="G62" s="2">
        <v>7</v>
      </c>
      <c r="M62" t="s">
        <v>37</v>
      </c>
      <c r="S62" s="15">
        <f t="shared" si="10"/>
        <v>1029776980</v>
      </c>
      <c r="T62" s="15">
        <f t="shared" si="11"/>
        <v>14480</v>
      </c>
      <c r="U62" s="15">
        <f t="shared" si="12"/>
        <v>98</v>
      </c>
      <c r="V62" s="16">
        <f t="shared" si="13"/>
        <v>2643.9112172327914</v>
      </c>
      <c r="W62" s="16">
        <f t="shared" si="14"/>
        <v>2549.1422135307075</v>
      </c>
      <c r="X62" s="16">
        <f>SUM(W62:$W$96)</f>
        <v>69266.72810116905</v>
      </c>
      <c r="Y62">
        <f t="shared" si="15"/>
        <v>147164.72810116905</v>
      </c>
      <c r="AC62">
        <f t="shared" si="17"/>
        <v>2896</v>
      </c>
    </row>
    <row r="63" spans="1:29" x14ac:dyDescent="0.2">
      <c r="A63" s="1" t="s">
        <v>9</v>
      </c>
      <c r="B63" s="2">
        <v>16123900000</v>
      </c>
      <c r="C63" s="2">
        <v>404650</v>
      </c>
      <c r="D63" s="2">
        <v>18322</v>
      </c>
      <c r="E63" s="2">
        <v>7</v>
      </c>
      <c r="F63" s="3">
        <v>5.3</v>
      </c>
      <c r="G63" s="2">
        <v>7</v>
      </c>
      <c r="H63" s="2">
        <v>25</v>
      </c>
      <c r="I63" s="4">
        <v>10</v>
      </c>
      <c r="M63" t="s">
        <v>50</v>
      </c>
      <c r="P63">
        <v>300</v>
      </c>
      <c r="S63" s="15">
        <f t="shared" si="10"/>
        <v>34505540</v>
      </c>
      <c r="T63" s="15">
        <f t="shared" si="11"/>
        <v>680</v>
      </c>
      <c r="U63" s="15">
        <f t="shared" si="12"/>
        <v>56</v>
      </c>
      <c r="V63" s="16">
        <f t="shared" si="13"/>
        <v>85.416095254598119</v>
      </c>
      <c r="W63" s="16">
        <f t="shared" si="14"/>
        <v>85.272556530334853</v>
      </c>
      <c r="X63" s="16">
        <f>SUM(W63:$W$96)</f>
        <v>66717.585887638328</v>
      </c>
      <c r="Y63">
        <f t="shared" si="15"/>
        <v>147511.58588763833</v>
      </c>
      <c r="AC63">
        <f t="shared" si="17"/>
        <v>136</v>
      </c>
    </row>
    <row r="64" spans="1:29" x14ac:dyDescent="0.2">
      <c r="A64" s="1" t="s">
        <v>91</v>
      </c>
      <c r="B64" s="2">
        <v>16358854950</v>
      </c>
      <c r="C64" s="2">
        <v>405710</v>
      </c>
      <c r="D64" s="2">
        <v>18372</v>
      </c>
      <c r="E64" s="2">
        <v>8</v>
      </c>
      <c r="F64" s="3">
        <v>5.5</v>
      </c>
      <c r="G64" s="2">
        <v>8</v>
      </c>
      <c r="H64" s="2">
        <v>35</v>
      </c>
      <c r="I64" s="4">
        <f>H64-18.916</f>
        <v>16.084</v>
      </c>
      <c r="J64" s="2">
        <v>189870490</v>
      </c>
      <c r="K64" s="2">
        <v>291175200</v>
      </c>
      <c r="L64" t="s">
        <v>92</v>
      </c>
      <c r="S64" s="15">
        <f t="shared" si="10"/>
        <v>234954950</v>
      </c>
      <c r="T64" s="15">
        <f t="shared" si="11"/>
        <v>1060</v>
      </c>
      <c r="U64" s="15">
        <f t="shared" si="12"/>
        <v>50</v>
      </c>
      <c r="V64" s="16">
        <f t="shared" si="13"/>
        <v>580.6374644754726</v>
      </c>
      <c r="W64" s="16">
        <f t="shared" si="14"/>
        <v>579.1204308496217</v>
      </c>
      <c r="X64" s="16">
        <f>SUM(W64:$W$96)</f>
        <v>66632.313331108002</v>
      </c>
      <c r="Y64">
        <f t="shared" si="15"/>
        <v>147562.31333110802</v>
      </c>
      <c r="Z64" s="16">
        <f>K64*0.75/Y64</f>
        <v>1479.9266497671695</v>
      </c>
      <c r="AA64" s="16">
        <f>Z64/H64</f>
        <v>42.283618564776269</v>
      </c>
      <c r="AC64">
        <f t="shared" si="17"/>
        <v>212</v>
      </c>
    </row>
    <row r="65" spans="1:29" x14ac:dyDescent="0.2">
      <c r="A65" s="1" t="s">
        <v>93</v>
      </c>
      <c r="B65" s="2">
        <v>16567000000</v>
      </c>
      <c r="C65" s="2">
        <v>408210</v>
      </c>
      <c r="D65" s="2">
        <v>19721</v>
      </c>
      <c r="E65" s="2">
        <v>8</v>
      </c>
      <c r="F65" s="3">
        <v>6.4</v>
      </c>
      <c r="G65" s="2">
        <v>10</v>
      </c>
      <c r="S65" s="15">
        <f t="shared" si="10"/>
        <v>208145050</v>
      </c>
      <c r="T65" s="15">
        <f t="shared" si="11"/>
        <v>2500</v>
      </c>
      <c r="U65" s="15">
        <f t="shared" si="12"/>
        <v>1349</v>
      </c>
      <c r="V65" s="16">
        <f t="shared" si="13"/>
        <v>513.03899336964832</v>
      </c>
      <c r="W65" s="16">
        <f t="shared" si="14"/>
        <v>509.89698929472576</v>
      </c>
      <c r="X65" s="16">
        <f>SUM(W65:$W$96)</f>
        <v>66053.192900258378</v>
      </c>
      <c r="Y65">
        <f t="shared" si="15"/>
        <v>147195.19290025838</v>
      </c>
      <c r="AC65">
        <f t="shared" si="17"/>
        <v>500</v>
      </c>
    </row>
    <row r="66" spans="1:29" x14ac:dyDescent="0.2">
      <c r="A66" s="1" t="s">
        <v>94</v>
      </c>
      <c r="B66" s="2">
        <v>17508591470</v>
      </c>
      <c r="C66" s="2">
        <v>419100</v>
      </c>
      <c r="D66" s="2">
        <v>19779</v>
      </c>
      <c r="E66" s="2">
        <v>8</v>
      </c>
      <c r="F66" s="3">
        <v>6.3</v>
      </c>
      <c r="G66" s="2">
        <v>12</v>
      </c>
      <c r="M66" t="s">
        <v>37</v>
      </c>
      <c r="S66" s="15">
        <f t="shared" si="10"/>
        <v>941591470</v>
      </c>
      <c r="T66" s="15">
        <f t="shared" si="11"/>
        <v>10890</v>
      </c>
      <c r="U66" s="15">
        <f t="shared" si="12"/>
        <v>58</v>
      </c>
      <c r="V66" s="16">
        <f t="shared" si="13"/>
        <v>2306.6349917934394</v>
      </c>
      <c r="W66" s="16">
        <f t="shared" si="14"/>
        <v>2246.6988069673107</v>
      </c>
      <c r="X66" s="16">
        <f>SUM(W66:$W$96)</f>
        <v>65543.295910963643</v>
      </c>
      <c r="Y66">
        <f t="shared" si="15"/>
        <v>147185.29591096364</v>
      </c>
      <c r="AC66">
        <f t="shared" si="17"/>
        <v>2178</v>
      </c>
    </row>
    <row r="67" spans="1:29" x14ac:dyDescent="0.2">
      <c r="A67" s="1" t="s">
        <v>20</v>
      </c>
      <c r="B67" s="2">
        <v>17626682180</v>
      </c>
      <c r="C67" s="2">
        <v>421640</v>
      </c>
      <c r="D67" s="2">
        <v>20770</v>
      </c>
      <c r="E67" s="2">
        <v>8</v>
      </c>
      <c r="F67" s="3">
        <v>6.7</v>
      </c>
      <c r="G67" s="2">
        <v>12</v>
      </c>
      <c r="H67" s="2">
        <v>55</v>
      </c>
      <c r="I67" s="4">
        <v>1</v>
      </c>
      <c r="M67" t="s">
        <v>50</v>
      </c>
      <c r="P67">
        <v>1200</v>
      </c>
      <c r="S67" s="15">
        <f t="shared" ref="S67:S96" si="18">B67-B66</f>
        <v>118090710</v>
      </c>
      <c r="T67" s="15">
        <f t="shared" ref="T67:T96" si="19">C67-C66</f>
        <v>2540</v>
      </c>
      <c r="U67" s="15">
        <f t="shared" ref="U67:U96" si="20">D67-D66</f>
        <v>991</v>
      </c>
      <c r="V67" s="16">
        <f t="shared" ref="V67:V96" si="21">S67/C66</f>
        <v>281.77215461703651</v>
      </c>
      <c r="W67" s="16">
        <f t="shared" ref="W67:W96" si="22">S67/C67</f>
        <v>280.07473199886158</v>
      </c>
      <c r="X67" s="16">
        <f>SUM(W67:$W$96)</f>
        <v>63296.597103996333</v>
      </c>
      <c r="Y67">
        <f t="shared" ref="Y67:Y96" si="23">X67+C66/5</f>
        <v>147116.59710399632</v>
      </c>
      <c r="AC67">
        <f t="shared" si="17"/>
        <v>508</v>
      </c>
    </row>
    <row r="68" spans="1:29" x14ac:dyDescent="0.2">
      <c r="A68" s="1" t="s">
        <v>22</v>
      </c>
      <c r="B68" s="2">
        <v>19715143000</v>
      </c>
      <c r="C68" s="2">
        <v>442820</v>
      </c>
      <c r="D68" s="2">
        <v>20912</v>
      </c>
      <c r="E68" s="2">
        <v>8</v>
      </c>
      <c r="F68" s="3">
        <v>6.7</v>
      </c>
      <c r="G68" s="2">
        <v>0</v>
      </c>
      <c r="H68" s="2">
        <v>60</v>
      </c>
      <c r="I68" s="4">
        <f>H68-24.533</f>
        <v>35.466999999999999</v>
      </c>
      <c r="J68" s="2">
        <v>222585850</v>
      </c>
      <c r="K68" s="2">
        <v>303400000</v>
      </c>
      <c r="L68" t="s">
        <v>95</v>
      </c>
      <c r="M68" t="s">
        <v>23</v>
      </c>
      <c r="S68" s="15">
        <f t="shared" si="18"/>
        <v>2088460820</v>
      </c>
      <c r="T68" s="15">
        <f t="shared" si="19"/>
        <v>21180</v>
      </c>
      <c r="U68" s="15">
        <f t="shared" si="20"/>
        <v>142</v>
      </c>
      <c r="V68" s="16">
        <f t="shared" si="21"/>
        <v>4953.1847547670995</v>
      </c>
      <c r="W68" s="16">
        <f t="shared" si="22"/>
        <v>4716.2748295018291</v>
      </c>
      <c r="X68" s="16">
        <f>SUM(W68:$W$96)</f>
        <v>63016.522371997475</v>
      </c>
      <c r="Y68">
        <f t="shared" si="23"/>
        <v>147344.52237199747</v>
      </c>
      <c r="Z68" s="16">
        <f>K68*0.75/Y68</f>
        <v>1544.3397306993843</v>
      </c>
      <c r="AA68" s="16">
        <f>Z68/H68</f>
        <v>25.738995511656405</v>
      </c>
      <c r="AC68">
        <f t="shared" si="17"/>
        <v>4236</v>
      </c>
    </row>
    <row r="69" spans="1:29" x14ac:dyDescent="0.2">
      <c r="A69" s="1" t="s">
        <v>69</v>
      </c>
      <c r="B69" s="2">
        <v>19893828630</v>
      </c>
      <c r="C69" s="2">
        <v>444680</v>
      </c>
      <c r="D69" s="2">
        <v>22779</v>
      </c>
      <c r="E69" s="2">
        <v>7</v>
      </c>
      <c r="F69" s="3">
        <v>7.3</v>
      </c>
      <c r="G69" s="2">
        <v>1</v>
      </c>
      <c r="H69" s="2">
        <v>55</v>
      </c>
      <c r="I69" s="4">
        <v>1</v>
      </c>
      <c r="M69" t="s">
        <v>82</v>
      </c>
      <c r="S69" s="15">
        <f t="shared" si="18"/>
        <v>178685630</v>
      </c>
      <c r="T69" s="15">
        <f t="shared" si="19"/>
        <v>1860</v>
      </c>
      <c r="U69" s="15">
        <f t="shared" si="20"/>
        <v>1867</v>
      </c>
      <c r="V69" s="16">
        <f t="shared" si="21"/>
        <v>403.51752405040423</v>
      </c>
      <c r="W69" s="16">
        <f t="shared" si="22"/>
        <v>401.82969776018712</v>
      </c>
      <c r="X69" s="16">
        <f>SUM(W69:$W$96)</f>
        <v>58300.247542495643</v>
      </c>
      <c r="Y69">
        <f t="shared" si="23"/>
        <v>146864.24754249564</v>
      </c>
      <c r="AC69">
        <f t="shared" si="17"/>
        <v>372</v>
      </c>
    </row>
    <row r="70" spans="1:29" x14ac:dyDescent="0.2">
      <c r="A70" s="1" t="s">
        <v>70</v>
      </c>
      <c r="B70" s="2">
        <v>20176800000</v>
      </c>
      <c r="C70" s="2">
        <v>447400</v>
      </c>
      <c r="D70" s="2">
        <v>23034</v>
      </c>
      <c r="E70" s="2">
        <v>8</v>
      </c>
      <c r="F70" s="3">
        <v>7.5</v>
      </c>
      <c r="G70" s="2">
        <v>2</v>
      </c>
      <c r="H70" s="2">
        <v>55</v>
      </c>
      <c r="I70" s="4">
        <f>H70-36.6</f>
        <v>18.399999999999999</v>
      </c>
      <c r="J70" s="2">
        <v>168397840</v>
      </c>
      <c r="K70" s="2">
        <v>320148000</v>
      </c>
      <c r="L70" t="s">
        <v>96</v>
      </c>
      <c r="S70" s="15">
        <f t="shared" si="18"/>
        <v>282971370</v>
      </c>
      <c r="T70" s="15">
        <f t="shared" si="19"/>
        <v>2720</v>
      </c>
      <c r="U70" s="15">
        <f t="shared" si="20"/>
        <v>255</v>
      </c>
      <c r="V70" s="16">
        <f t="shared" si="21"/>
        <v>636.34831789151747</v>
      </c>
      <c r="W70" s="16">
        <f t="shared" si="22"/>
        <v>632.47959320518555</v>
      </c>
      <c r="X70" s="16">
        <f>SUM(W70:$W$96)</f>
        <v>57898.417844735457</v>
      </c>
      <c r="Y70">
        <f t="shared" si="23"/>
        <v>146834.41784473546</v>
      </c>
      <c r="Z70" s="16">
        <f>K70*0.75/Y70</f>
        <v>1635.2501240812378</v>
      </c>
      <c r="AA70" s="16">
        <f>Z70/H70</f>
        <v>29.731820437840689</v>
      </c>
      <c r="AC70">
        <f t="shared" si="17"/>
        <v>544</v>
      </c>
    </row>
    <row r="71" spans="1:29" x14ac:dyDescent="0.2">
      <c r="A71" s="1" t="s">
        <v>71</v>
      </c>
      <c r="B71" s="2">
        <v>20219000000</v>
      </c>
      <c r="C71" s="2">
        <v>447720</v>
      </c>
      <c r="D71" s="2">
        <v>23111</v>
      </c>
      <c r="E71" s="2">
        <v>8</v>
      </c>
      <c r="F71" s="3">
        <v>7.6</v>
      </c>
      <c r="G71" s="2">
        <v>2</v>
      </c>
      <c r="H71" s="2">
        <v>55</v>
      </c>
      <c r="I71" s="4">
        <v>35</v>
      </c>
      <c r="S71" s="15">
        <f t="shared" si="18"/>
        <v>42200000</v>
      </c>
      <c r="T71" s="15">
        <f t="shared" si="19"/>
        <v>320</v>
      </c>
      <c r="U71" s="15">
        <f t="shared" si="20"/>
        <v>77</v>
      </c>
      <c r="V71" s="16">
        <f t="shared" si="21"/>
        <v>94.322753687974966</v>
      </c>
      <c r="W71" s="16">
        <f t="shared" si="22"/>
        <v>94.255338157777189</v>
      </c>
      <c r="X71" s="16">
        <f>SUM(W71:$W$96)</f>
        <v>57265.938251530271</v>
      </c>
      <c r="Y71">
        <f t="shared" si="23"/>
        <v>146745.93825153029</v>
      </c>
      <c r="AC71">
        <f t="shared" si="17"/>
        <v>64</v>
      </c>
    </row>
    <row r="72" spans="1:29" x14ac:dyDescent="0.2">
      <c r="A72" s="1" t="s">
        <v>72</v>
      </c>
      <c r="B72" s="2">
        <v>20544000000</v>
      </c>
      <c r="C72" s="2">
        <v>449410</v>
      </c>
      <c r="D72" s="2">
        <v>23405</v>
      </c>
      <c r="E72" s="2">
        <v>8</v>
      </c>
      <c r="F72" s="3">
        <v>7.9</v>
      </c>
      <c r="G72" s="2">
        <v>3</v>
      </c>
      <c r="H72" s="2">
        <v>65</v>
      </c>
      <c r="I72" s="4">
        <f>H72-27.833</f>
        <v>37.167000000000002</v>
      </c>
      <c r="J72" s="2">
        <v>230223310</v>
      </c>
      <c r="K72" s="2">
        <v>322178400</v>
      </c>
      <c r="L72" t="s">
        <v>97</v>
      </c>
      <c r="S72" s="15">
        <f t="shared" si="18"/>
        <v>325000000</v>
      </c>
      <c r="T72" s="15">
        <f t="shared" si="19"/>
        <v>1690</v>
      </c>
      <c r="U72" s="15">
        <f t="shared" si="20"/>
        <v>294</v>
      </c>
      <c r="V72" s="16">
        <f t="shared" si="21"/>
        <v>725.90011614401863</v>
      </c>
      <c r="W72" s="16">
        <f t="shared" si="22"/>
        <v>723.17037894127861</v>
      </c>
      <c r="X72" s="16">
        <f>SUM(W72:$W$96)</f>
        <v>57171.682913372504</v>
      </c>
      <c r="Y72">
        <f t="shared" si="23"/>
        <v>146715.6829133725</v>
      </c>
      <c r="Z72" s="16">
        <f>K72*0.75/Y72</f>
        <v>1646.9527674329909</v>
      </c>
      <c r="AA72" s="16">
        <f>Z72/H72</f>
        <v>25.337734883584474</v>
      </c>
      <c r="AC72">
        <f t="shared" si="17"/>
        <v>338</v>
      </c>
    </row>
    <row r="73" spans="1:29" x14ac:dyDescent="0.2">
      <c r="A73" s="1" t="s">
        <v>98</v>
      </c>
      <c r="B73" s="2">
        <v>20584000000</v>
      </c>
      <c r="C73" s="2">
        <v>449710</v>
      </c>
      <c r="D73" s="2">
        <v>23462</v>
      </c>
      <c r="E73" s="2">
        <v>8</v>
      </c>
      <c r="F73" s="3">
        <v>8</v>
      </c>
      <c r="G73" s="2">
        <v>3</v>
      </c>
      <c r="H73" s="2">
        <v>55</v>
      </c>
      <c r="I73" s="4">
        <v>25</v>
      </c>
      <c r="S73" s="15">
        <f t="shared" si="18"/>
        <v>40000000</v>
      </c>
      <c r="T73" s="15">
        <f t="shared" si="19"/>
        <v>300</v>
      </c>
      <c r="U73" s="15">
        <f t="shared" si="20"/>
        <v>57</v>
      </c>
      <c r="V73" s="16">
        <f t="shared" si="21"/>
        <v>89.005585100465055</v>
      </c>
      <c r="W73" s="16">
        <f t="shared" si="22"/>
        <v>88.946209779635765</v>
      </c>
      <c r="X73" s="16">
        <f>SUM(W73:$W$96)</f>
        <v>56448.512534431226</v>
      </c>
      <c r="Y73">
        <f t="shared" si="23"/>
        <v>146330.51253443124</v>
      </c>
      <c r="AC73">
        <f t="shared" si="17"/>
        <v>60</v>
      </c>
    </row>
    <row r="74" spans="1:29" x14ac:dyDescent="0.2">
      <c r="A74" s="1" t="s">
        <v>57</v>
      </c>
      <c r="B74" s="2">
        <v>20869000000</v>
      </c>
      <c r="C74" s="2">
        <v>451180</v>
      </c>
      <c r="D74" s="2">
        <v>23660</v>
      </c>
      <c r="E74" s="2">
        <v>8</v>
      </c>
      <c r="F74" s="3">
        <v>8.1999999999999993</v>
      </c>
      <c r="G74" s="2">
        <v>4</v>
      </c>
      <c r="H74" s="2">
        <v>60</v>
      </c>
      <c r="I74" s="4">
        <f>H74-34.216</f>
        <v>25.783999999999999</v>
      </c>
      <c r="J74" s="2">
        <v>194685880</v>
      </c>
      <c r="K74" s="2">
        <v>323618400</v>
      </c>
      <c r="L74" t="s">
        <v>99</v>
      </c>
      <c r="S74" s="15">
        <f t="shared" si="18"/>
        <v>285000000</v>
      </c>
      <c r="T74" s="15">
        <f t="shared" si="19"/>
        <v>1470</v>
      </c>
      <c r="U74" s="15">
        <f t="shared" si="20"/>
        <v>198</v>
      </c>
      <c r="V74" s="16">
        <f t="shared" si="21"/>
        <v>633.74174467990485</v>
      </c>
      <c r="W74" s="16">
        <f t="shared" si="22"/>
        <v>631.67693603439864</v>
      </c>
      <c r="X74" s="16">
        <f>SUM(W74:$W$96)</f>
        <v>56359.566324651583</v>
      </c>
      <c r="Y74">
        <f t="shared" si="23"/>
        <v>146301.56632465159</v>
      </c>
      <c r="Z74" s="16">
        <f>K74*0.75/Y74</f>
        <v>1658.9965924315816</v>
      </c>
      <c r="AA74" s="16">
        <f>Z74/H74</f>
        <v>27.649943207193026</v>
      </c>
      <c r="AC74">
        <f t="shared" si="17"/>
        <v>294</v>
      </c>
    </row>
    <row r="75" spans="1:29" x14ac:dyDescent="0.2">
      <c r="A75" s="1" t="s">
        <v>101</v>
      </c>
      <c r="B75" s="2">
        <v>21138459130</v>
      </c>
      <c r="C75" s="2">
        <v>453440</v>
      </c>
      <c r="D75" s="2">
        <v>24303</v>
      </c>
      <c r="E75" s="2">
        <v>8</v>
      </c>
      <c r="F75" s="3">
        <v>8.4</v>
      </c>
      <c r="G75" s="2">
        <v>4</v>
      </c>
      <c r="H75" s="2">
        <v>80</v>
      </c>
      <c r="I75" s="4">
        <f>H75-47.633</f>
        <v>32.366999999999997</v>
      </c>
      <c r="J75" s="2">
        <v>185826690</v>
      </c>
      <c r="K75" s="2">
        <v>323928000</v>
      </c>
      <c r="L75" t="s">
        <v>102</v>
      </c>
      <c r="S75" s="15">
        <f t="shared" si="18"/>
        <v>269459130</v>
      </c>
      <c r="T75" s="15">
        <f t="shared" si="19"/>
        <v>2260</v>
      </c>
      <c r="U75" s="15">
        <f t="shared" si="20"/>
        <v>643</v>
      </c>
      <c r="V75" s="16">
        <f t="shared" si="21"/>
        <v>597.23199166629729</v>
      </c>
      <c r="W75" s="16">
        <f t="shared" si="22"/>
        <v>594.25531492589982</v>
      </c>
      <c r="X75" s="16">
        <f>SUM(W75:$W$96)</f>
        <v>55727.889388617186</v>
      </c>
      <c r="Y75">
        <f t="shared" si="23"/>
        <v>145963.88938861719</v>
      </c>
      <c r="Z75" s="16">
        <f>K75*0.75/Y75</f>
        <v>1664.4253658737175</v>
      </c>
      <c r="AA75" s="16">
        <f>Z75/H75</f>
        <v>20.80531707342147</v>
      </c>
      <c r="AC75">
        <f t="shared" si="17"/>
        <v>452</v>
      </c>
    </row>
    <row r="76" spans="1:29" x14ac:dyDescent="0.2">
      <c r="A76" s="1" t="s">
        <v>31</v>
      </c>
      <c r="B76" s="2">
        <v>21440180730</v>
      </c>
      <c r="C76" s="2">
        <v>458300</v>
      </c>
      <c r="D76" s="2">
        <v>27582</v>
      </c>
      <c r="E76" s="2">
        <v>8</v>
      </c>
      <c r="F76" s="3">
        <v>9</v>
      </c>
      <c r="G76" s="2">
        <v>7</v>
      </c>
      <c r="H76" s="2">
        <v>90</v>
      </c>
      <c r="I76" s="4">
        <v>0</v>
      </c>
      <c r="J76" s="2">
        <v>0</v>
      </c>
      <c r="K76" s="2">
        <v>453550000</v>
      </c>
      <c r="L76">
        <v>0</v>
      </c>
      <c r="S76" s="15">
        <f t="shared" si="18"/>
        <v>301721600</v>
      </c>
      <c r="T76" s="15">
        <f t="shared" si="19"/>
        <v>4860</v>
      </c>
      <c r="U76" s="15">
        <f t="shared" si="20"/>
        <v>3279</v>
      </c>
      <c r="V76" s="16">
        <f t="shared" si="21"/>
        <v>665.40578687367679</v>
      </c>
      <c r="W76" s="16">
        <f t="shared" si="22"/>
        <v>658.34955269474142</v>
      </c>
      <c r="X76" s="16">
        <f>SUM(W76:$W$96)</f>
        <v>55133.63407369129</v>
      </c>
      <c r="Y76">
        <f t="shared" si="23"/>
        <v>145821.6340736913</v>
      </c>
      <c r="AC76">
        <f t="shared" si="17"/>
        <v>972</v>
      </c>
    </row>
    <row r="77" spans="1:29" s="10" customFormat="1" x14ac:dyDescent="0.2">
      <c r="A77" s="6" t="s">
        <v>103</v>
      </c>
      <c r="B77" s="7">
        <f>B76+500000000</f>
        <v>21940180730</v>
      </c>
      <c r="C77" s="7">
        <v>458300</v>
      </c>
      <c r="D77" s="7">
        <v>27582</v>
      </c>
      <c r="E77" s="7"/>
      <c r="F77" s="8"/>
      <c r="G77" s="7"/>
      <c r="H77" s="7"/>
      <c r="I77" s="9"/>
      <c r="J77" s="7"/>
      <c r="K77" s="7"/>
      <c r="S77" s="7">
        <f t="shared" si="18"/>
        <v>500000000</v>
      </c>
      <c r="T77" s="7">
        <f t="shared" si="19"/>
        <v>0</v>
      </c>
      <c r="U77" s="7">
        <f t="shared" si="20"/>
        <v>0</v>
      </c>
      <c r="V77" s="16">
        <f t="shared" si="21"/>
        <v>1090.9884355225834</v>
      </c>
      <c r="W77" s="16">
        <f t="shared" si="22"/>
        <v>1090.9884355225834</v>
      </c>
      <c r="X77" s="16">
        <f>SUM(W77:$W$96)</f>
        <v>54475.284520996545</v>
      </c>
      <c r="Y77">
        <f t="shared" si="23"/>
        <v>146135.28452099656</v>
      </c>
      <c r="Z77" s="17"/>
      <c r="AA77" s="17"/>
    </row>
    <row r="78" spans="1:29" x14ac:dyDescent="0.2">
      <c r="A78" s="1" t="s">
        <v>104</v>
      </c>
      <c r="B78" s="2">
        <v>23130000000</v>
      </c>
      <c r="C78" s="2">
        <v>471860</v>
      </c>
      <c r="D78" s="2">
        <v>27778</v>
      </c>
      <c r="E78" s="2">
        <v>8</v>
      </c>
      <c r="F78" s="3">
        <v>8.1</v>
      </c>
      <c r="G78" s="2">
        <v>12</v>
      </c>
      <c r="M78" t="s">
        <v>73</v>
      </c>
      <c r="P78">
        <v>300</v>
      </c>
      <c r="S78" s="15">
        <f t="shared" si="18"/>
        <v>1189819270</v>
      </c>
      <c r="T78" s="15">
        <f t="shared" si="19"/>
        <v>13560</v>
      </c>
      <c r="U78" s="15">
        <f t="shared" si="20"/>
        <v>196</v>
      </c>
      <c r="V78" s="16">
        <f t="shared" si="21"/>
        <v>2596.1581278638446</v>
      </c>
      <c r="W78" s="16">
        <f t="shared" si="22"/>
        <v>2521.5514559403214</v>
      </c>
      <c r="X78" s="16">
        <f>SUM(W78:$W$96)</f>
        <v>53384.296085473958</v>
      </c>
      <c r="Y78">
        <f t="shared" si="23"/>
        <v>145044.29608547396</v>
      </c>
      <c r="AC78">
        <f t="shared" ref="AC78:AC95" si="24">T78/5</f>
        <v>2712</v>
      </c>
    </row>
    <row r="79" spans="1:29" x14ac:dyDescent="0.2">
      <c r="A79" s="1" t="s">
        <v>105</v>
      </c>
      <c r="B79" s="2">
        <v>24393917450</v>
      </c>
      <c r="C79" s="2">
        <v>486970</v>
      </c>
      <c r="D79" s="2">
        <v>27802</v>
      </c>
      <c r="E79" s="2">
        <v>8</v>
      </c>
      <c r="F79" s="3">
        <v>7.1</v>
      </c>
      <c r="G79" s="2">
        <v>12</v>
      </c>
      <c r="M79" t="s">
        <v>65</v>
      </c>
      <c r="S79" s="15">
        <f t="shared" si="18"/>
        <v>1263917450</v>
      </c>
      <c r="T79" s="15">
        <f t="shared" si="19"/>
        <v>15110</v>
      </c>
      <c r="U79" s="15">
        <f t="shared" si="20"/>
        <v>24</v>
      </c>
      <c r="V79" s="16">
        <f t="shared" si="21"/>
        <v>2678.5857033865977</v>
      </c>
      <c r="W79" s="16">
        <f t="shared" si="22"/>
        <v>2595.4729244101281</v>
      </c>
      <c r="X79" s="16">
        <f>SUM(W79:$W$96)</f>
        <v>50862.744629533634</v>
      </c>
      <c r="Y79">
        <f t="shared" si="23"/>
        <v>145234.74462953364</v>
      </c>
      <c r="AC79">
        <f t="shared" si="24"/>
        <v>3022</v>
      </c>
    </row>
    <row r="80" spans="1:29" x14ac:dyDescent="0.2">
      <c r="A80" s="1" t="s">
        <v>106</v>
      </c>
      <c r="B80" s="2">
        <v>27043505370</v>
      </c>
      <c r="C80" s="2">
        <v>514690</v>
      </c>
      <c r="D80" s="2">
        <v>27851</v>
      </c>
      <c r="E80" s="2">
        <v>8</v>
      </c>
      <c r="F80" s="3">
        <v>7.2</v>
      </c>
      <c r="G80" s="2">
        <v>0</v>
      </c>
      <c r="M80" t="s">
        <v>50</v>
      </c>
      <c r="N80" t="s">
        <v>23</v>
      </c>
      <c r="P80">
        <v>1600</v>
      </c>
      <c r="S80" s="15">
        <f t="shared" si="18"/>
        <v>2649587920</v>
      </c>
      <c r="T80" s="15">
        <f t="shared" si="19"/>
        <v>27720</v>
      </c>
      <c r="U80" s="15">
        <f t="shared" si="20"/>
        <v>49</v>
      </c>
      <c r="V80" s="16">
        <f t="shared" si="21"/>
        <v>5440.9674517937447</v>
      </c>
      <c r="W80" s="16">
        <f t="shared" si="22"/>
        <v>5147.9296664011345</v>
      </c>
      <c r="X80" s="16">
        <f>SUM(W80:$W$96)</f>
        <v>48267.271705123509</v>
      </c>
      <c r="Y80">
        <f t="shared" si="23"/>
        <v>145661.27170512351</v>
      </c>
      <c r="AC80">
        <f t="shared" si="24"/>
        <v>5544</v>
      </c>
    </row>
    <row r="81" spans="1:29" x14ac:dyDescent="0.2">
      <c r="A81" s="1" t="s">
        <v>107</v>
      </c>
      <c r="B81" s="2">
        <v>29707112630</v>
      </c>
      <c r="C81" s="2">
        <v>543310</v>
      </c>
      <c r="D81" s="2">
        <v>28152</v>
      </c>
      <c r="E81" s="2">
        <v>8</v>
      </c>
      <c r="F81" s="3">
        <v>5.3</v>
      </c>
      <c r="G81" s="2">
        <v>12</v>
      </c>
      <c r="M81" t="s">
        <v>42</v>
      </c>
      <c r="N81" t="s">
        <v>37</v>
      </c>
      <c r="P81">
        <v>1500</v>
      </c>
      <c r="S81" s="15">
        <f t="shared" si="18"/>
        <v>2663607260</v>
      </c>
      <c r="T81" s="15">
        <f t="shared" si="19"/>
        <v>28620</v>
      </c>
      <c r="U81" s="15">
        <f t="shared" si="20"/>
        <v>301</v>
      </c>
      <c r="V81" s="16">
        <f t="shared" si="21"/>
        <v>5175.1680817579518</v>
      </c>
      <c r="W81" s="16">
        <f t="shared" si="22"/>
        <v>4902.5551894866649</v>
      </c>
      <c r="X81" s="16">
        <f>SUM(W81:$W$96)</f>
        <v>43119.342038722374</v>
      </c>
      <c r="Y81">
        <f t="shared" si="23"/>
        <v>146057.34203872236</v>
      </c>
      <c r="AC81">
        <f t="shared" si="24"/>
        <v>5724</v>
      </c>
    </row>
    <row r="82" spans="1:29" x14ac:dyDescent="0.2">
      <c r="A82" s="1" t="s">
        <v>108</v>
      </c>
      <c r="B82" s="2">
        <v>30315000000</v>
      </c>
      <c r="C82" s="2">
        <v>550650</v>
      </c>
      <c r="D82" s="2">
        <v>28187</v>
      </c>
      <c r="E82" s="2">
        <v>8</v>
      </c>
      <c r="F82" s="3">
        <v>4.3</v>
      </c>
      <c r="G82" s="2">
        <v>12</v>
      </c>
      <c r="M82" t="s">
        <v>50</v>
      </c>
      <c r="N82" t="s">
        <v>109</v>
      </c>
      <c r="P82">
        <v>160</v>
      </c>
      <c r="S82" s="15">
        <f t="shared" si="18"/>
        <v>607887370</v>
      </c>
      <c r="T82" s="15">
        <f t="shared" si="19"/>
        <v>7340</v>
      </c>
      <c r="U82" s="15">
        <f t="shared" si="20"/>
        <v>35</v>
      </c>
      <c r="V82" s="16">
        <f t="shared" si="21"/>
        <v>1118.8591595958108</v>
      </c>
      <c r="W82" s="16">
        <f t="shared" si="22"/>
        <v>1103.9451012439845</v>
      </c>
      <c r="X82" s="16">
        <f>SUM(W82:$W$96)</f>
        <v>38216.786849235708</v>
      </c>
      <c r="Y82">
        <f t="shared" si="23"/>
        <v>146878.78684923571</v>
      </c>
      <c r="AC82">
        <f t="shared" si="24"/>
        <v>1468</v>
      </c>
    </row>
    <row r="83" spans="1:29" x14ac:dyDescent="0.2">
      <c r="A83" s="1" t="s">
        <v>110</v>
      </c>
      <c r="B83" s="2">
        <v>36599502160</v>
      </c>
      <c r="C83" s="2">
        <v>605620</v>
      </c>
      <c r="D83" s="2">
        <v>28230</v>
      </c>
      <c r="E83" s="2">
        <v>8</v>
      </c>
      <c r="F83" s="3">
        <v>3.5</v>
      </c>
      <c r="G83" s="2">
        <v>0</v>
      </c>
      <c r="M83" t="s">
        <v>50</v>
      </c>
      <c r="N83" t="s">
        <v>111</v>
      </c>
      <c r="O83" t="s">
        <v>23</v>
      </c>
      <c r="P83">
        <v>200</v>
      </c>
      <c r="Q83">
        <v>200</v>
      </c>
      <c r="S83" s="15">
        <f t="shared" si="18"/>
        <v>6284502160</v>
      </c>
      <c r="T83" s="15">
        <f t="shared" si="19"/>
        <v>54970</v>
      </c>
      <c r="U83" s="15">
        <f t="shared" si="20"/>
        <v>43</v>
      </c>
      <c r="V83" s="16">
        <f t="shared" si="21"/>
        <v>11412.879615000455</v>
      </c>
      <c r="W83" s="16">
        <f t="shared" si="22"/>
        <v>10376.972623096992</v>
      </c>
      <c r="X83" s="16">
        <f>SUM(W83:$W$96)</f>
        <v>37112.841747991726</v>
      </c>
      <c r="Y83">
        <f t="shared" si="23"/>
        <v>147242.84174799174</v>
      </c>
      <c r="AC83">
        <f t="shared" si="24"/>
        <v>10994</v>
      </c>
    </row>
    <row r="84" spans="1:29" x14ac:dyDescent="0.2">
      <c r="A84" s="1" t="s">
        <v>20</v>
      </c>
      <c r="B84" s="2">
        <v>37035340080</v>
      </c>
      <c r="C84" s="2">
        <v>608920</v>
      </c>
      <c r="D84" s="2">
        <v>31289</v>
      </c>
      <c r="E84" s="2">
        <v>8</v>
      </c>
      <c r="F84" s="3">
        <v>5</v>
      </c>
      <c r="G84" s="2">
        <v>2</v>
      </c>
      <c r="H84" s="2">
        <v>70</v>
      </c>
      <c r="I84" s="4">
        <v>1</v>
      </c>
      <c r="S84" s="15">
        <f t="shared" si="18"/>
        <v>435837920</v>
      </c>
      <c r="T84" s="15">
        <f t="shared" si="19"/>
        <v>3300</v>
      </c>
      <c r="U84" s="15">
        <f t="shared" si="20"/>
        <v>3059</v>
      </c>
      <c r="V84" s="16">
        <f t="shared" si="21"/>
        <v>719.65575773587398</v>
      </c>
      <c r="W84" s="16">
        <f t="shared" si="22"/>
        <v>715.75563292386516</v>
      </c>
      <c r="X84" s="16">
        <f>SUM(W84:$W$96)</f>
        <v>26735.869124894733</v>
      </c>
      <c r="Y84">
        <f t="shared" si="23"/>
        <v>147859.86912489473</v>
      </c>
      <c r="AC84">
        <f t="shared" si="24"/>
        <v>660</v>
      </c>
    </row>
    <row r="85" spans="1:29" x14ac:dyDescent="0.2">
      <c r="A85" s="1" t="s">
        <v>22</v>
      </c>
      <c r="B85" s="2">
        <v>37449002220</v>
      </c>
      <c r="C85" s="2">
        <v>611140</v>
      </c>
      <c r="D85" s="2">
        <v>31490</v>
      </c>
      <c r="E85" s="2">
        <v>8</v>
      </c>
      <c r="F85" s="3">
        <v>5.0999999999999996</v>
      </c>
      <c r="G85" s="2">
        <v>2</v>
      </c>
      <c r="H85" s="2">
        <v>77</v>
      </c>
      <c r="I85" s="4">
        <f>H85-26.266</f>
        <v>50.734000000000002</v>
      </c>
      <c r="J85" s="2">
        <v>379041230</v>
      </c>
      <c r="K85" s="2">
        <v>486904000</v>
      </c>
      <c r="L85" t="s">
        <v>113</v>
      </c>
      <c r="S85" s="15">
        <f t="shared" si="18"/>
        <v>413662140</v>
      </c>
      <c r="T85" s="15">
        <f t="shared" si="19"/>
        <v>2220</v>
      </c>
      <c r="U85" s="15">
        <f t="shared" si="20"/>
        <v>201</v>
      </c>
      <c r="V85" s="16">
        <f t="shared" si="21"/>
        <v>679.33741706628132</v>
      </c>
      <c r="W85" s="16">
        <f t="shared" si="22"/>
        <v>676.8696861602906</v>
      </c>
      <c r="X85" s="16">
        <f>SUM(W85:$W$96)</f>
        <v>26020.113491970867</v>
      </c>
      <c r="Y85">
        <f t="shared" si="23"/>
        <v>147804.11349197087</v>
      </c>
      <c r="Z85" s="16">
        <f>K85*0.75/Y85</f>
        <v>2470.6890178657814</v>
      </c>
      <c r="AA85" s="16">
        <f>Z85/H85</f>
        <v>32.086870361893261</v>
      </c>
      <c r="AC85">
        <f t="shared" si="24"/>
        <v>444</v>
      </c>
    </row>
    <row r="86" spans="1:29" x14ac:dyDescent="0.2">
      <c r="A86" s="1" t="s">
        <v>69</v>
      </c>
      <c r="B86" s="2">
        <v>37998589310</v>
      </c>
      <c r="C86" s="2">
        <v>616060</v>
      </c>
      <c r="D86" s="2">
        <v>31727</v>
      </c>
      <c r="E86" s="2">
        <v>8</v>
      </c>
      <c r="F86" s="3">
        <v>4.3</v>
      </c>
      <c r="G86" s="2">
        <v>5</v>
      </c>
      <c r="H86" s="2">
        <v>70</v>
      </c>
      <c r="I86" s="4">
        <v>57</v>
      </c>
      <c r="M86" t="s">
        <v>114</v>
      </c>
      <c r="P86">
        <f>5790-4960</f>
        <v>830</v>
      </c>
      <c r="S86" s="15">
        <f t="shared" si="18"/>
        <v>549587090</v>
      </c>
      <c r="T86" s="15">
        <f t="shared" si="19"/>
        <v>4920</v>
      </c>
      <c r="U86" s="15">
        <f t="shared" si="20"/>
        <v>237</v>
      </c>
      <c r="V86" s="16">
        <f t="shared" si="21"/>
        <v>899.281817586805</v>
      </c>
      <c r="W86" s="16">
        <f t="shared" si="22"/>
        <v>892.09994156413336</v>
      </c>
      <c r="X86" s="16">
        <f>SUM(W86:$W$96)</f>
        <v>25343.243805810576</v>
      </c>
      <c r="Y86">
        <f t="shared" si="23"/>
        <v>147571.24380581058</v>
      </c>
      <c r="AC86">
        <f t="shared" si="24"/>
        <v>984</v>
      </c>
    </row>
    <row r="87" spans="1:29" x14ac:dyDescent="0.2">
      <c r="A87" s="1" t="s">
        <v>201</v>
      </c>
      <c r="B87" s="2">
        <v>38470712240</v>
      </c>
      <c r="C87" s="2">
        <v>618490</v>
      </c>
      <c r="D87" s="2">
        <v>31896</v>
      </c>
      <c r="E87" s="2">
        <v>8</v>
      </c>
      <c r="F87" s="3">
        <v>4.4000000000000004</v>
      </c>
      <c r="G87" s="2">
        <v>5</v>
      </c>
      <c r="H87" s="2">
        <v>77</v>
      </c>
      <c r="I87" s="4">
        <f>H87-18.133</f>
        <v>58.867000000000004</v>
      </c>
      <c r="J87" s="2">
        <v>425251010</v>
      </c>
      <c r="K87" s="2">
        <v>492648000</v>
      </c>
      <c r="L87" t="s">
        <v>113</v>
      </c>
      <c r="S87" s="15">
        <f t="shared" si="18"/>
        <v>472122930</v>
      </c>
      <c r="T87" s="15">
        <f t="shared" si="19"/>
        <v>2430</v>
      </c>
      <c r="U87" s="15">
        <f t="shared" si="20"/>
        <v>169</v>
      </c>
      <c r="V87" s="16">
        <f t="shared" si="21"/>
        <v>766.35868259585106</v>
      </c>
      <c r="W87" s="16">
        <f t="shared" si="22"/>
        <v>763.34771782890584</v>
      </c>
      <c r="X87" s="16">
        <f>SUM(W87:$W$96)</f>
        <v>24451.143864246442</v>
      </c>
      <c r="Y87">
        <f t="shared" si="23"/>
        <v>147663.14386424643</v>
      </c>
      <c r="Z87" s="16">
        <f>K87*0.75/Y87</f>
        <v>2502.2222223555364</v>
      </c>
      <c r="AA87" s="16">
        <f>Z87/H87</f>
        <v>32.496392498123846</v>
      </c>
      <c r="AC87">
        <f t="shared" si="24"/>
        <v>486</v>
      </c>
    </row>
    <row r="88" spans="1:29" x14ac:dyDescent="0.2">
      <c r="A88" s="1" t="s">
        <v>202</v>
      </c>
      <c r="B88" s="2">
        <v>38925500000</v>
      </c>
      <c r="C88" s="2">
        <v>624950</v>
      </c>
      <c r="D88" s="2">
        <v>31953</v>
      </c>
      <c r="E88" s="2">
        <v>8</v>
      </c>
      <c r="F88" s="3">
        <v>3.5</v>
      </c>
      <c r="G88" s="2">
        <v>8</v>
      </c>
      <c r="H88" s="2">
        <v>70</v>
      </c>
      <c r="I88" s="4">
        <v>57</v>
      </c>
      <c r="M88" t="s">
        <v>111</v>
      </c>
      <c r="P88">
        <f>4700-2720</f>
        <v>1980</v>
      </c>
      <c r="Q88">
        <v>-1980</v>
      </c>
      <c r="S88" s="15">
        <f t="shared" si="18"/>
        <v>454787760</v>
      </c>
      <c r="T88" s="15">
        <f t="shared" si="19"/>
        <v>6460</v>
      </c>
      <c r="U88" s="15">
        <f t="shared" si="20"/>
        <v>57</v>
      </c>
      <c r="V88" s="16">
        <f t="shared" si="21"/>
        <v>735.31950395317631</v>
      </c>
      <c r="W88" s="16">
        <f t="shared" si="22"/>
        <v>727.71863349067928</v>
      </c>
      <c r="X88" s="16">
        <f>SUM(W88:$W$96)</f>
        <v>23687.796146417539</v>
      </c>
      <c r="Y88">
        <f t="shared" si="23"/>
        <v>147385.79614641753</v>
      </c>
      <c r="AC88">
        <f t="shared" si="24"/>
        <v>1292</v>
      </c>
    </row>
    <row r="89" spans="1:29" x14ac:dyDescent="0.2">
      <c r="A89" s="1" t="s">
        <v>72</v>
      </c>
      <c r="B89" s="2">
        <v>39386511160</v>
      </c>
      <c r="C89" s="2">
        <v>627170</v>
      </c>
      <c r="D89" s="2">
        <v>32199</v>
      </c>
      <c r="E89" s="2">
        <v>8</v>
      </c>
      <c r="F89" s="3">
        <v>3.7</v>
      </c>
      <c r="G89" s="2">
        <v>8</v>
      </c>
      <c r="H89" s="2">
        <v>77</v>
      </c>
      <c r="I89" s="4">
        <f>H89-23.666</f>
        <v>53.334000000000003</v>
      </c>
      <c r="J89" s="2">
        <v>402584440</v>
      </c>
      <c r="K89" s="2">
        <v>499760000</v>
      </c>
      <c r="L89" t="s">
        <v>113</v>
      </c>
      <c r="S89" s="15">
        <f t="shared" si="18"/>
        <v>461011160</v>
      </c>
      <c r="T89" s="15">
        <f t="shared" si="19"/>
        <v>2220</v>
      </c>
      <c r="U89" s="15">
        <f t="shared" si="20"/>
        <v>246</v>
      </c>
      <c r="V89" s="16">
        <f t="shared" si="21"/>
        <v>737.676870149612</v>
      </c>
      <c r="W89" s="16">
        <f t="shared" si="22"/>
        <v>735.06570786230213</v>
      </c>
      <c r="X89" s="16">
        <f>SUM(W89:$W$96)</f>
        <v>22960.077512926859</v>
      </c>
      <c r="Y89">
        <f t="shared" si="23"/>
        <v>147950.07751292686</v>
      </c>
      <c r="Z89" s="16">
        <f>K89*0.75/Y89</f>
        <v>2533.4221265767897</v>
      </c>
      <c r="AA89" s="16">
        <f>Z89/H89</f>
        <v>32.901586059438827</v>
      </c>
      <c r="AC89">
        <f t="shared" si="24"/>
        <v>444</v>
      </c>
    </row>
    <row r="90" spans="1:29" x14ac:dyDescent="0.2">
      <c r="A90" s="1" t="s">
        <v>200</v>
      </c>
      <c r="B90" s="2">
        <v>39753000000</v>
      </c>
      <c r="C90" s="2">
        <v>629920</v>
      </c>
      <c r="D90" s="2">
        <v>32407</v>
      </c>
      <c r="E90" s="2">
        <v>8</v>
      </c>
      <c r="F90" s="3">
        <v>3</v>
      </c>
      <c r="G90" s="2">
        <v>11</v>
      </c>
      <c r="H90" s="2">
        <v>70</v>
      </c>
      <c r="I90" s="4">
        <v>51</v>
      </c>
      <c r="M90" t="s">
        <v>115</v>
      </c>
      <c r="S90" s="15">
        <f t="shared" si="18"/>
        <v>366488840</v>
      </c>
      <c r="T90" s="15">
        <f t="shared" si="19"/>
        <v>2750</v>
      </c>
      <c r="U90" s="15">
        <f t="shared" si="20"/>
        <v>208</v>
      </c>
      <c r="V90" s="16">
        <f t="shared" si="21"/>
        <v>584.35326944847486</v>
      </c>
      <c r="W90" s="16">
        <f t="shared" si="22"/>
        <v>581.80219710439417</v>
      </c>
      <c r="X90" s="16">
        <f>SUM(W90:$W$96)</f>
        <v>22225.011805064554</v>
      </c>
      <c r="Y90">
        <f t="shared" si="23"/>
        <v>147659.01180506457</v>
      </c>
      <c r="AC90">
        <f t="shared" si="24"/>
        <v>550</v>
      </c>
    </row>
    <row r="91" spans="1:29" x14ac:dyDescent="0.2">
      <c r="A91" s="1" t="s">
        <v>76</v>
      </c>
      <c r="B91" s="2">
        <v>40195134320</v>
      </c>
      <c r="C91" s="2">
        <v>630930</v>
      </c>
      <c r="D91" s="2">
        <v>32469</v>
      </c>
      <c r="E91" s="2">
        <v>8</v>
      </c>
      <c r="F91" s="3">
        <v>3.1</v>
      </c>
      <c r="G91" s="2">
        <v>11</v>
      </c>
      <c r="H91" s="2">
        <v>77</v>
      </c>
      <c r="I91" s="4">
        <f>H91-23.883</f>
        <v>53.117000000000004</v>
      </c>
      <c r="J91" s="2">
        <v>404650420</v>
      </c>
      <c r="K91" s="2">
        <v>503736000</v>
      </c>
      <c r="L91" t="s">
        <v>113</v>
      </c>
      <c r="S91" s="15">
        <f t="shared" si="18"/>
        <v>442134320</v>
      </c>
      <c r="T91" s="15">
        <f t="shared" si="19"/>
        <v>1010</v>
      </c>
      <c r="U91" s="15">
        <f t="shared" si="20"/>
        <v>62</v>
      </c>
      <c r="V91" s="16">
        <f t="shared" si="21"/>
        <v>701.88963677927359</v>
      </c>
      <c r="W91" s="16">
        <f t="shared" si="22"/>
        <v>700.76604377664717</v>
      </c>
      <c r="X91" s="16">
        <f>SUM(W91:$W$96)</f>
        <v>21643.209607960162</v>
      </c>
      <c r="Y91">
        <f t="shared" si="23"/>
        <v>147627.20960796016</v>
      </c>
      <c r="Z91" s="16">
        <f>K91*0.75/Y91</f>
        <v>2559.1623725957675</v>
      </c>
      <c r="AA91" s="16">
        <f>Z91/H91</f>
        <v>33.235874968776201</v>
      </c>
      <c r="AC91">
        <f t="shared" si="24"/>
        <v>202</v>
      </c>
    </row>
    <row r="92" spans="1:29" x14ac:dyDescent="0.2">
      <c r="A92" s="1" t="s">
        <v>199</v>
      </c>
      <c r="B92" s="2">
        <v>40550478420</v>
      </c>
      <c r="C92" s="2">
        <v>633780</v>
      </c>
      <c r="D92" s="2">
        <v>32561</v>
      </c>
      <c r="E92" s="2">
        <v>8</v>
      </c>
      <c r="F92" s="3">
        <v>2.2999999999999998</v>
      </c>
      <c r="G92" s="2">
        <v>12</v>
      </c>
      <c r="H92" s="2">
        <v>70</v>
      </c>
      <c r="I92" s="4">
        <v>55</v>
      </c>
      <c r="M92" t="s">
        <v>115</v>
      </c>
      <c r="S92" s="15">
        <f t="shared" si="18"/>
        <v>355344100</v>
      </c>
      <c r="T92" s="15">
        <f t="shared" si="19"/>
        <v>2850</v>
      </c>
      <c r="U92" s="15">
        <f t="shared" si="20"/>
        <v>92</v>
      </c>
      <c r="V92" s="16">
        <f t="shared" si="21"/>
        <v>563.20685337517637</v>
      </c>
      <c r="W92" s="16">
        <f t="shared" si="22"/>
        <v>560.67420871595823</v>
      </c>
      <c r="X92" s="16">
        <f>SUM(W92:$W$96)</f>
        <v>20942.443564183515</v>
      </c>
      <c r="Y92">
        <f t="shared" si="23"/>
        <v>147128.44356418352</v>
      </c>
      <c r="AC92">
        <f t="shared" si="24"/>
        <v>570</v>
      </c>
    </row>
    <row r="93" spans="1:29" x14ac:dyDescent="0.2">
      <c r="A93" s="1" t="s">
        <v>100</v>
      </c>
      <c r="B93" s="2">
        <v>43073763840</v>
      </c>
      <c r="C93" s="2">
        <v>649750</v>
      </c>
      <c r="D93" s="2">
        <v>32845</v>
      </c>
      <c r="E93" s="2">
        <v>8</v>
      </c>
      <c r="F93" s="3">
        <v>2.2999999999999998</v>
      </c>
      <c r="G93" s="2">
        <v>0</v>
      </c>
      <c r="H93" s="2">
        <v>77</v>
      </c>
      <c r="I93" s="4">
        <f>H93-14.666</f>
        <v>62.334000000000003</v>
      </c>
      <c r="J93" s="2">
        <v>455796830</v>
      </c>
      <c r="K93" s="2">
        <v>506832000</v>
      </c>
      <c r="L93" t="s">
        <v>113</v>
      </c>
      <c r="M93" t="s">
        <v>23</v>
      </c>
      <c r="S93" s="15">
        <f t="shared" si="18"/>
        <v>2523285420</v>
      </c>
      <c r="T93" s="15">
        <f t="shared" si="19"/>
        <v>15970</v>
      </c>
      <c r="U93" s="15">
        <f t="shared" si="20"/>
        <v>284</v>
      </c>
      <c r="V93" s="16">
        <f t="shared" si="21"/>
        <v>3981.3269904383224</v>
      </c>
      <c r="W93" s="16">
        <f t="shared" si="22"/>
        <v>3883.471212004617</v>
      </c>
      <c r="X93" s="16">
        <f>SUM(W93:$W$96)</f>
        <v>20381.769355467557</v>
      </c>
      <c r="Y93">
        <f t="shared" si="23"/>
        <v>147137.76935546755</v>
      </c>
      <c r="Z93" s="16">
        <f>K93*0.75/Y93</f>
        <v>2583.4563189663772</v>
      </c>
      <c r="AA93" s="16">
        <f>Z93/H93</f>
        <v>33.551380765797106</v>
      </c>
      <c r="AC93">
        <f t="shared" si="24"/>
        <v>3194</v>
      </c>
    </row>
    <row r="94" spans="1:29" x14ac:dyDescent="0.2">
      <c r="A94" s="1" t="s">
        <v>203</v>
      </c>
      <c r="B94" s="2">
        <v>44137490230</v>
      </c>
      <c r="C94" s="2">
        <v>665450</v>
      </c>
      <c r="D94" s="2">
        <v>36204</v>
      </c>
      <c r="E94" s="2">
        <v>5</v>
      </c>
      <c r="F94" s="3">
        <v>2.2000000000000002</v>
      </c>
      <c r="G94" s="2">
        <v>11</v>
      </c>
      <c r="H94" s="2">
        <v>77</v>
      </c>
      <c r="I94" s="4">
        <v>0</v>
      </c>
      <c r="J94" s="2">
        <v>0</v>
      </c>
      <c r="K94" s="2">
        <v>514200000</v>
      </c>
      <c r="L94" t="s">
        <v>113</v>
      </c>
      <c r="M94" t="s">
        <v>116</v>
      </c>
      <c r="N94" t="s">
        <v>117</v>
      </c>
      <c r="O94" t="s">
        <v>118</v>
      </c>
      <c r="S94" s="15">
        <f t="shared" si="18"/>
        <v>1063726390</v>
      </c>
      <c r="T94" s="15">
        <f t="shared" si="19"/>
        <v>15700</v>
      </c>
      <c r="U94" s="15">
        <f t="shared" si="20"/>
        <v>3359</v>
      </c>
      <c r="V94" s="16">
        <f t="shared" si="21"/>
        <v>1637.1318045402077</v>
      </c>
      <c r="W94" s="16">
        <f t="shared" si="22"/>
        <v>1598.5068600195357</v>
      </c>
      <c r="X94" s="16">
        <f>SUM(W94:$W$96)</f>
        <v>16498.29814346294</v>
      </c>
      <c r="Y94">
        <f t="shared" si="23"/>
        <v>146448.29814346295</v>
      </c>
      <c r="Z94" s="16">
        <f>K94*0.75/Y94</f>
        <v>2633.3525543752748</v>
      </c>
      <c r="AA94" s="16">
        <f>Z94/H94</f>
        <v>34.19938382305552</v>
      </c>
      <c r="AC94">
        <f t="shared" si="24"/>
        <v>3140</v>
      </c>
    </row>
    <row r="95" spans="1:29" x14ac:dyDescent="0.2">
      <c r="A95" s="1" t="s">
        <v>204</v>
      </c>
      <c r="B95" s="2">
        <v>53729742690</v>
      </c>
      <c r="C95" s="2">
        <v>740430</v>
      </c>
      <c r="D95" s="2">
        <v>43795</v>
      </c>
      <c r="E95" s="2">
        <v>1</v>
      </c>
      <c r="F95" s="3">
        <v>0.9</v>
      </c>
      <c r="G95" s="2">
        <v>1</v>
      </c>
      <c r="H95" s="2">
        <v>98</v>
      </c>
      <c r="I95" s="4">
        <v>0</v>
      </c>
      <c r="J95" s="2">
        <v>0</v>
      </c>
      <c r="K95" s="2">
        <v>532360000</v>
      </c>
      <c r="L95" t="s">
        <v>113</v>
      </c>
      <c r="S95" s="15">
        <f t="shared" si="18"/>
        <v>9592252460</v>
      </c>
      <c r="T95" s="15">
        <f t="shared" si="19"/>
        <v>74980</v>
      </c>
      <c r="U95" s="15">
        <f t="shared" si="20"/>
        <v>7591</v>
      </c>
      <c r="V95" s="16">
        <f t="shared" si="21"/>
        <v>14414.685491021113</v>
      </c>
      <c r="W95" s="16">
        <f t="shared" si="22"/>
        <v>12954.975433194226</v>
      </c>
      <c r="X95" s="16">
        <f>SUM(W95:$W$96)</f>
        <v>14899.791283443405</v>
      </c>
      <c r="Y95">
        <f t="shared" si="23"/>
        <v>147989.7912834434</v>
      </c>
      <c r="Z95" s="16">
        <f>K95*0.75/Y95</f>
        <v>2697.9563694044414</v>
      </c>
      <c r="AA95" s="16">
        <f>Z95/H95</f>
        <v>27.530167034739197</v>
      </c>
      <c r="AC95">
        <f t="shared" si="24"/>
        <v>14996</v>
      </c>
    </row>
    <row r="96" spans="1:29" s="10" customFormat="1" x14ac:dyDescent="0.2">
      <c r="A96" s="6" t="s">
        <v>112</v>
      </c>
      <c r="B96" s="7">
        <f>B95+1440000000</f>
        <v>55169742690</v>
      </c>
      <c r="C96" s="7">
        <v>740430</v>
      </c>
      <c r="D96" s="7">
        <v>43795</v>
      </c>
      <c r="E96" s="7"/>
      <c r="F96" s="8"/>
      <c r="G96" s="7"/>
      <c r="H96" s="7"/>
      <c r="I96" s="9"/>
      <c r="J96" s="7"/>
      <c r="K96" s="7"/>
      <c r="P96" s="10">
        <f>SUM(P2:R95)</f>
        <v>20390</v>
      </c>
      <c r="S96" s="7">
        <f t="shared" si="18"/>
        <v>1440000000</v>
      </c>
      <c r="T96" s="7">
        <f t="shared" si="19"/>
        <v>0</v>
      </c>
      <c r="U96" s="7">
        <f t="shared" si="20"/>
        <v>0</v>
      </c>
      <c r="V96" s="16">
        <f t="shared" si="21"/>
        <v>1944.8158502491794</v>
      </c>
      <c r="W96" s="16">
        <f t="shared" si="22"/>
        <v>1944.8158502491794</v>
      </c>
      <c r="X96" s="16">
        <f>SUM(W96:$W$96)</f>
        <v>1944.8158502491794</v>
      </c>
      <c r="Y96">
        <f t="shared" si="23"/>
        <v>150030.81585024917</v>
      </c>
      <c r="Z96" s="17"/>
      <c r="AA96" s="17"/>
    </row>
    <row r="97" spans="1:3" x14ac:dyDescent="0.2">
      <c r="A97" s="55">
        <f>B96/C96/C96</f>
        <v>0.1006312679772422</v>
      </c>
      <c r="C97" s="2">
        <f>C96/5</f>
        <v>148086</v>
      </c>
    </row>
    <row r="98" spans="1:3" x14ac:dyDescent="0.2">
      <c r="A98" s="55"/>
    </row>
    <row r="100" spans="1:3" x14ac:dyDescent="0.2">
      <c r="A100" s="57">
        <v>30000</v>
      </c>
    </row>
    <row r="101" spans="1:3" x14ac:dyDescent="0.2">
      <c r="A101" s="57">
        <v>35000</v>
      </c>
    </row>
    <row r="102" spans="1:3" x14ac:dyDescent="0.2">
      <c r="A102" s="57">
        <v>45000</v>
      </c>
    </row>
    <row r="103" spans="1:3" x14ac:dyDescent="0.2">
      <c r="A103" s="57">
        <v>53000</v>
      </c>
    </row>
    <row r="104" spans="1:3" x14ac:dyDescent="0.2">
      <c r="A104" s="57">
        <v>100000</v>
      </c>
    </row>
    <row r="105" spans="1:3" x14ac:dyDescent="0.2">
      <c r="A105" s="57">
        <v>85000</v>
      </c>
    </row>
    <row r="106" spans="1:3" x14ac:dyDescent="0.2">
      <c r="A106" s="56">
        <f>SUM(A100:A105)</f>
        <v>348000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A59:A60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7DB3-A05A-4AF6-8C30-7D5154CFE5B1}">
  <dimension ref="A1:AF47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W24" sqref="W24"/>
    </sheetView>
  </sheetViews>
  <sheetFormatPr defaultColWidth="10.75" defaultRowHeight="14.25" x14ac:dyDescent="0.2"/>
  <cols>
    <col min="1" max="1" width="11.25" style="1" bestFit="1" customWidth="1"/>
    <col min="2" max="2" width="14.625" style="2" bestFit="1" customWidth="1"/>
    <col min="3" max="3" width="8.375" style="2" bestFit="1" customWidth="1"/>
    <col min="4" max="4" width="7.375" style="2" bestFit="1" customWidth="1"/>
    <col min="5" max="5" width="4.25" style="2" bestFit="1" customWidth="1"/>
    <col min="6" max="6" width="6.375" style="3" bestFit="1" customWidth="1"/>
    <col min="7" max="8" width="11.875" style="2" bestFit="1" customWidth="1"/>
    <col min="9" max="9" width="7.125" style="2" bestFit="1" customWidth="1"/>
    <col min="10" max="10" width="7.875" style="4" bestFit="1" customWidth="1"/>
    <col min="11" max="11" width="7.5" bestFit="1" customWidth="1"/>
    <col min="12" max="12" width="13.5" style="2" hidden="1" customWidth="1"/>
    <col min="13" max="13" width="13.375" style="2" hidden="1" customWidth="1"/>
    <col min="14" max="14" width="6.375" hidden="1" customWidth="1"/>
    <col min="15" max="15" width="14.625" style="2" bestFit="1" customWidth="1"/>
    <col min="16" max="16" width="8.375" style="2" bestFit="1" customWidth="1"/>
    <col min="17" max="17" width="7.375" style="2" bestFit="1" customWidth="1"/>
    <col min="18" max="18" width="4.25" style="2" bestFit="1" customWidth="1"/>
    <col min="19" max="19" width="6.375" style="3" bestFit="1" customWidth="1"/>
    <col min="20" max="20" width="11.875" style="2" bestFit="1" customWidth="1"/>
    <col min="21" max="21" width="7.875" style="4" bestFit="1" customWidth="1"/>
    <col min="22" max="22" width="13.5" bestFit="1" customWidth="1"/>
    <col min="23" max="23" width="11.875" bestFit="1" customWidth="1"/>
    <col min="28" max="28" width="8.875" bestFit="1" customWidth="1"/>
    <col min="29" max="29" width="6.75" bestFit="1" customWidth="1"/>
  </cols>
  <sheetData>
    <row r="1" spans="1:32" x14ac:dyDescent="0.2">
      <c r="B1" s="2" t="s">
        <v>1</v>
      </c>
      <c r="C1" s="2" t="s">
        <v>0</v>
      </c>
      <c r="D1" s="2" t="s">
        <v>2</v>
      </c>
      <c r="E1" s="2" t="s">
        <v>3</v>
      </c>
      <c r="F1" s="3" t="s">
        <v>4</v>
      </c>
      <c r="G1" s="2" t="s">
        <v>21</v>
      </c>
      <c r="H1" s="2" t="s">
        <v>259</v>
      </c>
      <c r="I1" s="2" t="s">
        <v>11</v>
      </c>
      <c r="J1" s="4" t="s">
        <v>260</v>
      </c>
      <c r="K1" s="2" t="s">
        <v>10</v>
      </c>
      <c r="M1" s="2" t="s">
        <v>262</v>
      </c>
      <c r="O1" s="2" t="s">
        <v>1</v>
      </c>
      <c r="P1" s="2" t="s">
        <v>0</v>
      </c>
      <c r="Q1" s="2" t="s">
        <v>2</v>
      </c>
      <c r="R1" s="2" t="s">
        <v>3</v>
      </c>
      <c r="S1" s="3" t="s">
        <v>4</v>
      </c>
      <c r="T1" s="2" t="s">
        <v>21</v>
      </c>
      <c r="U1" s="4" t="s">
        <v>260</v>
      </c>
      <c r="V1" s="2" t="s">
        <v>284</v>
      </c>
      <c r="X1" s="2" t="s">
        <v>287</v>
      </c>
      <c r="Z1" s="2" t="s">
        <v>286</v>
      </c>
    </row>
    <row r="2" spans="1:32" x14ac:dyDescent="0.2">
      <c r="B2" s="2">
        <v>0</v>
      </c>
      <c r="C2" s="2">
        <v>177770</v>
      </c>
      <c r="D2" s="2">
        <v>0</v>
      </c>
      <c r="E2" s="2">
        <v>2</v>
      </c>
      <c r="F2" s="3">
        <v>3</v>
      </c>
      <c r="O2" s="2">
        <v>0</v>
      </c>
      <c r="P2" s="2">
        <v>177770</v>
      </c>
      <c r="Q2" s="2">
        <v>0</v>
      </c>
      <c r="R2" s="2">
        <v>2</v>
      </c>
      <c r="S2" s="3">
        <v>3</v>
      </c>
      <c r="V2" s="2">
        <f>B2-O2</f>
        <v>0</v>
      </c>
      <c r="X2" s="2">
        <f>C2-P2</f>
        <v>0</v>
      </c>
      <c r="Z2" s="2">
        <f>D2-Q2</f>
        <v>0</v>
      </c>
    </row>
    <row r="3" spans="1:32" x14ac:dyDescent="0.2">
      <c r="A3" s="1" t="s">
        <v>6</v>
      </c>
      <c r="B3" s="2">
        <v>94409130</v>
      </c>
      <c r="C3" s="2">
        <v>180370</v>
      </c>
      <c r="D3" s="2">
        <v>121</v>
      </c>
      <c r="E3" s="2">
        <v>2</v>
      </c>
      <c r="F3" s="3">
        <v>3.1</v>
      </c>
      <c r="O3" s="2">
        <v>100415910</v>
      </c>
      <c r="P3" s="2">
        <v>180530</v>
      </c>
      <c r="Q3" s="2">
        <v>76</v>
      </c>
      <c r="R3" s="2">
        <v>2</v>
      </c>
      <c r="S3" s="3">
        <v>3.1</v>
      </c>
      <c r="V3" s="2">
        <f t="shared" ref="V3:V44" si="0">B3-O3</f>
        <v>-6006780</v>
      </c>
      <c r="W3" s="2">
        <f>V3-V2</f>
        <v>-6006780</v>
      </c>
      <c r="X3" s="2">
        <f t="shared" ref="X3:X44" si="1">C3-P3</f>
        <v>-160</v>
      </c>
      <c r="Y3" s="2">
        <f>X3-X2</f>
        <v>-160</v>
      </c>
      <c r="Z3" s="2">
        <f>D3-Q3</f>
        <v>45</v>
      </c>
      <c r="AA3" s="2">
        <f>Z3-Z2</f>
        <v>45</v>
      </c>
      <c r="AE3">
        <v>150</v>
      </c>
      <c r="AF3">
        <f>AE3*0.75</f>
        <v>112.5</v>
      </c>
    </row>
    <row r="4" spans="1:32" x14ac:dyDescent="0.2">
      <c r="A4" s="1" t="s">
        <v>7</v>
      </c>
      <c r="B4" s="2">
        <v>203470000</v>
      </c>
      <c r="C4" s="2">
        <v>183250</v>
      </c>
      <c r="D4" s="2">
        <v>251</v>
      </c>
      <c r="E4" s="2">
        <v>2</v>
      </c>
      <c r="F4" s="3">
        <v>3.2</v>
      </c>
      <c r="O4" s="2">
        <v>218000000</v>
      </c>
      <c r="P4" s="2">
        <v>183650</v>
      </c>
      <c r="Q4" s="2">
        <v>371</v>
      </c>
      <c r="R4" s="2">
        <v>2</v>
      </c>
      <c r="S4" s="3">
        <v>3.2</v>
      </c>
      <c r="V4" s="2">
        <f t="shared" si="0"/>
        <v>-14530000</v>
      </c>
      <c r="W4" s="2">
        <f t="shared" ref="W4:W6" si="2">V4-V3</f>
        <v>-8523220</v>
      </c>
      <c r="X4" s="2">
        <f t="shared" si="1"/>
        <v>-400</v>
      </c>
      <c r="Y4" s="2">
        <f t="shared" ref="Y4" si="3">X4-X3</f>
        <v>-240</v>
      </c>
      <c r="Z4" s="2">
        <f>D4-Q4</f>
        <v>-120</v>
      </c>
      <c r="AA4" s="2">
        <f>Z4-Z3</f>
        <v>-165</v>
      </c>
      <c r="AE4">
        <v>210</v>
      </c>
      <c r="AF4">
        <f t="shared" ref="AF4:AF10" si="4">AE4*0.75</f>
        <v>157.5</v>
      </c>
    </row>
    <row r="5" spans="1:32" x14ac:dyDescent="0.2">
      <c r="A5" s="1" t="s">
        <v>17</v>
      </c>
      <c r="B5" s="2">
        <v>370000000</v>
      </c>
      <c r="C5" s="2">
        <v>187650</v>
      </c>
      <c r="D5" s="2">
        <v>273</v>
      </c>
      <c r="E5" s="2">
        <v>2</v>
      </c>
      <c r="F5" s="3">
        <v>2.2999999999999998</v>
      </c>
      <c r="K5" t="s">
        <v>261</v>
      </c>
      <c r="O5" s="2">
        <v>376000000</v>
      </c>
      <c r="P5" s="2">
        <v>187790</v>
      </c>
      <c r="Q5" s="2">
        <v>457</v>
      </c>
      <c r="R5" s="2">
        <v>2</v>
      </c>
      <c r="S5" s="3">
        <v>3.3</v>
      </c>
      <c r="V5" s="2">
        <f t="shared" si="0"/>
        <v>-6000000</v>
      </c>
      <c r="W5" s="2">
        <f t="shared" si="2"/>
        <v>8530000</v>
      </c>
      <c r="X5" s="2">
        <f t="shared" si="1"/>
        <v>-140</v>
      </c>
      <c r="Y5" s="2">
        <f t="shared" ref="Y5" si="5">X5-X4</f>
        <v>260</v>
      </c>
      <c r="Z5" s="2">
        <f>D5-Q5</f>
        <v>-184</v>
      </c>
      <c r="AA5" s="2">
        <f>Z5-Z4</f>
        <v>-64</v>
      </c>
      <c r="AE5">
        <v>277</v>
      </c>
      <c r="AF5">
        <f t="shared" si="4"/>
        <v>207.75</v>
      </c>
    </row>
    <row r="6" spans="1:32" x14ac:dyDescent="0.2">
      <c r="A6" s="1" t="s">
        <v>13</v>
      </c>
      <c r="B6" s="2">
        <v>728884700</v>
      </c>
      <c r="C6" s="2">
        <v>189620</v>
      </c>
      <c r="D6" s="2">
        <v>273</v>
      </c>
      <c r="E6" s="2">
        <v>2</v>
      </c>
      <c r="F6" s="3">
        <v>2.2999999999999998</v>
      </c>
      <c r="G6" s="2">
        <v>280740000</v>
      </c>
      <c r="H6" s="2">
        <v>280740000</v>
      </c>
      <c r="I6" s="2">
        <v>24</v>
      </c>
      <c r="J6" s="4">
        <f>2.883</f>
        <v>2.883</v>
      </c>
      <c r="O6" s="2">
        <v>666353650</v>
      </c>
      <c r="P6" s="2">
        <v>190120</v>
      </c>
      <c r="Q6" s="2">
        <v>508</v>
      </c>
      <c r="R6" s="2">
        <v>2</v>
      </c>
      <c r="S6" s="3">
        <v>3.4</v>
      </c>
      <c r="T6" s="2">
        <v>228401080</v>
      </c>
      <c r="U6" s="4">
        <v>9.7829999999999995</v>
      </c>
      <c r="V6" s="2">
        <f t="shared" si="0"/>
        <v>62531050</v>
      </c>
      <c r="W6" s="2">
        <f t="shared" si="2"/>
        <v>68531050</v>
      </c>
      <c r="X6" s="2">
        <f t="shared" si="1"/>
        <v>-500</v>
      </c>
      <c r="Y6" s="2">
        <f t="shared" ref="Y6" si="6">X6-X5</f>
        <v>-360</v>
      </c>
      <c r="Z6" s="2">
        <f>D6-Q6</f>
        <v>-235</v>
      </c>
      <c r="AA6" s="2">
        <f>Z6-Z5</f>
        <v>-51</v>
      </c>
      <c r="AE6">
        <v>360</v>
      </c>
      <c r="AF6">
        <f t="shared" si="4"/>
        <v>270</v>
      </c>
    </row>
    <row r="7" spans="1:32" x14ac:dyDescent="0.2">
      <c r="A7" s="1" t="s">
        <v>35</v>
      </c>
      <c r="B7" s="2">
        <v>941000000</v>
      </c>
      <c r="C7" s="2">
        <v>195050</v>
      </c>
      <c r="D7" s="2">
        <v>445</v>
      </c>
      <c r="E7" s="2">
        <v>2</v>
      </c>
      <c r="F7" s="3">
        <v>1.5</v>
      </c>
      <c r="K7" t="s">
        <v>261</v>
      </c>
      <c r="V7" s="2"/>
      <c r="X7" s="2"/>
      <c r="Z7" s="2"/>
      <c r="AE7">
        <v>450</v>
      </c>
      <c r="AF7">
        <f t="shared" si="4"/>
        <v>337.5</v>
      </c>
    </row>
    <row r="8" spans="1:32" x14ac:dyDescent="0.2">
      <c r="A8" s="1" t="s">
        <v>36</v>
      </c>
      <c r="B8" s="2">
        <v>1120611420</v>
      </c>
      <c r="C8" s="2">
        <v>199520</v>
      </c>
      <c r="D8" s="2">
        <v>761</v>
      </c>
      <c r="E8" s="2">
        <v>3</v>
      </c>
      <c r="F8" s="3">
        <v>1.6</v>
      </c>
      <c r="O8" s="2">
        <v>1001361780</v>
      </c>
      <c r="P8" s="2">
        <v>198610</v>
      </c>
      <c r="Q8" s="2">
        <v>910</v>
      </c>
      <c r="R8" s="2">
        <v>3</v>
      </c>
      <c r="S8" s="3">
        <v>3.6</v>
      </c>
      <c r="V8" s="2">
        <f t="shared" si="0"/>
        <v>119249640</v>
      </c>
      <c r="W8" s="2">
        <f>V8-V6</f>
        <v>56718590</v>
      </c>
      <c r="X8" s="2">
        <f t="shared" si="1"/>
        <v>910</v>
      </c>
      <c r="Y8" s="2">
        <f>X8-X6</f>
        <v>1410</v>
      </c>
      <c r="Z8" s="2">
        <f>D8-Q8</f>
        <v>-149</v>
      </c>
      <c r="AA8" s="2">
        <f>Z8-Z6</f>
        <v>86</v>
      </c>
      <c r="AE8">
        <v>550</v>
      </c>
      <c r="AF8">
        <f t="shared" si="4"/>
        <v>412.5</v>
      </c>
    </row>
    <row r="9" spans="1:32" x14ac:dyDescent="0.2">
      <c r="A9" s="1" t="s">
        <v>13</v>
      </c>
      <c r="B9" s="2">
        <v>1441283370</v>
      </c>
      <c r="C9" s="2">
        <v>202660</v>
      </c>
      <c r="D9" s="2">
        <v>996</v>
      </c>
      <c r="E9" s="2">
        <v>3</v>
      </c>
      <c r="F9" s="3">
        <v>1.7</v>
      </c>
      <c r="G9" s="2">
        <v>243558780</v>
      </c>
      <c r="H9" s="2">
        <v>299228000</v>
      </c>
      <c r="I9" s="2">
        <v>24</v>
      </c>
      <c r="J9" s="4">
        <v>9.7159999999999993</v>
      </c>
      <c r="O9" s="2">
        <v>1324012340</v>
      </c>
      <c r="P9" s="2">
        <v>202130</v>
      </c>
      <c r="Q9" s="2">
        <v>962</v>
      </c>
      <c r="R9" s="2">
        <v>3</v>
      </c>
      <c r="S9" s="3">
        <v>3.7</v>
      </c>
      <c r="T9" s="2">
        <v>249895800</v>
      </c>
      <c r="U9" s="4">
        <v>9.0830000000000002</v>
      </c>
      <c r="V9" s="2">
        <f t="shared" si="0"/>
        <v>117271030</v>
      </c>
      <c r="W9" s="2">
        <f t="shared" ref="W9" si="7">V9-V8</f>
        <v>-1978610</v>
      </c>
      <c r="X9" s="2">
        <f t="shared" si="1"/>
        <v>530</v>
      </c>
      <c r="Y9" s="2">
        <f t="shared" ref="Y9" si="8">X9-X8</f>
        <v>-380</v>
      </c>
      <c r="Z9" s="2">
        <f>D9-Q9</f>
        <v>34</v>
      </c>
      <c r="AA9" s="2">
        <f>Z9-Z8</f>
        <v>183</v>
      </c>
      <c r="AE9">
        <v>650</v>
      </c>
      <c r="AF9">
        <f t="shared" si="4"/>
        <v>487.5</v>
      </c>
    </row>
    <row r="10" spans="1:32" x14ac:dyDescent="0.2">
      <c r="A10" s="1" t="s">
        <v>48</v>
      </c>
      <c r="B10" s="2">
        <v>1619449520</v>
      </c>
      <c r="C10" s="2">
        <v>206950</v>
      </c>
      <c r="D10" s="2">
        <v>1024</v>
      </c>
      <c r="E10" s="2">
        <v>3</v>
      </c>
      <c r="F10" s="3">
        <v>1.9</v>
      </c>
      <c r="V10" s="2"/>
      <c r="X10" s="2"/>
      <c r="Z10" s="2"/>
      <c r="AE10">
        <v>777</v>
      </c>
      <c r="AF10">
        <f t="shared" si="4"/>
        <v>582.75</v>
      </c>
    </row>
    <row r="11" spans="1:32" x14ac:dyDescent="0.2">
      <c r="A11" s="1" t="s">
        <v>49</v>
      </c>
      <c r="B11" s="2">
        <v>1680200000</v>
      </c>
      <c r="C11" s="2">
        <v>208390</v>
      </c>
      <c r="D11" s="2">
        <v>1066</v>
      </c>
      <c r="E11" s="2">
        <v>3</v>
      </c>
      <c r="F11" s="3">
        <v>1.9</v>
      </c>
      <c r="V11" s="2"/>
      <c r="X11" s="2"/>
      <c r="Z11" s="2"/>
    </row>
    <row r="12" spans="1:32" x14ac:dyDescent="0.2">
      <c r="A12" s="1" t="s">
        <v>52</v>
      </c>
      <c r="B12" s="2">
        <v>1778938830</v>
      </c>
      <c r="C12" s="2">
        <v>210720</v>
      </c>
      <c r="D12" s="2">
        <v>1075</v>
      </c>
      <c r="E12" s="2">
        <v>3</v>
      </c>
      <c r="F12" s="3">
        <v>2</v>
      </c>
      <c r="O12" s="2">
        <v>1666000000</v>
      </c>
      <c r="P12" s="2">
        <v>210320</v>
      </c>
      <c r="Q12" s="2">
        <v>1099</v>
      </c>
      <c r="R12" s="2">
        <v>3</v>
      </c>
      <c r="S12" s="3">
        <v>4</v>
      </c>
      <c r="V12" s="2">
        <f t="shared" si="0"/>
        <v>112938830</v>
      </c>
      <c r="W12" s="2">
        <f>V12-V9</f>
        <v>-4332200</v>
      </c>
      <c r="X12" s="2">
        <f t="shared" si="1"/>
        <v>400</v>
      </c>
      <c r="Y12" s="2">
        <f>X12-X9</f>
        <v>-130</v>
      </c>
      <c r="Z12" s="2">
        <f>D12-Q12</f>
        <v>-24</v>
      </c>
      <c r="AA12" s="2">
        <f>Z12-Z9</f>
        <v>-58</v>
      </c>
    </row>
    <row r="13" spans="1:32" x14ac:dyDescent="0.2">
      <c r="A13" s="1" t="s">
        <v>13</v>
      </c>
      <c r="B13" s="2">
        <v>2105574240</v>
      </c>
      <c r="C13" s="2">
        <v>212330</v>
      </c>
      <c r="D13" s="2">
        <v>1095</v>
      </c>
      <c r="E13" s="2">
        <v>4</v>
      </c>
      <c r="F13" s="3">
        <v>2.1</v>
      </c>
      <c r="G13" s="2">
        <v>258833040</v>
      </c>
      <c r="H13" s="2">
        <v>316005000</v>
      </c>
      <c r="I13" s="2">
        <v>24</v>
      </c>
      <c r="J13" s="4">
        <v>9.5830000000000002</v>
      </c>
      <c r="O13" s="2">
        <v>1978722980</v>
      </c>
      <c r="P13" s="2">
        <v>212050</v>
      </c>
      <c r="Q13" s="2">
        <v>1118</v>
      </c>
      <c r="R13" s="2">
        <v>3</v>
      </c>
      <c r="S13" s="3">
        <v>4</v>
      </c>
      <c r="T13" s="2">
        <v>244611470</v>
      </c>
      <c r="U13" s="4">
        <v>10.683</v>
      </c>
      <c r="V13" s="2">
        <f t="shared" si="0"/>
        <v>126851260</v>
      </c>
      <c r="W13" s="2">
        <f t="shared" ref="W13" si="9">V13-V12</f>
        <v>13912430</v>
      </c>
      <c r="X13" s="2">
        <f t="shared" si="1"/>
        <v>280</v>
      </c>
      <c r="Y13" s="2">
        <f t="shared" ref="Y13" si="10">X13-X12</f>
        <v>-120</v>
      </c>
      <c r="Z13" s="2">
        <f>D13-Q13</f>
        <v>-23</v>
      </c>
      <c r="AA13" s="2">
        <f>Z13-Z12</f>
        <v>1</v>
      </c>
    </row>
    <row r="14" spans="1:32" x14ac:dyDescent="0.2">
      <c r="A14" s="1" t="s">
        <v>61</v>
      </c>
      <c r="B14" s="2">
        <v>2251000000</v>
      </c>
      <c r="C14" s="2">
        <v>215640</v>
      </c>
      <c r="D14" s="2">
        <v>1139</v>
      </c>
      <c r="E14" s="2">
        <v>4</v>
      </c>
      <c r="F14" s="3">
        <v>2.2000000000000002</v>
      </c>
      <c r="V14" s="2"/>
      <c r="X14" s="2"/>
      <c r="Z14" s="2"/>
    </row>
    <row r="15" spans="1:32" x14ac:dyDescent="0.2">
      <c r="A15" s="1" t="s">
        <v>62</v>
      </c>
      <c r="B15" s="2">
        <v>2472661800</v>
      </c>
      <c r="C15" s="2">
        <v>220650</v>
      </c>
      <c r="D15" s="2">
        <v>1159</v>
      </c>
      <c r="E15" s="2">
        <v>4</v>
      </c>
      <c r="F15" s="3">
        <v>2.2999999999999998</v>
      </c>
      <c r="K15" t="s">
        <v>261</v>
      </c>
      <c r="O15" s="2">
        <v>2301864250</v>
      </c>
      <c r="P15" s="2">
        <v>219410</v>
      </c>
      <c r="Q15" s="2">
        <v>1149</v>
      </c>
      <c r="R15" s="2">
        <v>4</v>
      </c>
      <c r="S15" s="3">
        <v>4.3</v>
      </c>
      <c r="V15" s="2">
        <f t="shared" si="0"/>
        <v>170797550</v>
      </c>
      <c r="W15" s="2">
        <f>V15-V13</f>
        <v>43946290</v>
      </c>
      <c r="X15" s="2">
        <f t="shared" si="1"/>
        <v>1240</v>
      </c>
      <c r="Y15" s="2">
        <f>X15-X13</f>
        <v>960</v>
      </c>
      <c r="Z15" s="2">
        <f>D15-Q15</f>
        <v>10</v>
      </c>
      <c r="AA15" s="2">
        <f>Z15-Z13</f>
        <v>33</v>
      </c>
    </row>
    <row r="16" spans="1:32" x14ac:dyDescent="0.2">
      <c r="A16" s="1" t="s">
        <v>13</v>
      </c>
      <c r="B16" s="2">
        <v>2905171470</v>
      </c>
      <c r="C16" s="2">
        <v>222830</v>
      </c>
      <c r="D16" s="2">
        <v>1159</v>
      </c>
      <c r="E16" s="2">
        <v>4</v>
      </c>
      <c r="F16" s="3">
        <v>1.4</v>
      </c>
      <c r="G16" s="2">
        <v>330975000</v>
      </c>
      <c r="H16" s="2">
        <v>330975000</v>
      </c>
      <c r="I16" s="2">
        <v>24</v>
      </c>
      <c r="J16" s="4">
        <v>4.0659999999999998</v>
      </c>
      <c r="O16" s="2">
        <v>2620706760</v>
      </c>
      <c r="P16" s="2">
        <v>222520</v>
      </c>
      <c r="Q16" s="2">
        <v>1217</v>
      </c>
      <c r="R16" s="2">
        <v>4</v>
      </c>
      <c r="S16" s="3">
        <v>4.3</v>
      </c>
      <c r="T16" s="2">
        <v>243588400</v>
      </c>
      <c r="U16" s="4">
        <v>11.583</v>
      </c>
      <c r="V16" s="2">
        <f t="shared" si="0"/>
        <v>284464710</v>
      </c>
      <c r="W16" s="2">
        <f t="shared" ref="W16:W18" si="11">V16-V15</f>
        <v>113667160</v>
      </c>
      <c r="X16" s="2">
        <f t="shared" si="1"/>
        <v>310</v>
      </c>
      <c r="Y16" s="2">
        <f t="shared" ref="Y16" si="12">X16-X15</f>
        <v>-930</v>
      </c>
      <c r="Z16" s="2">
        <f>D16-Q16</f>
        <v>-58</v>
      </c>
      <c r="AA16" s="2">
        <f>Z16-Z15</f>
        <v>-68</v>
      </c>
    </row>
    <row r="17" spans="1:32" x14ac:dyDescent="0.2">
      <c r="A17" s="1" t="s">
        <v>79</v>
      </c>
      <c r="B17" s="2">
        <v>3309068230</v>
      </c>
      <c r="C17" s="2">
        <v>231560</v>
      </c>
      <c r="D17" s="2">
        <v>1592</v>
      </c>
      <c r="E17" s="2">
        <v>5</v>
      </c>
      <c r="F17" s="3">
        <v>1.6</v>
      </c>
      <c r="O17" s="2">
        <v>2981369700</v>
      </c>
      <c r="P17" s="2">
        <v>230350</v>
      </c>
      <c r="Q17" s="2">
        <v>1384</v>
      </c>
      <c r="R17" s="2">
        <v>4</v>
      </c>
      <c r="S17" s="3">
        <v>4.5</v>
      </c>
      <c r="V17" s="2">
        <f t="shared" si="0"/>
        <v>327698530</v>
      </c>
      <c r="W17" s="2">
        <f t="shared" si="11"/>
        <v>43233820</v>
      </c>
      <c r="X17" s="2">
        <f t="shared" si="1"/>
        <v>1210</v>
      </c>
      <c r="Y17" s="2">
        <f t="shared" ref="Y17" si="13">X17-X16</f>
        <v>900</v>
      </c>
      <c r="Z17" s="2">
        <f>D17-Q17</f>
        <v>208</v>
      </c>
      <c r="AA17" s="2">
        <f>Z17-Z16</f>
        <v>266</v>
      </c>
    </row>
    <row r="18" spans="1:32" x14ac:dyDescent="0.2">
      <c r="A18" s="1" t="s">
        <v>13</v>
      </c>
      <c r="B18" s="2">
        <v>3690252200</v>
      </c>
      <c r="C18" s="2">
        <v>233650</v>
      </c>
      <c r="D18" s="2">
        <v>1604</v>
      </c>
      <c r="E18" s="2">
        <v>6</v>
      </c>
      <c r="F18" s="3">
        <v>1.7</v>
      </c>
      <c r="G18" s="2">
        <v>305899170</v>
      </c>
      <c r="H18" s="2">
        <v>346215000</v>
      </c>
      <c r="I18" s="2">
        <v>24</v>
      </c>
      <c r="J18" s="4">
        <v>7.95</v>
      </c>
      <c r="O18" s="2">
        <v>3299459690</v>
      </c>
      <c r="P18" s="2">
        <v>232730</v>
      </c>
      <c r="Q18" s="2">
        <v>1419</v>
      </c>
      <c r="R18" s="2">
        <v>6</v>
      </c>
      <c r="S18" s="3">
        <v>4.5999999999999996</v>
      </c>
      <c r="T18" s="2">
        <v>241647530</v>
      </c>
      <c r="U18" s="4">
        <v>12.5</v>
      </c>
      <c r="V18" s="2">
        <f t="shared" si="0"/>
        <v>390792510</v>
      </c>
      <c r="W18" s="2">
        <f t="shared" si="11"/>
        <v>63093980</v>
      </c>
      <c r="X18" s="2">
        <f t="shared" si="1"/>
        <v>920</v>
      </c>
      <c r="Y18" s="2">
        <f t="shared" ref="Y18" si="14">X18-X17</f>
        <v>-290</v>
      </c>
      <c r="Z18" s="2">
        <f>D18-Q18</f>
        <v>185</v>
      </c>
      <c r="AA18" s="2">
        <f>Z18-Z17</f>
        <v>-23</v>
      </c>
    </row>
    <row r="19" spans="1:32" x14ac:dyDescent="0.2">
      <c r="A19" s="1" t="s">
        <v>104</v>
      </c>
      <c r="B19" s="2">
        <v>3863000000</v>
      </c>
      <c r="C19" s="2">
        <v>237130</v>
      </c>
      <c r="D19" s="2">
        <v>1654</v>
      </c>
      <c r="E19" s="2">
        <v>6</v>
      </c>
      <c r="F19" s="3">
        <v>1.8</v>
      </c>
      <c r="V19" s="2"/>
      <c r="X19" s="2"/>
      <c r="Z19" s="2"/>
    </row>
    <row r="20" spans="1:32" x14ac:dyDescent="0.2">
      <c r="A20" s="1" t="s">
        <v>263</v>
      </c>
      <c r="B20" s="2">
        <v>3913595670</v>
      </c>
      <c r="C20" s="2">
        <v>238090</v>
      </c>
      <c r="D20" s="2">
        <v>1663</v>
      </c>
      <c r="E20" s="2">
        <v>6</v>
      </c>
      <c r="F20" s="3">
        <v>1.8</v>
      </c>
      <c r="V20" s="2"/>
      <c r="X20" s="2"/>
      <c r="Z20" s="2"/>
    </row>
    <row r="21" spans="1:32" x14ac:dyDescent="0.2">
      <c r="A21" s="1" t="s">
        <v>264</v>
      </c>
      <c r="B21" s="2">
        <v>4036515840</v>
      </c>
      <c r="C21" s="2">
        <v>240520</v>
      </c>
      <c r="D21" s="2">
        <v>1701</v>
      </c>
      <c r="E21" s="2">
        <v>6</v>
      </c>
      <c r="F21" s="3">
        <v>1.9</v>
      </c>
      <c r="O21" s="2">
        <v>3693662900</v>
      </c>
      <c r="P21" s="2">
        <v>240660</v>
      </c>
      <c r="Q21" s="2">
        <v>1487</v>
      </c>
      <c r="R21" s="2">
        <v>6</v>
      </c>
      <c r="S21" s="3">
        <v>4.9000000000000004</v>
      </c>
      <c r="V21" s="2">
        <f t="shared" si="0"/>
        <v>342852940</v>
      </c>
      <c r="W21" s="2">
        <f>V21-V18</f>
        <v>-47939570</v>
      </c>
      <c r="X21" s="2">
        <f t="shared" si="1"/>
        <v>-140</v>
      </c>
      <c r="Y21" s="2">
        <f>X21-X18</f>
        <v>-1060</v>
      </c>
      <c r="Z21" s="2">
        <f>D21-Q21</f>
        <v>214</v>
      </c>
      <c r="AA21" s="2">
        <f>Z21-Z18</f>
        <v>29</v>
      </c>
      <c r="AC21">
        <v>3</v>
      </c>
      <c r="AD21">
        <v>2</v>
      </c>
      <c r="AE21">
        <v>1</v>
      </c>
      <c r="AF21">
        <v>0</v>
      </c>
    </row>
    <row r="22" spans="1:32" x14ac:dyDescent="0.2">
      <c r="A22" s="1" t="s">
        <v>265</v>
      </c>
      <c r="B22" s="2">
        <v>4122978440</v>
      </c>
      <c r="C22" s="2">
        <v>242240</v>
      </c>
      <c r="D22" s="2">
        <v>1711</v>
      </c>
      <c r="E22" s="2">
        <v>6</v>
      </c>
      <c r="F22" s="3">
        <v>2</v>
      </c>
      <c r="V22" s="2"/>
      <c r="X22" s="2"/>
      <c r="Z22" s="2"/>
    </row>
    <row r="23" spans="1:32" x14ac:dyDescent="0.2">
      <c r="A23" s="1" t="s">
        <v>266</v>
      </c>
      <c r="B23" s="2">
        <v>4223662170</v>
      </c>
      <c r="C23" s="2">
        <v>244240</v>
      </c>
      <c r="D23" s="2">
        <v>1740</v>
      </c>
      <c r="E23" s="2">
        <v>6</v>
      </c>
      <c r="F23" s="3">
        <v>2.1</v>
      </c>
      <c r="V23" s="2"/>
      <c r="X23" s="2"/>
      <c r="Z23" s="2"/>
    </row>
    <row r="24" spans="1:32" x14ac:dyDescent="0.2">
      <c r="A24" s="1" t="s">
        <v>267</v>
      </c>
      <c r="B24" s="2">
        <v>4440268890</v>
      </c>
      <c r="C24" s="2">
        <v>248450</v>
      </c>
      <c r="D24" s="2">
        <v>1754</v>
      </c>
      <c r="E24" s="2">
        <v>6</v>
      </c>
      <c r="F24" s="3">
        <v>2.2000000000000002</v>
      </c>
      <c r="O24" s="2">
        <v>4152172710</v>
      </c>
      <c r="P24" s="2">
        <v>249670</v>
      </c>
      <c r="Q24" s="2">
        <v>1532</v>
      </c>
      <c r="R24" s="2">
        <v>6</v>
      </c>
      <c r="S24" s="3">
        <v>5.2</v>
      </c>
      <c r="V24" s="2">
        <f t="shared" si="0"/>
        <v>288096180</v>
      </c>
      <c r="W24" s="2">
        <f>V24-V21</f>
        <v>-54756760</v>
      </c>
      <c r="X24" s="2">
        <f t="shared" si="1"/>
        <v>-1220</v>
      </c>
      <c r="Y24" s="2">
        <f>X24-X21</f>
        <v>-1080</v>
      </c>
      <c r="Z24" s="2">
        <f t="shared" ref="Z24:Z44" si="15">D24-Q24</f>
        <v>222</v>
      </c>
      <c r="AA24" s="2">
        <f>Z24-Z21</f>
        <v>8</v>
      </c>
    </row>
    <row r="25" spans="1:32" x14ac:dyDescent="0.2">
      <c r="A25" s="1" t="s">
        <v>20</v>
      </c>
      <c r="B25" s="2">
        <v>4648331520</v>
      </c>
      <c r="C25" s="2">
        <v>252270</v>
      </c>
      <c r="D25" s="2">
        <v>2444</v>
      </c>
      <c r="E25" s="2">
        <v>6</v>
      </c>
      <c r="F25" s="3">
        <v>2.2999999999999998</v>
      </c>
      <c r="I25" s="2">
        <v>60</v>
      </c>
      <c r="O25" s="2">
        <v>4335079530</v>
      </c>
      <c r="P25" s="2">
        <v>252980</v>
      </c>
      <c r="Q25" s="2">
        <v>1646</v>
      </c>
      <c r="R25" s="2">
        <v>6</v>
      </c>
      <c r="S25" s="3">
        <v>5.3</v>
      </c>
      <c r="V25" s="2">
        <f t="shared" si="0"/>
        <v>313251990</v>
      </c>
      <c r="W25" s="2">
        <f t="shared" ref="W25:W44" si="16">V25-V24</f>
        <v>25155810</v>
      </c>
      <c r="X25" s="2">
        <f t="shared" si="1"/>
        <v>-710</v>
      </c>
      <c r="Y25" s="2">
        <f t="shared" ref="Y25" si="17">X25-X24</f>
        <v>510</v>
      </c>
      <c r="Z25" s="2">
        <f t="shared" si="15"/>
        <v>798</v>
      </c>
      <c r="AA25" s="2">
        <f t="shared" ref="AA25:AA44" si="18">Z25-Z24</f>
        <v>576</v>
      </c>
      <c r="AD25">
        <v>4</v>
      </c>
      <c r="AE25">
        <v>5</v>
      </c>
      <c r="AF25">
        <v>6</v>
      </c>
    </row>
    <row r="26" spans="1:32" x14ac:dyDescent="0.2">
      <c r="A26" s="1" t="s">
        <v>22</v>
      </c>
      <c r="B26" s="2">
        <v>5077075940</v>
      </c>
      <c r="C26" s="2">
        <v>254500</v>
      </c>
      <c r="D26" s="2">
        <v>2445</v>
      </c>
      <c r="E26" s="2">
        <v>7</v>
      </c>
      <c r="F26" s="3">
        <v>2.4</v>
      </c>
      <c r="G26" s="2">
        <v>313368720</v>
      </c>
      <c r="H26" s="2">
        <v>377085000</v>
      </c>
      <c r="I26" s="2">
        <v>90</v>
      </c>
      <c r="J26" s="4">
        <v>24.15</v>
      </c>
      <c r="O26" s="2">
        <v>4771158250</v>
      </c>
      <c r="P26" s="2">
        <v>255250</v>
      </c>
      <c r="Q26" s="2">
        <v>1662</v>
      </c>
      <c r="R26" s="2">
        <v>6</v>
      </c>
      <c r="S26" s="3">
        <v>5.3</v>
      </c>
      <c r="T26" s="2">
        <v>317769820</v>
      </c>
      <c r="U26" s="4">
        <v>23.1</v>
      </c>
      <c r="V26" s="2">
        <f t="shared" si="0"/>
        <v>305917690</v>
      </c>
      <c r="W26" s="2">
        <f t="shared" si="16"/>
        <v>-7334300</v>
      </c>
      <c r="X26" s="2">
        <f t="shared" si="1"/>
        <v>-750</v>
      </c>
      <c r="Y26" s="2">
        <f t="shared" ref="Y26" si="19">X26-X25</f>
        <v>-40</v>
      </c>
      <c r="Z26" s="2">
        <f t="shared" si="15"/>
        <v>783</v>
      </c>
      <c r="AA26" s="2">
        <f t="shared" si="18"/>
        <v>-15</v>
      </c>
      <c r="AC26">
        <f>360+450+550*0.3</f>
        <v>975</v>
      </c>
      <c r="AD26">
        <f>AC26-AD27</f>
        <v>705</v>
      </c>
      <c r="AE26">
        <f>AD26-AE27</f>
        <v>367.5</v>
      </c>
      <c r="AF26">
        <f>AE26-AF27</f>
        <v>-45</v>
      </c>
    </row>
    <row r="27" spans="1:32" x14ac:dyDescent="0.2">
      <c r="A27" s="1" t="s">
        <v>69</v>
      </c>
      <c r="B27" s="2">
        <v>5563400540</v>
      </c>
      <c r="C27" s="2">
        <v>263640</v>
      </c>
      <c r="D27" s="2">
        <v>2445</v>
      </c>
      <c r="E27" s="2">
        <v>7</v>
      </c>
      <c r="F27" s="3">
        <v>0.5</v>
      </c>
      <c r="I27" s="2">
        <v>60</v>
      </c>
      <c r="K27" t="s">
        <v>275</v>
      </c>
      <c r="L27" s="2">
        <v>5301745480</v>
      </c>
      <c r="M27" s="2">
        <v>258750</v>
      </c>
      <c r="N27" s="2">
        <v>2445</v>
      </c>
      <c r="O27" s="2">
        <v>5226159590</v>
      </c>
      <c r="P27" s="2">
        <v>263730</v>
      </c>
      <c r="Q27" s="2">
        <v>1759</v>
      </c>
      <c r="R27" s="2">
        <v>7</v>
      </c>
      <c r="S27" s="3">
        <v>3.5</v>
      </c>
      <c r="V27" s="2">
        <f t="shared" si="0"/>
        <v>337240950</v>
      </c>
      <c r="W27" s="2">
        <f t="shared" si="16"/>
        <v>31323260</v>
      </c>
      <c r="X27" s="2">
        <f t="shared" si="1"/>
        <v>-90</v>
      </c>
      <c r="Y27" s="2">
        <f t="shared" ref="Y27" si="20">X27-X26</f>
        <v>660</v>
      </c>
      <c r="Z27" s="2">
        <f t="shared" si="15"/>
        <v>686</v>
      </c>
      <c r="AA27" s="2">
        <f t="shared" si="18"/>
        <v>-97</v>
      </c>
      <c r="AD27">
        <f>360*0.75</f>
        <v>270</v>
      </c>
      <c r="AE27">
        <v>337.5</v>
      </c>
      <c r="AF27">
        <v>412.5</v>
      </c>
    </row>
    <row r="28" spans="1:32" x14ac:dyDescent="0.2">
      <c r="A28" s="1" t="s">
        <v>70</v>
      </c>
      <c r="B28" s="2">
        <v>6049000000</v>
      </c>
      <c r="C28" s="2">
        <v>267250</v>
      </c>
      <c r="D28" s="2">
        <v>2505</v>
      </c>
      <c r="E28" s="2">
        <v>7</v>
      </c>
      <c r="F28" s="3">
        <v>0.6</v>
      </c>
      <c r="G28" s="2">
        <v>303094950</v>
      </c>
      <c r="H28" s="2">
        <v>393705000</v>
      </c>
      <c r="I28" s="2">
        <v>90</v>
      </c>
      <c r="J28" s="4">
        <v>31.082999999999998</v>
      </c>
      <c r="O28" s="2">
        <v>5707554370</v>
      </c>
      <c r="P28" s="2">
        <v>266670</v>
      </c>
      <c r="Q28" s="2">
        <v>1804</v>
      </c>
      <c r="R28" s="2">
        <v>7</v>
      </c>
      <c r="S28" s="3">
        <v>3.5</v>
      </c>
      <c r="T28" s="2">
        <v>334061370</v>
      </c>
      <c r="U28" s="4">
        <v>22.366</v>
      </c>
      <c r="V28" s="2">
        <f t="shared" si="0"/>
        <v>341445630</v>
      </c>
      <c r="W28" s="2">
        <f t="shared" si="16"/>
        <v>4204680</v>
      </c>
      <c r="X28" s="2">
        <f t="shared" si="1"/>
        <v>580</v>
      </c>
      <c r="Y28" s="2">
        <f t="shared" ref="Y28" si="21">X28-X27</f>
        <v>670</v>
      </c>
      <c r="Z28" s="2">
        <f t="shared" si="15"/>
        <v>701</v>
      </c>
      <c r="AA28" s="2">
        <f t="shared" si="18"/>
        <v>15</v>
      </c>
      <c r="AC28">
        <f>277*0.5+360*0.5</f>
        <v>318.5</v>
      </c>
    </row>
    <row r="29" spans="1:32" x14ac:dyDescent="0.2">
      <c r="A29" s="1" t="s">
        <v>71</v>
      </c>
      <c r="B29" s="2">
        <v>6128068110</v>
      </c>
      <c r="C29" s="2">
        <v>268510</v>
      </c>
      <c r="D29" s="2">
        <v>2675</v>
      </c>
      <c r="E29" s="2">
        <v>7</v>
      </c>
      <c r="F29" s="3">
        <v>0.6</v>
      </c>
      <c r="I29" s="2">
        <v>60</v>
      </c>
      <c r="O29" s="2">
        <v>5830391260</v>
      </c>
      <c r="P29" s="2">
        <v>268630</v>
      </c>
      <c r="Q29" s="2">
        <v>1919</v>
      </c>
      <c r="R29" s="2">
        <v>7</v>
      </c>
      <c r="S29" s="3">
        <v>3.6</v>
      </c>
      <c r="V29" s="2">
        <f t="shared" si="0"/>
        <v>297676850</v>
      </c>
      <c r="W29" s="2">
        <f t="shared" si="16"/>
        <v>-43768780</v>
      </c>
      <c r="X29" s="2">
        <f t="shared" si="1"/>
        <v>-120</v>
      </c>
      <c r="Y29" s="2">
        <f t="shared" ref="Y29" si="22">X29-X28</f>
        <v>-700</v>
      </c>
      <c r="Z29" s="2">
        <f t="shared" si="15"/>
        <v>756</v>
      </c>
      <c r="AA29" s="2">
        <f t="shared" si="18"/>
        <v>55</v>
      </c>
      <c r="AC29">
        <f>AC26+AC28</f>
        <v>1293.5</v>
      </c>
    </row>
    <row r="30" spans="1:32" x14ac:dyDescent="0.2">
      <c r="A30" s="1" t="s">
        <v>72</v>
      </c>
      <c r="B30" s="2">
        <v>6645514390</v>
      </c>
      <c r="C30" s="2">
        <v>273110</v>
      </c>
      <c r="D30" s="2">
        <v>4625</v>
      </c>
      <c r="E30" s="2">
        <v>7</v>
      </c>
      <c r="F30" s="3">
        <v>0.7</v>
      </c>
      <c r="G30" s="2">
        <v>324852640</v>
      </c>
      <c r="H30" s="2">
        <v>401490000</v>
      </c>
      <c r="I30" s="2">
        <v>90</v>
      </c>
      <c r="J30" s="4">
        <v>26.632999999999999</v>
      </c>
      <c r="O30" s="2">
        <v>6402800000</v>
      </c>
      <c r="P30" s="2">
        <v>278120</v>
      </c>
      <c r="Q30" s="2">
        <v>7378</v>
      </c>
      <c r="R30" s="2">
        <v>7</v>
      </c>
      <c r="S30" s="3">
        <v>3.9</v>
      </c>
      <c r="T30" s="2">
        <v>107470790</v>
      </c>
      <c r="U30" s="4">
        <v>88.016000000000005</v>
      </c>
      <c r="V30" s="2">
        <f t="shared" si="0"/>
        <v>242714390</v>
      </c>
      <c r="W30" s="2">
        <f t="shared" si="16"/>
        <v>-54962460</v>
      </c>
      <c r="X30" s="2">
        <f t="shared" si="1"/>
        <v>-5010</v>
      </c>
      <c r="Y30" s="2">
        <f t="shared" ref="Y30" si="23">X30-X29</f>
        <v>-4890</v>
      </c>
      <c r="Z30" s="2">
        <f t="shared" si="15"/>
        <v>-2753</v>
      </c>
      <c r="AA30" s="2">
        <f t="shared" si="18"/>
        <v>-3509</v>
      </c>
      <c r="AC30">
        <f>AC29*0.34</f>
        <v>439.79</v>
      </c>
    </row>
    <row r="31" spans="1:32" x14ac:dyDescent="0.2">
      <c r="A31" s="1" t="s">
        <v>268</v>
      </c>
      <c r="B31" s="2">
        <v>7373602960</v>
      </c>
      <c r="C31" s="2">
        <v>285870</v>
      </c>
      <c r="D31" s="2">
        <v>4902</v>
      </c>
      <c r="E31" s="2">
        <v>7</v>
      </c>
      <c r="F31" s="3">
        <v>1.4</v>
      </c>
      <c r="I31" s="2">
        <v>60</v>
      </c>
      <c r="K31" t="s">
        <v>275</v>
      </c>
      <c r="L31" s="2">
        <v>7009698640</v>
      </c>
      <c r="M31" s="2">
        <v>279530</v>
      </c>
      <c r="N31" s="2">
        <v>4794</v>
      </c>
      <c r="O31" s="2">
        <v>6600800000</v>
      </c>
      <c r="P31" s="2">
        <v>281370</v>
      </c>
      <c r="Q31" s="2">
        <v>7558</v>
      </c>
      <c r="R31" s="2">
        <v>7</v>
      </c>
      <c r="S31" s="3">
        <v>4</v>
      </c>
      <c r="V31" s="2">
        <f t="shared" si="0"/>
        <v>772802960</v>
      </c>
      <c r="W31" s="2">
        <f t="shared" si="16"/>
        <v>530088570</v>
      </c>
      <c r="X31" s="2">
        <f t="shared" si="1"/>
        <v>4500</v>
      </c>
      <c r="Y31" s="2">
        <f t="shared" ref="Y31" si="24">X31-X30</f>
        <v>9510</v>
      </c>
      <c r="Z31" s="2">
        <f t="shared" si="15"/>
        <v>-2656</v>
      </c>
      <c r="AA31" s="2">
        <f t="shared" si="18"/>
        <v>97</v>
      </c>
    </row>
    <row r="32" spans="1:32" x14ac:dyDescent="0.2">
      <c r="A32" s="1" t="s">
        <v>76</v>
      </c>
      <c r="B32" s="2">
        <v>7884527900</v>
      </c>
      <c r="C32" s="2">
        <v>289200</v>
      </c>
      <c r="D32" s="2">
        <v>6282</v>
      </c>
      <c r="E32" s="2">
        <v>7</v>
      </c>
      <c r="F32" s="3">
        <v>1.5</v>
      </c>
      <c r="G32" s="2">
        <v>354093640</v>
      </c>
      <c r="H32" s="2">
        <v>426015000</v>
      </c>
      <c r="I32" s="2">
        <v>90</v>
      </c>
      <c r="J32" s="4">
        <v>24.132999999999999</v>
      </c>
      <c r="O32" s="2">
        <v>7080237220</v>
      </c>
      <c r="P32" s="2">
        <v>284260</v>
      </c>
      <c r="Q32" s="2">
        <v>7732</v>
      </c>
      <c r="R32" s="2">
        <v>7</v>
      </c>
      <c r="S32" s="3">
        <v>4.0999999999999996</v>
      </c>
      <c r="T32" s="2">
        <v>353997000</v>
      </c>
      <c r="U32" s="4">
        <v>22.95</v>
      </c>
      <c r="V32" s="2">
        <f t="shared" si="0"/>
        <v>804290680</v>
      </c>
      <c r="W32" s="2">
        <f t="shared" si="16"/>
        <v>31487720</v>
      </c>
      <c r="X32" s="2">
        <f t="shared" si="1"/>
        <v>4940</v>
      </c>
      <c r="Y32" s="2">
        <f t="shared" ref="Y32" si="25">X32-X31</f>
        <v>440</v>
      </c>
      <c r="Z32" s="2">
        <f t="shared" si="15"/>
        <v>-1450</v>
      </c>
      <c r="AA32" s="2">
        <f t="shared" si="18"/>
        <v>1206</v>
      </c>
    </row>
    <row r="33" spans="1:27" x14ac:dyDescent="0.2">
      <c r="A33" s="1" t="s">
        <v>269</v>
      </c>
      <c r="B33" s="2">
        <v>7961384930</v>
      </c>
      <c r="C33" s="2">
        <v>290310</v>
      </c>
      <c r="D33" s="2">
        <v>6291</v>
      </c>
      <c r="E33" s="2">
        <v>7</v>
      </c>
      <c r="F33" s="3">
        <v>1.5</v>
      </c>
      <c r="I33" s="2">
        <v>60</v>
      </c>
      <c r="O33" s="2">
        <v>7153700000</v>
      </c>
      <c r="P33" s="2">
        <v>285350</v>
      </c>
      <c r="Q33" s="2">
        <v>7871</v>
      </c>
      <c r="R33" s="2">
        <v>7</v>
      </c>
      <c r="S33" s="3">
        <v>4.2</v>
      </c>
      <c r="V33" s="2">
        <f t="shared" si="0"/>
        <v>807684930</v>
      </c>
      <c r="W33" s="2">
        <f t="shared" si="16"/>
        <v>3394250</v>
      </c>
      <c r="X33" s="2">
        <f t="shared" si="1"/>
        <v>4960</v>
      </c>
      <c r="Y33" s="2">
        <f t="shared" ref="Y33" si="26">X33-X32</f>
        <v>20</v>
      </c>
      <c r="Z33" s="2">
        <f t="shared" si="15"/>
        <v>-1580</v>
      </c>
      <c r="AA33" s="2">
        <f t="shared" si="18"/>
        <v>-130</v>
      </c>
    </row>
    <row r="34" spans="1:27" x14ac:dyDescent="0.2">
      <c r="A34" s="1" t="s">
        <v>100</v>
      </c>
      <c r="B34" s="2">
        <v>8439000000</v>
      </c>
      <c r="C34" s="2">
        <v>293540</v>
      </c>
      <c r="D34" s="2">
        <v>6496</v>
      </c>
      <c r="E34" s="2">
        <v>7</v>
      </c>
      <c r="F34" s="3">
        <v>1.6</v>
      </c>
      <c r="G34" s="2">
        <v>335980610</v>
      </c>
      <c r="H34" s="2">
        <v>434265000</v>
      </c>
      <c r="I34" s="2">
        <v>90</v>
      </c>
      <c r="J34" s="4">
        <v>30.65</v>
      </c>
      <c r="O34" s="2">
        <v>7617000000</v>
      </c>
      <c r="P34" s="2">
        <v>288510</v>
      </c>
      <c r="Q34" s="2">
        <v>8113</v>
      </c>
      <c r="R34" s="2">
        <v>7</v>
      </c>
      <c r="S34" s="3">
        <v>4.2</v>
      </c>
      <c r="T34" s="2">
        <v>321562420</v>
      </c>
      <c r="U34" s="4">
        <v>32.950000000000003</v>
      </c>
      <c r="V34" s="2">
        <f t="shared" si="0"/>
        <v>822000000</v>
      </c>
      <c r="W34" s="2">
        <f t="shared" si="16"/>
        <v>14315070</v>
      </c>
      <c r="X34" s="2">
        <f t="shared" si="1"/>
        <v>5030</v>
      </c>
      <c r="Y34" s="2">
        <f t="shared" ref="Y34" si="27">X34-X33</f>
        <v>70</v>
      </c>
      <c r="Z34" s="2">
        <f t="shared" si="15"/>
        <v>-1617</v>
      </c>
      <c r="AA34" s="2">
        <f t="shared" si="18"/>
        <v>-37</v>
      </c>
    </row>
    <row r="35" spans="1:27" x14ac:dyDescent="0.2">
      <c r="A35" s="1" t="s">
        <v>270</v>
      </c>
      <c r="B35" s="2">
        <v>8524000000</v>
      </c>
      <c r="C35" s="2">
        <v>294740</v>
      </c>
      <c r="D35" s="2">
        <v>6528</v>
      </c>
      <c r="E35" s="2">
        <v>7</v>
      </c>
      <c r="F35" s="3">
        <v>1.6</v>
      </c>
      <c r="I35" s="2">
        <v>60</v>
      </c>
      <c r="O35" s="2">
        <v>7700000000</v>
      </c>
      <c r="P35" s="2">
        <v>289740</v>
      </c>
      <c r="Q35" s="2">
        <v>8158</v>
      </c>
      <c r="R35" s="2">
        <v>8</v>
      </c>
      <c r="S35" s="3">
        <v>4.2</v>
      </c>
      <c r="V35" s="2">
        <f t="shared" si="0"/>
        <v>824000000</v>
      </c>
      <c r="W35" s="2">
        <f t="shared" si="16"/>
        <v>2000000</v>
      </c>
      <c r="X35" s="2">
        <f t="shared" si="1"/>
        <v>5000</v>
      </c>
      <c r="Y35" s="2">
        <f t="shared" ref="Y35" si="28">X35-X34</f>
        <v>-30</v>
      </c>
      <c r="Z35" s="2">
        <f t="shared" si="15"/>
        <v>-1630</v>
      </c>
      <c r="AA35" s="2">
        <f t="shared" si="18"/>
        <v>-13</v>
      </c>
    </row>
    <row r="36" spans="1:27" x14ac:dyDescent="0.2">
      <c r="A36" s="1" t="s">
        <v>271</v>
      </c>
      <c r="B36" s="2">
        <v>9083312350</v>
      </c>
      <c r="C36" s="2">
        <v>298750</v>
      </c>
      <c r="D36" s="2">
        <v>6772</v>
      </c>
      <c r="E36" s="2">
        <v>7</v>
      </c>
      <c r="F36" s="3">
        <v>1.8</v>
      </c>
      <c r="G36" s="2">
        <v>322729170</v>
      </c>
      <c r="H36" s="2">
        <v>440940000</v>
      </c>
      <c r="I36" s="2">
        <v>90</v>
      </c>
      <c r="J36" s="4">
        <v>35.383000000000003</v>
      </c>
      <c r="O36" s="2">
        <v>8278000000</v>
      </c>
      <c r="P36" s="2">
        <v>293960</v>
      </c>
      <c r="Q36" s="2">
        <v>8414</v>
      </c>
      <c r="R36" s="2">
        <v>8</v>
      </c>
      <c r="S36" s="3">
        <v>4.3</v>
      </c>
      <c r="T36" s="2">
        <v>325791880</v>
      </c>
      <c r="U36" s="4">
        <v>33.1</v>
      </c>
      <c r="V36" s="2">
        <f t="shared" si="0"/>
        <v>805312350</v>
      </c>
      <c r="W36" s="2">
        <f t="shared" si="16"/>
        <v>-18687650</v>
      </c>
      <c r="X36" s="2">
        <f t="shared" si="1"/>
        <v>4790</v>
      </c>
      <c r="Y36" s="2">
        <f t="shared" ref="Y36" si="29">X36-X35</f>
        <v>-210</v>
      </c>
      <c r="Z36" s="2">
        <f t="shared" si="15"/>
        <v>-1642</v>
      </c>
      <c r="AA36" s="2">
        <f t="shared" si="18"/>
        <v>-12</v>
      </c>
    </row>
    <row r="37" spans="1:27" x14ac:dyDescent="0.2">
      <c r="A37" s="1" t="s">
        <v>272</v>
      </c>
      <c r="B37" s="2">
        <v>9145800000</v>
      </c>
      <c r="C37" s="2">
        <v>299570</v>
      </c>
      <c r="D37" s="2">
        <v>6865</v>
      </c>
      <c r="E37" s="2">
        <v>7</v>
      </c>
      <c r="F37" s="3">
        <v>1.8</v>
      </c>
      <c r="I37" s="2">
        <v>60</v>
      </c>
      <c r="O37" s="2">
        <v>8341700000</v>
      </c>
      <c r="P37" s="2">
        <v>294830</v>
      </c>
      <c r="Q37" s="2">
        <v>8485</v>
      </c>
      <c r="R37" s="2">
        <v>8</v>
      </c>
      <c r="S37" s="3">
        <v>4.4000000000000004</v>
      </c>
      <c r="V37" s="2">
        <f t="shared" si="0"/>
        <v>804100000</v>
      </c>
      <c r="W37" s="2">
        <f t="shared" si="16"/>
        <v>-1212350</v>
      </c>
      <c r="X37" s="2">
        <f t="shared" si="1"/>
        <v>4740</v>
      </c>
      <c r="Y37" s="2">
        <f t="shared" ref="Y37" si="30">X37-X36</f>
        <v>-50</v>
      </c>
      <c r="Z37" s="2">
        <f t="shared" si="15"/>
        <v>-1620</v>
      </c>
      <c r="AA37" s="2">
        <f t="shared" si="18"/>
        <v>22</v>
      </c>
    </row>
    <row r="38" spans="1:27" x14ac:dyDescent="0.2">
      <c r="A38" s="1" t="s">
        <v>273</v>
      </c>
      <c r="B38" s="2">
        <v>9606610240</v>
      </c>
      <c r="C38" s="2">
        <v>302020</v>
      </c>
      <c r="D38" s="2">
        <v>6900</v>
      </c>
      <c r="E38" s="2">
        <v>7</v>
      </c>
      <c r="F38" s="3">
        <v>1.9</v>
      </c>
      <c r="G38" s="2">
        <v>336722360</v>
      </c>
      <c r="H38" s="2">
        <v>448260000</v>
      </c>
      <c r="I38" s="2">
        <v>90</v>
      </c>
      <c r="J38" s="4">
        <v>33.200000000000003</v>
      </c>
      <c r="O38" s="2">
        <v>8800000000</v>
      </c>
      <c r="P38" s="2">
        <v>297240</v>
      </c>
      <c r="Q38" s="2">
        <v>8521</v>
      </c>
      <c r="R38" s="2">
        <v>8</v>
      </c>
      <c r="S38" s="3">
        <v>4.4000000000000004</v>
      </c>
      <c r="T38" s="2">
        <v>336388310</v>
      </c>
      <c r="U38" s="4">
        <v>31.916</v>
      </c>
      <c r="V38" s="2">
        <f t="shared" si="0"/>
        <v>806610240</v>
      </c>
      <c r="W38" s="2">
        <f t="shared" si="16"/>
        <v>2510240</v>
      </c>
      <c r="X38" s="2">
        <f t="shared" si="1"/>
        <v>4780</v>
      </c>
      <c r="Y38" s="2">
        <f t="shared" ref="Y38" si="31">X38-X37</f>
        <v>40</v>
      </c>
      <c r="Z38" s="2">
        <f t="shared" si="15"/>
        <v>-1621</v>
      </c>
      <c r="AA38" s="2">
        <f t="shared" si="18"/>
        <v>-1</v>
      </c>
    </row>
    <row r="39" spans="1:27" x14ac:dyDescent="0.2">
      <c r="A39" s="1" t="s">
        <v>274</v>
      </c>
      <c r="B39" s="2">
        <v>10100766810</v>
      </c>
      <c r="C39" s="2">
        <v>304260</v>
      </c>
      <c r="D39" s="2">
        <v>6967</v>
      </c>
      <c r="E39" s="2">
        <v>7</v>
      </c>
      <c r="F39" s="3">
        <v>1.9</v>
      </c>
      <c r="G39" s="2">
        <v>367318410</v>
      </c>
      <c r="H39" s="2">
        <v>449400000</v>
      </c>
      <c r="I39" s="2">
        <v>90</v>
      </c>
      <c r="J39" s="4">
        <v>25.7</v>
      </c>
      <c r="O39" s="2">
        <v>9280715780</v>
      </c>
      <c r="P39" s="2">
        <v>300260</v>
      </c>
      <c r="Q39" s="2">
        <v>8599</v>
      </c>
      <c r="R39" s="2">
        <v>8</v>
      </c>
      <c r="S39" s="3">
        <v>4.5</v>
      </c>
      <c r="T39" s="2">
        <v>353506780</v>
      </c>
      <c r="U39" s="4">
        <v>27.75</v>
      </c>
      <c r="V39" s="2">
        <f t="shared" si="0"/>
        <v>820051030</v>
      </c>
      <c r="W39" s="2">
        <f t="shared" si="16"/>
        <v>13440790</v>
      </c>
      <c r="X39" s="2">
        <f t="shared" si="1"/>
        <v>4000</v>
      </c>
      <c r="Y39" s="2">
        <f t="shared" ref="Y39" si="32">X39-X38</f>
        <v>-780</v>
      </c>
      <c r="Z39" s="2">
        <f t="shared" si="15"/>
        <v>-1632</v>
      </c>
      <c r="AA39" s="2">
        <f t="shared" si="18"/>
        <v>-11</v>
      </c>
    </row>
    <row r="40" spans="1:27" x14ac:dyDescent="0.2">
      <c r="A40" s="1" t="s">
        <v>276</v>
      </c>
      <c r="B40" s="2">
        <v>12834748620</v>
      </c>
      <c r="C40" s="2">
        <v>346120</v>
      </c>
      <c r="D40" s="2">
        <v>19838</v>
      </c>
      <c r="E40" s="2">
        <v>6</v>
      </c>
      <c r="F40" s="3">
        <v>1.3</v>
      </c>
      <c r="I40" s="2">
        <v>60</v>
      </c>
      <c r="K40" t="s">
        <v>285</v>
      </c>
      <c r="O40" s="2">
        <v>11871345610</v>
      </c>
      <c r="P40" s="2">
        <v>340620</v>
      </c>
      <c r="Q40" s="2">
        <v>20211</v>
      </c>
      <c r="R40" s="2">
        <v>8</v>
      </c>
      <c r="S40" s="3">
        <v>0.9</v>
      </c>
      <c r="V40" s="2">
        <f t="shared" si="0"/>
        <v>963403010</v>
      </c>
      <c r="W40" s="2">
        <f t="shared" si="16"/>
        <v>143351980</v>
      </c>
      <c r="X40" s="2">
        <f t="shared" si="1"/>
        <v>5500</v>
      </c>
      <c r="Y40" s="2">
        <f t="shared" ref="Y40" si="33">X40-X39</f>
        <v>1500</v>
      </c>
      <c r="Z40" s="2">
        <f t="shared" si="15"/>
        <v>-373</v>
      </c>
      <c r="AA40" s="2">
        <f t="shared" si="18"/>
        <v>1259</v>
      </c>
    </row>
    <row r="41" spans="1:27" x14ac:dyDescent="0.2">
      <c r="A41" s="1" t="s">
        <v>277</v>
      </c>
      <c r="B41" s="2">
        <v>13622126170</v>
      </c>
      <c r="C41" s="2">
        <v>352700</v>
      </c>
      <c r="D41" s="2">
        <v>23153</v>
      </c>
      <c r="E41" s="2">
        <v>6</v>
      </c>
      <c r="F41" s="3">
        <v>1.4</v>
      </c>
      <c r="G41" s="2">
        <v>516255000</v>
      </c>
      <c r="H41" s="2">
        <v>516255000</v>
      </c>
      <c r="I41" s="2">
        <v>80</v>
      </c>
      <c r="J41" s="4">
        <v>80</v>
      </c>
      <c r="O41" s="2">
        <v>12584089410</v>
      </c>
      <c r="P41" s="2">
        <v>346170</v>
      </c>
      <c r="Q41" s="2">
        <v>20854</v>
      </c>
      <c r="R41" s="2">
        <v>8</v>
      </c>
      <c r="S41" s="3">
        <v>1</v>
      </c>
      <c r="T41" s="2">
        <v>507900000</v>
      </c>
      <c r="U41" s="4">
        <v>80</v>
      </c>
      <c r="V41" s="2">
        <f t="shared" si="0"/>
        <v>1038036760</v>
      </c>
      <c r="W41" s="2">
        <f t="shared" si="16"/>
        <v>74633750</v>
      </c>
      <c r="X41" s="2">
        <f t="shared" si="1"/>
        <v>6530</v>
      </c>
      <c r="Y41" s="2">
        <f t="shared" ref="Y41" si="34">X41-X40</f>
        <v>1030</v>
      </c>
      <c r="Z41" s="2">
        <f t="shared" si="15"/>
        <v>2299</v>
      </c>
      <c r="AA41" s="2">
        <f t="shared" si="18"/>
        <v>2672</v>
      </c>
    </row>
    <row r="42" spans="1:27" x14ac:dyDescent="0.2">
      <c r="A42" s="1" t="s">
        <v>278</v>
      </c>
      <c r="B42" s="2">
        <v>14082650330</v>
      </c>
      <c r="C42" s="2">
        <v>353830</v>
      </c>
      <c r="D42" s="2">
        <v>23287</v>
      </c>
      <c r="E42" s="2">
        <v>6</v>
      </c>
      <c r="F42" s="3">
        <v>1.4</v>
      </c>
      <c r="G42" s="2">
        <v>408043880</v>
      </c>
      <c r="H42" s="2">
        <v>529050000</v>
      </c>
      <c r="I42" s="2">
        <v>99</v>
      </c>
      <c r="J42" s="4">
        <v>33.665999999999997</v>
      </c>
      <c r="O42" s="2">
        <v>13055308710</v>
      </c>
      <c r="P42" s="2">
        <v>347650</v>
      </c>
      <c r="Q42" s="2">
        <v>20957</v>
      </c>
      <c r="R42" s="2">
        <v>8</v>
      </c>
      <c r="S42" s="3">
        <v>1</v>
      </c>
      <c r="T42" s="2">
        <v>414230150</v>
      </c>
      <c r="U42" s="4">
        <v>30.35</v>
      </c>
      <c r="V42" s="2">
        <f t="shared" si="0"/>
        <v>1027341620</v>
      </c>
      <c r="W42" s="2">
        <f t="shared" si="16"/>
        <v>-10695140</v>
      </c>
      <c r="X42" s="2">
        <f t="shared" si="1"/>
        <v>6180</v>
      </c>
      <c r="Y42" s="2">
        <f t="shared" ref="Y42" si="35">X42-X41</f>
        <v>-350</v>
      </c>
      <c r="Z42" s="2">
        <f t="shared" si="15"/>
        <v>2330</v>
      </c>
      <c r="AA42" s="2">
        <f t="shared" si="18"/>
        <v>31</v>
      </c>
    </row>
    <row r="43" spans="1:27" x14ac:dyDescent="0.2">
      <c r="A43" s="1" t="s">
        <v>280</v>
      </c>
      <c r="B43" s="2">
        <v>14687446830</v>
      </c>
      <c r="C43" s="2">
        <v>355810</v>
      </c>
      <c r="D43" s="2">
        <v>24326</v>
      </c>
      <c r="E43" s="2">
        <v>6</v>
      </c>
      <c r="F43" s="3">
        <v>1.4</v>
      </c>
      <c r="G43" s="2">
        <v>562257980</v>
      </c>
      <c r="H43" s="2">
        <v>796117500</v>
      </c>
      <c r="I43" s="2">
        <v>99</v>
      </c>
      <c r="J43" s="4">
        <v>41.816000000000003</v>
      </c>
      <c r="O43" s="2">
        <v>13591224740</v>
      </c>
      <c r="P43" s="2">
        <v>349240</v>
      </c>
      <c r="Q43" s="2">
        <v>21187</v>
      </c>
      <c r="R43" s="2">
        <v>8</v>
      </c>
      <c r="S43" s="3">
        <v>1</v>
      </c>
      <c r="T43" s="2">
        <v>512286770</v>
      </c>
      <c r="U43" s="4">
        <v>48</v>
      </c>
      <c r="V43" s="2">
        <f t="shared" si="0"/>
        <v>1096222090</v>
      </c>
      <c r="W43" s="2">
        <f t="shared" si="16"/>
        <v>68880470</v>
      </c>
      <c r="X43" s="2">
        <f t="shared" si="1"/>
        <v>6570</v>
      </c>
      <c r="Y43" s="2">
        <f t="shared" ref="Y43" si="36">X43-X42</f>
        <v>390</v>
      </c>
      <c r="Z43" s="2">
        <f t="shared" si="15"/>
        <v>3139</v>
      </c>
      <c r="AA43" s="2">
        <f t="shared" si="18"/>
        <v>809</v>
      </c>
    </row>
    <row r="44" spans="1:27" x14ac:dyDescent="0.2">
      <c r="A44" s="1" t="s">
        <v>279</v>
      </c>
      <c r="B44" s="2">
        <v>15414771120</v>
      </c>
      <c r="C44" s="2">
        <v>357060</v>
      </c>
      <c r="D44" s="2">
        <v>25750</v>
      </c>
      <c r="E44" s="2">
        <v>6</v>
      </c>
      <c r="F44" s="3">
        <v>1.4</v>
      </c>
      <c r="G44" s="2">
        <v>657048220</v>
      </c>
      <c r="H44" s="2">
        <v>797265000</v>
      </c>
      <c r="I44" s="2">
        <v>177</v>
      </c>
      <c r="J44" s="4">
        <v>45.332999999999998</v>
      </c>
      <c r="O44" s="2">
        <v>14230228720</v>
      </c>
      <c r="P44" s="2">
        <v>350980</v>
      </c>
      <c r="Q44" s="2">
        <v>21579</v>
      </c>
      <c r="R44" s="2">
        <v>8</v>
      </c>
      <c r="S44" s="3">
        <v>1</v>
      </c>
      <c r="T44" s="2">
        <v>588867800</v>
      </c>
      <c r="U44" s="4">
        <v>61.8</v>
      </c>
      <c r="V44" s="2">
        <f t="shared" si="0"/>
        <v>1184542400</v>
      </c>
      <c r="W44" s="2">
        <f t="shared" si="16"/>
        <v>88320310</v>
      </c>
      <c r="X44" s="2">
        <f t="shared" si="1"/>
        <v>6080</v>
      </c>
      <c r="Y44" s="2">
        <f t="shared" ref="Y44" si="37">X44-X43</f>
        <v>-490</v>
      </c>
      <c r="Z44" s="2">
        <f t="shared" si="15"/>
        <v>4171</v>
      </c>
      <c r="AA44" s="2">
        <f t="shared" si="18"/>
        <v>1032</v>
      </c>
    </row>
    <row r="45" spans="1:27" x14ac:dyDescent="0.2">
      <c r="A45" s="1" t="s">
        <v>281</v>
      </c>
      <c r="B45" s="2">
        <v>1388427000</v>
      </c>
      <c r="O45" s="2">
        <v>1364785000</v>
      </c>
      <c r="W45" s="2"/>
    </row>
    <row r="46" spans="1:27" x14ac:dyDescent="0.2">
      <c r="A46" s="1" t="s">
        <v>282</v>
      </c>
      <c r="B46" s="2">
        <f>6*377777770+77777770</f>
        <v>2344444390</v>
      </c>
      <c r="O46" s="2">
        <f>8*377777770+77777770</f>
        <v>3099999930</v>
      </c>
    </row>
    <row r="47" spans="1:27" x14ac:dyDescent="0.2">
      <c r="A47" s="1" t="s">
        <v>283</v>
      </c>
      <c r="B47" s="2">
        <f>B44+B45+B46</f>
        <v>19147642510</v>
      </c>
      <c r="O47" s="2">
        <f>O44+O45+O46</f>
        <v>18695013650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6779-79CB-4B8B-8199-2E075B7C3530}">
  <dimension ref="A1:S95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Q48" sqref="Q48"/>
    </sheetView>
  </sheetViews>
  <sheetFormatPr defaultRowHeight="14.25" x14ac:dyDescent="0.2"/>
  <cols>
    <col min="2" max="2" width="14.625" style="18" bestFit="1" customWidth="1"/>
    <col min="3" max="4" width="9" style="18"/>
    <col min="5" max="5" width="9" style="19"/>
    <col min="6" max="6" width="9" style="22"/>
    <col min="7" max="7" width="9" style="19"/>
    <col min="11" max="11" width="14.625" style="2" bestFit="1" customWidth="1"/>
    <col min="12" max="13" width="9" style="2"/>
    <col min="14" max="14" width="11.5" style="2" bestFit="1" customWidth="1"/>
    <col min="18" max="18" width="9" style="22"/>
    <col min="19" max="19" width="9" style="19"/>
  </cols>
  <sheetData>
    <row r="1" spans="1:19" x14ac:dyDescent="0.2">
      <c r="B1" s="18" t="s">
        <v>1</v>
      </c>
      <c r="C1" s="18" t="s">
        <v>0</v>
      </c>
      <c r="D1" s="18" t="s">
        <v>2</v>
      </c>
      <c r="E1" s="19" t="s">
        <v>3</v>
      </c>
      <c r="F1" s="22" t="s">
        <v>4</v>
      </c>
      <c r="G1" s="19" t="s">
        <v>208</v>
      </c>
      <c r="H1" s="19" t="s">
        <v>209</v>
      </c>
      <c r="I1" s="19" t="s">
        <v>10</v>
      </c>
      <c r="J1" s="19" t="s">
        <v>257</v>
      </c>
      <c r="K1" s="2" t="s">
        <v>1</v>
      </c>
      <c r="L1" s="2" t="s">
        <v>0</v>
      </c>
      <c r="M1" s="2" t="s">
        <v>2</v>
      </c>
      <c r="N1" s="2" t="s">
        <v>258</v>
      </c>
      <c r="O1" s="2" t="s">
        <v>166</v>
      </c>
      <c r="R1" s="22" t="s">
        <v>4</v>
      </c>
      <c r="S1" s="19" t="s">
        <v>208</v>
      </c>
    </row>
    <row r="2" spans="1:19" s="10" customFormat="1" x14ac:dyDescent="0.2">
      <c r="A2" s="6" t="s">
        <v>34</v>
      </c>
      <c r="B2" s="20">
        <v>0</v>
      </c>
      <c r="C2" s="20">
        <v>15000</v>
      </c>
      <c r="D2" s="20">
        <v>0</v>
      </c>
      <c r="E2" s="21">
        <v>2</v>
      </c>
      <c r="F2" s="23">
        <v>3</v>
      </c>
      <c r="G2" s="21">
        <v>0</v>
      </c>
      <c r="K2" s="7">
        <v>0</v>
      </c>
      <c r="L2" s="20">
        <v>15000</v>
      </c>
      <c r="M2" s="20">
        <v>0</v>
      </c>
      <c r="N2" s="7"/>
      <c r="R2" s="23"/>
      <c r="S2" s="21"/>
    </row>
    <row r="3" spans="1:19" x14ac:dyDescent="0.2">
      <c r="A3" s="1" t="s">
        <v>6</v>
      </c>
      <c r="B3" s="18">
        <v>2447810</v>
      </c>
      <c r="C3" s="18">
        <v>15740</v>
      </c>
      <c r="D3" s="18">
        <v>85</v>
      </c>
      <c r="E3" s="19">
        <v>2</v>
      </c>
      <c r="F3" s="22">
        <v>3.5</v>
      </c>
      <c r="G3" s="19">
        <v>0</v>
      </c>
    </row>
    <row r="4" spans="1:19" x14ac:dyDescent="0.2">
      <c r="A4" s="1" t="s">
        <v>7</v>
      </c>
      <c r="F4" s="22">
        <v>4.7</v>
      </c>
      <c r="G4" s="19">
        <v>1</v>
      </c>
    </row>
    <row r="5" spans="1:19" x14ac:dyDescent="0.2">
      <c r="A5" s="1" t="s">
        <v>9</v>
      </c>
      <c r="F5" s="22">
        <v>5.2</v>
      </c>
      <c r="G5" s="19">
        <v>2</v>
      </c>
    </row>
    <row r="6" spans="1:19" x14ac:dyDescent="0.2">
      <c r="A6" s="1" t="s">
        <v>17</v>
      </c>
      <c r="F6" s="22">
        <v>5.9</v>
      </c>
      <c r="G6" s="19">
        <v>3</v>
      </c>
      <c r="H6" t="s">
        <v>219</v>
      </c>
    </row>
    <row r="7" spans="1:19" x14ac:dyDescent="0.2">
      <c r="A7" s="1" t="s">
        <v>19</v>
      </c>
      <c r="F7" s="22">
        <v>6.2</v>
      </c>
      <c r="G7" s="19">
        <v>4</v>
      </c>
    </row>
    <row r="8" spans="1:19" x14ac:dyDescent="0.2">
      <c r="A8" s="1" t="s">
        <v>20</v>
      </c>
      <c r="F8" s="22">
        <v>6.5</v>
      </c>
      <c r="G8" s="19">
        <v>4</v>
      </c>
    </row>
    <row r="9" spans="1:19" x14ac:dyDescent="0.2">
      <c r="A9" s="1" t="s">
        <v>22</v>
      </c>
      <c r="F9" s="22">
        <v>6.9</v>
      </c>
      <c r="G9" s="19">
        <v>5</v>
      </c>
    </row>
    <row r="10" spans="1:19" x14ac:dyDescent="0.2">
      <c r="A10" s="1" t="s">
        <v>24</v>
      </c>
    </row>
    <row r="11" spans="1:19" x14ac:dyDescent="0.2">
      <c r="A11" s="1" t="s">
        <v>26</v>
      </c>
      <c r="F11" s="22">
        <v>7.2</v>
      </c>
      <c r="G11" s="19">
        <v>6</v>
      </c>
    </row>
    <row r="12" spans="1:19" x14ac:dyDescent="0.2">
      <c r="A12" s="1" t="s">
        <v>31</v>
      </c>
      <c r="B12" s="18">
        <f>B13-10000000</f>
        <v>43836170</v>
      </c>
      <c r="C12" s="20">
        <v>26610</v>
      </c>
      <c r="D12" s="20">
        <v>3795</v>
      </c>
      <c r="F12" s="22">
        <v>7.7</v>
      </c>
      <c r="G12" s="19">
        <v>7</v>
      </c>
      <c r="K12" s="2">
        <f>K13-B13+B12</f>
        <v>44218920</v>
      </c>
      <c r="L12" s="7">
        <v>26690</v>
      </c>
      <c r="M12" s="7">
        <v>3849</v>
      </c>
      <c r="N12" s="2">
        <f>C12-L12-D12+M12</f>
        <v>-26</v>
      </c>
      <c r="O12" s="2">
        <f>D12-M12</f>
        <v>-54</v>
      </c>
      <c r="R12" s="22">
        <v>6.9</v>
      </c>
      <c r="S12" s="19">
        <v>7</v>
      </c>
    </row>
    <row r="13" spans="1:19" s="10" customFormat="1" x14ac:dyDescent="0.2">
      <c r="A13" s="6" t="s">
        <v>33</v>
      </c>
      <c r="B13" s="20">
        <v>53836170</v>
      </c>
      <c r="E13" s="21"/>
      <c r="F13" s="23"/>
      <c r="G13" s="21"/>
      <c r="K13" s="7">
        <v>54218920</v>
      </c>
      <c r="N13" s="7"/>
      <c r="R13" s="23"/>
      <c r="S13" s="21"/>
    </row>
    <row r="14" spans="1:19" x14ac:dyDescent="0.2">
      <c r="A14" s="1" t="s">
        <v>35</v>
      </c>
    </row>
    <row r="15" spans="1:19" x14ac:dyDescent="0.2">
      <c r="A15" s="1" t="s">
        <v>36</v>
      </c>
    </row>
    <row r="16" spans="1:19" x14ac:dyDescent="0.2">
      <c r="A16" s="1" t="s">
        <v>39</v>
      </c>
    </row>
    <row r="17" spans="1:19" x14ac:dyDescent="0.2">
      <c r="A17" s="1" t="s">
        <v>40</v>
      </c>
    </row>
    <row r="18" spans="1:19" x14ac:dyDescent="0.2">
      <c r="A18" s="1" t="s">
        <v>20</v>
      </c>
    </row>
    <row r="19" spans="1:19" x14ac:dyDescent="0.2">
      <c r="A19" s="1" t="s">
        <v>22</v>
      </c>
    </row>
    <row r="20" spans="1:19" x14ac:dyDescent="0.2">
      <c r="A20" s="1" t="s">
        <v>24</v>
      </c>
    </row>
    <row r="21" spans="1:19" x14ac:dyDescent="0.2">
      <c r="A21" s="1" t="s">
        <v>26</v>
      </c>
    </row>
    <row r="22" spans="1:19" x14ac:dyDescent="0.2">
      <c r="A22" s="1" t="s">
        <v>43</v>
      </c>
    </row>
    <row r="23" spans="1:19" x14ac:dyDescent="0.2">
      <c r="A23" s="1" t="s">
        <v>31</v>
      </c>
      <c r="B23" s="18">
        <f>B24-40000000</f>
        <v>468703540</v>
      </c>
      <c r="C23" s="20">
        <v>67700</v>
      </c>
      <c r="D23" s="20">
        <v>6148</v>
      </c>
      <c r="F23" s="22">
        <v>8.3000000000000007</v>
      </c>
      <c r="G23" s="19">
        <v>8</v>
      </c>
      <c r="K23" s="2">
        <f>K24-B24+B23</f>
        <v>409339020</v>
      </c>
      <c r="L23" s="7">
        <v>61390</v>
      </c>
      <c r="M23" s="7">
        <v>6224</v>
      </c>
      <c r="N23" s="2">
        <f>C23-L23-D23+M23</f>
        <v>6386</v>
      </c>
      <c r="O23" s="2">
        <f>D23-M23</f>
        <v>-76</v>
      </c>
      <c r="R23" s="22">
        <v>8.1</v>
      </c>
      <c r="S23" s="19">
        <v>5</v>
      </c>
    </row>
    <row r="24" spans="1:19" s="10" customFormat="1" x14ac:dyDescent="0.2">
      <c r="A24" s="6" t="s">
        <v>47</v>
      </c>
      <c r="B24" s="20">
        <v>508703540</v>
      </c>
      <c r="E24" s="21"/>
      <c r="F24" s="23"/>
      <c r="G24" s="21"/>
      <c r="K24" s="7">
        <v>449339020</v>
      </c>
      <c r="N24" s="7"/>
      <c r="R24" s="23"/>
      <c r="S24" s="21"/>
    </row>
    <row r="25" spans="1:19" x14ac:dyDescent="0.2">
      <c r="A25" s="1" t="s">
        <v>48</v>
      </c>
    </row>
    <row r="26" spans="1:19" x14ac:dyDescent="0.2">
      <c r="A26" s="1" t="s">
        <v>49</v>
      </c>
    </row>
    <row r="27" spans="1:19" x14ac:dyDescent="0.2">
      <c r="A27" s="1" t="s">
        <v>9</v>
      </c>
    </row>
    <row r="28" spans="1:19" x14ac:dyDescent="0.2">
      <c r="A28" s="1" t="s">
        <v>13</v>
      </c>
    </row>
    <row r="29" spans="1:19" x14ac:dyDescent="0.2">
      <c r="A29" s="1" t="s">
        <v>52</v>
      </c>
    </row>
    <row r="30" spans="1:19" x14ac:dyDescent="0.2">
      <c r="A30" s="1" t="s">
        <v>20</v>
      </c>
    </row>
    <row r="31" spans="1:19" x14ac:dyDescent="0.2">
      <c r="A31" s="1" t="s">
        <v>22</v>
      </c>
    </row>
    <row r="32" spans="1:19" x14ac:dyDescent="0.2">
      <c r="A32" s="1" t="s">
        <v>24</v>
      </c>
    </row>
    <row r="33" spans="1:19" x14ac:dyDescent="0.2">
      <c r="A33" s="1" t="s">
        <v>26</v>
      </c>
    </row>
    <row r="34" spans="1:19" x14ac:dyDescent="0.2">
      <c r="A34" s="1" t="s">
        <v>55</v>
      </c>
    </row>
    <row r="35" spans="1:19" x14ac:dyDescent="0.2">
      <c r="A35" s="1" t="s">
        <v>43</v>
      </c>
    </row>
    <row r="36" spans="1:19" x14ac:dyDescent="0.2">
      <c r="A36" s="1" t="s">
        <v>57</v>
      </c>
    </row>
    <row r="37" spans="1:19" x14ac:dyDescent="0.2">
      <c r="A37" s="1" t="s">
        <v>31</v>
      </c>
      <c r="B37" s="18">
        <f>B38-90000000</f>
        <v>1700500610</v>
      </c>
      <c r="C37" s="20">
        <v>125210</v>
      </c>
      <c r="D37" s="20">
        <v>10598</v>
      </c>
      <c r="F37" s="22">
        <v>8.9</v>
      </c>
      <c r="G37" s="19">
        <v>12</v>
      </c>
      <c r="K37" s="2">
        <f>K38-B38+B37</f>
        <v>1636339820</v>
      </c>
      <c r="L37" s="7">
        <v>119010</v>
      </c>
      <c r="M37" s="7">
        <v>7251</v>
      </c>
      <c r="N37" s="2">
        <f>C37-L37-D37+M37</f>
        <v>2853</v>
      </c>
      <c r="O37" s="2">
        <f>D37-M37</f>
        <v>3347</v>
      </c>
      <c r="R37" s="22">
        <v>7.1</v>
      </c>
      <c r="S37" s="19">
        <v>8</v>
      </c>
    </row>
    <row r="38" spans="1:19" s="10" customFormat="1" x14ac:dyDescent="0.2">
      <c r="A38" s="6" t="s">
        <v>60</v>
      </c>
      <c r="B38" s="20">
        <v>1790500610</v>
      </c>
      <c r="E38" s="21"/>
      <c r="F38" s="23"/>
      <c r="G38" s="21"/>
      <c r="K38" s="7">
        <v>1726339820</v>
      </c>
      <c r="N38" s="7"/>
      <c r="R38" s="23"/>
      <c r="S38" s="21"/>
    </row>
    <row r="39" spans="1:19" x14ac:dyDescent="0.2">
      <c r="A39" s="1" t="s">
        <v>61</v>
      </c>
    </row>
    <row r="40" spans="1:19" x14ac:dyDescent="0.2">
      <c r="A40" s="1" t="s">
        <v>62</v>
      </c>
    </row>
    <row r="41" spans="1:19" x14ac:dyDescent="0.2">
      <c r="A41" s="1" t="s">
        <v>63</v>
      </c>
    </row>
    <row r="42" spans="1:19" x14ac:dyDescent="0.2">
      <c r="A42" s="1" t="s">
        <v>13</v>
      </c>
    </row>
    <row r="43" spans="1:19" x14ac:dyDescent="0.2">
      <c r="A43" s="1" t="s">
        <v>64</v>
      </c>
    </row>
    <row r="44" spans="1:19" x14ac:dyDescent="0.2">
      <c r="A44" s="1" t="s">
        <v>66</v>
      </c>
    </row>
    <row r="45" spans="1:19" x14ac:dyDescent="0.2">
      <c r="A45" s="1" t="s">
        <v>20</v>
      </c>
    </row>
    <row r="46" spans="1:19" x14ac:dyDescent="0.2">
      <c r="A46" s="1" t="s">
        <v>22</v>
      </c>
    </row>
    <row r="47" spans="1:19" x14ac:dyDescent="0.2">
      <c r="A47" s="1" t="s">
        <v>69</v>
      </c>
    </row>
    <row r="48" spans="1:19" x14ac:dyDescent="0.2">
      <c r="A48" s="1" t="s">
        <v>70</v>
      </c>
    </row>
    <row r="49" spans="1:19" x14ac:dyDescent="0.2">
      <c r="A49" s="1" t="s">
        <v>71</v>
      </c>
    </row>
    <row r="50" spans="1:19" x14ac:dyDescent="0.2">
      <c r="A50" s="1" t="s">
        <v>72</v>
      </c>
    </row>
    <row r="51" spans="1:19" x14ac:dyDescent="0.2">
      <c r="A51" s="1" t="s">
        <v>57</v>
      </c>
    </row>
    <row r="52" spans="1:19" x14ac:dyDescent="0.2">
      <c r="A52" s="1" t="s">
        <v>31</v>
      </c>
      <c r="B52" s="18">
        <f>B53-160000000</f>
        <v>4861404930</v>
      </c>
      <c r="C52" s="20">
        <v>213600</v>
      </c>
      <c r="D52" s="20">
        <v>16239</v>
      </c>
      <c r="F52" s="22">
        <v>9</v>
      </c>
      <c r="G52" s="19">
        <v>12</v>
      </c>
      <c r="K52" s="2">
        <f>K53-B53+B52</f>
        <v>3438768440</v>
      </c>
      <c r="L52" s="2">
        <v>176080</v>
      </c>
      <c r="M52" s="2">
        <v>12657</v>
      </c>
      <c r="N52" s="2">
        <f>C52-L52-D52+M52</f>
        <v>33938</v>
      </c>
      <c r="O52" s="2">
        <f>D52-M52</f>
        <v>3582</v>
      </c>
      <c r="R52" s="22">
        <v>9</v>
      </c>
      <c r="S52" s="19">
        <v>12</v>
      </c>
    </row>
    <row r="53" spans="1:19" s="10" customFormat="1" x14ac:dyDescent="0.2">
      <c r="A53" s="6" t="s">
        <v>78</v>
      </c>
      <c r="B53" s="20">
        <v>5021404930</v>
      </c>
      <c r="E53" s="21"/>
      <c r="F53" s="23"/>
      <c r="G53" s="21"/>
      <c r="K53" s="7">
        <v>3598768440</v>
      </c>
      <c r="L53" s="7"/>
      <c r="M53" s="7"/>
      <c r="N53" s="7"/>
      <c r="R53" s="23"/>
      <c r="S53" s="21"/>
    </row>
    <row r="54" spans="1:19" x14ac:dyDescent="0.2">
      <c r="A54" s="1" t="s">
        <v>79</v>
      </c>
    </row>
    <row r="55" spans="1:19" x14ac:dyDescent="0.2">
      <c r="A55" s="1" t="s">
        <v>80</v>
      </c>
    </row>
    <row r="56" spans="1:19" x14ac:dyDescent="0.2">
      <c r="A56" s="1" t="s">
        <v>83</v>
      </c>
    </row>
    <row r="57" spans="1:19" x14ac:dyDescent="0.2">
      <c r="A57" s="1" t="s">
        <v>85</v>
      </c>
    </row>
    <row r="58" spans="1:19" x14ac:dyDescent="0.2">
      <c r="A58" s="1" t="s">
        <v>87</v>
      </c>
    </row>
    <row r="59" spans="1:19" x14ac:dyDescent="0.2">
      <c r="A59" s="1" t="s">
        <v>88</v>
      </c>
    </row>
    <row r="60" spans="1:19" x14ac:dyDescent="0.2">
      <c r="A60" s="1" t="s">
        <v>89</v>
      </c>
    </row>
    <row r="61" spans="1:19" x14ac:dyDescent="0.2">
      <c r="A61" s="1" t="s">
        <v>90</v>
      </c>
    </row>
    <row r="62" spans="1:19" x14ac:dyDescent="0.2">
      <c r="A62" s="1" t="s">
        <v>9</v>
      </c>
    </row>
    <row r="63" spans="1:19" x14ac:dyDescent="0.2">
      <c r="A63" s="1" t="s">
        <v>91</v>
      </c>
    </row>
    <row r="64" spans="1:19" x14ac:dyDescent="0.2">
      <c r="A64" s="1" t="s">
        <v>93</v>
      </c>
    </row>
    <row r="65" spans="1:19" x14ac:dyDescent="0.2">
      <c r="A65" s="1" t="s">
        <v>94</v>
      </c>
    </row>
    <row r="66" spans="1:19" x14ac:dyDescent="0.2">
      <c r="A66" s="1" t="s">
        <v>20</v>
      </c>
    </row>
    <row r="67" spans="1:19" x14ac:dyDescent="0.2">
      <c r="A67" s="1" t="s">
        <v>22</v>
      </c>
    </row>
    <row r="68" spans="1:19" x14ac:dyDescent="0.2">
      <c r="A68" s="1" t="s">
        <v>69</v>
      </c>
    </row>
    <row r="69" spans="1:19" x14ac:dyDescent="0.2">
      <c r="A69" s="1" t="s">
        <v>70</v>
      </c>
    </row>
    <row r="70" spans="1:19" x14ac:dyDescent="0.2">
      <c r="A70" s="1" t="s">
        <v>71</v>
      </c>
    </row>
    <row r="71" spans="1:19" x14ac:dyDescent="0.2">
      <c r="A71" s="1" t="s">
        <v>72</v>
      </c>
    </row>
    <row r="72" spans="1:19" x14ac:dyDescent="0.2">
      <c r="A72" s="1" t="s">
        <v>98</v>
      </c>
    </row>
    <row r="73" spans="1:19" x14ac:dyDescent="0.2">
      <c r="A73" s="1" t="s">
        <v>57</v>
      </c>
    </row>
    <row r="74" spans="1:19" x14ac:dyDescent="0.2">
      <c r="A74" s="1" t="s">
        <v>101</v>
      </c>
    </row>
    <row r="75" spans="1:19" x14ac:dyDescent="0.2">
      <c r="A75" s="1" t="s">
        <v>31</v>
      </c>
      <c r="B75" s="18">
        <f>B76-250000000</f>
        <v>17538810740</v>
      </c>
      <c r="C75" s="20">
        <v>426280</v>
      </c>
      <c r="D75" s="20">
        <v>32989</v>
      </c>
      <c r="F75" s="22">
        <v>8.5</v>
      </c>
      <c r="G75" s="19">
        <v>8</v>
      </c>
      <c r="K75" s="2">
        <f>K76-B76+B75</f>
        <v>13555579450</v>
      </c>
      <c r="L75" s="2">
        <v>357510</v>
      </c>
      <c r="M75" s="2">
        <v>25218</v>
      </c>
      <c r="N75" s="2">
        <f>C75-L75-D75+M75</f>
        <v>60999</v>
      </c>
      <c r="O75" s="2">
        <f>D75-M75</f>
        <v>7771</v>
      </c>
      <c r="R75" s="22">
        <v>8.1999999999999993</v>
      </c>
      <c r="S75" s="19">
        <v>7</v>
      </c>
    </row>
    <row r="76" spans="1:19" s="10" customFormat="1" x14ac:dyDescent="0.2">
      <c r="A76" s="6" t="s">
        <v>103</v>
      </c>
      <c r="B76" s="20">
        <v>17788810740</v>
      </c>
      <c r="E76" s="21"/>
      <c r="F76" s="23"/>
      <c r="G76" s="21"/>
      <c r="K76" s="7">
        <v>13805579450</v>
      </c>
      <c r="L76" s="7"/>
      <c r="M76" s="7"/>
      <c r="N76" s="7"/>
      <c r="R76" s="23"/>
      <c r="S76" s="21"/>
    </row>
    <row r="77" spans="1:19" x14ac:dyDescent="0.2">
      <c r="A77" s="1" t="s">
        <v>104</v>
      </c>
    </row>
    <row r="78" spans="1:19" x14ac:dyDescent="0.2">
      <c r="A78" s="1" t="s">
        <v>105</v>
      </c>
    </row>
    <row r="79" spans="1:19" x14ac:dyDescent="0.2">
      <c r="A79" s="1" t="s">
        <v>106</v>
      </c>
    </row>
    <row r="80" spans="1:19" x14ac:dyDescent="0.2">
      <c r="A80" s="1" t="s">
        <v>107</v>
      </c>
    </row>
    <row r="81" spans="1:19" x14ac:dyDescent="0.2">
      <c r="A81" s="1" t="s">
        <v>108</v>
      </c>
    </row>
    <row r="82" spans="1:19" x14ac:dyDescent="0.2">
      <c r="A82" s="1" t="s">
        <v>110</v>
      </c>
    </row>
    <row r="83" spans="1:19" x14ac:dyDescent="0.2">
      <c r="A83" s="1" t="s">
        <v>20</v>
      </c>
    </row>
    <row r="84" spans="1:19" x14ac:dyDescent="0.2">
      <c r="A84" s="1" t="s">
        <v>22</v>
      </c>
    </row>
    <row r="85" spans="1:19" x14ac:dyDescent="0.2">
      <c r="A85" s="1" t="s">
        <v>69</v>
      </c>
    </row>
    <row r="86" spans="1:19" x14ac:dyDescent="0.2">
      <c r="A86" s="1" t="s">
        <v>26</v>
      </c>
      <c r="H86" t="s">
        <v>210</v>
      </c>
    </row>
    <row r="87" spans="1:19" x14ac:dyDescent="0.2">
      <c r="A87" s="1" t="s">
        <v>55</v>
      </c>
      <c r="H87" t="s">
        <v>211</v>
      </c>
    </row>
    <row r="88" spans="1:19" x14ac:dyDescent="0.2">
      <c r="A88" s="1" t="s">
        <v>72</v>
      </c>
    </row>
    <row r="89" spans="1:19" x14ac:dyDescent="0.2">
      <c r="A89" s="1" t="s">
        <v>98</v>
      </c>
      <c r="H89" t="s">
        <v>212</v>
      </c>
    </row>
    <row r="90" spans="1:19" x14ac:dyDescent="0.2">
      <c r="A90" s="1" t="s">
        <v>76</v>
      </c>
    </row>
    <row r="91" spans="1:19" x14ac:dyDescent="0.2">
      <c r="A91" s="1" t="s">
        <v>213</v>
      </c>
      <c r="H91" t="s">
        <v>214</v>
      </c>
    </row>
    <row r="92" spans="1:19" x14ac:dyDescent="0.2">
      <c r="A92" s="1" t="s">
        <v>100</v>
      </c>
    </row>
    <row r="93" spans="1:19" x14ac:dyDescent="0.2">
      <c r="A93" s="1" t="s">
        <v>215</v>
      </c>
      <c r="H93" t="s">
        <v>216</v>
      </c>
    </row>
    <row r="94" spans="1:19" x14ac:dyDescent="0.2">
      <c r="A94" s="1" t="s">
        <v>217</v>
      </c>
      <c r="B94" s="18">
        <f>B95-720000000</f>
        <v>41107758540</v>
      </c>
      <c r="C94" s="20">
        <v>644570</v>
      </c>
      <c r="D94" s="20">
        <v>46935</v>
      </c>
      <c r="F94" s="22">
        <v>0.9</v>
      </c>
      <c r="G94" s="19">
        <v>1</v>
      </c>
      <c r="H94" t="s">
        <v>218</v>
      </c>
      <c r="K94" s="2">
        <f>K95-B95+B94</f>
        <v>29911175130</v>
      </c>
      <c r="L94" s="2">
        <v>535100</v>
      </c>
      <c r="M94" s="2">
        <v>35785</v>
      </c>
      <c r="O94" s="2">
        <f>D94-M94</f>
        <v>11150</v>
      </c>
      <c r="R94" s="22">
        <v>1</v>
      </c>
      <c r="S94" s="19">
        <v>4.5</v>
      </c>
    </row>
    <row r="95" spans="1:19" s="10" customFormat="1" x14ac:dyDescent="0.2">
      <c r="A95" s="6" t="s">
        <v>112</v>
      </c>
      <c r="B95" s="20">
        <v>41827758540</v>
      </c>
      <c r="E95" s="21"/>
      <c r="F95" s="23"/>
      <c r="G95" s="21"/>
      <c r="K95" s="7">
        <v>30631175130</v>
      </c>
      <c r="L95" s="7"/>
      <c r="M95" s="7"/>
      <c r="N95" s="7"/>
      <c r="R95" s="23"/>
      <c r="S95" s="2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8059-6518-4B5D-8D75-30810C11EE85}">
  <dimension ref="A1:U39"/>
  <sheetViews>
    <sheetView workbookViewId="0">
      <selection activeCell="H2" sqref="H2:H9"/>
    </sheetView>
  </sheetViews>
  <sheetFormatPr defaultRowHeight="14.25" x14ac:dyDescent="0.2"/>
  <cols>
    <col min="1" max="1" width="37.625" bestFit="1" customWidth="1"/>
    <col min="2" max="3" width="9" bestFit="1" customWidth="1"/>
    <col min="4" max="4" width="17.25" bestFit="1" customWidth="1"/>
    <col min="5" max="5" width="18.875" bestFit="1" customWidth="1"/>
    <col min="6" max="6" width="3.5" bestFit="1" customWidth="1"/>
    <col min="7" max="7" width="14" bestFit="1" customWidth="1"/>
    <col min="8" max="8" width="12.5" bestFit="1" customWidth="1"/>
    <col min="9" max="10" width="11.25" bestFit="1" customWidth="1"/>
    <col min="12" max="12" width="61.75" bestFit="1" customWidth="1"/>
    <col min="14" max="14" width="9" bestFit="1" customWidth="1"/>
    <col min="15" max="15" width="33.125" bestFit="1" customWidth="1"/>
    <col min="16" max="16" width="12.25" bestFit="1" customWidth="1"/>
    <col min="17" max="17" width="10.625" bestFit="1" customWidth="1"/>
    <col min="19" max="19" width="12.75" bestFit="1" customWidth="1"/>
    <col min="20" max="20" width="8.25" bestFit="1" customWidth="1"/>
    <col min="21" max="21" width="8.625" bestFit="1" customWidth="1"/>
  </cols>
  <sheetData>
    <row r="1" spans="1:21" ht="30.75" thickBot="1" x14ac:dyDescent="0.3">
      <c r="A1" t="s">
        <v>137</v>
      </c>
      <c r="B1" t="s">
        <v>138</v>
      </c>
      <c r="D1" t="s">
        <v>139</v>
      </c>
      <c r="E1" t="s">
        <v>140</v>
      </c>
      <c r="G1" t="s">
        <v>141</v>
      </c>
      <c r="H1" t="s">
        <v>142</v>
      </c>
      <c r="J1" t="s">
        <v>139</v>
      </c>
      <c r="L1" s="13" t="s">
        <v>143</v>
      </c>
      <c r="N1" s="44" t="s">
        <v>236</v>
      </c>
      <c r="O1" s="45" t="s">
        <v>237</v>
      </c>
      <c r="P1" s="45" t="s">
        <v>238</v>
      </c>
      <c r="Q1" s="45" t="s">
        <v>239</v>
      </c>
      <c r="R1" s="46" t="s">
        <v>240</v>
      </c>
      <c r="S1" s="54" t="s">
        <v>253</v>
      </c>
      <c r="T1" s="54" t="s">
        <v>254</v>
      </c>
      <c r="U1" s="54" t="s">
        <v>252</v>
      </c>
    </row>
    <row r="2" spans="1:21" ht="15" thickBot="1" x14ac:dyDescent="0.25">
      <c r="A2">
        <v>1</v>
      </c>
      <c r="B2">
        <v>1</v>
      </c>
      <c r="D2">
        <f>5 * 400 * B2</f>
        <v>2000</v>
      </c>
      <c r="E2">
        <f>D2*0.75</f>
        <v>1500</v>
      </c>
      <c r="G2">
        <v>1</v>
      </c>
      <c r="H2">
        <v>150</v>
      </c>
      <c r="J2">
        <f>5 * H2</f>
        <v>750</v>
      </c>
      <c r="N2" s="32" t="s">
        <v>241</v>
      </c>
      <c r="O2" s="33"/>
      <c r="P2" s="33">
        <v>1</v>
      </c>
      <c r="Q2" s="33">
        <v>1</v>
      </c>
      <c r="R2" s="33">
        <v>1</v>
      </c>
      <c r="S2">
        <f>CEILING(128 * (1/3*P2)^0.5,1)</f>
        <v>74</v>
      </c>
      <c r="T2">
        <f>CEILING(120*Q2^0.5,1)</f>
        <v>120</v>
      </c>
    </row>
    <row r="3" spans="1:21" ht="50.25" thickBot="1" x14ac:dyDescent="0.3">
      <c r="A3">
        <v>2</v>
      </c>
      <c r="B3">
        <v>1.35</v>
      </c>
      <c r="D3">
        <f t="shared" ref="D3:D8" si="0">5 * 400 * B3</f>
        <v>2700</v>
      </c>
      <c r="E3">
        <f t="shared" ref="E3:E9" si="1">D3*0.75</f>
        <v>2025</v>
      </c>
      <c r="G3">
        <v>3</v>
      </c>
      <c r="H3">
        <v>210</v>
      </c>
      <c r="J3">
        <f t="shared" ref="J3:J11" si="2">5 * H3</f>
        <v>1050</v>
      </c>
      <c r="L3" s="13" t="s">
        <v>144</v>
      </c>
      <c r="N3" s="35" t="s">
        <v>242</v>
      </c>
      <c r="O3" s="52" t="s">
        <v>250</v>
      </c>
      <c r="P3" s="33">
        <v>5</v>
      </c>
      <c r="Q3" s="33">
        <v>0.25</v>
      </c>
      <c r="R3" s="33">
        <v>3</v>
      </c>
      <c r="S3">
        <f t="shared" ref="S3:S8" si="3">CEILING(128 * (1/3*P3)^0.5,1)</f>
        <v>166</v>
      </c>
      <c r="T3">
        <f t="shared" ref="T3:T8" si="4">CEILING(120*Q3^0.5,1)</f>
        <v>60</v>
      </c>
    </row>
    <row r="4" spans="1:21" ht="15.75" thickBot="1" x14ac:dyDescent="0.3">
      <c r="A4">
        <v>3</v>
      </c>
      <c r="B4">
        <v>1.5</v>
      </c>
      <c r="D4">
        <f t="shared" si="0"/>
        <v>3000</v>
      </c>
      <c r="E4">
        <f t="shared" si="1"/>
        <v>2250</v>
      </c>
      <c r="G4">
        <v>8</v>
      </c>
      <c r="H4">
        <v>277</v>
      </c>
      <c r="J4">
        <f t="shared" si="2"/>
        <v>1385</v>
      </c>
      <c r="L4" s="13" t="s">
        <v>145</v>
      </c>
      <c r="N4" s="37" t="s">
        <v>178</v>
      </c>
      <c r="O4" s="33"/>
      <c r="P4" s="33">
        <v>1</v>
      </c>
      <c r="Q4" s="33">
        <v>1</v>
      </c>
      <c r="R4" s="33">
        <v>0.5</v>
      </c>
      <c r="S4">
        <f t="shared" si="3"/>
        <v>74</v>
      </c>
      <c r="T4">
        <f t="shared" si="4"/>
        <v>120</v>
      </c>
    </row>
    <row r="5" spans="1:21" ht="15.75" thickBot="1" x14ac:dyDescent="0.3">
      <c r="A5">
        <v>4</v>
      </c>
      <c r="B5">
        <v>1.65</v>
      </c>
      <c r="D5">
        <f t="shared" si="0"/>
        <v>3300</v>
      </c>
      <c r="E5">
        <f t="shared" si="1"/>
        <v>2475</v>
      </c>
      <c r="G5">
        <v>15</v>
      </c>
      <c r="H5">
        <v>360</v>
      </c>
      <c r="J5">
        <f t="shared" si="2"/>
        <v>1800</v>
      </c>
      <c r="L5" s="13" t="s">
        <v>146</v>
      </c>
      <c r="N5" s="38" t="s">
        <v>180</v>
      </c>
      <c r="O5" s="36"/>
      <c r="P5" s="24">
        <v>1.5</v>
      </c>
      <c r="Q5" s="24">
        <v>2</v>
      </c>
      <c r="R5" s="24">
        <v>1</v>
      </c>
      <c r="S5">
        <f t="shared" si="3"/>
        <v>91</v>
      </c>
      <c r="T5">
        <f t="shared" si="4"/>
        <v>170</v>
      </c>
    </row>
    <row r="6" spans="1:21" ht="132.75" thickBot="1" x14ac:dyDescent="0.3">
      <c r="A6">
        <v>5</v>
      </c>
      <c r="B6">
        <v>1.8</v>
      </c>
      <c r="D6">
        <f t="shared" si="0"/>
        <v>3600</v>
      </c>
      <c r="E6">
        <f t="shared" si="1"/>
        <v>2700</v>
      </c>
      <c r="G6">
        <v>25</v>
      </c>
      <c r="H6">
        <v>450</v>
      </c>
      <c r="J6">
        <f t="shared" si="2"/>
        <v>2250</v>
      </c>
      <c r="L6" s="13" t="s">
        <v>147</v>
      </c>
      <c r="N6" s="39" t="s">
        <v>181</v>
      </c>
      <c r="O6" s="53" t="s">
        <v>251</v>
      </c>
      <c r="P6" s="33">
        <v>1</v>
      </c>
      <c r="Q6" s="33">
        <v>1</v>
      </c>
      <c r="R6" s="33">
        <v>1</v>
      </c>
      <c r="S6">
        <f t="shared" si="3"/>
        <v>74</v>
      </c>
      <c r="T6">
        <f t="shared" si="4"/>
        <v>120</v>
      </c>
    </row>
    <row r="7" spans="1:21" ht="15.75" thickBot="1" x14ac:dyDescent="0.3">
      <c r="A7">
        <v>6</v>
      </c>
      <c r="B7">
        <v>2</v>
      </c>
      <c r="D7">
        <f t="shared" si="0"/>
        <v>4000</v>
      </c>
      <c r="E7">
        <f t="shared" si="1"/>
        <v>3000</v>
      </c>
      <c r="G7">
        <v>40</v>
      </c>
      <c r="H7">
        <v>550</v>
      </c>
      <c r="J7">
        <f t="shared" si="2"/>
        <v>2750</v>
      </c>
      <c r="L7" s="13" t="s">
        <v>148</v>
      </c>
      <c r="N7" s="40" t="s">
        <v>177</v>
      </c>
      <c r="O7" s="34" t="s">
        <v>243</v>
      </c>
      <c r="P7" s="33">
        <v>1</v>
      </c>
      <c r="Q7" s="33">
        <v>1</v>
      </c>
      <c r="R7" s="33">
        <v>1</v>
      </c>
      <c r="S7">
        <f t="shared" si="3"/>
        <v>74</v>
      </c>
      <c r="T7">
        <f t="shared" si="4"/>
        <v>120</v>
      </c>
    </row>
    <row r="8" spans="1:21" ht="15" thickBot="1" x14ac:dyDescent="0.25">
      <c r="A8" t="s">
        <v>149</v>
      </c>
      <c r="B8">
        <v>2.5</v>
      </c>
      <c r="D8">
        <f t="shared" si="0"/>
        <v>5000</v>
      </c>
      <c r="E8">
        <f t="shared" si="1"/>
        <v>3750</v>
      </c>
      <c r="G8">
        <v>80</v>
      </c>
      <c r="H8">
        <v>650</v>
      </c>
      <c r="J8">
        <f t="shared" si="2"/>
        <v>3250</v>
      </c>
      <c r="N8" s="41" t="s">
        <v>182</v>
      </c>
      <c r="O8" s="33"/>
      <c r="P8" s="33">
        <v>0.25</v>
      </c>
      <c r="Q8" s="33">
        <v>1</v>
      </c>
      <c r="R8" s="33">
        <v>3</v>
      </c>
      <c r="S8">
        <f t="shared" si="3"/>
        <v>37</v>
      </c>
      <c r="T8">
        <f t="shared" si="4"/>
        <v>120</v>
      </c>
    </row>
    <row r="9" spans="1:21" ht="15.75" thickBot="1" x14ac:dyDescent="0.3">
      <c r="E9">
        <f t="shared" si="1"/>
        <v>0</v>
      </c>
      <c r="G9">
        <v>200</v>
      </c>
      <c r="H9">
        <v>777</v>
      </c>
      <c r="J9">
        <f t="shared" si="2"/>
        <v>3885</v>
      </c>
      <c r="L9" s="13" t="s">
        <v>150</v>
      </c>
      <c r="N9" s="42" t="s">
        <v>244</v>
      </c>
      <c r="O9" s="33"/>
      <c r="P9" s="33" t="s">
        <v>245</v>
      </c>
      <c r="Q9" s="33" t="s">
        <v>246</v>
      </c>
      <c r="R9" s="33">
        <v>1</v>
      </c>
    </row>
    <row r="10" spans="1:21" ht="15" x14ac:dyDescent="0.25">
      <c r="A10" t="s">
        <v>21</v>
      </c>
      <c r="B10" t="s">
        <v>0</v>
      </c>
      <c r="L10" s="13" t="s">
        <v>151</v>
      </c>
      <c r="N10" s="43" t="s">
        <v>247</v>
      </c>
      <c r="O10" s="33"/>
      <c r="P10" s="33" t="s">
        <v>248</v>
      </c>
      <c r="Q10" s="33" t="s">
        <v>249</v>
      </c>
      <c r="R10" s="33">
        <v>2</v>
      </c>
    </row>
    <row r="11" spans="1:21" ht="15.75" thickBot="1" x14ac:dyDescent="0.3">
      <c r="A11" t="s">
        <v>152</v>
      </c>
      <c r="G11" t="s">
        <v>153</v>
      </c>
      <c r="H11">
        <v>3333</v>
      </c>
      <c r="J11">
        <f t="shared" si="2"/>
        <v>16665</v>
      </c>
      <c r="L11" s="13" t="s">
        <v>154</v>
      </c>
      <c r="N11" s="47"/>
      <c r="O11" s="34"/>
      <c r="P11" s="34"/>
      <c r="Q11" s="34"/>
      <c r="R11" s="34"/>
      <c r="S11" t="s">
        <v>255</v>
      </c>
      <c r="T11" t="s">
        <v>256</v>
      </c>
    </row>
    <row r="12" spans="1:21" ht="15" x14ac:dyDescent="0.25">
      <c r="A12" t="s">
        <v>155</v>
      </c>
      <c r="L12" s="13" t="s">
        <v>156</v>
      </c>
    </row>
    <row r="13" spans="1:21" ht="15" x14ac:dyDescent="0.25">
      <c r="L13" s="13" t="s">
        <v>157</v>
      </c>
      <c r="N13" s="48"/>
      <c r="O13" s="36"/>
      <c r="P13" s="36"/>
      <c r="Q13" s="36"/>
      <c r="R13" s="36"/>
    </row>
    <row r="14" spans="1:21" ht="15" thickBot="1" x14ac:dyDescent="0.25">
      <c r="A14" t="s">
        <v>158</v>
      </c>
      <c r="N14" s="49"/>
      <c r="O14" s="34"/>
      <c r="P14" s="34"/>
      <c r="Q14" s="34"/>
      <c r="R14" s="34"/>
    </row>
    <row r="15" spans="1:21" ht="15" x14ac:dyDescent="0.25">
      <c r="L15" s="13" t="s">
        <v>159</v>
      </c>
    </row>
    <row r="16" spans="1:21" x14ac:dyDescent="0.2">
      <c r="A16" t="s">
        <v>167</v>
      </c>
      <c r="B16" t="s">
        <v>178</v>
      </c>
      <c r="N16" s="48"/>
      <c r="O16" s="36"/>
      <c r="P16" s="36"/>
      <c r="Q16" s="36"/>
      <c r="R16" s="36"/>
    </row>
    <row r="17" spans="1:18" ht="15.75" thickBot="1" x14ac:dyDescent="0.3">
      <c r="A17" t="s">
        <v>168</v>
      </c>
      <c r="B17" t="s">
        <v>179</v>
      </c>
      <c r="L17" s="13" t="s">
        <v>160</v>
      </c>
      <c r="N17" s="49"/>
      <c r="O17" s="34"/>
      <c r="P17" s="34"/>
      <c r="Q17" s="34"/>
      <c r="R17" s="34"/>
    </row>
    <row r="18" spans="1:18" ht="15" x14ac:dyDescent="0.25">
      <c r="A18" t="s">
        <v>169</v>
      </c>
      <c r="B18" t="s">
        <v>180</v>
      </c>
      <c r="L18" s="13" t="s">
        <v>161</v>
      </c>
      <c r="N18" s="43"/>
      <c r="O18" s="33"/>
      <c r="P18" s="33"/>
      <c r="Q18" s="33"/>
      <c r="R18" s="33"/>
    </row>
    <row r="19" spans="1:18" ht="15" x14ac:dyDescent="0.25">
      <c r="A19" t="s">
        <v>170</v>
      </c>
      <c r="B19" t="s">
        <v>181</v>
      </c>
      <c r="L19" s="13" t="s">
        <v>162</v>
      </c>
    </row>
    <row r="20" spans="1:18" ht="15" x14ac:dyDescent="0.25">
      <c r="A20" t="s">
        <v>171</v>
      </c>
      <c r="B20" t="s">
        <v>182</v>
      </c>
      <c r="L20" s="13" t="s">
        <v>163</v>
      </c>
    </row>
    <row r="21" spans="1:18" x14ac:dyDescent="0.2">
      <c r="A21" t="s">
        <v>172</v>
      </c>
      <c r="B21" t="s">
        <v>183</v>
      </c>
    </row>
    <row r="22" spans="1:18" x14ac:dyDescent="0.2">
      <c r="A22" t="s">
        <v>173</v>
      </c>
      <c r="B22" t="s">
        <v>184</v>
      </c>
    </row>
    <row r="23" spans="1:18" x14ac:dyDescent="0.2">
      <c r="A23" t="s">
        <v>174</v>
      </c>
      <c r="B23" t="s">
        <v>185</v>
      </c>
    </row>
    <row r="24" spans="1:18" x14ac:dyDescent="0.2">
      <c r="A24" t="s">
        <v>175</v>
      </c>
      <c r="B24" t="s">
        <v>186</v>
      </c>
    </row>
    <row r="25" spans="1:18" x14ac:dyDescent="0.2">
      <c r="A25" t="s">
        <v>176</v>
      </c>
      <c r="B25" t="s">
        <v>177</v>
      </c>
    </row>
    <row r="27" spans="1:18" x14ac:dyDescent="0.2">
      <c r="A27" t="s">
        <v>207</v>
      </c>
      <c r="N27" s="50"/>
      <c r="O27" s="36"/>
      <c r="P27" s="36"/>
      <c r="Q27" s="36"/>
      <c r="R27" s="36"/>
    </row>
    <row r="28" spans="1:18" x14ac:dyDescent="0.2">
      <c r="A28" t="s">
        <v>206</v>
      </c>
      <c r="N28" s="50"/>
      <c r="O28" s="36"/>
      <c r="P28" s="36"/>
      <c r="Q28" s="36"/>
      <c r="R28" s="36"/>
    </row>
    <row r="29" spans="1:18" ht="15" thickBot="1" x14ac:dyDescent="0.25">
      <c r="N29" s="51"/>
      <c r="O29" s="34"/>
      <c r="P29" s="34"/>
      <c r="Q29" s="34"/>
      <c r="R29" s="34"/>
    </row>
    <row r="30" spans="1:18" x14ac:dyDescent="0.2">
      <c r="A30" s="25"/>
      <c r="B30" s="59" t="s">
        <v>222</v>
      </c>
      <c r="C30" s="59" t="s">
        <v>223</v>
      </c>
      <c r="D30" s="59" t="s">
        <v>224</v>
      </c>
      <c r="E30" s="59" t="s">
        <v>225</v>
      </c>
      <c r="F30" s="26"/>
    </row>
    <row r="31" spans="1:18" ht="15" x14ac:dyDescent="0.2">
      <c r="A31" s="27" t="s">
        <v>220</v>
      </c>
      <c r="B31" s="60"/>
      <c r="C31" s="60"/>
      <c r="D31" s="60"/>
      <c r="E31" s="60"/>
      <c r="F31" s="28"/>
    </row>
    <row r="32" spans="1:18" ht="15.75" thickBot="1" x14ac:dyDescent="0.25">
      <c r="A32" s="29" t="s">
        <v>221</v>
      </c>
      <c r="B32" s="61"/>
      <c r="C32" s="61"/>
      <c r="D32" s="61"/>
      <c r="E32" s="61"/>
      <c r="F32" s="28"/>
    </row>
    <row r="33" spans="1:6" ht="15" thickBot="1" x14ac:dyDescent="0.25">
      <c r="A33" s="24" t="s">
        <v>226</v>
      </c>
      <c r="B33" s="24" t="s">
        <v>227</v>
      </c>
      <c r="C33" s="24">
        <v>0.5</v>
      </c>
      <c r="D33" s="24">
        <v>26</v>
      </c>
      <c r="E33" s="24">
        <v>180</v>
      </c>
      <c r="F33" s="24">
        <v>24</v>
      </c>
    </row>
    <row r="34" spans="1:6" ht="15" thickBot="1" x14ac:dyDescent="0.25">
      <c r="A34" s="24" t="s">
        <v>228</v>
      </c>
      <c r="B34" s="24" t="s">
        <v>229</v>
      </c>
      <c r="C34" s="24">
        <v>1</v>
      </c>
      <c r="D34" s="24">
        <v>32</v>
      </c>
      <c r="E34" s="24">
        <v>210</v>
      </c>
      <c r="F34" s="24">
        <v>15</v>
      </c>
    </row>
    <row r="35" spans="1:6" ht="15" thickBot="1" x14ac:dyDescent="0.25">
      <c r="A35" s="24" t="s">
        <v>230</v>
      </c>
      <c r="B35" s="24" t="s">
        <v>231</v>
      </c>
      <c r="C35" s="24">
        <v>0.8</v>
      </c>
      <c r="D35" s="24">
        <v>28</v>
      </c>
      <c r="E35" s="24">
        <v>180</v>
      </c>
      <c r="F35" s="24">
        <v>15</v>
      </c>
    </row>
    <row r="36" spans="1:6" ht="15" thickBot="1" x14ac:dyDescent="0.25">
      <c r="A36" s="24" t="s">
        <v>232</v>
      </c>
      <c r="B36" s="24" t="s">
        <v>233</v>
      </c>
      <c r="C36" s="24">
        <v>1</v>
      </c>
      <c r="D36" s="24">
        <v>30</v>
      </c>
      <c r="E36" s="24">
        <v>210</v>
      </c>
      <c r="F36" s="24">
        <v>15</v>
      </c>
    </row>
    <row r="37" spans="1:6" x14ac:dyDescent="0.2">
      <c r="A37" s="30"/>
    </row>
    <row r="38" spans="1:6" ht="57" x14ac:dyDescent="0.2">
      <c r="A38" s="31" t="s">
        <v>234</v>
      </c>
    </row>
    <row r="39" spans="1:6" ht="28.5" x14ac:dyDescent="0.2">
      <c r="A39" s="31" t="s">
        <v>235</v>
      </c>
    </row>
  </sheetData>
  <mergeCells count="4">
    <mergeCell ref="B30:B32"/>
    <mergeCell ref="C30:C32"/>
    <mergeCell ref="D30:D32"/>
    <mergeCell ref="E30:E3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B4A7-7AD4-4EB8-B3A2-77394CBE21BD}">
  <dimension ref="A1:J21"/>
  <sheetViews>
    <sheetView workbookViewId="0">
      <selection activeCell="N23" sqref="N23"/>
    </sheetView>
  </sheetViews>
  <sheetFormatPr defaultRowHeight="14.25" x14ac:dyDescent="0.2"/>
  <cols>
    <col min="1" max="1" width="7.125" bestFit="1" customWidth="1"/>
    <col min="2" max="2" width="13" bestFit="1" customWidth="1"/>
    <col min="3" max="3" width="6.375" style="58" bestFit="1" customWidth="1"/>
    <col min="4" max="4" width="7.625" style="58" bestFit="1" customWidth="1"/>
    <col min="5" max="5" width="10.125" style="58" bestFit="1" customWidth="1"/>
    <col min="6" max="8" width="7.375" style="58" bestFit="1" customWidth="1"/>
    <col min="9" max="9" width="5.5" bestFit="1" customWidth="1"/>
  </cols>
  <sheetData>
    <row r="1" spans="1:10" x14ac:dyDescent="0.2">
      <c r="C1" s="58" t="s">
        <v>295</v>
      </c>
      <c r="D1" s="58" t="s">
        <v>290</v>
      </c>
      <c r="E1" s="58" t="s">
        <v>300</v>
      </c>
      <c r="F1" s="58" t="s">
        <v>299</v>
      </c>
      <c r="G1" s="58" t="s">
        <v>291</v>
      </c>
      <c r="H1" s="58" t="s">
        <v>292</v>
      </c>
      <c r="I1" s="16" t="s">
        <v>294</v>
      </c>
    </row>
    <row r="2" spans="1:10" x14ac:dyDescent="0.2">
      <c r="A2" t="s">
        <v>293</v>
      </c>
      <c r="B2" t="s">
        <v>288</v>
      </c>
      <c r="C2" s="58">
        <v>1</v>
      </c>
      <c r="D2" s="58">
        <f>C2/6</f>
        <v>0.16666666666666666</v>
      </c>
      <c r="E2" s="58">
        <f>C2*1.125</f>
        <v>1.125</v>
      </c>
      <c r="F2" s="58">
        <f>$E2/6</f>
        <v>0.1875</v>
      </c>
      <c r="G2" s="58">
        <f>$E2/4</f>
        <v>0.28125</v>
      </c>
      <c r="H2" s="58">
        <f>$E2/3</f>
        <v>0.375</v>
      </c>
      <c r="I2">
        <v>2</v>
      </c>
      <c r="J2" t="s">
        <v>305</v>
      </c>
    </row>
    <row r="3" spans="1:10" x14ac:dyDescent="0.2">
      <c r="B3" t="s">
        <v>289</v>
      </c>
      <c r="C3" s="58">
        <v>2</v>
      </c>
      <c r="D3" s="58">
        <f>C3/12</f>
        <v>0.16666666666666666</v>
      </c>
      <c r="E3" s="58">
        <f>C3</f>
        <v>2</v>
      </c>
      <c r="F3" s="58">
        <f>$E3/12</f>
        <v>0.16666666666666666</v>
      </c>
      <c r="G3" s="58">
        <f t="shared" ref="G3:H3" si="0">$E3/12</f>
        <v>0.16666666666666666</v>
      </c>
      <c r="H3" s="58">
        <f t="shared" si="0"/>
        <v>0.16666666666666666</v>
      </c>
      <c r="I3">
        <v>4</v>
      </c>
    </row>
    <row r="4" spans="1:10" x14ac:dyDescent="0.2">
      <c r="D4" s="58">
        <f>D2*$I$2+D3*$I$3</f>
        <v>1</v>
      </c>
      <c r="F4" s="58">
        <f>F2*$I$2+F3*$I$3</f>
        <v>1.0416666666666665</v>
      </c>
      <c r="G4" s="58">
        <f>G2*$I$2+G3*$I$3</f>
        <v>1.2291666666666665</v>
      </c>
      <c r="H4" s="58">
        <f>H2*$I$2+H3*$I$3</f>
        <v>1.4166666666666665</v>
      </c>
    </row>
    <row r="6" spans="1:10" x14ac:dyDescent="0.2">
      <c r="A6" t="s">
        <v>296</v>
      </c>
      <c r="B6" t="s">
        <v>297</v>
      </c>
      <c r="C6" s="58">
        <v>0.55000000000000004</v>
      </c>
      <c r="D6" s="58">
        <f>C6/2</f>
        <v>0.27500000000000002</v>
      </c>
      <c r="E6" s="58">
        <f>C6</f>
        <v>0.55000000000000004</v>
      </c>
      <c r="F6" s="58">
        <f>E6/2</f>
        <v>0.27500000000000002</v>
      </c>
      <c r="G6" s="58">
        <f>F6</f>
        <v>0.27500000000000002</v>
      </c>
      <c r="H6" s="58">
        <f>G6</f>
        <v>0.27500000000000002</v>
      </c>
      <c r="I6">
        <v>3</v>
      </c>
    </row>
    <row r="7" spans="1:10" x14ac:dyDescent="0.2">
      <c r="B7" t="s">
        <v>298</v>
      </c>
      <c r="C7" s="58">
        <v>1</v>
      </c>
      <c r="D7" s="58">
        <f>C7/6</f>
        <v>0.16666666666666666</v>
      </c>
      <c r="E7" s="58">
        <f>C7*1.125</f>
        <v>1.125</v>
      </c>
      <c r="F7" s="58">
        <f>$E7/6</f>
        <v>0.1875</v>
      </c>
      <c r="G7" s="58">
        <f>$E7/4</f>
        <v>0.28125</v>
      </c>
      <c r="H7" s="58">
        <f>$E7/3</f>
        <v>0.375</v>
      </c>
      <c r="I7">
        <v>2</v>
      </c>
      <c r="J7" t="s">
        <v>305</v>
      </c>
    </row>
    <row r="8" spans="1:10" x14ac:dyDescent="0.2">
      <c r="B8" t="s">
        <v>301</v>
      </c>
      <c r="C8" s="58">
        <v>0.25</v>
      </c>
      <c r="D8" s="58">
        <f>C8/6</f>
        <v>4.1666666666666664E-2</v>
      </c>
      <c r="E8" s="58">
        <f>C8</f>
        <v>0.25</v>
      </c>
      <c r="F8" s="58">
        <f>$E8/6</f>
        <v>4.1666666666666664E-2</v>
      </c>
      <c r="G8" s="58">
        <f>$E8/6</f>
        <v>4.1666666666666664E-2</v>
      </c>
      <c r="H8" s="58">
        <f>$E8/6</f>
        <v>4.1666666666666664E-2</v>
      </c>
      <c r="I8">
        <v>2</v>
      </c>
    </row>
    <row r="9" spans="1:10" x14ac:dyDescent="0.2">
      <c r="D9" s="58">
        <f>D6*$I$6+D7*$I$7+D8*$I$8</f>
        <v>1.2416666666666667</v>
      </c>
      <c r="F9" s="58">
        <f>F6*$I$6+F7*$I$7+F8*$I$8</f>
        <v>1.2833333333333334</v>
      </c>
      <c r="G9" s="58">
        <f>G6*$I$6+G7*$I$7+G8*$I$8</f>
        <v>1.4708333333333334</v>
      </c>
      <c r="H9" s="58">
        <f>H6*$I$6+H7*$I$7+H8*$I$8</f>
        <v>1.6583333333333334</v>
      </c>
    </row>
    <row r="11" spans="1:10" x14ac:dyDescent="0.2">
      <c r="A11" t="s">
        <v>230</v>
      </c>
      <c r="B11" t="s">
        <v>169</v>
      </c>
      <c r="C11" s="58">
        <v>1</v>
      </c>
      <c r="D11" s="58">
        <f>C11/6</f>
        <v>0.16666666666666666</v>
      </c>
      <c r="E11" s="58">
        <f>C11*1.125</f>
        <v>1.125</v>
      </c>
      <c r="F11" s="58">
        <f>$E11/6</f>
        <v>0.1875</v>
      </c>
      <c r="G11" s="58">
        <f>$E11/4</f>
        <v>0.28125</v>
      </c>
      <c r="H11" s="58">
        <f>$E11/3</f>
        <v>0.375</v>
      </c>
      <c r="I11">
        <v>2</v>
      </c>
      <c r="J11" t="s">
        <v>305</v>
      </c>
    </row>
    <row r="12" spans="1:10" x14ac:dyDescent="0.2">
      <c r="B12" t="s">
        <v>172</v>
      </c>
      <c r="C12" s="58">
        <v>0.67</v>
      </c>
      <c r="D12" s="58">
        <f>C12/6</f>
        <v>0.11166666666666668</v>
      </c>
      <c r="E12" s="58">
        <f>C12</f>
        <v>0.67</v>
      </c>
      <c r="F12" s="58">
        <f>$E12/6</f>
        <v>0.11166666666666668</v>
      </c>
      <c r="G12" s="58">
        <f>$E12/6</f>
        <v>0.11166666666666668</v>
      </c>
      <c r="H12" s="58">
        <f>$E12/6</f>
        <v>0.11166666666666668</v>
      </c>
      <c r="I12">
        <v>4</v>
      </c>
      <c r="J12" t="s">
        <v>306</v>
      </c>
    </row>
    <row r="13" spans="1:10" x14ac:dyDescent="0.2">
      <c r="B13" t="s">
        <v>175</v>
      </c>
      <c r="C13" s="58">
        <v>0.34</v>
      </c>
      <c r="D13" s="58">
        <f>C13/6</f>
        <v>5.6666666666666671E-2</v>
      </c>
      <c r="E13" s="58">
        <f>C13</f>
        <v>0.34</v>
      </c>
      <c r="F13" s="58">
        <f>$E13/6</f>
        <v>5.6666666666666671E-2</v>
      </c>
      <c r="G13" s="58">
        <f>$E13/6</f>
        <v>5.6666666666666671E-2</v>
      </c>
      <c r="H13" s="58">
        <f>$E13/6</f>
        <v>5.6666666666666671E-2</v>
      </c>
      <c r="I13">
        <v>4</v>
      </c>
    </row>
    <row r="14" spans="1:10" x14ac:dyDescent="0.2">
      <c r="D14" s="58">
        <f>D11*$I$11+D12*$I$12+D13*$I$13</f>
        <v>1.0066666666666668</v>
      </c>
      <c r="F14" s="58">
        <f>F11*$I$11+F12*$I$12+F13*$I$13</f>
        <v>1.0483333333333333</v>
      </c>
      <c r="G14" s="58">
        <f>G11*$I$11+G12*$I$12+G13*$I$13</f>
        <v>1.2358333333333333</v>
      </c>
      <c r="H14" s="58">
        <f>H11*$I$11+H12*$I$12+H13*$I$13</f>
        <v>1.4233333333333333</v>
      </c>
    </row>
    <row r="16" spans="1:10" x14ac:dyDescent="0.2">
      <c r="A16" t="s">
        <v>302</v>
      </c>
      <c r="B16" t="s">
        <v>297</v>
      </c>
      <c r="C16" s="58">
        <v>0.5</v>
      </c>
      <c r="D16" s="58">
        <f>C16/2</f>
        <v>0.25</v>
      </c>
      <c r="E16" s="58">
        <f>C16/2</f>
        <v>0.25</v>
      </c>
      <c r="F16" s="58">
        <f>E16</f>
        <v>0.25</v>
      </c>
      <c r="G16" s="58">
        <f>F16</f>
        <v>0.25</v>
      </c>
      <c r="H16" s="58">
        <f>G16</f>
        <v>0.25</v>
      </c>
      <c r="I16">
        <v>5</v>
      </c>
    </row>
    <row r="17" spans="2:9" x14ac:dyDescent="0.2">
      <c r="B17" t="s">
        <v>304</v>
      </c>
      <c r="C17" s="58">
        <v>1</v>
      </c>
      <c r="D17" s="58">
        <f>C17/6</f>
        <v>0.16666666666666666</v>
      </c>
      <c r="E17" s="58">
        <f>C17*1.125</f>
        <v>1.125</v>
      </c>
      <c r="F17" s="58">
        <f>$E17/6</f>
        <v>0.1875</v>
      </c>
      <c r="G17" s="58">
        <f>$E17/4</f>
        <v>0.28125</v>
      </c>
      <c r="H17" s="58">
        <f>$E17/3</f>
        <v>0.375</v>
      </c>
      <c r="I17">
        <v>2</v>
      </c>
    </row>
    <row r="18" spans="2:9" x14ac:dyDescent="0.2">
      <c r="B18" t="s">
        <v>303</v>
      </c>
      <c r="C18" s="58">
        <v>1</v>
      </c>
      <c r="D18" s="58">
        <f>C18/6</f>
        <v>0.16666666666666666</v>
      </c>
      <c r="E18" s="58">
        <f>C18</f>
        <v>1</v>
      </c>
      <c r="F18" s="58">
        <f>$E18/6</f>
        <v>0.16666666666666666</v>
      </c>
      <c r="G18" s="58">
        <f>$E18/6</f>
        <v>0.16666666666666666</v>
      </c>
      <c r="H18" s="58">
        <f>$E18/6</f>
        <v>0.16666666666666666</v>
      </c>
      <c r="I18">
        <v>5</v>
      </c>
    </row>
    <row r="19" spans="2:9" x14ac:dyDescent="0.2">
      <c r="B19" t="s">
        <v>307</v>
      </c>
      <c r="D19" s="58">
        <f>D16*$I$16+D17*$I$17+D18*$I$18</f>
        <v>2.4166666666666665</v>
      </c>
      <c r="F19" s="58">
        <f>F16*$I$16+F17*$I$17+F18*$I$18</f>
        <v>2.458333333333333</v>
      </c>
      <c r="G19" s="58">
        <f>G16*$I$16+G17*$I$17+G18*$I$18</f>
        <v>2.645833333333333</v>
      </c>
      <c r="H19" s="58">
        <f>H16*$I$16+H17*$I$17+H18*$I$18</f>
        <v>2.833333333333333</v>
      </c>
    </row>
    <row r="20" spans="2:9" x14ac:dyDescent="0.2">
      <c r="B20" t="s">
        <v>308</v>
      </c>
      <c r="D20" s="58">
        <f>D16*3+D17*$I$17+D18*3</f>
        <v>1.5833333333333333</v>
      </c>
      <c r="F20" s="58">
        <f>F16*3+F17*$I$17+F18*3</f>
        <v>1.625</v>
      </c>
      <c r="G20" s="58">
        <f>G16*3+G17*$I$17+G18*3</f>
        <v>1.8125</v>
      </c>
      <c r="H20" s="58">
        <f>H16*3+H17*$I$17+H18*3</f>
        <v>2</v>
      </c>
    </row>
    <row r="21" spans="2:9" x14ac:dyDescent="0.2">
      <c r="B21" t="s">
        <v>309</v>
      </c>
      <c r="D21" s="58">
        <f>D16*1+D17*$I$17+D18*1</f>
        <v>0.74999999999999989</v>
      </c>
      <c r="F21" s="58">
        <f>F16*1+F17*$I$17+F18*1</f>
        <v>0.79166666666666663</v>
      </c>
      <c r="G21" s="58">
        <f>G16*1+G17*$I$17+G18*1</f>
        <v>0.97916666666666663</v>
      </c>
      <c r="H21" s="58">
        <f>H16*1+H17*$I$17+H18*1</f>
        <v>1.1666666666666667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79CE-562C-4D8D-A31C-B5F75C2288C3}">
  <dimension ref="A1:E6"/>
  <sheetViews>
    <sheetView workbookViewId="0">
      <selection activeCell="G5" sqref="G5"/>
    </sheetView>
  </sheetViews>
  <sheetFormatPr defaultRowHeight="14.25" x14ac:dyDescent="0.2"/>
  <cols>
    <col min="1" max="1" width="33.875" bestFit="1" customWidth="1"/>
    <col min="2" max="2" width="26.875" bestFit="1" customWidth="1"/>
    <col min="3" max="3" width="16.25" bestFit="1" customWidth="1"/>
    <col min="4" max="4" width="26.125" bestFit="1" customWidth="1"/>
    <col min="5" max="5" width="16.25" bestFit="1" customWidth="1"/>
  </cols>
  <sheetData>
    <row r="1" spans="1:5" x14ac:dyDescent="0.2">
      <c r="A1" s="11"/>
      <c r="B1" s="11" t="s">
        <v>136</v>
      </c>
      <c r="C1" s="11" t="s">
        <v>135</v>
      </c>
      <c r="D1" s="11" t="s">
        <v>134</v>
      </c>
      <c r="E1" s="11" t="s">
        <v>133</v>
      </c>
    </row>
    <row r="2" spans="1:5" ht="142.5" x14ac:dyDescent="0.2">
      <c r="A2" s="11" t="s">
        <v>132</v>
      </c>
      <c r="B2" s="12" t="s">
        <v>131</v>
      </c>
      <c r="C2" s="12" t="s">
        <v>130</v>
      </c>
      <c r="D2" s="12" t="s">
        <v>129</v>
      </c>
      <c r="E2" s="12" t="s">
        <v>128</v>
      </c>
    </row>
    <row r="3" spans="1:5" ht="128.25" x14ac:dyDescent="0.2">
      <c r="A3" s="11" t="s">
        <v>127</v>
      </c>
      <c r="B3" s="12" t="s">
        <v>126</v>
      </c>
      <c r="C3" s="11"/>
      <c r="D3" s="11"/>
      <c r="E3" s="11"/>
    </row>
    <row r="4" spans="1:5" x14ac:dyDescent="0.2">
      <c r="A4" s="11" t="s">
        <v>125</v>
      </c>
      <c r="B4" s="62" t="s">
        <v>124</v>
      </c>
      <c r="C4" s="62" t="s">
        <v>123</v>
      </c>
      <c r="D4" s="11" t="s">
        <v>122</v>
      </c>
      <c r="E4" s="11"/>
    </row>
    <row r="5" spans="1:5" ht="128.25" x14ac:dyDescent="0.2">
      <c r="A5" s="11" t="s">
        <v>121</v>
      </c>
      <c r="B5" s="62"/>
      <c r="C5" s="62"/>
      <c r="D5" s="12" t="s">
        <v>120</v>
      </c>
      <c r="E5" s="11"/>
    </row>
    <row r="6" spans="1:5" x14ac:dyDescent="0.2">
      <c r="A6" s="11" t="s">
        <v>119</v>
      </c>
      <c r="B6" s="62"/>
      <c r="C6" s="62"/>
      <c r="D6" s="11"/>
      <c r="E6" s="11"/>
    </row>
  </sheetData>
  <mergeCells count="2">
    <mergeCell ref="B4:B6"/>
    <mergeCell ref="C4:C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Statistics</vt:lpstr>
      <vt:lpstr>Extra</vt:lpstr>
      <vt:lpstr>Yellow</vt:lpstr>
      <vt:lpstr>System</vt:lpstr>
      <vt:lpstr>Power</vt:lpstr>
      <vt:lpstr>TAS 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BAN_43_32532</dc:creator>
  <cp:lastModifiedBy>BAN_43_32532</cp:lastModifiedBy>
  <dcterms:created xsi:type="dcterms:W3CDTF">2015-06-05T18:19:34Z</dcterms:created>
  <dcterms:modified xsi:type="dcterms:W3CDTF">2025-05-16T07:09:11Z</dcterms:modified>
</cp:coreProperties>
</file>