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20490" windowHeight="7755" firstSheet="6" activeTab="9"/>
  </bookViews>
  <sheets>
    <sheet name="IITA " sheetId="1" r:id="rId1"/>
    <sheet name="OMO" sheetId="2" r:id="rId2"/>
    <sheet name="COMBINED IITA" sheetId="4" r:id="rId3"/>
    <sheet name="Emerald" sheetId="3" r:id="rId4"/>
    <sheet name="COMBINED OMO" sheetId="5" r:id="rId5"/>
    <sheet name="COMBINED EMERALD" sheetId="6" r:id="rId6"/>
    <sheet name="Family freq." sheetId="7" r:id="rId7"/>
    <sheet name="Bacteria summary" sheetId="8" r:id="rId8"/>
    <sheet name="Fungi summary" sheetId="9" r:id="rId9"/>
    <sheet name="Mesofauna summary" sheetId="10" r:id="rId10"/>
    <sheet name="IITA Combine Table" sheetId="11" r:id="rId11"/>
    <sheet name="Combine Omo Table " sheetId="12" r:id="rId12"/>
    <sheet name="Combine Emerald Table" sheetId="13" r:id="rId13"/>
    <sheet name="Summary tree parameters" sheetId="15" r:id="rId14"/>
    <sheet name="Soil properties" sheetId="16" r:id="rId15"/>
    <sheet name="IITA ground veg." sheetId="17" r:id="rId16"/>
    <sheet name="Elephant vegetation" sheetId="19" r:id="rId17"/>
    <sheet name="Emerald vegetation" sheetId="18" r:id="rId18"/>
  </sheets>
  <definedNames>
    <definedName name="_xlnm._FilterDatabase" localSheetId="12" hidden="1">'Combine Emerald Table'!$D$1:$D$72</definedName>
    <definedName name="_xlnm._FilterDatabase" localSheetId="11" hidden="1">'Combine Omo Table '!$D$1:$D$63</definedName>
    <definedName name="_xlnm._FilterDatabase" localSheetId="5" hidden="1">'COMBINED EMERALD'!$B$4:$M$76</definedName>
    <definedName name="_xlnm._FilterDatabase" localSheetId="2" hidden="1">'COMBINED IITA'!$C$3:$O$45</definedName>
    <definedName name="_xlnm._FilterDatabase" localSheetId="4" hidden="1">'COMBINED OMO'!$D$5:$P$67</definedName>
    <definedName name="_xlnm._FilterDatabase" localSheetId="16" hidden="1">'Elephant vegetation'!$A$1:$C$54</definedName>
    <definedName name="_xlnm._FilterDatabase" localSheetId="17" hidden="1">'Emerald vegetation'!$A$1:$C$42</definedName>
    <definedName name="_xlnm._FilterDatabase" localSheetId="15" hidden="1">'IITA ground veg.'!$A$1:$C$37</definedName>
  </definedNames>
  <calcPr calcId="152511"/>
</workbook>
</file>

<file path=xl/calcChain.xml><?xml version="1.0" encoding="utf-8"?>
<calcChain xmlns="http://schemas.openxmlformats.org/spreadsheetml/2006/main">
  <c r="D10" i="15" l="1"/>
  <c r="C10" i="15"/>
  <c r="B10" i="15"/>
  <c r="D7" i="15"/>
  <c r="C7" i="15"/>
  <c r="B7" i="15"/>
  <c r="I71" i="13"/>
  <c r="H71" i="13"/>
  <c r="J71" i="13" s="1"/>
  <c r="G71" i="13"/>
  <c r="F71" i="13"/>
  <c r="I70" i="13"/>
  <c r="F70" i="13"/>
  <c r="G70" i="13" s="1"/>
  <c r="H70" i="13" s="1"/>
  <c r="J70" i="13" s="1"/>
  <c r="I69" i="13"/>
  <c r="F69" i="13"/>
  <c r="G69" i="13" s="1"/>
  <c r="H69" i="13" s="1"/>
  <c r="J69" i="13" s="1"/>
  <c r="I68" i="13"/>
  <c r="G68" i="13"/>
  <c r="H68" i="13" s="1"/>
  <c r="J68" i="13" s="1"/>
  <c r="F68" i="13"/>
  <c r="I67" i="13"/>
  <c r="H67" i="13"/>
  <c r="J67" i="13" s="1"/>
  <c r="G67" i="13"/>
  <c r="F67" i="13"/>
  <c r="I66" i="13"/>
  <c r="F66" i="13"/>
  <c r="G66" i="13" s="1"/>
  <c r="H66" i="13" s="1"/>
  <c r="J66" i="13" s="1"/>
  <c r="I65" i="13"/>
  <c r="F65" i="13"/>
  <c r="G65" i="13" s="1"/>
  <c r="H65" i="13" s="1"/>
  <c r="J65" i="13" s="1"/>
  <c r="I64" i="13"/>
  <c r="G64" i="13"/>
  <c r="H64" i="13" s="1"/>
  <c r="J64" i="13" s="1"/>
  <c r="F64" i="13"/>
  <c r="I63" i="13"/>
  <c r="H63" i="13"/>
  <c r="J63" i="13" s="1"/>
  <c r="G63" i="13"/>
  <c r="F63" i="13"/>
  <c r="I62" i="13"/>
  <c r="F62" i="13"/>
  <c r="G62" i="13" s="1"/>
  <c r="H62" i="13" s="1"/>
  <c r="J62" i="13" s="1"/>
  <c r="I61" i="13"/>
  <c r="F61" i="13"/>
  <c r="G61" i="13" s="1"/>
  <c r="H61" i="13" s="1"/>
  <c r="J61" i="13" s="1"/>
  <c r="I60" i="13"/>
  <c r="G60" i="13"/>
  <c r="H60" i="13" s="1"/>
  <c r="J60" i="13" s="1"/>
  <c r="F60" i="13"/>
  <c r="I59" i="13"/>
  <c r="H59" i="13"/>
  <c r="J59" i="13" s="1"/>
  <c r="G59" i="13"/>
  <c r="F59" i="13"/>
  <c r="I58" i="13"/>
  <c r="F58" i="13"/>
  <c r="G58" i="13" s="1"/>
  <c r="H58" i="13" s="1"/>
  <c r="J58" i="13" s="1"/>
  <c r="I57" i="13"/>
  <c r="F57" i="13"/>
  <c r="G57" i="13" s="1"/>
  <c r="H57" i="13" s="1"/>
  <c r="J57" i="13" s="1"/>
  <c r="I56" i="13"/>
  <c r="G56" i="13"/>
  <c r="H56" i="13" s="1"/>
  <c r="J56" i="13" s="1"/>
  <c r="F56" i="13"/>
  <c r="I55" i="13"/>
  <c r="H55" i="13"/>
  <c r="J55" i="13" s="1"/>
  <c r="G55" i="13"/>
  <c r="F55" i="13"/>
  <c r="I54" i="13"/>
  <c r="F54" i="13"/>
  <c r="G54" i="13" s="1"/>
  <c r="H54" i="13" s="1"/>
  <c r="J54" i="13" s="1"/>
  <c r="I53" i="13"/>
  <c r="F53" i="13"/>
  <c r="G53" i="13" s="1"/>
  <c r="H53" i="13" s="1"/>
  <c r="J53" i="13" s="1"/>
  <c r="I52" i="13"/>
  <c r="G52" i="13"/>
  <c r="H52" i="13" s="1"/>
  <c r="J52" i="13" s="1"/>
  <c r="F52" i="13"/>
  <c r="I51" i="13"/>
  <c r="H51" i="13"/>
  <c r="J51" i="13" s="1"/>
  <c r="G51" i="13"/>
  <c r="F51" i="13"/>
  <c r="I50" i="13"/>
  <c r="F50" i="13"/>
  <c r="G50" i="13" s="1"/>
  <c r="H50" i="13" s="1"/>
  <c r="J50" i="13" s="1"/>
  <c r="I49" i="13"/>
  <c r="F49" i="13"/>
  <c r="G49" i="13" s="1"/>
  <c r="H49" i="13" s="1"/>
  <c r="J49" i="13" s="1"/>
  <c r="I48" i="13"/>
  <c r="G48" i="13"/>
  <c r="H48" i="13" s="1"/>
  <c r="J48" i="13" s="1"/>
  <c r="F48" i="13"/>
  <c r="I47" i="13"/>
  <c r="H47" i="13"/>
  <c r="J47" i="13" s="1"/>
  <c r="G47" i="13"/>
  <c r="F47" i="13"/>
  <c r="I46" i="13"/>
  <c r="F46" i="13"/>
  <c r="G46" i="13" s="1"/>
  <c r="H46" i="13" s="1"/>
  <c r="J46" i="13" s="1"/>
  <c r="I45" i="13"/>
  <c r="F45" i="13"/>
  <c r="G45" i="13" s="1"/>
  <c r="H45" i="13" s="1"/>
  <c r="J45" i="13" s="1"/>
  <c r="I44" i="13"/>
  <c r="G44" i="13"/>
  <c r="H44" i="13" s="1"/>
  <c r="J44" i="13" s="1"/>
  <c r="F44" i="13"/>
  <c r="I43" i="13"/>
  <c r="H43" i="13"/>
  <c r="J43" i="13" s="1"/>
  <c r="G43" i="13"/>
  <c r="F43" i="13"/>
  <c r="I42" i="13"/>
  <c r="F42" i="13"/>
  <c r="G42" i="13" s="1"/>
  <c r="H42" i="13" s="1"/>
  <c r="J42" i="13" s="1"/>
  <c r="I41" i="13"/>
  <c r="F41" i="13"/>
  <c r="G41" i="13" s="1"/>
  <c r="H41" i="13" s="1"/>
  <c r="J41" i="13" s="1"/>
  <c r="I40" i="13"/>
  <c r="G40" i="13"/>
  <c r="H40" i="13" s="1"/>
  <c r="J40" i="13" s="1"/>
  <c r="F40" i="13"/>
  <c r="I39" i="13"/>
  <c r="H39" i="13"/>
  <c r="J39" i="13" s="1"/>
  <c r="G39" i="13"/>
  <c r="F39" i="13"/>
  <c r="I38" i="13"/>
  <c r="F38" i="13"/>
  <c r="G38" i="13" s="1"/>
  <c r="H38" i="13" s="1"/>
  <c r="J38" i="13" s="1"/>
  <c r="I37" i="13"/>
  <c r="F37" i="13"/>
  <c r="G37" i="13" s="1"/>
  <c r="H37" i="13" s="1"/>
  <c r="J37" i="13" s="1"/>
  <c r="I36" i="13"/>
  <c r="G36" i="13"/>
  <c r="H36" i="13" s="1"/>
  <c r="J36" i="13" s="1"/>
  <c r="F36" i="13"/>
  <c r="I35" i="13"/>
  <c r="H35" i="13"/>
  <c r="J35" i="13" s="1"/>
  <c r="G35" i="13"/>
  <c r="F35" i="13"/>
  <c r="I34" i="13"/>
  <c r="F34" i="13"/>
  <c r="G34" i="13" s="1"/>
  <c r="H34" i="13" s="1"/>
  <c r="J34" i="13" s="1"/>
  <c r="I33" i="13"/>
  <c r="F33" i="13"/>
  <c r="G33" i="13" s="1"/>
  <c r="H33" i="13" s="1"/>
  <c r="J33" i="13" s="1"/>
  <c r="I32" i="13"/>
  <c r="G32" i="13"/>
  <c r="H32" i="13" s="1"/>
  <c r="J32" i="13" s="1"/>
  <c r="F32" i="13"/>
  <c r="I31" i="13"/>
  <c r="H31" i="13"/>
  <c r="J31" i="13" s="1"/>
  <c r="G31" i="13"/>
  <c r="F31" i="13"/>
  <c r="I30" i="13"/>
  <c r="F30" i="13"/>
  <c r="G30" i="13" s="1"/>
  <c r="H30" i="13" s="1"/>
  <c r="J30" i="13" s="1"/>
  <c r="J29" i="13"/>
  <c r="I29" i="13"/>
  <c r="F29" i="13"/>
  <c r="G29" i="13" s="1"/>
  <c r="H29" i="13" s="1"/>
  <c r="I28" i="13"/>
  <c r="G28" i="13"/>
  <c r="H28" i="13" s="1"/>
  <c r="J28" i="13" s="1"/>
  <c r="F28" i="13"/>
  <c r="I27" i="13"/>
  <c r="H27" i="13"/>
  <c r="J27" i="13" s="1"/>
  <c r="G27" i="13"/>
  <c r="F27" i="13"/>
  <c r="I26" i="13"/>
  <c r="F26" i="13"/>
  <c r="G26" i="13" s="1"/>
  <c r="H26" i="13" s="1"/>
  <c r="J26" i="13" s="1"/>
  <c r="I25" i="13"/>
  <c r="G25" i="13"/>
  <c r="H25" i="13" s="1"/>
  <c r="J25" i="13" s="1"/>
  <c r="F25" i="13"/>
  <c r="I24" i="13"/>
  <c r="G24" i="13"/>
  <c r="H24" i="13" s="1"/>
  <c r="J24" i="13" s="1"/>
  <c r="F24" i="13"/>
  <c r="I23" i="13"/>
  <c r="H23" i="13"/>
  <c r="J23" i="13" s="1"/>
  <c r="G23" i="13"/>
  <c r="F23" i="13"/>
  <c r="I22" i="13"/>
  <c r="F22" i="13"/>
  <c r="G22" i="13" s="1"/>
  <c r="H22" i="13" s="1"/>
  <c r="J22" i="13" s="1"/>
  <c r="I21" i="13"/>
  <c r="F21" i="13"/>
  <c r="G21" i="13" s="1"/>
  <c r="H21" i="13" s="1"/>
  <c r="J21" i="13" s="1"/>
  <c r="I20" i="13"/>
  <c r="G20" i="13"/>
  <c r="H20" i="13" s="1"/>
  <c r="J20" i="13" s="1"/>
  <c r="F20" i="13"/>
  <c r="I19" i="13"/>
  <c r="H19" i="13"/>
  <c r="J19" i="13" s="1"/>
  <c r="G19" i="13"/>
  <c r="F19" i="13"/>
  <c r="J18" i="13"/>
  <c r="I18" i="13"/>
  <c r="F18" i="13"/>
  <c r="G18" i="13" s="1"/>
  <c r="H18" i="13" s="1"/>
  <c r="J17" i="13"/>
  <c r="I17" i="13"/>
  <c r="F17" i="13"/>
  <c r="G17" i="13" s="1"/>
  <c r="H17" i="13" s="1"/>
  <c r="I16" i="13"/>
  <c r="H16" i="13"/>
  <c r="J16" i="13" s="1"/>
  <c r="G16" i="13"/>
  <c r="F16" i="13"/>
  <c r="I15" i="13"/>
  <c r="H15" i="13"/>
  <c r="J15" i="13" s="1"/>
  <c r="G15" i="13"/>
  <c r="F15" i="13"/>
  <c r="J14" i="13"/>
  <c r="I14" i="13"/>
  <c r="F14" i="13"/>
  <c r="G14" i="13" s="1"/>
  <c r="H14" i="13" s="1"/>
  <c r="I13" i="13"/>
  <c r="G13" i="13"/>
  <c r="H13" i="13" s="1"/>
  <c r="J13" i="13" s="1"/>
  <c r="F13" i="13"/>
  <c r="I12" i="13"/>
  <c r="H12" i="13"/>
  <c r="J12" i="13" s="1"/>
  <c r="G12" i="13"/>
  <c r="F12" i="13"/>
  <c r="I11" i="13"/>
  <c r="H11" i="13"/>
  <c r="J11" i="13" s="1"/>
  <c r="G11" i="13"/>
  <c r="F11" i="13"/>
  <c r="I10" i="13"/>
  <c r="F10" i="13"/>
  <c r="G10" i="13" s="1"/>
  <c r="H10" i="13" s="1"/>
  <c r="J10" i="13" s="1"/>
  <c r="I9" i="13"/>
  <c r="G9" i="13"/>
  <c r="H9" i="13" s="1"/>
  <c r="J9" i="13" s="1"/>
  <c r="F9" i="13"/>
  <c r="I8" i="13"/>
  <c r="G8" i="13"/>
  <c r="H8" i="13" s="1"/>
  <c r="J8" i="13" s="1"/>
  <c r="F8" i="13"/>
  <c r="I7" i="13"/>
  <c r="G7" i="13"/>
  <c r="H7" i="13" s="1"/>
  <c r="J7" i="13" s="1"/>
  <c r="F7" i="13"/>
  <c r="I6" i="13"/>
  <c r="H6" i="13"/>
  <c r="J6" i="13" s="1"/>
  <c r="F6" i="13"/>
  <c r="G6" i="13" s="1"/>
  <c r="I5" i="13"/>
  <c r="G5" i="13"/>
  <c r="H5" i="13" s="1"/>
  <c r="J5" i="13" s="1"/>
  <c r="F5" i="13"/>
  <c r="I4" i="13"/>
  <c r="H4" i="13"/>
  <c r="J4" i="13" s="1"/>
  <c r="G4" i="13"/>
  <c r="F4" i="13"/>
  <c r="I3" i="13"/>
  <c r="H3" i="13"/>
  <c r="J3" i="13" s="1"/>
  <c r="G3" i="13"/>
  <c r="F3" i="13"/>
  <c r="I2" i="13"/>
  <c r="H2" i="13"/>
  <c r="J2" i="13" s="1"/>
  <c r="F2" i="13"/>
  <c r="G2" i="13" s="1"/>
  <c r="I61" i="12"/>
  <c r="G61" i="12"/>
  <c r="H61" i="12" s="1"/>
  <c r="J61" i="12" s="1"/>
  <c r="F61" i="12"/>
  <c r="I60" i="12"/>
  <c r="F60" i="12"/>
  <c r="G60" i="12" s="1"/>
  <c r="H60" i="12" s="1"/>
  <c r="J60" i="12" s="1"/>
  <c r="I59" i="12"/>
  <c r="H59" i="12"/>
  <c r="J59" i="12" s="1"/>
  <c r="G59" i="12"/>
  <c r="F59" i="12"/>
  <c r="I58" i="12"/>
  <c r="F58" i="12"/>
  <c r="G58" i="12" s="1"/>
  <c r="H58" i="12" s="1"/>
  <c r="J58" i="12" s="1"/>
  <c r="I57" i="12"/>
  <c r="F57" i="12"/>
  <c r="G57" i="12" s="1"/>
  <c r="H57" i="12" s="1"/>
  <c r="J57" i="12" s="1"/>
  <c r="I56" i="12"/>
  <c r="F56" i="12"/>
  <c r="G56" i="12" s="1"/>
  <c r="H56" i="12" s="1"/>
  <c r="J56" i="12" s="1"/>
  <c r="I55" i="12"/>
  <c r="G55" i="12"/>
  <c r="H55" i="12" s="1"/>
  <c r="J55" i="12" s="1"/>
  <c r="F55" i="12"/>
  <c r="I54" i="12"/>
  <c r="F54" i="12"/>
  <c r="G54" i="12" s="1"/>
  <c r="H54" i="12" s="1"/>
  <c r="J54" i="12" s="1"/>
  <c r="I53" i="12"/>
  <c r="F53" i="12"/>
  <c r="G53" i="12" s="1"/>
  <c r="H53" i="12" s="1"/>
  <c r="J53" i="12" s="1"/>
  <c r="I52" i="12"/>
  <c r="G52" i="12"/>
  <c r="H52" i="12" s="1"/>
  <c r="J52" i="12" s="1"/>
  <c r="F52" i="12"/>
  <c r="I51" i="12"/>
  <c r="G51" i="12"/>
  <c r="H51" i="12" s="1"/>
  <c r="J51" i="12" s="1"/>
  <c r="F51" i="12"/>
  <c r="I50" i="12"/>
  <c r="H50" i="12"/>
  <c r="J50" i="12" s="1"/>
  <c r="F50" i="12"/>
  <c r="G50" i="12" s="1"/>
  <c r="I49" i="12"/>
  <c r="G49" i="12"/>
  <c r="H49" i="12" s="1"/>
  <c r="J49" i="12" s="1"/>
  <c r="F49" i="12"/>
  <c r="I48" i="12"/>
  <c r="H48" i="12"/>
  <c r="J48" i="12" s="1"/>
  <c r="G48" i="12"/>
  <c r="F48" i="12"/>
  <c r="I47" i="12"/>
  <c r="H47" i="12"/>
  <c r="J47" i="12" s="1"/>
  <c r="G47" i="12"/>
  <c r="F47" i="12"/>
  <c r="I46" i="12"/>
  <c r="H46" i="12"/>
  <c r="J46" i="12" s="1"/>
  <c r="F46" i="12"/>
  <c r="G46" i="12" s="1"/>
  <c r="I45" i="12"/>
  <c r="G45" i="12"/>
  <c r="H45" i="12" s="1"/>
  <c r="J45" i="12" s="1"/>
  <c r="F45" i="12"/>
  <c r="I44" i="12"/>
  <c r="F44" i="12"/>
  <c r="G44" i="12" s="1"/>
  <c r="H44" i="12" s="1"/>
  <c r="J44" i="12" s="1"/>
  <c r="I43" i="12"/>
  <c r="H43" i="12"/>
  <c r="J43" i="12" s="1"/>
  <c r="G43" i="12"/>
  <c r="F43" i="12"/>
  <c r="J42" i="12"/>
  <c r="I42" i="12"/>
  <c r="F42" i="12"/>
  <c r="G42" i="12" s="1"/>
  <c r="H42" i="12" s="1"/>
  <c r="I41" i="12"/>
  <c r="F41" i="12"/>
  <c r="G41" i="12" s="1"/>
  <c r="H41" i="12" s="1"/>
  <c r="J41" i="12" s="1"/>
  <c r="I40" i="12"/>
  <c r="F40" i="12"/>
  <c r="G40" i="12" s="1"/>
  <c r="H40" i="12" s="1"/>
  <c r="J40" i="12" s="1"/>
  <c r="I39" i="12"/>
  <c r="G39" i="12"/>
  <c r="H39" i="12" s="1"/>
  <c r="J39" i="12" s="1"/>
  <c r="F39" i="12"/>
  <c r="I38" i="12"/>
  <c r="F38" i="12"/>
  <c r="G38" i="12" s="1"/>
  <c r="H38" i="12" s="1"/>
  <c r="J38" i="12" s="1"/>
  <c r="I37" i="12"/>
  <c r="F37" i="12"/>
  <c r="G37" i="12" s="1"/>
  <c r="H37" i="12" s="1"/>
  <c r="J37" i="12" s="1"/>
  <c r="I36" i="12"/>
  <c r="G36" i="12"/>
  <c r="H36" i="12" s="1"/>
  <c r="J36" i="12" s="1"/>
  <c r="F36" i="12"/>
  <c r="I35" i="12"/>
  <c r="G35" i="12"/>
  <c r="H35" i="12" s="1"/>
  <c r="J35" i="12" s="1"/>
  <c r="F35" i="12"/>
  <c r="I34" i="12"/>
  <c r="H34" i="12"/>
  <c r="J34" i="12" s="1"/>
  <c r="F34" i="12"/>
  <c r="G34" i="12" s="1"/>
  <c r="I33" i="12"/>
  <c r="G33" i="12"/>
  <c r="H33" i="12" s="1"/>
  <c r="J33" i="12" s="1"/>
  <c r="F33" i="12"/>
  <c r="I32" i="12"/>
  <c r="H32" i="12"/>
  <c r="J32" i="12" s="1"/>
  <c r="G32" i="12"/>
  <c r="F32" i="12"/>
  <c r="I31" i="12"/>
  <c r="H31" i="12"/>
  <c r="J31" i="12" s="1"/>
  <c r="G31" i="12"/>
  <c r="F31" i="12"/>
  <c r="I30" i="12"/>
  <c r="H30" i="12"/>
  <c r="J30" i="12" s="1"/>
  <c r="F30" i="12"/>
  <c r="G30" i="12" s="1"/>
  <c r="I29" i="12"/>
  <c r="G29" i="12"/>
  <c r="H29" i="12" s="1"/>
  <c r="J29" i="12" s="1"/>
  <c r="F29" i="12"/>
  <c r="I28" i="12"/>
  <c r="F28" i="12"/>
  <c r="G28" i="12" s="1"/>
  <c r="H28" i="12" s="1"/>
  <c r="J28" i="12" s="1"/>
  <c r="I27" i="12"/>
  <c r="H27" i="12"/>
  <c r="J27" i="12" s="1"/>
  <c r="G27" i="12"/>
  <c r="F27" i="12"/>
  <c r="J26" i="12"/>
  <c r="I26" i="12"/>
  <c r="F26" i="12"/>
  <c r="G26" i="12" s="1"/>
  <c r="H26" i="12" s="1"/>
  <c r="I25" i="12"/>
  <c r="F25" i="12"/>
  <c r="G25" i="12" s="1"/>
  <c r="H25" i="12" s="1"/>
  <c r="J25" i="12" s="1"/>
  <c r="I24" i="12"/>
  <c r="F24" i="12"/>
  <c r="G24" i="12" s="1"/>
  <c r="H24" i="12" s="1"/>
  <c r="J24" i="12" s="1"/>
  <c r="I23" i="12"/>
  <c r="G23" i="12"/>
  <c r="H23" i="12" s="1"/>
  <c r="J23" i="12" s="1"/>
  <c r="F23" i="12"/>
  <c r="I22" i="12"/>
  <c r="F22" i="12"/>
  <c r="G22" i="12" s="1"/>
  <c r="H22" i="12" s="1"/>
  <c r="J22" i="12" s="1"/>
  <c r="I21" i="12"/>
  <c r="F21" i="12"/>
  <c r="G21" i="12" s="1"/>
  <c r="H21" i="12" s="1"/>
  <c r="J21" i="12" s="1"/>
  <c r="I20" i="12"/>
  <c r="G20" i="12"/>
  <c r="H20" i="12" s="1"/>
  <c r="J20" i="12" s="1"/>
  <c r="F20" i="12"/>
  <c r="I19" i="12"/>
  <c r="G19" i="12"/>
  <c r="H19" i="12" s="1"/>
  <c r="J19" i="12" s="1"/>
  <c r="F19" i="12"/>
  <c r="I18" i="12"/>
  <c r="H18" i="12"/>
  <c r="J18" i="12" s="1"/>
  <c r="G18" i="12"/>
  <c r="F18" i="12"/>
  <c r="I17" i="12"/>
  <c r="F17" i="12"/>
  <c r="G17" i="12" s="1"/>
  <c r="H17" i="12" s="1"/>
  <c r="J17" i="12" s="1"/>
  <c r="J16" i="12"/>
  <c r="I16" i="12"/>
  <c r="F16" i="12"/>
  <c r="G16" i="12" s="1"/>
  <c r="H16" i="12" s="1"/>
  <c r="I15" i="12"/>
  <c r="G15" i="12"/>
  <c r="H15" i="12" s="1"/>
  <c r="J15" i="12" s="1"/>
  <c r="F15" i="12"/>
  <c r="I14" i="12"/>
  <c r="H14" i="12"/>
  <c r="J14" i="12" s="1"/>
  <c r="G14" i="12"/>
  <c r="F14" i="12"/>
  <c r="I13" i="12"/>
  <c r="F13" i="12"/>
  <c r="G13" i="12" s="1"/>
  <c r="H13" i="12" s="1"/>
  <c r="J13" i="12" s="1"/>
  <c r="J12" i="12"/>
  <c r="I12" i="12"/>
  <c r="F12" i="12"/>
  <c r="G12" i="12" s="1"/>
  <c r="H12" i="12" s="1"/>
  <c r="I11" i="12"/>
  <c r="G11" i="12"/>
  <c r="H11" i="12" s="1"/>
  <c r="J11" i="12" s="1"/>
  <c r="F11" i="12"/>
  <c r="I10" i="12"/>
  <c r="H10" i="12"/>
  <c r="J10" i="12" s="1"/>
  <c r="G10" i="12"/>
  <c r="F10" i="12"/>
  <c r="I9" i="12"/>
  <c r="F9" i="12"/>
  <c r="G9" i="12" s="1"/>
  <c r="H9" i="12" s="1"/>
  <c r="J9" i="12" s="1"/>
  <c r="J8" i="12"/>
  <c r="I8" i="12"/>
  <c r="F8" i="12"/>
  <c r="G8" i="12" s="1"/>
  <c r="H8" i="12" s="1"/>
  <c r="I7" i="12"/>
  <c r="G7" i="12"/>
  <c r="H7" i="12" s="1"/>
  <c r="J7" i="12" s="1"/>
  <c r="F7" i="12"/>
  <c r="I6" i="12"/>
  <c r="H6" i="12"/>
  <c r="J6" i="12" s="1"/>
  <c r="G6" i="12"/>
  <c r="F6" i="12"/>
  <c r="I5" i="12"/>
  <c r="F5" i="12"/>
  <c r="G5" i="12" s="1"/>
  <c r="H5" i="12" s="1"/>
  <c r="J5" i="12" s="1"/>
  <c r="J4" i="12"/>
  <c r="I4" i="12"/>
  <c r="F4" i="12"/>
  <c r="G4" i="12" s="1"/>
  <c r="H4" i="12" s="1"/>
  <c r="I3" i="12"/>
  <c r="G3" i="12"/>
  <c r="H3" i="12" s="1"/>
  <c r="J3" i="12" s="1"/>
  <c r="F3" i="12"/>
  <c r="I2" i="12"/>
  <c r="H2" i="12"/>
  <c r="J2" i="12" s="1"/>
  <c r="G2" i="12"/>
  <c r="F2" i="12"/>
  <c r="I41" i="11"/>
  <c r="H41" i="11"/>
  <c r="J41" i="11" s="1"/>
  <c r="G41" i="11"/>
  <c r="I40" i="11"/>
  <c r="H40" i="11"/>
  <c r="J40" i="11" s="1"/>
  <c r="G40" i="11"/>
  <c r="I39" i="11"/>
  <c r="H39" i="11"/>
  <c r="J39" i="11" s="1"/>
  <c r="G39" i="11"/>
  <c r="I38" i="11"/>
  <c r="H38" i="11"/>
  <c r="J38" i="11" s="1"/>
  <c r="G38" i="11"/>
  <c r="I37" i="11"/>
  <c r="H37" i="11"/>
  <c r="J37" i="11" s="1"/>
  <c r="G37" i="11"/>
  <c r="I36" i="11"/>
  <c r="H36" i="11"/>
  <c r="J36" i="11" s="1"/>
  <c r="G36" i="11"/>
  <c r="I35" i="11"/>
  <c r="H35" i="11"/>
  <c r="J35" i="11" s="1"/>
  <c r="G35" i="11"/>
  <c r="I34" i="11"/>
  <c r="H34" i="11"/>
  <c r="J34" i="11" s="1"/>
  <c r="G34" i="11"/>
  <c r="I33" i="11"/>
  <c r="H33" i="11"/>
  <c r="J33" i="11" s="1"/>
  <c r="G33" i="11"/>
  <c r="I32" i="11"/>
  <c r="H32" i="11"/>
  <c r="J32" i="11" s="1"/>
  <c r="G32" i="11"/>
  <c r="I31" i="11"/>
  <c r="H31" i="11"/>
  <c r="J31" i="11" s="1"/>
  <c r="G31" i="11"/>
  <c r="I30" i="11"/>
  <c r="H30" i="11"/>
  <c r="J30" i="11" s="1"/>
  <c r="G30" i="11"/>
  <c r="I29" i="11"/>
  <c r="H29" i="11"/>
  <c r="J29" i="11" s="1"/>
  <c r="G29" i="11"/>
  <c r="I28" i="11"/>
  <c r="H28" i="11"/>
  <c r="J28" i="11" s="1"/>
  <c r="G28" i="11"/>
  <c r="I27" i="11"/>
  <c r="H27" i="11"/>
  <c r="J27" i="11" s="1"/>
  <c r="G27" i="11"/>
  <c r="I26" i="11"/>
  <c r="H26" i="11"/>
  <c r="J26" i="11" s="1"/>
  <c r="G26" i="11"/>
  <c r="I25" i="11"/>
  <c r="H25" i="11"/>
  <c r="J25" i="11" s="1"/>
  <c r="G25" i="11"/>
  <c r="I24" i="11"/>
  <c r="H24" i="11"/>
  <c r="J24" i="11" s="1"/>
  <c r="G24" i="11"/>
  <c r="I23" i="11"/>
  <c r="H23" i="11"/>
  <c r="J23" i="11" s="1"/>
  <c r="G23" i="11"/>
  <c r="I22" i="11"/>
  <c r="H22" i="11"/>
  <c r="J22" i="11" s="1"/>
  <c r="G22" i="11"/>
  <c r="I21" i="11"/>
  <c r="H21" i="11"/>
  <c r="J21" i="11" s="1"/>
  <c r="G21" i="11"/>
  <c r="I20" i="11"/>
  <c r="H20" i="11"/>
  <c r="J20" i="11" s="1"/>
  <c r="G20" i="11"/>
  <c r="I19" i="11"/>
  <c r="H19" i="11"/>
  <c r="J19" i="11" s="1"/>
  <c r="G19" i="11"/>
  <c r="I18" i="11"/>
  <c r="H18" i="11"/>
  <c r="J18" i="11" s="1"/>
  <c r="G18" i="11"/>
  <c r="I17" i="11"/>
  <c r="H17" i="11"/>
  <c r="J17" i="11" s="1"/>
  <c r="G17" i="11"/>
  <c r="I16" i="11"/>
  <c r="H16" i="11"/>
  <c r="J16" i="11" s="1"/>
  <c r="G16" i="11"/>
  <c r="I15" i="11"/>
  <c r="H15" i="11"/>
  <c r="J15" i="11" s="1"/>
  <c r="G15" i="11"/>
  <c r="I14" i="11"/>
  <c r="H14" i="11"/>
  <c r="J14" i="11" s="1"/>
  <c r="G14" i="11"/>
  <c r="I13" i="11"/>
  <c r="H13" i="11"/>
  <c r="J13" i="11" s="1"/>
  <c r="G13" i="11"/>
  <c r="I12" i="11"/>
  <c r="H12" i="11"/>
  <c r="J12" i="11" s="1"/>
  <c r="G12" i="11"/>
  <c r="I11" i="11"/>
  <c r="H11" i="11"/>
  <c r="J11" i="11" s="1"/>
  <c r="G11" i="11"/>
  <c r="I10" i="11"/>
  <c r="H10" i="11"/>
  <c r="J10" i="11" s="1"/>
  <c r="G10" i="11"/>
  <c r="I9" i="11"/>
  <c r="H9" i="11"/>
  <c r="J9" i="11" s="1"/>
  <c r="G9" i="11"/>
  <c r="I8" i="11"/>
  <c r="H8" i="11"/>
  <c r="J8" i="11" s="1"/>
  <c r="G8" i="11"/>
  <c r="I7" i="11"/>
  <c r="H7" i="11"/>
  <c r="J7" i="11" s="1"/>
  <c r="G7" i="11"/>
  <c r="I6" i="11"/>
  <c r="H6" i="11"/>
  <c r="J6" i="11" s="1"/>
  <c r="G6" i="11"/>
  <c r="I5" i="11"/>
  <c r="H5" i="11"/>
  <c r="J5" i="11" s="1"/>
  <c r="G5" i="11"/>
  <c r="I4" i="11"/>
  <c r="H4" i="11"/>
  <c r="J4" i="11" s="1"/>
  <c r="G4" i="11"/>
  <c r="I3" i="11"/>
  <c r="H3" i="11"/>
  <c r="J3" i="11" s="1"/>
  <c r="G3" i="11"/>
  <c r="K2" i="11"/>
  <c r="J2" i="11"/>
  <c r="I2" i="11"/>
  <c r="G2" i="11"/>
  <c r="H2" i="11" s="1"/>
  <c r="L32" i="10"/>
  <c r="L31" i="10"/>
  <c r="L30" i="10"/>
  <c r="L29" i="10"/>
  <c r="L28" i="10"/>
  <c r="L27" i="10"/>
  <c r="L26" i="10"/>
  <c r="L21" i="10"/>
  <c r="L20" i="10"/>
  <c r="L19" i="10"/>
  <c r="L18" i="10"/>
  <c r="L17" i="10"/>
  <c r="L16" i="10"/>
  <c r="L15" i="10"/>
  <c r="L10" i="10"/>
  <c r="L9" i="10"/>
  <c r="L8" i="10"/>
  <c r="L7" i="10"/>
  <c r="L6" i="10"/>
  <c r="L5" i="10"/>
  <c r="L4" i="10"/>
  <c r="E40" i="7"/>
  <c r="D40" i="7"/>
  <c r="C40" i="7"/>
  <c r="K76" i="6"/>
  <c r="L74" i="6"/>
  <c r="I74" i="6"/>
  <c r="J74" i="6" s="1"/>
  <c r="F74" i="6"/>
  <c r="G74" i="6" s="1"/>
  <c r="H74" i="6" s="1"/>
  <c r="M74" i="6" s="1"/>
  <c r="L73" i="6"/>
  <c r="I73" i="6"/>
  <c r="J73" i="6" s="1"/>
  <c r="F73" i="6"/>
  <c r="G73" i="6" s="1"/>
  <c r="H73" i="6" s="1"/>
  <c r="M73" i="6" s="1"/>
  <c r="L72" i="6"/>
  <c r="I72" i="6"/>
  <c r="J72" i="6" s="1"/>
  <c r="F72" i="6"/>
  <c r="G72" i="6" s="1"/>
  <c r="H72" i="6" s="1"/>
  <c r="M72" i="6" s="1"/>
  <c r="L71" i="6"/>
  <c r="I71" i="6"/>
  <c r="J71" i="6" s="1"/>
  <c r="F71" i="6"/>
  <c r="G71" i="6" s="1"/>
  <c r="H71" i="6" s="1"/>
  <c r="M71" i="6" s="1"/>
  <c r="L70" i="6"/>
  <c r="I70" i="6"/>
  <c r="J70" i="6" s="1"/>
  <c r="F70" i="6"/>
  <c r="G70" i="6" s="1"/>
  <c r="H70" i="6" s="1"/>
  <c r="M70" i="6" s="1"/>
  <c r="L69" i="6"/>
  <c r="I69" i="6"/>
  <c r="J69" i="6" s="1"/>
  <c r="F69" i="6"/>
  <c r="G69" i="6" s="1"/>
  <c r="H69" i="6" s="1"/>
  <c r="M69" i="6" s="1"/>
  <c r="L68" i="6"/>
  <c r="I68" i="6"/>
  <c r="F68" i="6"/>
  <c r="G68" i="6" s="1"/>
  <c r="H68" i="6" s="1"/>
  <c r="M68" i="6" s="1"/>
  <c r="L67" i="6"/>
  <c r="J67" i="6"/>
  <c r="I67" i="6"/>
  <c r="F67" i="6"/>
  <c r="G67" i="6" s="1"/>
  <c r="H67" i="6" s="1"/>
  <c r="M67" i="6" s="1"/>
  <c r="L66" i="6"/>
  <c r="I66" i="6"/>
  <c r="F66" i="6"/>
  <c r="G66" i="6" s="1"/>
  <c r="H66" i="6" s="1"/>
  <c r="M66" i="6" s="1"/>
  <c r="L65" i="6"/>
  <c r="I65" i="6"/>
  <c r="J65" i="6" s="1"/>
  <c r="F65" i="6"/>
  <c r="G65" i="6" s="1"/>
  <c r="H65" i="6" s="1"/>
  <c r="M65" i="6" s="1"/>
  <c r="L64" i="6"/>
  <c r="I64" i="6"/>
  <c r="F64" i="6"/>
  <c r="G64" i="6" s="1"/>
  <c r="H64" i="6" s="1"/>
  <c r="M64" i="6" s="1"/>
  <c r="L63" i="6"/>
  <c r="I63" i="6"/>
  <c r="J63" i="6" s="1"/>
  <c r="F63" i="6"/>
  <c r="G63" i="6" s="1"/>
  <c r="H63" i="6" s="1"/>
  <c r="M63" i="6" s="1"/>
  <c r="L62" i="6"/>
  <c r="I62" i="6"/>
  <c r="F62" i="6"/>
  <c r="G62" i="6" s="1"/>
  <c r="H62" i="6" s="1"/>
  <c r="M62" i="6" s="1"/>
  <c r="L61" i="6"/>
  <c r="I61" i="6"/>
  <c r="J61" i="6" s="1"/>
  <c r="F61" i="6"/>
  <c r="G61" i="6" s="1"/>
  <c r="H61" i="6" s="1"/>
  <c r="M61" i="6" s="1"/>
  <c r="L60" i="6"/>
  <c r="I60" i="6"/>
  <c r="F60" i="6"/>
  <c r="G60" i="6" s="1"/>
  <c r="H60" i="6" s="1"/>
  <c r="M60" i="6" s="1"/>
  <c r="L59" i="6"/>
  <c r="I59" i="6"/>
  <c r="J59" i="6" s="1"/>
  <c r="F59" i="6"/>
  <c r="G59" i="6" s="1"/>
  <c r="H59" i="6" s="1"/>
  <c r="M59" i="6" s="1"/>
  <c r="L58" i="6"/>
  <c r="I58" i="6"/>
  <c r="F58" i="6"/>
  <c r="G58" i="6" s="1"/>
  <c r="H58" i="6" s="1"/>
  <c r="M58" i="6" s="1"/>
  <c r="L57" i="6"/>
  <c r="I57" i="6"/>
  <c r="J57" i="6" s="1"/>
  <c r="F57" i="6"/>
  <c r="G57" i="6" s="1"/>
  <c r="H57" i="6" s="1"/>
  <c r="M57" i="6" s="1"/>
  <c r="L56" i="6"/>
  <c r="I56" i="6"/>
  <c r="F56" i="6"/>
  <c r="G56" i="6" s="1"/>
  <c r="H56" i="6" s="1"/>
  <c r="M56" i="6" s="1"/>
  <c r="L55" i="6"/>
  <c r="I55" i="6"/>
  <c r="J55" i="6" s="1"/>
  <c r="F55" i="6"/>
  <c r="G55" i="6" s="1"/>
  <c r="H55" i="6" s="1"/>
  <c r="M55" i="6" s="1"/>
  <c r="L54" i="6"/>
  <c r="I54" i="6"/>
  <c r="F54" i="6"/>
  <c r="G54" i="6" s="1"/>
  <c r="H54" i="6" s="1"/>
  <c r="M54" i="6" s="1"/>
  <c r="L53" i="6"/>
  <c r="I53" i="6"/>
  <c r="J53" i="6" s="1"/>
  <c r="F53" i="6"/>
  <c r="G53" i="6" s="1"/>
  <c r="H53" i="6" s="1"/>
  <c r="M53" i="6" s="1"/>
  <c r="L52" i="6"/>
  <c r="I52" i="6"/>
  <c r="F52" i="6"/>
  <c r="G52" i="6" s="1"/>
  <c r="H52" i="6" s="1"/>
  <c r="M52" i="6" s="1"/>
  <c r="L51" i="6"/>
  <c r="I51" i="6"/>
  <c r="J51" i="6" s="1"/>
  <c r="F51" i="6"/>
  <c r="G51" i="6" s="1"/>
  <c r="H51" i="6" s="1"/>
  <c r="M51" i="6" s="1"/>
  <c r="L50" i="6"/>
  <c r="I50" i="6"/>
  <c r="F50" i="6"/>
  <c r="G50" i="6" s="1"/>
  <c r="H50" i="6" s="1"/>
  <c r="M50" i="6" s="1"/>
  <c r="L49" i="6"/>
  <c r="I49" i="6"/>
  <c r="J49" i="6" s="1"/>
  <c r="F49" i="6"/>
  <c r="G49" i="6" s="1"/>
  <c r="H49" i="6" s="1"/>
  <c r="M49" i="6" s="1"/>
  <c r="L48" i="6"/>
  <c r="I48" i="6"/>
  <c r="F48" i="6"/>
  <c r="G48" i="6" s="1"/>
  <c r="H48" i="6" s="1"/>
  <c r="M48" i="6" s="1"/>
  <c r="L47" i="6"/>
  <c r="I47" i="6"/>
  <c r="J47" i="6" s="1"/>
  <c r="F47" i="6"/>
  <c r="G47" i="6" s="1"/>
  <c r="H47" i="6" s="1"/>
  <c r="M47" i="6" s="1"/>
  <c r="L46" i="6"/>
  <c r="I46" i="6"/>
  <c r="F46" i="6"/>
  <c r="G46" i="6" s="1"/>
  <c r="H46" i="6" s="1"/>
  <c r="M46" i="6" s="1"/>
  <c r="L45" i="6"/>
  <c r="I45" i="6"/>
  <c r="J45" i="6" s="1"/>
  <c r="F45" i="6"/>
  <c r="G45" i="6" s="1"/>
  <c r="H45" i="6" s="1"/>
  <c r="M45" i="6" s="1"/>
  <c r="L44" i="6"/>
  <c r="I44" i="6"/>
  <c r="F44" i="6"/>
  <c r="G44" i="6" s="1"/>
  <c r="H44" i="6" s="1"/>
  <c r="M44" i="6" s="1"/>
  <c r="L43" i="6"/>
  <c r="J43" i="6"/>
  <c r="I43" i="6"/>
  <c r="F43" i="6"/>
  <c r="G43" i="6" s="1"/>
  <c r="H43" i="6" s="1"/>
  <c r="M43" i="6" s="1"/>
  <c r="L42" i="6"/>
  <c r="I42" i="6"/>
  <c r="F42" i="6"/>
  <c r="G42" i="6" s="1"/>
  <c r="H42" i="6" s="1"/>
  <c r="M42" i="6" s="1"/>
  <c r="L41" i="6"/>
  <c r="I41" i="6"/>
  <c r="J41" i="6" s="1"/>
  <c r="F41" i="6"/>
  <c r="G41" i="6" s="1"/>
  <c r="H41" i="6" s="1"/>
  <c r="M41" i="6" s="1"/>
  <c r="L40" i="6"/>
  <c r="I40" i="6"/>
  <c r="F40" i="6"/>
  <c r="G40" i="6" s="1"/>
  <c r="H40" i="6" s="1"/>
  <c r="M40" i="6" s="1"/>
  <c r="L39" i="6"/>
  <c r="I39" i="6"/>
  <c r="J39" i="6" s="1"/>
  <c r="F39" i="6"/>
  <c r="G39" i="6" s="1"/>
  <c r="H39" i="6" s="1"/>
  <c r="M39" i="6" s="1"/>
  <c r="L38" i="6"/>
  <c r="I38" i="6"/>
  <c r="F38" i="6"/>
  <c r="G38" i="6" s="1"/>
  <c r="H38" i="6" s="1"/>
  <c r="M38" i="6" s="1"/>
  <c r="L37" i="6"/>
  <c r="I37" i="6"/>
  <c r="J37" i="6" s="1"/>
  <c r="F37" i="6"/>
  <c r="G37" i="6" s="1"/>
  <c r="H37" i="6" s="1"/>
  <c r="M37" i="6" s="1"/>
  <c r="L36" i="6"/>
  <c r="I36" i="6"/>
  <c r="F36" i="6"/>
  <c r="G36" i="6" s="1"/>
  <c r="H36" i="6" s="1"/>
  <c r="M36" i="6" s="1"/>
  <c r="L35" i="6"/>
  <c r="I35" i="6"/>
  <c r="J35" i="6" s="1"/>
  <c r="F35" i="6"/>
  <c r="G35" i="6" s="1"/>
  <c r="H35" i="6" s="1"/>
  <c r="M35" i="6" s="1"/>
  <c r="L34" i="6"/>
  <c r="I34" i="6"/>
  <c r="F34" i="6"/>
  <c r="G34" i="6" s="1"/>
  <c r="H34" i="6" s="1"/>
  <c r="M34" i="6" s="1"/>
  <c r="L33" i="6"/>
  <c r="I33" i="6"/>
  <c r="J33" i="6" s="1"/>
  <c r="F33" i="6"/>
  <c r="G33" i="6" s="1"/>
  <c r="H33" i="6" s="1"/>
  <c r="M33" i="6" s="1"/>
  <c r="L32" i="6"/>
  <c r="I32" i="6"/>
  <c r="F32" i="6"/>
  <c r="G32" i="6" s="1"/>
  <c r="H32" i="6" s="1"/>
  <c r="M32" i="6" s="1"/>
  <c r="L31" i="6"/>
  <c r="I31" i="6"/>
  <c r="F31" i="6"/>
  <c r="G31" i="6" s="1"/>
  <c r="H31" i="6" s="1"/>
  <c r="M31" i="6" s="1"/>
  <c r="L30" i="6"/>
  <c r="I30" i="6"/>
  <c r="F30" i="6"/>
  <c r="G30" i="6" s="1"/>
  <c r="H30" i="6" s="1"/>
  <c r="M30" i="6" s="1"/>
  <c r="L29" i="6"/>
  <c r="I29" i="6"/>
  <c r="F29" i="6"/>
  <c r="G29" i="6" s="1"/>
  <c r="H29" i="6" s="1"/>
  <c r="M29" i="6" s="1"/>
  <c r="L28" i="6"/>
  <c r="I28" i="6"/>
  <c r="F28" i="6"/>
  <c r="G28" i="6" s="1"/>
  <c r="H28" i="6" s="1"/>
  <c r="M28" i="6" s="1"/>
  <c r="L27" i="6"/>
  <c r="I27" i="6"/>
  <c r="F27" i="6"/>
  <c r="G27" i="6" s="1"/>
  <c r="H27" i="6" s="1"/>
  <c r="M27" i="6" s="1"/>
  <c r="L26" i="6"/>
  <c r="I26" i="6"/>
  <c r="F26" i="6"/>
  <c r="G26" i="6" s="1"/>
  <c r="H26" i="6" s="1"/>
  <c r="M26" i="6" s="1"/>
  <c r="L25" i="6"/>
  <c r="I25" i="6"/>
  <c r="F25" i="6"/>
  <c r="G25" i="6" s="1"/>
  <c r="H25" i="6" s="1"/>
  <c r="M25" i="6" s="1"/>
  <c r="L24" i="6"/>
  <c r="I24" i="6"/>
  <c r="F24" i="6"/>
  <c r="G24" i="6" s="1"/>
  <c r="H24" i="6" s="1"/>
  <c r="M24" i="6" s="1"/>
  <c r="L23" i="6"/>
  <c r="I23" i="6"/>
  <c r="F23" i="6"/>
  <c r="G23" i="6" s="1"/>
  <c r="H23" i="6" s="1"/>
  <c r="M23" i="6" s="1"/>
  <c r="L22" i="6"/>
  <c r="I22" i="6"/>
  <c r="F22" i="6"/>
  <c r="G22" i="6" s="1"/>
  <c r="H22" i="6" s="1"/>
  <c r="M22" i="6" s="1"/>
  <c r="L21" i="6"/>
  <c r="I21" i="6"/>
  <c r="F21" i="6"/>
  <c r="G21" i="6" s="1"/>
  <c r="H21" i="6" s="1"/>
  <c r="M21" i="6" s="1"/>
  <c r="L20" i="6"/>
  <c r="I20" i="6"/>
  <c r="F20" i="6"/>
  <c r="G20" i="6" s="1"/>
  <c r="H20" i="6" s="1"/>
  <c r="M20" i="6" s="1"/>
  <c r="L19" i="6"/>
  <c r="I19" i="6"/>
  <c r="F19" i="6"/>
  <c r="G19" i="6" s="1"/>
  <c r="H19" i="6" s="1"/>
  <c r="M19" i="6" s="1"/>
  <c r="L18" i="6"/>
  <c r="I18" i="6"/>
  <c r="F18" i="6"/>
  <c r="G18" i="6" s="1"/>
  <c r="H18" i="6" s="1"/>
  <c r="M18" i="6" s="1"/>
  <c r="L17" i="6"/>
  <c r="I17" i="6"/>
  <c r="F17" i="6"/>
  <c r="G17" i="6" s="1"/>
  <c r="H17" i="6" s="1"/>
  <c r="M17" i="6" s="1"/>
  <c r="L16" i="6"/>
  <c r="I16" i="6"/>
  <c r="F16" i="6"/>
  <c r="G16" i="6" s="1"/>
  <c r="H16" i="6" s="1"/>
  <c r="M16" i="6" s="1"/>
  <c r="L15" i="6"/>
  <c r="I15" i="6"/>
  <c r="F15" i="6"/>
  <c r="G15" i="6" s="1"/>
  <c r="H15" i="6" s="1"/>
  <c r="M15" i="6" s="1"/>
  <c r="L14" i="6"/>
  <c r="I14" i="6"/>
  <c r="J14" i="6" s="1"/>
  <c r="F14" i="6"/>
  <c r="G14" i="6" s="1"/>
  <c r="H14" i="6" s="1"/>
  <c r="M14" i="6" s="1"/>
  <c r="L13" i="6"/>
  <c r="I13" i="6"/>
  <c r="J13" i="6" s="1"/>
  <c r="F13" i="6"/>
  <c r="G13" i="6" s="1"/>
  <c r="H13" i="6" s="1"/>
  <c r="M13" i="6" s="1"/>
  <c r="L12" i="6"/>
  <c r="I12" i="6"/>
  <c r="J12" i="6" s="1"/>
  <c r="F12" i="6"/>
  <c r="G12" i="6" s="1"/>
  <c r="H12" i="6" s="1"/>
  <c r="M12" i="6" s="1"/>
  <c r="L11" i="6"/>
  <c r="I11" i="6"/>
  <c r="J11" i="6" s="1"/>
  <c r="F11" i="6"/>
  <c r="G11" i="6" s="1"/>
  <c r="H11" i="6" s="1"/>
  <c r="M11" i="6" s="1"/>
  <c r="L10" i="6"/>
  <c r="I10" i="6"/>
  <c r="J10" i="6" s="1"/>
  <c r="F10" i="6"/>
  <c r="G10" i="6" s="1"/>
  <c r="H10" i="6" s="1"/>
  <c r="M10" i="6" s="1"/>
  <c r="L9" i="6"/>
  <c r="I9" i="6"/>
  <c r="J9" i="6" s="1"/>
  <c r="F9" i="6"/>
  <c r="G9" i="6" s="1"/>
  <c r="H9" i="6" s="1"/>
  <c r="M9" i="6" s="1"/>
  <c r="L8" i="6"/>
  <c r="I8" i="6"/>
  <c r="J8" i="6" s="1"/>
  <c r="F8" i="6"/>
  <c r="G8" i="6" s="1"/>
  <c r="H8" i="6" s="1"/>
  <c r="M8" i="6" s="1"/>
  <c r="L7" i="6"/>
  <c r="I7" i="6"/>
  <c r="J7" i="6" s="1"/>
  <c r="F7" i="6"/>
  <c r="G7" i="6" s="1"/>
  <c r="H7" i="6" s="1"/>
  <c r="M7" i="6" s="1"/>
  <c r="L6" i="6"/>
  <c r="I6" i="6"/>
  <c r="J6" i="6" s="1"/>
  <c r="F6" i="6"/>
  <c r="G6" i="6" s="1"/>
  <c r="H6" i="6" s="1"/>
  <c r="M6" i="6" s="1"/>
  <c r="L5" i="6"/>
  <c r="I5" i="6"/>
  <c r="J5" i="6" s="1"/>
  <c r="F5" i="6"/>
  <c r="G5" i="6" s="1"/>
  <c r="H5" i="6" s="1"/>
  <c r="M5" i="6" s="1"/>
  <c r="N67" i="5"/>
  <c r="O65" i="5"/>
  <c r="L65" i="5"/>
  <c r="M65" i="5" s="1"/>
  <c r="N65" i="5" s="1"/>
  <c r="J65" i="5"/>
  <c r="K65" i="5" s="1"/>
  <c r="P65" i="5" s="1"/>
  <c r="I65" i="5"/>
  <c r="O64" i="5"/>
  <c r="N64" i="5"/>
  <c r="L64" i="5"/>
  <c r="M64" i="5" s="1"/>
  <c r="J64" i="5"/>
  <c r="K64" i="5" s="1"/>
  <c r="P64" i="5" s="1"/>
  <c r="I64" i="5"/>
  <c r="O63" i="5"/>
  <c r="N63" i="5"/>
  <c r="L63" i="5"/>
  <c r="M63" i="5" s="1"/>
  <c r="J63" i="5"/>
  <c r="K63" i="5" s="1"/>
  <c r="P63" i="5" s="1"/>
  <c r="I63" i="5"/>
  <c r="O62" i="5"/>
  <c r="L62" i="5"/>
  <c r="M62" i="5" s="1"/>
  <c r="N62" i="5" s="1"/>
  <c r="J62" i="5"/>
  <c r="K62" i="5" s="1"/>
  <c r="P62" i="5" s="1"/>
  <c r="I62" i="5"/>
  <c r="O61" i="5"/>
  <c r="L61" i="5"/>
  <c r="M61" i="5" s="1"/>
  <c r="N61" i="5" s="1"/>
  <c r="J61" i="5"/>
  <c r="K61" i="5" s="1"/>
  <c r="P61" i="5" s="1"/>
  <c r="I61" i="5"/>
  <c r="O60" i="5"/>
  <c r="N60" i="5"/>
  <c r="L60" i="5"/>
  <c r="M60" i="5" s="1"/>
  <c r="J60" i="5"/>
  <c r="K60" i="5" s="1"/>
  <c r="P60" i="5" s="1"/>
  <c r="I60" i="5"/>
  <c r="O59" i="5"/>
  <c r="N59" i="5"/>
  <c r="L59" i="5"/>
  <c r="M59" i="5" s="1"/>
  <c r="J59" i="5"/>
  <c r="K59" i="5" s="1"/>
  <c r="P59" i="5" s="1"/>
  <c r="I59" i="5"/>
  <c r="O58" i="5"/>
  <c r="L58" i="5"/>
  <c r="M58" i="5" s="1"/>
  <c r="N58" i="5" s="1"/>
  <c r="J58" i="5"/>
  <c r="K58" i="5" s="1"/>
  <c r="P58" i="5" s="1"/>
  <c r="I58" i="5"/>
  <c r="O57" i="5"/>
  <c r="N57" i="5"/>
  <c r="L57" i="5"/>
  <c r="M57" i="5" s="1"/>
  <c r="J57" i="5"/>
  <c r="K57" i="5" s="1"/>
  <c r="P57" i="5" s="1"/>
  <c r="I57" i="5"/>
  <c r="O56" i="5"/>
  <c r="L56" i="5"/>
  <c r="M56" i="5" s="1"/>
  <c r="J56" i="5"/>
  <c r="K56" i="5" s="1"/>
  <c r="P56" i="5" s="1"/>
  <c r="I56" i="5"/>
  <c r="O55" i="5"/>
  <c r="N55" i="5"/>
  <c r="L55" i="5"/>
  <c r="M55" i="5" s="1"/>
  <c r="J55" i="5"/>
  <c r="K55" i="5" s="1"/>
  <c r="P55" i="5" s="1"/>
  <c r="I55" i="5"/>
  <c r="O54" i="5"/>
  <c r="L54" i="5"/>
  <c r="M54" i="5" s="1"/>
  <c r="J54" i="5"/>
  <c r="K54" i="5" s="1"/>
  <c r="P54" i="5" s="1"/>
  <c r="I54" i="5"/>
  <c r="O53" i="5"/>
  <c r="N53" i="5"/>
  <c r="L53" i="5"/>
  <c r="M53" i="5" s="1"/>
  <c r="J53" i="5"/>
  <c r="K53" i="5" s="1"/>
  <c r="P53" i="5" s="1"/>
  <c r="I53" i="5"/>
  <c r="O52" i="5"/>
  <c r="L52" i="5"/>
  <c r="M52" i="5" s="1"/>
  <c r="J52" i="5"/>
  <c r="K52" i="5" s="1"/>
  <c r="P52" i="5" s="1"/>
  <c r="I52" i="5"/>
  <c r="O51" i="5"/>
  <c r="N51" i="5"/>
  <c r="L51" i="5"/>
  <c r="M51" i="5" s="1"/>
  <c r="J51" i="5"/>
  <c r="K51" i="5" s="1"/>
  <c r="P51" i="5" s="1"/>
  <c r="I51" i="5"/>
  <c r="O50" i="5"/>
  <c r="L50" i="5"/>
  <c r="M50" i="5" s="1"/>
  <c r="J50" i="5"/>
  <c r="K50" i="5" s="1"/>
  <c r="P50" i="5" s="1"/>
  <c r="I50" i="5"/>
  <c r="O49" i="5"/>
  <c r="N49" i="5"/>
  <c r="L49" i="5"/>
  <c r="M49" i="5" s="1"/>
  <c r="J49" i="5"/>
  <c r="K49" i="5" s="1"/>
  <c r="P49" i="5" s="1"/>
  <c r="I49" i="5"/>
  <c r="O48" i="5"/>
  <c r="L48" i="5"/>
  <c r="M48" i="5" s="1"/>
  <c r="J48" i="5"/>
  <c r="K48" i="5" s="1"/>
  <c r="P48" i="5" s="1"/>
  <c r="I48" i="5"/>
  <c r="O47" i="5"/>
  <c r="N47" i="5"/>
  <c r="L47" i="5"/>
  <c r="M47" i="5" s="1"/>
  <c r="J47" i="5"/>
  <c r="K47" i="5" s="1"/>
  <c r="P47" i="5" s="1"/>
  <c r="I47" i="5"/>
  <c r="O46" i="5"/>
  <c r="L46" i="5"/>
  <c r="M46" i="5" s="1"/>
  <c r="J46" i="5"/>
  <c r="K46" i="5" s="1"/>
  <c r="P46" i="5" s="1"/>
  <c r="I46" i="5"/>
  <c r="O45" i="5"/>
  <c r="N45" i="5"/>
  <c r="L45" i="5"/>
  <c r="M45" i="5" s="1"/>
  <c r="J45" i="5"/>
  <c r="K45" i="5" s="1"/>
  <c r="P45" i="5" s="1"/>
  <c r="I45" i="5"/>
  <c r="O44" i="5"/>
  <c r="L44" i="5"/>
  <c r="M44" i="5" s="1"/>
  <c r="J44" i="5"/>
  <c r="K44" i="5" s="1"/>
  <c r="P44" i="5" s="1"/>
  <c r="I44" i="5"/>
  <c r="O43" i="5"/>
  <c r="N43" i="5"/>
  <c r="L43" i="5"/>
  <c r="M43" i="5" s="1"/>
  <c r="J43" i="5"/>
  <c r="K43" i="5" s="1"/>
  <c r="P43" i="5" s="1"/>
  <c r="I43" i="5"/>
  <c r="O42" i="5"/>
  <c r="L42" i="5"/>
  <c r="M42" i="5" s="1"/>
  <c r="J42" i="5"/>
  <c r="K42" i="5" s="1"/>
  <c r="P42" i="5" s="1"/>
  <c r="I42" i="5"/>
  <c r="O41" i="5"/>
  <c r="N41" i="5"/>
  <c r="L41" i="5"/>
  <c r="M41" i="5" s="1"/>
  <c r="J41" i="5"/>
  <c r="K41" i="5" s="1"/>
  <c r="P41" i="5" s="1"/>
  <c r="I41" i="5"/>
  <c r="O40" i="5"/>
  <c r="L40" i="5"/>
  <c r="M40" i="5" s="1"/>
  <c r="J40" i="5"/>
  <c r="K40" i="5" s="1"/>
  <c r="P40" i="5" s="1"/>
  <c r="I40" i="5"/>
  <c r="O39" i="5"/>
  <c r="N39" i="5"/>
  <c r="L39" i="5"/>
  <c r="M39" i="5" s="1"/>
  <c r="J39" i="5"/>
  <c r="K39" i="5" s="1"/>
  <c r="P39" i="5" s="1"/>
  <c r="I39" i="5"/>
  <c r="O38" i="5"/>
  <c r="L38" i="5"/>
  <c r="M38" i="5" s="1"/>
  <c r="J38" i="5"/>
  <c r="K38" i="5" s="1"/>
  <c r="P38" i="5" s="1"/>
  <c r="I38" i="5"/>
  <c r="O37" i="5"/>
  <c r="N37" i="5"/>
  <c r="L37" i="5"/>
  <c r="M37" i="5" s="1"/>
  <c r="I37" i="5"/>
  <c r="J37" i="5" s="1"/>
  <c r="K37" i="5" s="1"/>
  <c r="P37" i="5" s="1"/>
  <c r="O36" i="5"/>
  <c r="M36" i="5"/>
  <c r="N36" i="5" s="1"/>
  <c r="L36" i="5"/>
  <c r="I36" i="5"/>
  <c r="J36" i="5" s="1"/>
  <c r="K36" i="5" s="1"/>
  <c r="P36" i="5" s="1"/>
  <c r="O35" i="5"/>
  <c r="M35" i="5"/>
  <c r="N35" i="5" s="1"/>
  <c r="L35" i="5"/>
  <c r="I35" i="5"/>
  <c r="J35" i="5" s="1"/>
  <c r="K35" i="5" s="1"/>
  <c r="P35" i="5" s="1"/>
  <c r="O34" i="5"/>
  <c r="M34" i="5"/>
  <c r="N34" i="5" s="1"/>
  <c r="L34" i="5"/>
  <c r="I34" i="5"/>
  <c r="J34" i="5" s="1"/>
  <c r="K34" i="5" s="1"/>
  <c r="P34" i="5" s="1"/>
  <c r="O33" i="5"/>
  <c r="M33" i="5"/>
  <c r="N33" i="5" s="1"/>
  <c r="L33" i="5"/>
  <c r="I33" i="5"/>
  <c r="J33" i="5" s="1"/>
  <c r="K33" i="5" s="1"/>
  <c r="P33" i="5" s="1"/>
  <c r="O32" i="5"/>
  <c r="M32" i="5"/>
  <c r="N32" i="5" s="1"/>
  <c r="L32" i="5"/>
  <c r="I32" i="5"/>
  <c r="J32" i="5" s="1"/>
  <c r="K32" i="5" s="1"/>
  <c r="P32" i="5" s="1"/>
  <c r="O31" i="5"/>
  <c r="M31" i="5"/>
  <c r="N31" i="5" s="1"/>
  <c r="L31" i="5"/>
  <c r="I31" i="5"/>
  <c r="J31" i="5" s="1"/>
  <c r="K31" i="5" s="1"/>
  <c r="P31" i="5" s="1"/>
  <c r="O30" i="5"/>
  <c r="M30" i="5"/>
  <c r="N30" i="5" s="1"/>
  <c r="L30" i="5"/>
  <c r="I30" i="5"/>
  <c r="J30" i="5" s="1"/>
  <c r="K30" i="5" s="1"/>
  <c r="P30" i="5" s="1"/>
  <c r="O29" i="5"/>
  <c r="M29" i="5"/>
  <c r="N29" i="5" s="1"/>
  <c r="L29" i="5"/>
  <c r="I29" i="5"/>
  <c r="J29" i="5" s="1"/>
  <c r="K29" i="5" s="1"/>
  <c r="P29" i="5" s="1"/>
  <c r="O28" i="5"/>
  <c r="M28" i="5"/>
  <c r="N28" i="5" s="1"/>
  <c r="L28" i="5"/>
  <c r="I28" i="5"/>
  <c r="J28" i="5" s="1"/>
  <c r="K28" i="5" s="1"/>
  <c r="P28" i="5" s="1"/>
  <c r="O27" i="5"/>
  <c r="M27" i="5"/>
  <c r="N27" i="5" s="1"/>
  <c r="L27" i="5"/>
  <c r="I27" i="5"/>
  <c r="J27" i="5" s="1"/>
  <c r="K27" i="5" s="1"/>
  <c r="P27" i="5" s="1"/>
  <c r="O26" i="5"/>
  <c r="M26" i="5"/>
  <c r="N26" i="5" s="1"/>
  <c r="L26" i="5"/>
  <c r="I26" i="5"/>
  <c r="J26" i="5" s="1"/>
  <c r="K26" i="5" s="1"/>
  <c r="P26" i="5" s="1"/>
  <c r="O25" i="5"/>
  <c r="M25" i="5"/>
  <c r="N25" i="5" s="1"/>
  <c r="L25" i="5"/>
  <c r="I25" i="5"/>
  <c r="J25" i="5" s="1"/>
  <c r="K25" i="5" s="1"/>
  <c r="P25" i="5" s="1"/>
  <c r="O24" i="5"/>
  <c r="M24" i="5"/>
  <c r="N24" i="5" s="1"/>
  <c r="L24" i="5"/>
  <c r="I24" i="5"/>
  <c r="J24" i="5" s="1"/>
  <c r="K24" i="5" s="1"/>
  <c r="P24" i="5" s="1"/>
  <c r="O23" i="5"/>
  <c r="M23" i="5"/>
  <c r="N23" i="5" s="1"/>
  <c r="L23" i="5"/>
  <c r="I23" i="5"/>
  <c r="J23" i="5" s="1"/>
  <c r="K23" i="5" s="1"/>
  <c r="P23" i="5" s="1"/>
  <c r="O22" i="5"/>
  <c r="M22" i="5"/>
  <c r="N22" i="5" s="1"/>
  <c r="L22" i="5"/>
  <c r="I22" i="5"/>
  <c r="J22" i="5" s="1"/>
  <c r="K22" i="5" s="1"/>
  <c r="P22" i="5" s="1"/>
  <c r="O21" i="5"/>
  <c r="M21" i="5"/>
  <c r="N21" i="5" s="1"/>
  <c r="L21" i="5"/>
  <c r="I21" i="5"/>
  <c r="J21" i="5" s="1"/>
  <c r="K21" i="5" s="1"/>
  <c r="P21" i="5" s="1"/>
  <c r="O20" i="5"/>
  <c r="M20" i="5"/>
  <c r="N20" i="5" s="1"/>
  <c r="L20" i="5"/>
  <c r="I20" i="5"/>
  <c r="J20" i="5" s="1"/>
  <c r="K20" i="5" s="1"/>
  <c r="P20" i="5" s="1"/>
  <c r="O19" i="5"/>
  <c r="M19" i="5"/>
  <c r="N19" i="5" s="1"/>
  <c r="L19" i="5"/>
  <c r="I19" i="5"/>
  <c r="J19" i="5" s="1"/>
  <c r="K19" i="5" s="1"/>
  <c r="P19" i="5" s="1"/>
  <c r="O18" i="5"/>
  <c r="M18" i="5"/>
  <c r="N18" i="5" s="1"/>
  <c r="L18" i="5"/>
  <c r="I18" i="5"/>
  <c r="J18" i="5" s="1"/>
  <c r="K18" i="5" s="1"/>
  <c r="P18" i="5" s="1"/>
  <c r="O17" i="5"/>
  <c r="M17" i="5"/>
  <c r="N17" i="5" s="1"/>
  <c r="L17" i="5"/>
  <c r="I17" i="5"/>
  <c r="J17" i="5" s="1"/>
  <c r="K17" i="5" s="1"/>
  <c r="P17" i="5" s="1"/>
  <c r="O16" i="5"/>
  <c r="M16" i="5"/>
  <c r="N16" i="5" s="1"/>
  <c r="L16" i="5"/>
  <c r="I16" i="5"/>
  <c r="J16" i="5" s="1"/>
  <c r="K16" i="5" s="1"/>
  <c r="P16" i="5" s="1"/>
  <c r="O15" i="5"/>
  <c r="M15" i="5"/>
  <c r="N15" i="5" s="1"/>
  <c r="L15" i="5"/>
  <c r="I15" i="5"/>
  <c r="J15" i="5" s="1"/>
  <c r="K15" i="5" s="1"/>
  <c r="P15" i="5" s="1"/>
  <c r="O14" i="5"/>
  <c r="M14" i="5"/>
  <c r="N14" i="5" s="1"/>
  <c r="L14" i="5"/>
  <c r="I14" i="5"/>
  <c r="J14" i="5" s="1"/>
  <c r="K14" i="5" s="1"/>
  <c r="P14" i="5" s="1"/>
  <c r="O13" i="5"/>
  <c r="M13" i="5"/>
  <c r="N13" i="5" s="1"/>
  <c r="L13" i="5"/>
  <c r="I13" i="5"/>
  <c r="J13" i="5" s="1"/>
  <c r="K13" i="5" s="1"/>
  <c r="P13" i="5" s="1"/>
  <c r="O12" i="5"/>
  <c r="M12" i="5"/>
  <c r="N12" i="5" s="1"/>
  <c r="L12" i="5"/>
  <c r="I12" i="5"/>
  <c r="J12" i="5" s="1"/>
  <c r="K12" i="5" s="1"/>
  <c r="P12" i="5" s="1"/>
  <c r="O11" i="5"/>
  <c r="M11" i="5"/>
  <c r="N11" i="5" s="1"/>
  <c r="L11" i="5"/>
  <c r="I11" i="5"/>
  <c r="J11" i="5" s="1"/>
  <c r="K11" i="5" s="1"/>
  <c r="P11" i="5" s="1"/>
  <c r="O10" i="5"/>
  <c r="M10" i="5"/>
  <c r="N10" i="5" s="1"/>
  <c r="L10" i="5"/>
  <c r="I10" i="5"/>
  <c r="J10" i="5" s="1"/>
  <c r="K10" i="5" s="1"/>
  <c r="P10" i="5" s="1"/>
  <c r="O9" i="5"/>
  <c r="M9" i="5"/>
  <c r="N9" i="5" s="1"/>
  <c r="L9" i="5"/>
  <c r="I9" i="5"/>
  <c r="J9" i="5" s="1"/>
  <c r="K9" i="5" s="1"/>
  <c r="P9" i="5" s="1"/>
  <c r="O8" i="5"/>
  <c r="M8" i="5"/>
  <c r="N8" i="5" s="1"/>
  <c r="L8" i="5"/>
  <c r="I8" i="5"/>
  <c r="J8" i="5" s="1"/>
  <c r="K8" i="5" s="1"/>
  <c r="P8" i="5" s="1"/>
  <c r="O7" i="5"/>
  <c r="M7" i="5"/>
  <c r="N7" i="5" s="1"/>
  <c r="L7" i="5"/>
  <c r="I7" i="5"/>
  <c r="J7" i="5" s="1"/>
  <c r="K7" i="5" s="1"/>
  <c r="P7" i="5" s="1"/>
  <c r="O6" i="5"/>
  <c r="M6" i="5"/>
  <c r="N6" i="5" s="1"/>
  <c r="L6" i="5"/>
  <c r="I6" i="5"/>
  <c r="J6" i="5" s="1"/>
  <c r="K6" i="5" s="1"/>
  <c r="P6" i="5" s="1"/>
  <c r="J231" i="3"/>
  <c r="H229" i="3"/>
  <c r="E229" i="3"/>
  <c r="F229" i="3" s="1"/>
  <c r="G229" i="3" s="1"/>
  <c r="J228" i="3"/>
  <c r="H228" i="3"/>
  <c r="I228" i="3" s="1"/>
  <c r="F228" i="3"/>
  <c r="G228" i="3" s="1"/>
  <c r="E228" i="3"/>
  <c r="H227" i="3"/>
  <c r="E227" i="3"/>
  <c r="F227" i="3" s="1"/>
  <c r="G227" i="3" s="1"/>
  <c r="J226" i="3"/>
  <c r="H226" i="3"/>
  <c r="I226" i="3" s="1"/>
  <c r="F226" i="3"/>
  <c r="G226" i="3" s="1"/>
  <c r="E226" i="3"/>
  <c r="H225" i="3"/>
  <c r="E225" i="3"/>
  <c r="F225" i="3" s="1"/>
  <c r="G225" i="3" s="1"/>
  <c r="J224" i="3"/>
  <c r="H224" i="3"/>
  <c r="I224" i="3" s="1"/>
  <c r="F224" i="3"/>
  <c r="G224" i="3" s="1"/>
  <c r="E224" i="3"/>
  <c r="H223" i="3"/>
  <c r="E223" i="3"/>
  <c r="F223" i="3" s="1"/>
  <c r="G223" i="3" s="1"/>
  <c r="J222" i="3"/>
  <c r="H222" i="3"/>
  <c r="I222" i="3" s="1"/>
  <c r="F222" i="3"/>
  <c r="G222" i="3" s="1"/>
  <c r="E222" i="3"/>
  <c r="H221" i="3"/>
  <c r="E221" i="3"/>
  <c r="F221" i="3" s="1"/>
  <c r="G221" i="3" s="1"/>
  <c r="J220" i="3"/>
  <c r="H220" i="3"/>
  <c r="I220" i="3" s="1"/>
  <c r="F220" i="3"/>
  <c r="G220" i="3" s="1"/>
  <c r="E220" i="3"/>
  <c r="H219" i="3"/>
  <c r="E219" i="3"/>
  <c r="F219" i="3" s="1"/>
  <c r="G219" i="3" s="1"/>
  <c r="J218" i="3"/>
  <c r="H218" i="3"/>
  <c r="I218" i="3" s="1"/>
  <c r="F218" i="3"/>
  <c r="G218" i="3" s="1"/>
  <c r="E218" i="3"/>
  <c r="H217" i="3"/>
  <c r="E217" i="3"/>
  <c r="F217" i="3" s="1"/>
  <c r="G217" i="3" s="1"/>
  <c r="J216" i="3"/>
  <c r="H216" i="3"/>
  <c r="I216" i="3" s="1"/>
  <c r="F216" i="3"/>
  <c r="G216" i="3" s="1"/>
  <c r="E216" i="3"/>
  <c r="H215" i="3"/>
  <c r="E215" i="3"/>
  <c r="F215" i="3" s="1"/>
  <c r="G215" i="3" s="1"/>
  <c r="J214" i="3"/>
  <c r="H214" i="3"/>
  <c r="I214" i="3" s="1"/>
  <c r="F214" i="3"/>
  <c r="G214" i="3" s="1"/>
  <c r="E214" i="3"/>
  <c r="H213" i="3"/>
  <c r="E213" i="3"/>
  <c r="F213" i="3" s="1"/>
  <c r="G213" i="3" s="1"/>
  <c r="J212" i="3"/>
  <c r="H212" i="3"/>
  <c r="I212" i="3" s="1"/>
  <c r="F212" i="3"/>
  <c r="G212" i="3" s="1"/>
  <c r="E212" i="3"/>
  <c r="H211" i="3"/>
  <c r="E211" i="3"/>
  <c r="F211" i="3" s="1"/>
  <c r="G211" i="3" s="1"/>
  <c r="J210" i="3"/>
  <c r="H210" i="3"/>
  <c r="I210" i="3" s="1"/>
  <c r="F210" i="3"/>
  <c r="G210" i="3" s="1"/>
  <c r="E210" i="3"/>
  <c r="H209" i="3"/>
  <c r="E209" i="3"/>
  <c r="F209" i="3" s="1"/>
  <c r="G209" i="3" s="1"/>
  <c r="J208" i="3"/>
  <c r="H208" i="3"/>
  <c r="I208" i="3" s="1"/>
  <c r="F208" i="3"/>
  <c r="G208" i="3" s="1"/>
  <c r="E208" i="3"/>
  <c r="H207" i="3"/>
  <c r="E207" i="3"/>
  <c r="F207" i="3" s="1"/>
  <c r="G207" i="3" s="1"/>
  <c r="J206" i="3"/>
  <c r="H206" i="3"/>
  <c r="I206" i="3" s="1"/>
  <c r="F206" i="3"/>
  <c r="G206" i="3" s="1"/>
  <c r="E206" i="3"/>
  <c r="H205" i="3"/>
  <c r="E205" i="3"/>
  <c r="F205" i="3" s="1"/>
  <c r="G205" i="3" s="1"/>
  <c r="J204" i="3"/>
  <c r="H204" i="3"/>
  <c r="I204" i="3" s="1"/>
  <c r="F204" i="3"/>
  <c r="G204" i="3" s="1"/>
  <c r="E204" i="3"/>
  <c r="H203" i="3"/>
  <c r="E203" i="3"/>
  <c r="F203" i="3" s="1"/>
  <c r="G203" i="3" s="1"/>
  <c r="J202" i="3"/>
  <c r="H202" i="3"/>
  <c r="I202" i="3" s="1"/>
  <c r="F202" i="3"/>
  <c r="G202" i="3" s="1"/>
  <c r="E202" i="3"/>
  <c r="H201" i="3"/>
  <c r="E201" i="3"/>
  <c r="F201" i="3" s="1"/>
  <c r="G201" i="3" s="1"/>
  <c r="J200" i="3"/>
  <c r="H200" i="3"/>
  <c r="I200" i="3" s="1"/>
  <c r="F200" i="3"/>
  <c r="G200" i="3" s="1"/>
  <c r="E200" i="3"/>
  <c r="J198" i="3"/>
  <c r="I196" i="3"/>
  <c r="J196" i="3" s="1"/>
  <c r="H196" i="3"/>
  <c r="E196" i="3"/>
  <c r="F196" i="3" s="1"/>
  <c r="G196" i="3" s="1"/>
  <c r="H195" i="3"/>
  <c r="I195" i="3" s="1"/>
  <c r="G195" i="3"/>
  <c r="F195" i="3"/>
  <c r="E195" i="3"/>
  <c r="I194" i="3"/>
  <c r="J194" i="3" s="1"/>
  <c r="H194" i="3"/>
  <c r="E194" i="3"/>
  <c r="F194" i="3" s="1"/>
  <c r="G194" i="3" s="1"/>
  <c r="H193" i="3"/>
  <c r="I193" i="3" s="1"/>
  <c r="G193" i="3"/>
  <c r="E193" i="3"/>
  <c r="F193" i="3" s="1"/>
  <c r="I192" i="3"/>
  <c r="J192" i="3" s="1"/>
  <c r="H192" i="3"/>
  <c r="F192" i="3"/>
  <c r="G192" i="3" s="1"/>
  <c r="E192" i="3"/>
  <c r="H191" i="3"/>
  <c r="E191" i="3"/>
  <c r="F191" i="3" s="1"/>
  <c r="G191" i="3" s="1"/>
  <c r="I190" i="3"/>
  <c r="J190" i="3" s="1"/>
  <c r="H190" i="3"/>
  <c r="F190" i="3"/>
  <c r="G190" i="3" s="1"/>
  <c r="E190" i="3"/>
  <c r="H189" i="3"/>
  <c r="E189" i="3"/>
  <c r="F189" i="3" s="1"/>
  <c r="G189" i="3" s="1"/>
  <c r="I188" i="3"/>
  <c r="J188" i="3" s="1"/>
  <c r="H188" i="3"/>
  <c r="F188" i="3"/>
  <c r="G188" i="3" s="1"/>
  <c r="E188" i="3"/>
  <c r="H187" i="3"/>
  <c r="E187" i="3"/>
  <c r="F187" i="3" s="1"/>
  <c r="G187" i="3" s="1"/>
  <c r="I186" i="3"/>
  <c r="J186" i="3" s="1"/>
  <c r="H186" i="3"/>
  <c r="F186" i="3"/>
  <c r="G186" i="3" s="1"/>
  <c r="E186" i="3"/>
  <c r="H185" i="3"/>
  <c r="E185" i="3"/>
  <c r="F185" i="3" s="1"/>
  <c r="G185" i="3" s="1"/>
  <c r="I184" i="3"/>
  <c r="J184" i="3" s="1"/>
  <c r="H184" i="3"/>
  <c r="F184" i="3"/>
  <c r="G184" i="3" s="1"/>
  <c r="E184" i="3"/>
  <c r="H183" i="3"/>
  <c r="E183" i="3"/>
  <c r="F183" i="3" s="1"/>
  <c r="G183" i="3" s="1"/>
  <c r="I182" i="3"/>
  <c r="J182" i="3" s="1"/>
  <c r="H182" i="3"/>
  <c r="F182" i="3"/>
  <c r="G182" i="3" s="1"/>
  <c r="E182" i="3"/>
  <c r="H181" i="3"/>
  <c r="E181" i="3"/>
  <c r="F181" i="3" s="1"/>
  <c r="G181" i="3" s="1"/>
  <c r="I180" i="3"/>
  <c r="J180" i="3" s="1"/>
  <c r="H180" i="3"/>
  <c r="F180" i="3"/>
  <c r="G180" i="3" s="1"/>
  <c r="E180" i="3"/>
  <c r="H179" i="3"/>
  <c r="E179" i="3"/>
  <c r="F179" i="3" s="1"/>
  <c r="G179" i="3" s="1"/>
  <c r="I178" i="3"/>
  <c r="J178" i="3" s="1"/>
  <c r="H178" i="3"/>
  <c r="F178" i="3"/>
  <c r="G178" i="3" s="1"/>
  <c r="E178" i="3"/>
  <c r="H177" i="3"/>
  <c r="E177" i="3"/>
  <c r="F177" i="3" s="1"/>
  <c r="G177" i="3" s="1"/>
  <c r="I176" i="3"/>
  <c r="J176" i="3" s="1"/>
  <c r="H176" i="3"/>
  <c r="F176" i="3"/>
  <c r="G176" i="3" s="1"/>
  <c r="E176" i="3"/>
  <c r="H175" i="3"/>
  <c r="E175" i="3"/>
  <c r="F175" i="3" s="1"/>
  <c r="G175" i="3" s="1"/>
  <c r="I174" i="3"/>
  <c r="J174" i="3" s="1"/>
  <c r="H174" i="3"/>
  <c r="F174" i="3"/>
  <c r="G174" i="3" s="1"/>
  <c r="E174" i="3"/>
  <c r="H173" i="3"/>
  <c r="E173" i="3"/>
  <c r="F173" i="3" s="1"/>
  <c r="G173" i="3" s="1"/>
  <c r="I172" i="3"/>
  <c r="J172" i="3" s="1"/>
  <c r="H172" i="3"/>
  <c r="F172" i="3"/>
  <c r="G172" i="3" s="1"/>
  <c r="E172" i="3"/>
  <c r="H171" i="3"/>
  <c r="F171" i="3"/>
  <c r="G171" i="3" s="1"/>
  <c r="E171" i="3"/>
  <c r="H170" i="3"/>
  <c r="I170" i="3" s="1"/>
  <c r="F170" i="3"/>
  <c r="G170" i="3" s="1"/>
  <c r="E170" i="3"/>
  <c r="J168" i="3"/>
  <c r="I166" i="3"/>
  <c r="J166" i="3" s="1"/>
  <c r="H166" i="3"/>
  <c r="E166" i="3"/>
  <c r="F166" i="3" s="1"/>
  <c r="G166" i="3" s="1"/>
  <c r="I165" i="3"/>
  <c r="H165" i="3"/>
  <c r="J165" i="3" s="1"/>
  <c r="E165" i="3"/>
  <c r="F165" i="3" s="1"/>
  <c r="G165" i="3" s="1"/>
  <c r="I164" i="3"/>
  <c r="J164" i="3" s="1"/>
  <c r="H164" i="3"/>
  <c r="E164" i="3"/>
  <c r="F164" i="3" s="1"/>
  <c r="G164" i="3" s="1"/>
  <c r="I163" i="3"/>
  <c r="H163" i="3"/>
  <c r="J163" i="3" s="1"/>
  <c r="E163" i="3"/>
  <c r="F163" i="3" s="1"/>
  <c r="G163" i="3" s="1"/>
  <c r="I162" i="3"/>
  <c r="H162" i="3"/>
  <c r="J162" i="3" s="1"/>
  <c r="E162" i="3"/>
  <c r="F162" i="3" s="1"/>
  <c r="G162" i="3" s="1"/>
  <c r="I161" i="3"/>
  <c r="H161" i="3"/>
  <c r="J161" i="3" s="1"/>
  <c r="E161" i="3"/>
  <c r="F161" i="3" s="1"/>
  <c r="G161" i="3" s="1"/>
  <c r="I160" i="3"/>
  <c r="H160" i="3"/>
  <c r="J160" i="3" s="1"/>
  <c r="E160" i="3"/>
  <c r="F160" i="3" s="1"/>
  <c r="G160" i="3" s="1"/>
  <c r="I159" i="3"/>
  <c r="H159" i="3"/>
  <c r="J159" i="3" s="1"/>
  <c r="E159" i="3"/>
  <c r="F159" i="3" s="1"/>
  <c r="G159" i="3" s="1"/>
  <c r="I158" i="3"/>
  <c r="H158" i="3"/>
  <c r="J158" i="3" s="1"/>
  <c r="E158" i="3"/>
  <c r="F158" i="3" s="1"/>
  <c r="G158" i="3" s="1"/>
  <c r="I157" i="3"/>
  <c r="H157" i="3"/>
  <c r="J157" i="3" s="1"/>
  <c r="E157" i="3"/>
  <c r="F157" i="3" s="1"/>
  <c r="G157" i="3" s="1"/>
  <c r="I156" i="3"/>
  <c r="H156" i="3"/>
  <c r="J156" i="3" s="1"/>
  <c r="E156" i="3"/>
  <c r="F156" i="3" s="1"/>
  <c r="G156" i="3" s="1"/>
  <c r="I155" i="3"/>
  <c r="H155" i="3"/>
  <c r="J155" i="3" s="1"/>
  <c r="E155" i="3"/>
  <c r="F155" i="3" s="1"/>
  <c r="G155" i="3" s="1"/>
  <c r="I154" i="3"/>
  <c r="H154" i="3"/>
  <c r="J154" i="3" s="1"/>
  <c r="E154" i="3"/>
  <c r="F154" i="3" s="1"/>
  <c r="G154" i="3" s="1"/>
  <c r="I153" i="3"/>
  <c r="H153" i="3"/>
  <c r="J153" i="3" s="1"/>
  <c r="E153" i="3"/>
  <c r="F153" i="3" s="1"/>
  <c r="G153" i="3" s="1"/>
  <c r="I152" i="3"/>
  <c r="H152" i="3"/>
  <c r="J152" i="3" s="1"/>
  <c r="E152" i="3"/>
  <c r="F152" i="3" s="1"/>
  <c r="G152" i="3" s="1"/>
  <c r="I151" i="3"/>
  <c r="H151" i="3"/>
  <c r="J151" i="3" s="1"/>
  <c r="E151" i="3"/>
  <c r="F151" i="3" s="1"/>
  <c r="G151" i="3" s="1"/>
  <c r="I150" i="3"/>
  <c r="H150" i="3"/>
  <c r="J150" i="3" s="1"/>
  <c r="E150" i="3"/>
  <c r="F150" i="3" s="1"/>
  <c r="G150" i="3" s="1"/>
  <c r="I149" i="3"/>
  <c r="H149" i="3"/>
  <c r="J149" i="3" s="1"/>
  <c r="E149" i="3"/>
  <c r="F149" i="3" s="1"/>
  <c r="G149" i="3" s="1"/>
  <c r="I148" i="3"/>
  <c r="H148" i="3"/>
  <c r="J148" i="3" s="1"/>
  <c r="E148" i="3"/>
  <c r="F148" i="3" s="1"/>
  <c r="G148" i="3" s="1"/>
  <c r="I147" i="3"/>
  <c r="H147" i="3"/>
  <c r="J147" i="3" s="1"/>
  <c r="E147" i="3"/>
  <c r="F147" i="3" s="1"/>
  <c r="G147" i="3" s="1"/>
  <c r="I146" i="3"/>
  <c r="H146" i="3"/>
  <c r="J146" i="3" s="1"/>
  <c r="E146" i="3"/>
  <c r="F146" i="3" s="1"/>
  <c r="G146" i="3" s="1"/>
  <c r="I145" i="3"/>
  <c r="H145" i="3"/>
  <c r="J145" i="3" s="1"/>
  <c r="E145" i="3"/>
  <c r="F145" i="3" s="1"/>
  <c r="G145" i="3" s="1"/>
  <c r="I144" i="3"/>
  <c r="H144" i="3"/>
  <c r="J144" i="3" s="1"/>
  <c r="E144" i="3"/>
  <c r="F144" i="3" s="1"/>
  <c r="G144" i="3" s="1"/>
  <c r="I143" i="3"/>
  <c r="H143" i="3"/>
  <c r="J143" i="3" s="1"/>
  <c r="E143" i="3"/>
  <c r="F143" i="3" s="1"/>
  <c r="G143" i="3" s="1"/>
  <c r="I142" i="3"/>
  <c r="H142" i="3"/>
  <c r="J142" i="3" s="1"/>
  <c r="E142" i="3"/>
  <c r="F142" i="3" s="1"/>
  <c r="G142" i="3" s="1"/>
  <c r="I141" i="3"/>
  <c r="H141" i="3"/>
  <c r="J141" i="3" s="1"/>
  <c r="E141" i="3"/>
  <c r="F141" i="3" s="1"/>
  <c r="G141" i="3" s="1"/>
  <c r="I140" i="3"/>
  <c r="H140" i="3"/>
  <c r="J140" i="3" s="1"/>
  <c r="E140" i="3"/>
  <c r="F140" i="3" s="1"/>
  <c r="G140" i="3" s="1"/>
  <c r="I139" i="3"/>
  <c r="H139" i="3"/>
  <c r="J139" i="3" s="1"/>
  <c r="E139" i="3"/>
  <c r="F139" i="3" s="1"/>
  <c r="G139" i="3" s="1"/>
  <c r="I138" i="3"/>
  <c r="H138" i="3"/>
  <c r="J138" i="3" s="1"/>
  <c r="E138" i="3"/>
  <c r="F138" i="3" s="1"/>
  <c r="G138" i="3" s="1"/>
  <c r="J136" i="3"/>
  <c r="H134" i="3"/>
  <c r="I134" i="3" s="1"/>
  <c r="J134" i="3" s="1"/>
  <c r="F134" i="3"/>
  <c r="G134" i="3" s="1"/>
  <c r="E134" i="3"/>
  <c r="H133" i="3"/>
  <c r="F133" i="3"/>
  <c r="G133" i="3" s="1"/>
  <c r="E133" i="3"/>
  <c r="H132" i="3"/>
  <c r="I132" i="3" s="1"/>
  <c r="J132" i="3" s="1"/>
  <c r="F132" i="3"/>
  <c r="G132" i="3" s="1"/>
  <c r="E132" i="3"/>
  <c r="H131" i="3"/>
  <c r="F131" i="3"/>
  <c r="G131" i="3" s="1"/>
  <c r="E131" i="3"/>
  <c r="J130" i="3"/>
  <c r="H130" i="3"/>
  <c r="I130" i="3" s="1"/>
  <c r="F130" i="3"/>
  <c r="G130" i="3" s="1"/>
  <c r="E130" i="3"/>
  <c r="H129" i="3"/>
  <c r="F129" i="3"/>
  <c r="G129" i="3" s="1"/>
  <c r="E129" i="3"/>
  <c r="H128" i="3"/>
  <c r="I128" i="3" s="1"/>
  <c r="J128" i="3" s="1"/>
  <c r="F128" i="3"/>
  <c r="G128" i="3" s="1"/>
  <c r="E128" i="3"/>
  <c r="H127" i="3"/>
  <c r="F127" i="3"/>
  <c r="G127" i="3" s="1"/>
  <c r="E127" i="3"/>
  <c r="J126" i="3"/>
  <c r="H126" i="3"/>
  <c r="I126" i="3" s="1"/>
  <c r="F126" i="3"/>
  <c r="G126" i="3" s="1"/>
  <c r="E126" i="3"/>
  <c r="H125" i="3"/>
  <c r="F125" i="3"/>
  <c r="G125" i="3" s="1"/>
  <c r="E125" i="3"/>
  <c r="H124" i="3"/>
  <c r="I124" i="3" s="1"/>
  <c r="J124" i="3" s="1"/>
  <c r="F124" i="3"/>
  <c r="G124" i="3" s="1"/>
  <c r="E124" i="3"/>
  <c r="H123" i="3"/>
  <c r="F123" i="3"/>
  <c r="G123" i="3" s="1"/>
  <c r="E123" i="3"/>
  <c r="J122" i="3"/>
  <c r="H122" i="3"/>
  <c r="I122" i="3" s="1"/>
  <c r="F122" i="3"/>
  <c r="G122" i="3" s="1"/>
  <c r="E122" i="3"/>
  <c r="H121" i="3"/>
  <c r="F121" i="3"/>
  <c r="G121" i="3" s="1"/>
  <c r="E121" i="3"/>
  <c r="H120" i="3"/>
  <c r="I120" i="3" s="1"/>
  <c r="J120" i="3" s="1"/>
  <c r="F120" i="3"/>
  <c r="G120" i="3" s="1"/>
  <c r="E120" i="3"/>
  <c r="H119" i="3"/>
  <c r="F119" i="3"/>
  <c r="G119" i="3" s="1"/>
  <c r="E119" i="3"/>
  <c r="J118" i="3"/>
  <c r="H118" i="3"/>
  <c r="I118" i="3" s="1"/>
  <c r="F118" i="3"/>
  <c r="G118" i="3" s="1"/>
  <c r="E118" i="3"/>
  <c r="H117" i="3"/>
  <c r="F117" i="3"/>
  <c r="G117" i="3" s="1"/>
  <c r="E117" i="3"/>
  <c r="H116" i="3"/>
  <c r="I116" i="3" s="1"/>
  <c r="J116" i="3" s="1"/>
  <c r="F116" i="3"/>
  <c r="G116" i="3" s="1"/>
  <c r="E116" i="3"/>
  <c r="H115" i="3"/>
  <c r="F115" i="3"/>
  <c r="G115" i="3" s="1"/>
  <c r="E115" i="3"/>
  <c r="H114" i="3"/>
  <c r="I114" i="3" s="1"/>
  <c r="J114" i="3" s="1"/>
  <c r="F114" i="3"/>
  <c r="G114" i="3" s="1"/>
  <c r="E114" i="3"/>
  <c r="H113" i="3"/>
  <c r="F113" i="3"/>
  <c r="G113" i="3" s="1"/>
  <c r="E113" i="3"/>
  <c r="H112" i="3"/>
  <c r="I112" i="3" s="1"/>
  <c r="J112" i="3" s="1"/>
  <c r="F112" i="3"/>
  <c r="G112" i="3" s="1"/>
  <c r="E112" i="3"/>
  <c r="H111" i="3"/>
  <c r="F111" i="3"/>
  <c r="G111" i="3" s="1"/>
  <c r="E111" i="3"/>
  <c r="J110" i="3"/>
  <c r="H110" i="3"/>
  <c r="I110" i="3" s="1"/>
  <c r="F110" i="3"/>
  <c r="G110" i="3" s="1"/>
  <c r="E110" i="3"/>
  <c r="H109" i="3"/>
  <c r="F109" i="3"/>
  <c r="G109" i="3" s="1"/>
  <c r="E109" i="3"/>
  <c r="J108" i="3"/>
  <c r="H108" i="3"/>
  <c r="I108" i="3" s="1"/>
  <c r="F108" i="3"/>
  <c r="G108" i="3" s="1"/>
  <c r="E108" i="3"/>
  <c r="H107" i="3"/>
  <c r="F107" i="3"/>
  <c r="G107" i="3" s="1"/>
  <c r="E107" i="3"/>
  <c r="J105" i="3"/>
  <c r="I103" i="3"/>
  <c r="H103" i="3"/>
  <c r="J103" i="3" s="1"/>
  <c r="E103" i="3"/>
  <c r="F103" i="3" s="1"/>
  <c r="G103" i="3" s="1"/>
  <c r="I102" i="3"/>
  <c r="H102" i="3"/>
  <c r="E102" i="3"/>
  <c r="F102" i="3" s="1"/>
  <c r="G102" i="3" s="1"/>
  <c r="I101" i="3"/>
  <c r="H101" i="3"/>
  <c r="J101" i="3" s="1"/>
  <c r="G101" i="3"/>
  <c r="E101" i="3"/>
  <c r="F101" i="3" s="1"/>
  <c r="I100" i="3"/>
  <c r="H100" i="3"/>
  <c r="J100" i="3" s="1"/>
  <c r="E100" i="3"/>
  <c r="F100" i="3" s="1"/>
  <c r="G100" i="3" s="1"/>
  <c r="I99" i="3"/>
  <c r="H99" i="3"/>
  <c r="J99" i="3" s="1"/>
  <c r="E99" i="3"/>
  <c r="F99" i="3" s="1"/>
  <c r="G99" i="3" s="1"/>
  <c r="I98" i="3"/>
  <c r="H98" i="3"/>
  <c r="J98" i="3" s="1"/>
  <c r="E98" i="3"/>
  <c r="F98" i="3" s="1"/>
  <c r="G98" i="3" s="1"/>
  <c r="I97" i="3"/>
  <c r="H97" i="3"/>
  <c r="J97" i="3" s="1"/>
  <c r="E97" i="3"/>
  <c r="F97" i="3" s="1"/>
  <c r="G97" i="3" s="1"/>
  <c r="I96" i="3"/>
  <c r="H96" i="3"/>
  <c r="E96" i="3"/>
  <c r="F96" i="3" s="1"/>
  <c r="G96" i="3" s="1"/>
  <c r="I95" i="3"/>
  <c r="H95" i="3"/>
  <c r="J95" i="3" s="1"/>
  <c r="E95" i="3"/>
  <c r="F95" i="3" s="1"/>
  <c r="G95" i="3" s="1"/>
  <c r="I94" i="3"/>
  <c r="H94" i="3"/>
  <c r="E94" i="3"/>
  <c r="F94" i="3" s="1"/>
  <c r="G94" i="3" s="1"/>
  <c r="I93" i="3"/>
  <c r="H93" i="3"/>
  <c r="J93" i="3" s="1"/>
  <c r="G93" i="3"/>
  <c r="E93" i="3"/>
  <c r="F93" i="3" s="1"/>
  <c r="I92" i="3"/>
  <c r="H92" i="3"/>
  <c r="J92" i="3" s="1"/>
  <c r="G92" i="3"/>
  <c r="E92" i="3"/>
  <c r="F92" i="3" s="1"/>
  <c r="I91" i="3"/>
  <c r="H91" i="3"/>
  <c r="J91" i="3" s="1"/>
  <c r="G91" i="3"/>
  <c r="E91" i="3"/>
  <c r="F91" i="3" s="1"/>
  <c r="I90" i="3"/>
  <c r="H90" i="3"/>
  <c r="J90" i="3" s="1"/>
  <c r="G90" i="3"/>
  <c r="E90" i="3"/>
  <c r="F90" i="3" s="1"/>
  <c r="I89" i="3"/>
  <c r="H89" i="3"/>
  <c r="J89" i="3" s="1"/>
  <c r="G89" i="3"/>
  <c r="E89" i="3"/>
  <c r="F89" i="3" s="1"/>
  <c r="I88" i="3"/>
  <c r="H88" i="3"/>
  <c r="J88" i="3" s="1"/>
  <c r="G88" i="3"/>
  <c r="E88" i="3"/>
  <c r="F88" i="3" s="1"/>
  <c r="I87" i="3"/>
  <c r="H87" i="3"/>
  <c r="J87" i="3" s="1"/>
  <c r="G87" i="3"/>
  <c r="E87" i="3"/>
  <c r="F87" i="3" s="1"/>
  <c r="I86" i="3"/>
  <c r="H86" i="3"/>
  <c r="J86" i="3" s="1"/>
  <c r="E86" i="3"/>
  <c r="F86" i="3" s="1"/>
  <c r="G86" i="3" s="1"/>
  <c r="I85" i="3"/>
  <c r="H85" i="3"/>
  <c r="J85" i="3" s="1"/>
  <c r="E85" i="3"/>
  <c r="F85" i="3" s="1"/>
  <c r="G85" i="3" s="1"/>
  <c r="I84" i="3"/>
  <c r="H84" i="3"/>
  <c r="J84" i="3" s="1"/>
  <c r="E84" i="3"/>
  <c r="F84" i="3" s="1"/>
  <c r="G84" i="3" s="1"/>
  <c r="J82" i="3"/>
  <c r="J80" i="3"/>
  <c r="H80" i="3"/>
  <c r="I80" i="3" s="1"/>
  <c r="F80" i="3"/>
  <c r="G80" i="3" s="1"/>
  <c r="E80" i="3"/>
  <c r="J79" i="3"/>
  <c r="H79" i="3"/>
  <c r="I79" i="3" s="1"/>
  <c r="F79" i="3"/>
  <c r="G79" i="3" s="1"/>
  <c r="E79" i="3"/>
  <c r="J78" i="3"/>
  <c r="H78" i="3"/>
  <c r="I78" i="3" s="1"/>
  <c r="F78" i="3"/>
  <c r="G78" i="3" s="1"/>
  <c r="E78" i="3"/>
  <c r="J77" i="3"/>
  <c r="H77" i="3"/>
  <c r="I77" i="3" s="1"/>
  <c r="F77" i="3"/>
  <c r="G77" i="3" s="1"/>
  <c r="E77" i="3"/>
  <c r="H76" i="3"/>
  <c r="I76" i="3" s="1"/>
  <c r="J76" i="3" s="1"/>
  <c r="F76" i="3"/>
  <c r="G76" i="3" s="1"/>
  <c r="E76" i="3"/>
  <c r="H75" i="3"/>
  <c r="I75" i="3" s="1"/>
  <c r="J75" i="3" s="1"/>
  <c r="F75" i="3"/>
  <c r="G75" i="3" s="1"/>
  <c r="E75" i="3"/>
  <c r="H74" i="3"/>
  <c r="I74" i="3" s="1"/>
  <c r="J74" i="3" s="1"/>
  <c r="F74" i="3"/>
  <c r="G74" i="3" s="1"/>
  <c r="E74" i="3"/>
  <c r="H73" i="3"/>
  <c r="I73" i="3" s="1"/>
  <c r="F73" i="3"/>
  <c r="G73" i="3" s="1"/>
  <c r="E73" i="3"/>
  <c r="H72" i="3"/>
  <c r="I72" i="3" s="1"/>
  <c r="F72" i="3"/>
  <c r="G72" i="3" s="1"/>
  <c r="E72" i="3"/>
  <c r="H71" i="3"/>
  <c r="I71" i="3" s="1"/>
  <c r="F71" i="3"/>
  <c r="G71" i="3" s="1"/>
  <c r="E71" i="3"/>
  <c r="H70" i="3"/>
  <c r="I70" i="3" s="1"/>
  <c r="F70" i="3"/>
  <c r="G70" i="3" s="1"/>
  <c r="E70" i="3"/>
  <c r="H69" i="3"/>
  <c r="I69" i="3" s="1"/>
  <c r="F69" i="3"/>
  <c r="G69" i="3" s="1"/>
  <c r="E69" i="3"/>
  <c r="H68" i="3"/>
  <c r="I68" i="3" s="1"/>
  <c r="F68" i="3"/>
  <c r="G68" i="3" s="1"/>
  <c r="E68" i="3"/>
  <c r="H67" i="3"/>
  <c r="I67" i="3" s="1"/>
  <c r="F67" i="3"/>
  <c r="G67" i="3" s="1"/>
  <c r="E67" i="3"/>
  <c r="H66" i="3"/>
  <c r="I66" i="3" s="1"/>
  <c r="F66" i="3"/>
  <c r="G66" i="3" s="1"/>
  <c r="E66" i="3"/>
  <c r="H65" i="3"/>
  <c r="I65" i="3" s="1"/>
  <c r="F65" i="3"/>
  <c r="G65" i="3" s="1"/>
  <c r="E65" i="3"/>
  <c r="H64" i="3"/>
  <c r="I64" i="3" s="1"/>
  <c r="F64" i="3"/>
  <c r="G64" i="3" s="1"/>
  <c r="E64" i="3"/>
  <c r="H63" i="3"/>
  <c r="I63" i="3" s="1"/>
  <c r="F63" i="3"/>
  <c r="G63" i="3" s="1"/>
  <c r="E63" i="3"/>
  <c r="H62" i="3"/>
  <c r="I62" i="3" s="1"/>
  <c r="F62" i="3"/>
  <c r="G62" i="3" s="1"/>
  <c r="E62" i="3"/>
  <c r="H61" i="3"/>
  <c r="I61" i="3" s="1"/>
  <c r="F61" i="3"/>
  <c r="G61" i="3" s="1"/>
  <c r="E61" i="3"/>
  <c r="H60" i="3"/>
  <c r="I60" i="3" s="1"/>
  <c r="F60" i="3"/>
  <c r="G60" i="3" s="1"/>
  <c r="E60" i="3"/>
  <c r="H59" i="3"/>
  <c r="I59" i="3" s="1"/>
  <c r="F59" i="3"/>
  <c r="G59" i="3" s="1"/>
  <c r="E59" i="3"/>
  <c r="H58" i="3"/>
  <c r="I58" i="3" s="1"/>
  <c r="F58" i="3"/>
  <c r="G58" i="3" s="1"/>
  <c r="E58" i="3"/>
  <c r="J56" i="3"/>
  <c r="I54" i="3"/>
  <c r="H54" i="3"/>
  <c r="J54" i="3" s="1"/>
  <c r="E54" i="3"/>
  <c r="F54" i="3" s="1"/>
  <c r="G54" i="3" s="1"/>
  <c r="I53" i="3"/>
  <c r="H53" i="3"/>
  <c r="J53" i="3" s="1"/>
  <c r="E53" i="3"/>
  <c r="F53" i="3" s="1"/>
  <c r="G53" i="3" s="1"/>
  <c r="I52" i="3"/>
  <c r="H52" i="3"/>
  <c r="J52" i="3" s="1"/>
  <c r="E52" i="3"/>
  <c r="F52" i="3" s="1"/>
  <c r="G52" i="3" s="1"/>
  <c r="I51" i="3"/>
  <c r="H51" i="3"/>
  <c r="J51" i="3" s="1"/>
  <c r="E51" i="3"/>
  <c r="F51" i="3" s="1"/>
  <c r="G51" i="3" s="1"/>
  <c r="I50" i="3"/>
  <c r="H50" i="3"/>
  <c r="J50" i="3" s="1"/>
  <c r="E50" i="3"/>
  <c r="F50" i="3" s="1"/>
  <c r="G50" i="3" s="1"/>
  <c r="I49" i="3"/>
  <c r="H49" i="3"/>
  <c r="J49" i="3" s="1"/>
  <c r="E49" i="3"/>
  <c r="F49" i="3" s="1"/>
  <c r="G49" i="3" s="1"/>
  <c r="I48" i="3"/>
  <c r="H48" i="3"/>
  <c r="J48" i="3" s="1"/>
  <c r="E48" i="3"/>
  <c r="F48" i="3" s="1"/>
  <c r="G48" i="3" s="1"/>
  <c r="I47" i="3"/>
  <c r="H47" i="3"/>
  <c r="J47" i="3" s="1"/>
  <c r="E47" i="3"/>
  <c r="F47" i="3" s="1"/>
  <c r="G47" i="3" s="1"/>
  <c r="I46" i="3"/>
  <c r="H46" i="3"/>
  <c r="J46" i="3" s="1"/>
  <c r="E46" i="3"/>
  <c r="F46" i="3" s="1"/>
  <c r="G46" i="3" s="1"/>
  <c r="I45" i="3"/>
  <c r="H45" i="3"/>
  <c r="J45" i="3" s="1"/>
  <c r="E45" i="3"/>
  <c r="F45" i="3" s="1"/>
  <c r="G45" i="3" s="1"/>
  <c r="I44" i="3"/>
  <c r="H44" i="3"/>
  <c r="J44" i="3" s="1"/>
  <c r="E44" i="3"/>
  <c r="F44" i="3" s="1"/>
  <c r="G44" i="3" s="1"/>
  <c r="I43" i="3"/>
  <c r="H43" i="3"/>
  <c r="J43" i="3" s="1"/>
  <c r="E43" i="3"/>
  <c r="F43" i="3" s="1"/>
  <c r="G43" i="3" s="1"/>
  <c r="I42" i="3"/>
  <c r="H42" i="3"/>
  <c r="J42" i="3" s="1"/>
  <c r="E42" i="3"/>
  <c r="F42" i="3" s="1"/>
  <c r="G42" i="3" s="1"/>
  <c r="I41" i="3"/>
  <c r="H41" i="3"/>
  <c r="J41" i="3" s="1"/>
  <c r="E41" i="3"/>
  <c r="F41" i="3" s="1"/>
  <c r="G41" i="3" s="1"/>
  <c r="I40" i="3"/>
  <c r="H40" i="3"/>
  <c r="J40" i="3" s="1"/>
  <c r="E40" i="3"/>
  <c r="F40" i="3" s="1"/>
  <c r="G40" i="3" s="1"/>
  <c r="I39" i="3"/>
  <c r="H39" i="3"/>
  <c r="J39" i="3" s="1"/>
  <c r="E39" i="3"/>
  <c r="F39" i="3" s="1"/>
  <c r="G39" i="3" s="1"/>
  <c r="I38" i="3"/>
  <c r="H38" i="3"/>
  <c r="J38" i="3" s="1"/>
  <c r="E38" i="3"/>
  <c r="F38" i="3" s="1"/>
  <c r="G38" i="3" s="1"/>
  <c r="I37" i="3"/>
  <c r="H37" i="3"/>
  <c r="J37" i="3" s="1"/>
  <c r="E37" i="3"/>
  <c r="F37" i="3" s="1"/>
  <c r="G37" i="3" s="1"/>
  <c r="I36" i="3"/>
  <c r="H36" i="3"/>
  <c r="J36" i="3" s="1"/>
  <c r="E36" i="3"/>
  <c r="F36" i="3" s="1"/>
  <c r="G36" i="3" s="1"/>
  <c r="I35" i="3"/>
  <c r="H35" i="3"/>
  <c r="J35" i="3" s="1"/>
  <c r="E35" i="3"/>
  <c r="F35" i="3" s="1"/>
  <c r="G35" i="3" s="1"/>
  <c r="I34" i="3"/>
  <c r="H34" i="3"/>
  <c r="J34" i="3" s="1"/>
  <c r="E34" i="3"/>
  <c r="F34" i="3" s="1"/>
  <c r="G34" i="3" s="1"/>
  <c r="J29" i="3"/>
  <c r="J27" i="3"/>
  <c r="H27" i="3"/>
  <c r="I27" i="3" s="1"/>
  <c r="F27" i="3"/>
  <c r="G27" i="3" s="1"/>
  <c r="E27" i="3"/>
  <c r="J26" i="3"/>
  <c r="H26" i="3"/>
  <c r="I26" i="3" s="1"/>
  <c r="F26" i="3"/>
  <c r="G26" i="3" s="1"/>
  <c r="E26" i="3"/>
  <c r="J25" i="3"/>
  <c r="H25" i="3"/>
  <c r="I25" i="3" s="1"/>
  <c r="F25" i="3"/>
  <c r="G25" i="3" s="1"/>
  <c r="E25" i="3"/>
  <c r="J24" i="3"/>
  <c r="H24" i="3"/>
  <c r="I24" i="3" s="1"/>
  <c r="F24" i="3"/>
  <c r="G24" i="3" s="1"/>
  <c r="E24" i="3"/>
  <c r="J23" i="3"/>
  <c r="H23" i="3"/>
  <c r="I23" i="3" s="1"/>
  <c r="F23" i="3"/>
  <c r="G23" i="3" s="1"/>
  <c r="E23" i="3"/>
  <c r="J22" i="3"/>
  <c r="H22" i="3"/>
  <c r="I22" i="3" s="1"/>
  <c r="F22" i="3"/>
  <c r="G22" i="3" s="1"/>
  <c r="E22" i="3"/>
  <c r="J21" i="3"/>
  <c r="H21" i="3"/>
  <c r="I21" i="3" s="1"/>
  <c r="F21" i="3"/>
  <c r="G21" i="3" s="1"/>
  <c r="E21" i="3"/>
  <c r="J20" i="3"/>
  <c r="H20" i="3"/>
  <c r="I20" i="3" s="1"/>
  <c r="F20" i="3"/>
  <c r="G20" i="3" s="1"/>
  <c r="E20" i="3"/>
  <c r="J19" i="3"/>
  <c r="H19" i="3"/>
  <c r="I19" i="3" s="1"/>
  <c r="F19" i="3"/>
  <c r="G19" i="3" s="1"/>
  <c r="E19" i="3"/>
  <c r="J18" i="3"/>
  <c r="H18" i="3"/>
  <c r="I18" i="3" s="1"/>
  <c r="F18" i="3"/>
  <c r="G18" i="3" s="1"/>
  <c r="E18" i="3"/>
  <c r="J17" i="3"/>
  <c r="H17" i="3"/>
  <c r="I17" i="3" s="1"/>
  <c r="F17" i="3"/>
  <c r="G17" i="3" s="1"/>
  <c r="E17" i="3"/>
  <c r="J16" i="3"/>
  <c r="H16" i="3"/>
  <c r="I16" i="3" s="1"/>
  <c r="F16" i="3"/>
  <c r="G16" i="3" s="1"/>
  <c r="E16" i="3"/>
  <c r="J15" i="3"/>
  <c r="H15" i="3"/>
  <c r="I15" i="3" s="1"/>
  <c r="F15" i="3"/>
  <c r="G15" i="3" s="1"/>
  <c r="E15" i="3"/>
  <c r="J14" i="3"/>
  <c r="H14" i="3"/>
  <c r="I14" i="3" s="1"/>
  <c r="F14" i="3"/>
  <c r="G14" i="3" s="1"/>
  <c r="E14" i="3"/>
  <c r="J13" i="3"/>
  <c r="H13" i="3"/>
  <c r="I13" i="3" s="1"/>
  <c r="F13" i="3"/>
  <c r="G13" i="3" s="1"/>
  <c r="E13" i="3"/>
  <c r="J12" i="3"/>
  <c r="H12" i="3"/>
  <c r="I12" i="3" s="1"/>
  <c r="F12" i="3"/>
  <c r="G12" i="3" s="1"/>
  <c r="E12" i="3"/>
  <c r="J11" i="3"/>
  <c r="H11" i="3"/>
  <c r="I11" i="3" s="1"/>
  <c r="F11" i="3"/>
  <c r="G11" i="3" s="1"/>
  <c r="E11" i="3"/>
  <c r="J10" i="3"/>
  <c r="H10" i="3"/>
  <c r="I10" i="3" s="1"/>
  <c r="F10" i="3"/>
  <c r="G10" i="3" s="1"/>
  <c r="E10" i="3"/>
  <c r="J9" i="3"/>
  <c r="H9" i="3"/>
  <c r="I9" i="3" s="1"/>
  <c r="F9" i="3"/>
  <c r="G9" i="3" s="1"/>
  <c r="E9" i="3"/>
  <c r="J8" i="3"/>
  <c r="H8" i="3"/>
  <c r="I8" i="3" s="1"/>
  <c r="F8" i="3"/>
  <c r="G8" i="3" s="1"/>
  <c r="E8" i="3"/>
  <c r="J7" i="3"/>
  <c r="H7" i="3"/>
  <c r="I7" i="3" s="1"/>
  <c r="F7" i="3"/>
  <c r="G7" i="3" s="1"/>
  <c r="E7" i="3"/>
  <c r="J6" i="3"/>
  <c r="H6" i="3"/>
  <c r="I6" i="3" s="1"/>
  <c r="F6" i="3"/>
  <c r="G6" i="3" s="1"/>
  <c r="E6" i="3"/>
  <c r="M45" i="4"/>
  <c r="N43" i="4"/>
  <c r="L43" i="4"/>
  <c r="K43" i="4"/>
  <c r="J43" i="4"/>
  <c r="O43" i="4" s="1"/>
  <c r="H43" i="4"/>
  <c r="I43" i="4" s="1"/>
  <c r="N42" i="4"/>
  <c r="L42" i="4"/>
  <c r="K42" i="4"/>
  <c r="M42" i="4" s="1"/>
  <c r="H42" i="4"/>
  <c r="I42" i="4" s="1"/>
  <c r="J42" i="4" s="1"/>
  <c r="O42" i="4" s="1"/>
  <c r="N41" i="4"/>
  <c r="L41" i="4"/>
  <c r="K41" i="4"/>
  <c r="J41" i="4"/>
  <c r="O41" i="4" s="1"/>
  <c r="H41" i="4"/>
  <c r="I41" i="4" s="1"/>
  <c r="N40" i="4"/>
  <c r="L40" i="4"/>
  <c r="K40" i="4"/>
  <c r="M40" i="4" s="1"/>
  <c r="H40" i="4"/>
  <c r="I40" i="4" s="1"/>
  <c r="J40" i="4" s="1"/>
  <c r="O40" i="4" s="1"/>
  <c r="N39" i="4"/>
  <c r="L39" i="4"/>
  <c r="K39" i="4"/>
  <c r="J39" i="4"/>
  <c r="O39" i="4" s="1"/>
  <c r="H39" i="4"/>
  <c r="I39" i="4" s="1"/>
  <c r="N38" i="4"/>
  <c r="L38" i="4"/>
  <c r="K38" i="4"/>
  <c r="M38" i="4" s="1"/>
  <c r="H38" i="4"/>
  <c r="I38" i="4" s="1"/>
  <c r="J38" i="4" s="1"/>
  <c r="O38" i="4" s="1"/>
  <c r="N37" i="4"/>
  <c r="L37" i="4"/>
  <c r="K37" i="4"/>
  <c r="J37" i="4"/>
  <c r="O37" i="4" s="1"/>
  <c r="H37" i="4"/>
  <c r="I37" i="4" s="1"/>
  <c r="N36" i="4"/>
  <c r="L36" i="4"/>
  <c r="K36" i="4"/>
  <c r="M36" i="4" s="1"/>
  <c r="H36" i="4"/>
  <c r="I36" i="4" s="1"/>
  <c r="J36" i="4" s="1"/>
  <c r="O36" i="4" s="1"/>
  <c r="N35" i="4"/>
  <c r="L35" i="4"/>
  <c r="K35" i="4"/>
  <c r="H35" i="4"/>
  <c r="I35" i="4" s="1"/>
  <c r="J35" i="4" s="1"/>
  <c r="O35" i="4" s="1"/>
  <c r="N34" i="4"/>
  <c r="L34" i="4"/>
  <c r="K34" i="4"/>
  <c r="M34" i="4" s="1"/>
  <c r="H34" i="4"/>
  <c r="I34" i="4" s="1"/>
  <c r="J34" i="4" s="1"/>
  <c r="O34" i="4" s="1"/>
  <c r="N33" i="4"/>
  <c r="L33" i="4"/>
  <c r="K33" i="4"/>
  <c r="M33" i="4" s="1"/>
  <c r="H33" i="4"/>
  <c r="I33" i="4" s="1"/>
  <c r="J33" i="4" s="1"/>
  <c r="O33" i="4" s="1"/>
  <c r="N32" i="4"/>
  <c r="L32" i="4"/>
  <c r="K32" i="4"/>
  <c r="M32" i="4" s="1"/>
  <c r="H32" i="4"/>
  <c r="I32" i="4" s="1"/>
  <c r="J32" i="4" s="1"/>
  <c r="O32" i="4" s="1"/>
  <c r="N31" i="4"/>
  <c r="L31" i="4"/>
  <c r="K31" i="4"/>
  <c r="M31" i="4" s="1"/>
  <c r="H31" i="4"/>
  <c r="I31" i="4" s="1"/>
  <c r="J31" i="4" s="1"/>
  <c r="O31" i="4" s="1"/>
  <c r="N30" i="4"/>
  <c r="L30" i="4"/>
  <c r="K30" i="4"/>
  <c r="M30" i="4" s="1"/>
  <c r="H30" i="4"/>
  <c r="I30" i="4" s="1"/>
  <c r="J30" i="4" s="1"/>
  <c r="O30" i="4" s="1"/>
  <c r="N29" i="4"/>
  <c r="L29" i="4"/>
  <c r="K29" i="4"/>
  <c r="M29" i="4" s="1"/>
  <c r="H29" i="4"/>
  <c r="I29" i="4" s="1"/>
  <c r="J29" i="4" s="1"/>
  <c r="O29" i="4" s="1"/>
  <c r="N28" i="4"/>
  <c r="L28" i="4"/>
  <c r="K28" i="4"/>
  <c r="M28" i="4" s="1"/>
  <c r="H28" i="4"/>
  <c r="I28" i="4" s="1"/>
  <c r="J28" i="4" s="1"/>
  <c r="O28" i="4" s="1"/>
  <c r="N27" i="4"/>
  <c r="L27" i="4"/>
  <c r="K27" i="4"/>
  <c r="M27" i="4" s="1"/>
  <c r="H27" i="4"/>
  <c r="I27" i="4" s="1"/>
  <c r="J27" i="4" s="1"/>
  <c r="O27" i="4" s="1"/>
  <c r="N26" i="4"/>
  <c r="L26" i="4"/>
  <c r="K26" i="4"/>
  <c r="M26" i="4" s="1"/>
  <c r="H26" i="4"/>
  <c r="I26" i="4" s="1"/>
  <c r="J26" i="4" s="1"/>
  <c r="O26" i="4" s="1"/>
  <c r="N25" i="4"/>
  <c r="L25" i="4"/>
  <c r="K25" i="4"/>
  <c r="M25" i="4" s="1"/>
  <c r="H25" i="4"/>
  <c r="I25" i="4" s="1"/>
  <c r="J25" i="4" s="1"/>
  <c r="O25" i="4" s="1"/>
  <c r="N24" i="4"/>
  <c r="L24" i="4"/>
  <c r="K24" i="4"/>
  <c r="M24" i="4" s="1"/>
  <c r="H24" i="4"/>
  <c r="I24" i="4" s="1"/>
  <c r="J24" i="4" s="1"/>
  <c r="O24" i="4" s="1"/>
  <c r="N23" i="4"/>
  <c r="L23" i="4"/>
  <c r="K23" i="4"/>
  <c r="M23" i="4" s="1"/>
  <c r="H23" i="4"/>
  <c r="I23" i="4" s="1"/>
  <c r="J23" i="4" s="1"/>
  <c r="O23" i="4" s="1"/>
  <c r="N22" i="4"/>
  <c r="L22" i="4"/>
  <c r="K22" i="4"/>
  <c r="M22" i="4" s="1"/>
  <c r="H22" i="4"/>
  <c r="I22" i="4" s="1"/>
  <c r="J22" i="4" s="1"/>
  <c r="O22" i="4" s="1"/>
  <c r="N21" i="4"/>
  <c r="L21" i="4"/>
  <c r="K21" i="4"/>
  <c r="M21" i="4" s="1"/>
  <c r="H21" i="4"/>
  <c r="I21" i="4" s="1"/>
  <c r="J21" i="4" s="1"/>
  <c r="O21" i="4" s="1"/>
  <c r="N20" i="4"/>
  <c r="L20" i="4"/>
  <c r="K20" i="4"/>
  <c r="M20" i="4" s="1"/>
  <c r="H20" i="4"/>
  <c r="I20" i="4" s="1"/>
  <c r="J20" i="4" s="1"/>
  <c r="O20" i="4" s="1"/>
  <c r="N19" i="4"/>
  <c r="L19" i="4"/>
  <c r="K19" i="4"/>
  <c r="M19" i="4" s="1"/>
  <c r="H19" i="4"/>
  <c r="I19" i="4" s="1"/>
  <c r="J19" i="4" s="1"/>
  <c r="O19" i="4" s="1"/>
  <c r="N18" i="4"/>
  <c r="L18" i="4"/>
  <c r="K18" i="4"/>
  <c r="M18" i="4" s="1"/>
  <c r="H18" i="4"/>
  <c r="I18" i="4" s="1"/>
  <c r="J18" i="4" s="1"/>
  <c r="O18" i="4" s="1"/>
  <c r="N17" i="4"/>
  <c r="L17" i="4"/>
  <c r="K17" i="4"/>
  <c r="M17" i="4" s="1"/>
  <c r="H17" i="4"/>
  <c r="I17" i="4" s="1"/>
  <c r="J17" i="4" s="1"/>
  <c r="O17" i="4" s="1"/>
  <c r="N16" i="4"/>
  <c r="L16" i="4"/>
  <c r="K16" i="4"/>
  <c r="M16" i="4" s="1"/>
  <c r="H16" i="4"/>
  <c r="I16" i="4" s="1"/>
  <c r="J16" i="4" s="1"/>
  <c r="O16" i="4" s="1"/>
  <c r="N15" i="4"/>
  <c r="L15" i="4"/>
  <c r="K15" i="4"/>
  <c r="M15" i="4" s="1"/>
  <c r="H15" i="4"/>
  <c r="I15" i="4" s="1"/>
  <c r="J15" i="4" s="1"/>
  <c r="O15" i="4" s="1"/>
  <c r="N14" i="4"/>
  <c r="L14" i="4"/>
  <c r="K14" i="4"/>
  <c r="M14" i="4" s="1"/>
  <c r="H14" i="4"/>
  <c r="I14" i="4" s="1"/>
  <c r="J14" i="4" s="1"/>
  <c r="O14" i="4" s="1"/>
  <c r="N13" i="4"/>
  <c r="L13" i="4"/>
  <c r="K13" i="4"/>
  <c r="M13" i="4" s="1"/>
  <c r="H13" i="4"/>
  <c r="I13" i="4" s="1"/>
  <c r="J13" i="4" s="1"/>
  <c r="O13" i="4" s="1"/>
  <c r="N12" i="4"/>
  <c r="L12" i="4"/>
  <c r="K12" i="4"/>
  <c r="M12" i="4" s="1"/>
  <c r="H12" i="4"/>
  <c r="I12" i="4" s="1"/>
  <c r="J12" i="4" s="1"/>
  <c r="O12" i="4" s="1"/>
  <c r="N11" i="4"/>
  <c r="L11" i="4"/>
  <c r="K11" i="4"/>
  <c r="M11" i="4" s="1"/>
  <c r="H11" i="4"/>
  <c r="I11" i="4" s="1"/>
  <c r="J11" i="4" s="1"/>
  <c r="O11" i="4" s="1"/>
  <c r="N10" i="4"/>
  <c r="L10" i="4"/>
  <c r="K10" i="4"/>
  <c r="M10" i="4" s="1"/>
  <c r="H10" i="4"/>
  <c r="I10" i="4" s="1"/>
  <c r="J10" i="4" s="1"/>
  <c r="O10" i="4" s="1"/>
  <c r="N9" i="4"/>
  <c r="L9" i="4"/>
  <c r="K9" i="4"/>
  <c r="M9" i="4" s="1"/>
  <c r="H9" i="4"/>
  <c r="I9" i="4" s="1"/>
  <c r="J9" i="4" s="1"/>
  <c r="O9" i="4" s="1"/>
  <c r="N8" i="4"/>
  <c r="L8" i="4"/>
  <c r="K8" i="4"/>
  <c r="M8" i="4" s="1"/>
  <c r="H8" i="4"/>
  <c r="I8" i="4" s="1"/>
  <c r="J8" i="4" s="1"/>
  <c r="O8" i="4" s="1"/>
  <c r="N7" i="4"/>
  <c r="L7" i="4"/>
  <c r="K7" i="4"/>
  <c r="M7" i="4" s="1"/>
  <c r="H7" i="4"/>
  <c r="I7" i="4" s="1"/>
  <c r="J7" i="4" s="1"/>
  <c r="O7" i="4" s="1"/>
  <c r="N6" i="4"/>
  <c r="L6" i="4"/>
  <c r="K6" i="4"/>
  <c r="M6" i="4" s="1"/>
  <c r="H6" i="4"/>
  <c r="I6" i="4" s="1"/>
  <c r="J6" i="4" s="1"/>
  <c r="O6" i="4" s="1"/>
  <c r="N5" i="4"/>
  <c r="L5" i="4"/>
  <c r="K5" i="4"/>
  <c r="M5" i="4" s="1"/>
  <c r="H5" i="4"/>
  <c r="I5" i="4" s="1"/>
  <c r="J5" i="4" s="1"/>
  <c r="O5" i="4" s="1"/>
  <c r="N4" i="4"/>
  <c r="L4" i="4"/>
  <c r="K4" i="4"/>
  <c r="M4" i="4" s="1"/>
  <c r="H4" i="4"/>
  <c r="I4" i="4" s="1"/>
  <c r="J4" i="4" s="1"/>
  <c r="O4" i="4" s="1"/>
  <c r="K219" i="2"/>
  <c r="I217" i="2"/>
  <c r="G217" i="2"/>
  <c r="H217" i="2" s="1"/>
  <c r="F217" i="2"/>
  <c r="I216" i="2"/>
  <c r="J216" i="2" s="1"/>
  <c r="K216" i="2" s="1"/>
  <c r="G216" i="2"/>
  <c r="H216" i="2" s="1"/>
  <c r="F216" i="2"/>
  <c r="I215" i="2"/>
  <c r="G215" i="2"/>
  <c r="H215" i="2" s="1"/>
  <c r="F215" i="2"/>
  <c r="I214" i="2"/>
  <c r="J214" i="2" s="1"/>
  <c r="K214" i="2" s="1"/>
  <c r="G214" i="2"/>
  <c r="H214" i="2" s="1"/>
  <c r="F214" i="2"/>
  <c r="I213" i="2"/>
  <c r="G213" i="2"/>
  <c r="H213" i="2" s="1"/>
  <c r="F213" i="2"/>
  <c r="I212" i="2"/>
  <c r="J212" i="2" s="1"/>
  <c r="K212" i="2" s="1"/>
  <c r="G212" i="2"/>
  <c r="H212" i="2" s="1"/>
  <c r="F212" i="2"/>
  <c r="I211" i="2"/>
  <c r="G211" i="2"/>
  <c r="H211" i="2" s="1"/>
  <c r="F211" i="2"/>
  <c r="I210" i="2"/>
  <c r="J210" i="2" s="1"/>
  <c r="K210" i="2" s="1"/>
  <c r="G210" i="2"/>
  <c r="H210" i="2" s="1"/>
  <c r="F210" i="2"/>
  <c r="I209" i="2"/>
  <c r="G209" i="2"/>
  <c r="H209" i="2" s="1"/>
  <c r="F209" i="2"/>
  <c r="I208" i="2"/>
  <c r="J208" i="2" s="1"/>
  <c r="K208" i="2" s="1"/>
  <c r="G208" i="2"/>
  <c r="H208" i="2" s="1"/>
  <c r="F208" i="2"/>
  <c r="I207" i="2"/>
  <c r="G207" i="2"/>
  <c r="H207" i="2" s="1"/>
  <c r="F207" i="2"/>
  <c r="I206" i="2"/>
  <c r="J206" i="2" s="1"/>
  <c r="K206" i="2" s="1"/>
  <c r="G206" i="2"/>
  <c r="H206" i="2" s="1"/>
  <c r="F206" i="2"/>
  <c r="I205" i="2"/>
  <c r="G205" i="2"/>
  <c r="H205" i="2" s="1"/>
  <c r="F205" i="2"/>
  <c r="I204" i="2"/>
  <c r="J204" i="2" s="1"/>
  <c r="K204" i="2" s="1"/>
  <c r="G204" i="2"/>
  <c r="H204" i="2" s="1"/>
  <c r="F204" i="2"/>
  <c r="I203" i="2"/>
  <c r="G203" i="2"/>
  <c r="H203" i="2" s="1"/>
  <c r="F203" i="2"/>
  <c r="I202" i="2"/>
  <c r="J202" i="2" s="1"/>
  <c r="K202" i="2" s="1"/>
  <c r="G202" i="2"/>
  <c r="H202" i="2" s="1"/>
  <c r="F202" i="2"/>
  <c r="I201" i="2"/>
  <c r="G201" i="2"/>
  <c r="H201" i="2" s="1"/>
  <c r="F201" i="2"/>
  <c r="I200" i="2"/>
  <c r="J200" i="2" s="1"/>
  <c r="K200" i="2" s="1"/>
  <c r="G200" i="2"/>
  <c r="H200" i="2" s="1"/>
  <c r="F200" i="2"/>
  <c r="I199" i="2"/>
  <c r="G199" i="2"/>
  <c r="H199" i="2" s="1"/>
  <c r="F199" i="2"/>
  <c r="I198" i="2"/>
  <c r="J198" i="2" s="1"/>
  <c r="K198" i="2" s="1"/>
  <c r="G198" i="2"/>
  <c r="H198" i="2" s="1"/>
  <c r="F198" i="2"/>
  <c r="I197" i="2"/>
  <c r="G197" i="2"/>
  <c r="H197" i="2" s="1"/>
  <c r="F197" i="2"/>
  <c r="I196" i="2"/>
  <c r="J196" i="2" s="1"/>
  <c r="K196" i="2" s="1"/>
  <c r="G196" i="2"/>
  <c r="H196" i="2" s="1"/>
  <c r="F196" i="2"/>
  <c r="I195" i="2"/>
  <c r="G195" i="2"/>
  <c r="H195" i="2" s="1"/>
  <c r="F195" i="2"/>
  <c r="I194" i="2"/>
  <c r="J194" i="2" s="1"/>
  <c r="K194" i="2" s="1"/>
  <c r="G194" i="2"/>
  <c r="H194" i="2" s="1"/>
  <c r="F194" i="2"/>
  <c r="I193" i="2"/>
  <c r="G193" i="2"/>
  <c r="H193" i="2" s="1"/>
  <c r="F193" i="2"/>
  <c r="I192" i="2"/>
  <c r="J192" i="2" s="1"/>
  <c r="K192" i="2" s="1"/>
  <c r="G192" i="2"/>
  <c r="H192" i="2" s="1"/>
  <c r="F192" i="2"/>
  <c r="I191" i="2"/>
  <c r="G191" i="2"/>
  <c r="H191" i="2" s="1"/>
  <c r="F191" i="2"/>
  <c r="K186" i="2"/>
  <c r="J184" i="2"/>
  <c r="I184" i="2"/>
  <c r="K184" i="2" s="1"/>
  <c r="F184" i="2"/>
  <c r="G184" i="2" s="1"/>
  <c r="H184" i="2" s="1"/>
  <c r="J183" i="2"/>
  <c r="I183" i="2"/>
  <c r="F183" i="2"/>
  <c r="G183" i="2" s="1"/>
  <c r="H183" i="2" s="1"/>
  <c r="J182" i="2"/>
  <c r="I182" i="2"/>
  <c r="K182" i="2" s="1"/>
  <c r="H182" i="2"/>
  <c r="F182" i="2"/>
  <c r="G182" i="2" s="1"/>
  <c r="J181" i="2"/>
  <c r="I181" i="2"/>
  <c r="K181" i="2" s="1"/>
  <c r="F181" i="2"/>
  <c r="G181" i="2" s="1"/>
  <c r="H181" i="2" s="1"/>
  <c r="J180" i="2"/>
  <c r="I180" i="2"/>
  <c r="K180" i="2" s="1"/>
  <c r="H180" i="2"/>
  <c r="F180" i="2"/>
  <c r="G180" i="2" s="1"/>
  <c r="J179" i="2"/>
  <c r="I179" i="2"/>
  <c r="K179" i="2" s="1"/>
  <c r="F179" i="2"/>
  <c r="G179" i="2" s="1"/>
  <c r="H179" i="2" s="1"/>
  <c r="J178" i="2"/>
  <c r="I178" i="2"/>
  <c r="K178" i="2" s="1"/>
  <c r="F178" i="2"/>
  <c r="G178" i="2" s="1"/>
  <c r="H178" i="2" s="1"/>
  <c r="J177" i="2"/>
  <c r="I177" i="2"/>
  <c r="F177" i="2"/>
  <c r="G177" i="2" s="1"/>
  <c r="H177" i="2" s="1"/>
  <c r="J176" i="2"/>
  <c r="I176" i="2"/>
  <c r="K176" i="2" s="1"/>
  <c r="F176" i="2"/>
  <c r="G176" i="2" s="1"/>
  <c r="H176" i="2" s="1"/>
  <c r="J175" i="2"/>
  <c r="I175" i="2"/>
  <c r="F175" i="2"/>
  <c r="G175" i="2" s="1"/>
  <c r="H175" i="2" s="1"/>
  <c r="J174" i="2"/>
  <c r="I174" i="2"/>
  <c r="K174" i="2" s="1"/>
  <c r="H174" i="2"/>
  <c r="F174" i="2"/>
  <c r="G174" i="2" s="1"/>
  <c r="J173" i="2"/>
  <c r="I173" i="2"/>
  <c r="K173" i="2" s="1"/>
  <c r="F173" i="2"/>
  <c r="G173" i="2" s="1"/>
  <c r="H173" i="2" s="1"/>
  <c r="J172" i="2"/>
  <c r="I172" i="2"/>
  <c r="K172" i="2" s="1"/>
  <c r="H172" i="2"/>
  <c r="F172" i="2"/>
  <c r="G172" i="2" s="1"/>
  <c r="J171" i="2"/>
  <c r="I171" i="2"/>
  <c r="K171" i="2" s="1"/>
  <c r="F171" i="2"/>
  <c r="G171" i="2" s="1"/>
  <c r="H171" i="2" s="1"/>
  <c r="J170" i="2"/>
  <c r="I170" i="2"/>
  <c r="K170" i="2" s="1"/>
  <c r="F170" i="2"/>
  <c r="G170" i="2" s="1"/>
  <c r="H170" i="2" s="1"/>
  <c r="J169" i="2"/>
  <c r="I169" i="2"/>
  <c r="F169" i="2"/>
  <c r="G169" i="2" s="1"/>
  <c r="H169" i="2" s="1"/>
  <c r="J168" i="2"/>
  <c r="I168" i="2"/>
  <c r="K168" i="2" s="1"/>
  <c r="F168" i="2"/>
  <c r="G168" i="2" s="1"/>
  <c r="H168" i="2" s="1"/>
  <c r="J167" i="2"/>
  <c r="I167" i="2"/>
  <c r="F167" i="2"/>
  <c r="G167" i="2" s="1"/>
  <c r="H167" i="2" s="1"/>
  <c r="J166" i="2"/>
  <c r="I166" i="2"/>
  <c r="K166" i="2" s="1"/>
  <c r="H166" i="2"/>
  <c r="F166" i="2"/>
  <c r="G166" i="2" s="1"/>
  <c r="J165" i="2"/>
  <c r="I165" i="2"/>
  <c r="K165" i="2" s="1"/>
  <c r="F165" i="2"/>
  <c r="G165" i="2" s="1"/>
  <c r="H165" i="2" s="1"/>
  <c r="J164" i="2"/>
  <c r="I164" i="2"/>
  <c r="K164" i="2" s="1"/>
  <c r="H164" i="2"/>
  <c r="F164" i="2"/>
  <c r="G164" i="2" s="1"/>
  <c r="J163" i="2"/>
  <c r="I163" i="2"/>
  <c r="K163" i="2" s="1"/>
  <c r="F163" i="2"/>
  <c r="G163" i="2" s="1"/>
  <c r="H163" i="2" s="1"/>
  <c r="J162" i="2"/>
  <c r="I162" i="2"/>
  <c r="K162" i="2" s="1"/>
  <c r="F162" i="2"/>
  <c r="G162" i="2" s="1"/>
  <c r="H162" i="2" s="1"/>
  <c r="J161" i="2"/>
  <c r="I161" i="2"/>
  <c r="F161" i="2"/>
  <c r="G161" i="2" s="1"/>
  <c r="H161" i="2" s="1"/>
  <c r="J160" i="2"/>
  <c r="I160" i="2"/>
  <c r="K160" i="2" s="1"/>
  <c r="F160" i="2"/>
  <c r="G160" i="2" s="1"/>
  <c r="H160" i="2" s="1"/>
  <c r="J159" i="2"/>
  <c r="I159" i="2"/>
  <c r="F159" i="2"/>
  <c r="G159" i="2" s="1"/>
  <c r="H159" i="2" s="1"/>
  <c r="K154" i="2"/>
  <c r="J152" i="2"/>
  <c r="I152" i="2"/>
  <c r="K152" i="2" s="1"/>
  <c r="G152" i="2"/>
  <c r="H152" i="2" s="1"/>
  <c r="F152" i="2"/>
  <c r="J151" i="2"/>
  <c r="I151" i="2"/>
  <c r="K151" i="2" s="1"/>
  <c r="G151" i="2"/>
  <c r="H151" i="2" s="1"/>
  <c r="F151" i="2"/>
  <c r="K150" i="2"/>
  <c r="J150" i="2"/>
  <c r="I150" i="2"/>
  <c r="G150" i="2"/>
  <c r="H150" i="2" s="1"/>
  <c r="F150" i="2"/>
  <c r="K149" i="2"/>
  <c r="J149" i="2"/>
  <c r="I149" i="2"/>
  <c r="G149" i="2"/>
  <c r="H149" i="2" s="1"/>
  <c r="F149" i="2"/>
  <c r="J148" i="2"/>
  <c r="I148" i="2"/>
  <c r="K148" i="2" s="1"/>
  <c r="G148" i="2"/>
  <c r="H148" i="2" s="1"/>
  <c r="F148" i="2"/>
  <c r="J147" i="2"/>
  <c r="I147" i="2"/>
  <c r="K147" i="2" s="1"/>
  <c r="G147" i="2"/>
  <c r="H147" i="2" s="1"/>
  <c r="F147" i="2"/>
  <c r="K146" i="2"/>
  <c r="J146" i="2"/>
  <c r="I146" i="2"/>
  <c r="G146" i="2"/>
  <c r="H146" i="2" s="1"/>
  <c r="F146" i="2"/>
  <c r="K145" i="2"/>
  <c r="J145" i="2"/>
  <c r="I145" i="2"/>
  <c r="G145" i="2"/>
  <c r="H145" i="2" s="1"/>
  <c r="F145" i="2"/>
  <c r="J144" i="2"/>
  <c r="I144" i="2"/>
  <c r="K144" i="2" s="1"/>
  <c r="G144" i="2"/>
  <c r="H144" i="2" s="1"/>
  <c r="F144" i="2"/>
  <c r="J143" i="2"/>
  <c r="I143" i="2"/>
  <c r="K143" i="2" s="1"/>
  <c r="G143" i="2"/>
  <c r="H143" i="2" s="1"/>
  <c r="F143" i="2"/>
  <c r="K142" i="2"/>
  <c r="J142" i="2"/>
  <c r="I142" i="2"/>
  <c r="G142" i="2"/>
  <c r="H142" i="2" s="1"/>
  <c r="F142" i="2"/>
  <c r="K141" i="2"/>
  <c r="J141" i="2"/>
  <c r="I141" i="2"/>
  <c r="G141" i="2"/>
  <c r="H141" i="2" s="1"/>
  <c r="F141" i="2"/>
  <c r="J140" i="2"/>
  <c r="I140" i="2"/>
  <c r="K140" i="2" s="1"/>
  <c r="G140" i="2"/>
  <c r="H140" i="2" s="1"/>
  <c r="F140" i="2"/>
  <c r="J139" i="2"/>
  <c r="I139" i="2"/>
  <c r="K139" i="2" s="1"/>
  <c r="G139" i="2"/>
  <c r="H139" i="2" s="1"/>
  <c r="F139" i="2"/>
  <c r="K138" i="2"/>
  <c r="J138" i="2"/>
  <c r="I138" i="2"/>
  <c r="G138" i="2"/>
  <c r="H138" i="2" s="1"/>
  <c r="F138" i="2"/>
  <c r="K137" i="2"/>
  <c r="J137" i="2"/>
  <c r="I137" i="2"/>
  <c r="G137" i="2"/>
  <c r="H137" i="2" s="1"/>
  <c r="F137" i="2"/>
  <c r="K133" i="2"/>
  <c r="J131" i="2"/>
  <c r="I131" i="2"/>
  <c r="K131" i="2" s="1"/>
  <c r="H131" i="2"/>
  <c r="F131" i="2"/>
  <c r="G131" i="2" s="1"/>
  <c r="J130" i="2"/>
  <c r="I130" i="2"/>
  <c r="K130" i="2" s="1"/>
  <c r="H130" i="2"/>
  <c r="F130" i="2"/>
  <c r="G130" i="2" s="1"/>
  <c r="J129" i="2"/>
  <c r="I129" i="2"/>
  <c r="K129" i="2" s="1"/>
  <c r="H129" i="2"/>
  <c r="F129" i="2"/>
  <c r="G129" i="2" s="1"/>
  <c r="J128" i="2"/>
  <c r="I128" i="2"/>
  <c r="K128" i="2" s="1"/>
  <c r="H128" i="2"/>
  <c r="F128" i="2"/>
  <c r="G128" i="2" s="1"/>
  <c r="J127" i="2"/>
  <c r="I127" i="2"/>
  <c r="K127" i="2" s="1"/>
  <c r="H127" i="2"/>
  <c r="F127" i="2"/>
  <c r="G127" i="2" s="1"/>
  <c r="J126" i="2"/>
  <c r="I126" i="2"/>
  <c r="K126" i="2" s="1"/>
  <c r="H126" i="2"/>
  <c r="F126" i="2"/>
  <c r="G126" i="2" s="1"/>
  <c r="J125" i="2"/>
  <c r="I125" i="2"/>
  <c r="K125" i="2" s="1"/>
  <c r="H125" i="2"/>
  <c r="F125" i="2"/>
  <c r="G125" i="2" s="1"/>
  <c r="J124" i="2"/>
  <c r="I124" i="2"/>
  <c r="K124" i="2" s="1"/>
  <c r="H124" i="2"/>
  <c r="F124" i="2"/>
  <c r="G124" i="2" s="1"/>
  <c r="J123" i="2"/>
  <c r="I123" i="2"/>
  <c r="K123" i="2" s="1"/>
  <c r="H123" i="2"/>
  <c r="F123" i="2"/>
  <c r="G123" i="2" s="1"/>
  <c r="J122" i="2"/>
  <c r="I122" i="2"/>
  <c r="K122" i="2" s="1"/>
  <c r="H122" i="2"/>
  <c r="F122" i="2"/>
  <c r="G122" i="2" s="1"/>
  <c r="J121" i="2"/>
  <c r="I121" i="2"/>
  <c r="K121" i="2" s="1"/>
  <c r="H121" i="2"/>
  <c r="F121" i="2"/>
  <c r="G121" i="2" s="1"/>
  <c r="J120" i="2"/>
  <c r="I120" i="2"/>
  <c r="K120" i="2" s="1"/>
  <c r="H120" i="2"/>
  <c r="F120" i="2"/>
  <c r="G120" i="2" s="1"/>
  <c r="J119" i="2"/>
  <c r="I119" i="2"/>
  <c r="K119" i="2" s="1"/>
  <c r="H119" i="2"/>
  <c r="F119" i="2"/>
  <c r="G119" i="2" s="1"/>
  <c r="J118" i="2"/>
  <c r="I118" i="2"/>
  <c r="K118" i="2" s="1"/>
  <c r="H118" i="2"/>
  <c r="F118" i="2"/>
  <c r="G118" i="2" s="1"/>
  <c r="J117" i="2"/>
  <c r="I117" i="2"/>
  <c r="K117" i="2" s="1"/>
  <c r="H117" i="2"/>
  <c r="F117" i="2"/>
  <c r="G117" i="2" s="1"/>
  <c r="J116" i="2"/>
  <c r="I116" i="2"/>
  <c r="K116" i="2" s="1"/>
  <c r="H116" i="2"/>
  <c r="F116" i="2"/>
  <c r="G116" i="2" s="1"/>
  <c r="J115" i="2"/>
  <c r="I115" i="2"/>
  <c r="K115" i="2" s="1"/>
  <c r="H115" i="2"/>
  <c r="F115" i="2"/>
  <c r="G115" i="2" s="1"/>
  <c r="K112" i="2"/>
  <c r="J110" i="2"/>
  <c r="I110" i="2"/>
  <c r="K110" i="2" s="1"/>
  <c r="F110" i="2"/>
  <c r="G110" i="2" s="1"/>
  <c r="H110" i="2" s="1"/>
  <c r="I109" i="2"/>
  <c r="J109" i="2" s="1"/>
  <c r="K109" i="2" s="1"/>
  <c r="H109" i="2"/>
  <c r="G109" i="2"/>
  <c r="F109" i="2"/>
  <c r="J108" i="2"/>
  <c r="I108" i="2"/>
  <c r="K108" i="2" s="1"/>
  <c r="F108" i="2"/>
  <c r="G108" i="2" s="1"/>
  <c r="H108" i="2" s="1"/>
  <c r="I107" i="2"/>
  <c r="J107" i="2" s="1"/>
  <c r="K107" i="2" s="1"/>
  <c r="H107" i="2"/>
  <c r="G107" i="2"/>
  <c r="F107" i="2"/>
  <c r="J106" i="2"/>
  <c r="I106" i="2"/>
  <c r="K106" i="2" s="1"/>
  <c r="F106" i="2"/>
  <c r="G106" i="2" s="1"/>
  <c r="H106" i="2" s="1"/>
  <c r="I105" i="2"/>
  <c r="J105" i="2" s="1"/>
  <c r="K105" i="2" s="1"/>
  <c r="H105" i="2"/>
  <c r="G105" i="2"/>
  <c r="F105" i="2"/>
  <c r="J104" i="2"/>
  <c r="I104" i="2"/>
  <c r="K104" i="2" s="1"/>
  <c r="F104" i="2"/>
  <c r="G104" i="2" s="1"/>
  <c r="H104" i="2" s="1"/>
  <c r="I103" i="2"/>
  <c r="J103" i="2" s="1"/>
  <c r="K103" i="2" s="1"/>
  <c r="H103" i="2"/>
  <c r="G103" i="2"/>
  <c r="F103" i="2"/>
  <c r="J102" i="2"/>
  <c r="I102" i="2"/>
  <c r="K102" i="2" s="1"/>
  <c r="F102" i="2"/>
  <c r="G102" i="2" s="1"/>
  <c r="H102" i="2" s="1"/>
  <c r="I101" i="2"/>
  <c r="J101" i="2" s="1"/>
  <c r="K101" i="2" s="1"/>
  <c r="H101" i="2"/>
  <c r="G101" i="2"/>
  <c r="F101" i="2"/>
  <c r="J100" i="2"/>
  <c r="I100" i="2"/>
  <c r="K100" i="2" s="1"/>
  <c r="F100" i="2"/>
  <c r="G100" i="2" s="1"/>
  <c r="H100" i="2" s="1"/>
  <c r="I99" i="2"/>
  <c r="J99" i="2" s="1"/>
  <c r="K99" i="2" s="1"/>
  <c r="H99" i="2"/>
  <c r="G99" i="2"/>
  <c r="F99" i="2"/>
  <c r="J98" i="2"/>
  <c r="I98" i="2"/>
  <c r="K98" i="2" s="1"/>
  <c r="F98" i="2"/>
  <c r="G98" i="2" s="1"/>
  <c r="H98" i="2" s="1"/>
  <c r="I97" i="2"/>
  <c r="J97" i="2" s="1"/>
  <c r="K97" i="2" s="1"/>
  <c r="H97" i="2"/>
  <c r="G97" i="2"/>
  <c r="F97" i="2"/>
  <c r="J96" i="2"/>
  <c r="I96" i="2"/>
  <c r="K96" i="2" s="1"/>
  <c r="F96" i="2"/>
  <c r="G96" i="2" s="1"/>
  <c r="H96" i="2" s="1"/>
  <c r="I95" i="2"/>
  <c r="J95" i="2" s="1"/>
  <c r="K95" i="2" s="1"/>
  <c r="H95" i="2"/>
  <c r="G95" i="2"/>
  <c r="F95" i="2"/>
  <c r="J94" i="2"/>
  <c r="I94" i="2"/>
  <c r="K94" i="2" s="1"/>
  <c r="F94" i="2"/>
  <c r="G94" i="2" s="1"/>
  <c r="H94" i="2" s="1"/>
  <c r="I93" i="2"/>
  <c r="J93" i="2" s="1"/>
  <c r="K93" i="2" s="1"/>
  <c r="H93" i="2"/>
  <c r="G93" i="2"/>
  <c r="F93" i="2"/>
  <c r="J92" i="2"/>
  <c r="I92" i="2"/>
  <c r="K92" i="2" s="1"/>
  <c r="F92" i="2"/>
  <c r="G92" i="2" s="1"/>
  <c r="H92" i="2" s="1"/>
  <c r="K89" i="2"/>
  <c r="I87" i="2"/>
  <c r="F87" i="2"/>
  <c r="G87" i="2" s="1"/>
  <c r="H87" i="2" s="1"/>
  <c r="K86" i="2"/>
  <c r="J86" i="2"/>
  <c r="I86" i="2"/>
  <c r="G86" i="2"/>
  <c r="H86" i="2" s="1"/>
  <c r="F86" i="2"/>
  <c r="I85" i="2"/>
  <c r="F85" i="2"/>
  <c r="G85" i="2" s="1"/>
  <c r="H85" i="2" s="1"/>
  <c r="K84" i="2"/>
  <c r="J84" i="2"/>
  <c r="I84" i="2"/>
  <c r="G84" i="2"/>
  <c r="H84" i="2" s="1"/>
  <c r="F84" i="2"/>
  <c r="I83" i="2"/>
  <c r="F83" i="2"/>
  <c r="G83" i="2" s="1"/>
  <c r="H83" i="2" s="1"/>
  <c r="K82" i="2"/>
  <c r="J82" i="2"/>
  <c r="I82" i="2"/>
  <c r="G82" i="2"/>
  <c r="H82" i="2" s="1"/>
  <c r="F82" i="2"/>
  <c r="I81" i="2"/>
  <c r="F81" i="2"/>
  <c r="G81" i="2" s="1"/>
  <c r="H81" i="2" s="1"/>
  <c r="K80" i="2"/>
  <c r="J80" i="2"/>
  <c r="I80" i="2"/>
  <c r="G80" i="2"/>
  <c r="H80" i="2" s="1"/>
  <c r="F80" i="2"/>
  <c r="I79" i="2"/>
  <c r="F79" i="2"/>
  <c r="G79" i="2" s="1"/>
  <c r="H79" i="2" s="1"/>
  <c r="K78" i="2"/>
  <c r="J78" i="2"/>
  <c r="I78" i="2"/>
  <c r="G78" i="2"/>
  <c r="H78" i="2" s="1"/>
  <c r="F78" i="2"/>
  <c r="I77" i="2"/>
  <c r="F77" i="2"/>
  <c r="G77" i="2" s="1"/>
  <c r="H77" i="2" s="1"/>
  <c r="K76" i="2"/>
  <c r="J76" i="2"/>
  <c r="I76" i="2"/>
  <c r="G76" i="2"/>
  <c r="H76" i="2" s="1"/>
  <c r="F76" i="2"/>
  <c r="I75" i="2"/>
  <c r="F75" i="2"/>
  <c r="G75" i="2" s="1"/>
  <c r="H75" i="2" s="1"/>
  <c r="K74" i="2"/>
  <c r="J74" i="2"/>
  <c r="I74" i="2"/>
  <c r="G74" i="2"/>
  <c r="H74" i="2" s="1"/>
  <c r="F74" i="2"/>
  <c r="I73" i="2"/>
  <c r="F73" i="2"/>
  <c r="G73" i="2" s="1"/>
  <c r="H73" i="2" s="1"/>
  <c r="K72" i="2"/>
  <c r="J72" i="2"/>
  <c r="I72" i="2"/>
  <c r="G72" i="2"/>
  <c r="H72" i="2" s="1"/>
  <c r="F72" i="2"/>
  <c r="I71" i="2"/>
  <c r="F71" i="2"/>
  <c r="G71" i="2" s="1"/>
  <c r="H71" i="2" s="1"/>
  <c r="K70" i="2"/>
  <c r="J70" i="2"/>
  <c r="I70" i="2"/>
  <c r="G70" i="2"/>
  <c r="H70" i="2" s="1"/>
  <c r="F70" i="2"/>
  <c r="I69" i="2"/>
  <c r="F69" i="2"/>
  <c r="G69" i="2" s="1"/>
  <c r="H69" i="2" s="1"/>
  <c r="K68" i="2"/>
  <c r="J68" i="2"/>
  <c r="I68" i="2"/>
  <c r="G68" i="2"/>
  <c r="H68" i="2" s="1"/>
  <c r="F68" i="2"/>
  <c r="I67" i="2"/>
  <c r="F67" i="2"/>
  <c r="G67" i="2" s="1"/>
  <c r="H67" i="2" s="1"/>
  <c r="K64" i="2"/>
  <c r="I62" i="2"/>
  <c r="J62" i="2" s="1"/>
  <c r="K62" i="2" s="1"/>
  <c r="H62" i="2"/>
  <c r="G62" i="2"/>
  <c r="F62" i="2"/>
  <c r="J61" i="2"/>
  <c r="I61" i="2"/>
  <c r="K61" i="2" s="1"/>
  <c r="F61" i="2"/>
  <c r="G61" i="2" s="1"/>
  <c r="H61" i="2" s="1"/>
  <c r="I60" i="2"/>
  <c r="J60" i="2" s="1"/>
  <c r="K60" i="2" s="1"/>
  <c r="H60" i="2"/>
  <c r="G60" i="2"/>
  <c r="F60" i="2"/>
  <c r="J59" i="2"/>
  <c r="I59" i="2"/>
  <c r="K59" i="2" s="1"/>
  <c r="F59" i="2"/>
  <c r="G59" i="2" s="1"/>
  <c r="H59" i="2" s="1"/>
  <c r="I58" i="2"/>
  <c r="J58" i="2" s="1"/>
  <c r="K58" i="2" s="1"/>
  <c r="H58" i="2"/>
  <c r="G58" i="2"/>
  <c r="F58" i="2"/>
  <c r="J57" i="2"/>
  <c r="I57" i="2"/>
  <c r="K57" i="2" s="1"/>
  <c r="F57" i="2"/>
  <c r="G57" i="2" s="1"/>
  <c r="H57" i="2" s="1"/>
  <c r="I56" i="2"/>
  <c r="J56" i="2" s="1"/>
  <c r="K56" i="2" s="1"/>
  <c r="H56" i="2"/>
  <c r="G56" i="2"/>
  <c r="F56" i="2"/>
  <c r="J55" i="2"/>
  <c r="I55" i="2"/>
  <c r="K55" i="2" s="1"/>
  <c r="F55" i="2"/>
  <c r="G55" i="2" s="1"/>
  <c r="H55" i="2" s="1"/>
  <c r="I54" i="2"/>
  <c r="J54" i="2" s="1"/>
  <c r="K54" i="2" s="1"/>
  <c r="H54" i="2"/>
  <c r="G54" i="2"/>
  <c r="F54" i="2"/>
  <c r="J53" i="2"/>
  <c r="I53" i="2"/>
  <c r="K53" i="2" s="1"/>
  <c r="F53" i="2"/>
  <c r="G53" i="2" s="1"/>
  <c r="H53" i="2" s="1"/>
  <c r="I52" i="2"/>
  <c r="J52" i="2" s="1"/>
  <c r="K52" i="2" s="1"/>
  <c r="H52" i="2"/>
  <c r="G52" i="2"/>
  <c r="F52" i="2"/>
  <c r="J51" i="2"/>
  <c r="I51" i="2"/>
  <c r="K51" i="2" s="1"/>
  <c r="F51" i="2"/>
  <c r="G51" i="2" s="1"/>
  <c r="H51" i="2" s="1"/>
  <c r="I50" i="2"/>
  <c r="J50" i="2" s="1"/>
  <c r="K50" i="2" s="1"/>
  <c r="H50" i="2"/>
  <c r="G50" i="2"/>
  <c r="F50" i="2"/>
  <c r="J49" i="2"/>
  <c r="I49" i="2"/>
  <c r="K49" i="2" s="1"/>
  <c r="F49" i="2"/>
  <c r="G49" i="2" s="1"/>
  <c r="H49" i="2" s="1"/>
  <c r="I48" i="2"/>
  <c r="J48" i="2" s="1"/>
  <c r="K48" i="2" s="1"/>
  <c r="H48" i="2"/>
  <c r="G48" i="2"/>
  <c r="F48" i="2"/>
  <c r="J47" i="2"/>
  <c r="I47" i="2"/>
  <c r="K47" i="2" s="1"/>
  <c r="F47" i="2"/>
  <c r="G47" i="2" s="1"/>
  <c r="H47" i="2" s="1"/>
  <c r="I46" i="2"/>
  <c r="J46" i="2" s="1"/>
  <c r="K46" i="2" s="1"/>
  <c r="H46" i="2"/>
  <c r="G46" i="2"/>
  <c r="F46" i="2"/>
  <c r="J45" i="2"/>
  <c r="I45" i="2"/>
  <c r="K45" i="2" s="1"/>
  <c r="F45" i="2"/>
  <c r="G45" i="2" s="1"/>
  <c r="H45" i="2" s="1"/>
  <c r="I44" i="2"/>
  <c r="J44" i="2" s="1"/>
  <c r="K44" i="2" s="1"/>
  <c r="H44" i="2"/>
  <c r="G44" i="2"/>
  <c r="F44" i="2"/>
  <c r="J43" i="2"/>
  <c r="I43" i="2"/>
  <c r="K43" i="2" s="1"/>
  <c r="F43" i="2"/>
  <c r="G43" i="2" s="1"/>
  <c r="H43" i="2" s="1"/>
  <c r="I42" i="2"/>
  <c r="J42" i="2" s="1"/>
  <c r="K42" i="2" s="1"/>
  <c r="H42" i="2"/>
  <c r="G42" i="2"/>
  <c r="F42" i="2"/>
  <c r="J41" i="2"/>
  <c r="I41" i="2"/>
  <c r="K41" i="2" s="1"/>
  <c r="F41" i="2"/>
  <c r="G41" i="2" s="1"/>
  <c r="H41" i="2" s="1"/>
  <c r="I40" i="2"/>
  <c r="J40" i="2" s="1"/>
  <c r="K40" i="2" s="1"/>
  <c r="H40" i="2"/>
  <c r="G40" i="2"/>
  <c r="F40" i="2"/>
  <c r="J39" i="2"/>
  <c r="I39" i="2"/>
  <c r="K39" i="2" s="1"/>
  <c r="F39" i="2"/>
  <c r="G39" i="2" s="1"/>
  <c r="H39" i="2" s="1"/>
  <c r="I38" i="2"/>
  <c r="J38" i="2" s="1"/>
  <c r="K38" i="2" s="1"/>
  <c r="H38" i="2"/>
  <c r="G38" i="2"/>
  <c r="F38" i="2"/>
  <c r="K34" i="2"/>
  <c r="K32" i="2"/>
  <c r="J32" i="2"/>
  <c r="I32" i="2"/>
  <c r="G32" i="2"/>
  <c r="H32" i="2" s="1"/>
  <c r="F32" i="2"/>
  <c r="I31" i="2"/>
  <c r="F31" i="2"/>
  <c r="G31" i="2" s="1"/>
  <c r="H31" i="2" s="1"/>
  <c r="K30" i="2"/>
  <c r="J30" i="2"/>
  <c r="I30" i="2"/>
  <c r="G30" i="2"/>
  <c r="H30" i="2" s="1"/>
  <c r="F30" i="2"/>
  <c r="I29" i="2"/>
  <c r="F29" i="2"/>
  <c r="G29" i="2" s="1"/>
  <c r="H29" i="2" s="1"/>
  <c r="K28" i="2"/>
  <c r="J28" i="2"/>
  <c r="I28" i="2"/>
  <c r="G28" i="2"/>
  <c r="H28" i="2" s="1"/>
  <c r="F28" i="2"/>
  <c r="I27" i="2"/>
  <c r="F27" i="2"/>
  <c r="G27" i="2" s="1"/>
  <c r="H27" i="2" s="1"/>
  <c r="K26" i="2"/>
  <c r="J26" i="2"/>
  <c r="I26" i="2"/>
  <c r="G26" i="2"/>
  <c r="H26" i="2" s="1"/>
  <c r="F26" i="2"/>
  <c r="I25" i="2"/>
  <c r="F25" i="2"/>
  <c r="G25" i="2" s="1"/>
  <c r="H25" i="2" s="1"/>
  <c r="K24" i="2"/>
  <c r="J24" i="2"/>
  <c r="I24" i="2"/>
  <c r="G24" i="2"/>
  <c r="H24" i="2" s="1"/>
  <c r="F24" i="2"/>
  <c r="I23" i="2"/>
  <c r="F23" i="2"/>
  <c r="G23" i="2" s="1"/>
  <c r="H23" i="2" s="1"/>
  <c r="K22" i="2"/>
  <c r="J22" i="2"/>
  <c r="I22" i="2"/>
  <c r="G22" i="2"/>
  <c r="H22" i="2" s="1"/>
  <c r="F22" i="2"/>
  <c r="I21" i="2"/>
  <c r="F21" i="2"/>
  <c r="G21" i="2" s="1"/>
  <c r="H21" i="2" s="1"/>
  <c r="K20" i="2"/>
  <c r="J20" i="2"/>
  <c r="I20" i="2"/>
  <c r="G20" i="2"/>
  <c r="H20" i="2" s="1"/>
  <c r="F20" i="2"/>
  <c r="I19" i="2"/>
  <c r="F19" i="2"/>
  <c r="G19" i="2" s="1"/>
  <c r="H19" i="2" s="1"/>
  <c r="K18" i="2"/>
  <c r="J18" i="2"/>
  <c r="I18" i="2"/>
  <c r="G18" i="2"/>
  <c r="H18" i="2" s="1"/>
  <c r="F18" i="2"/>
  <c r="I17" i="2"/>
  <c r="F17" i="2"/>
  <c r="G17" i="2" s="1"/>
  <c r="H17" i="2" s="1"/>
  <c r="K16" i="2"/>
  <c r="J16" i="2"/>
  <c r="I16" i="2"/>
  <c r="G16" i="2"/>
  <c r="H16" i="2" s="1"/>
  <c r="F16" i="2"/>
  <c r="I15" i="2"/>
  <c r="F15" i="2"/>
  <c r="G15" i="2" s="1"/>
  <c r="H15" i="2" s="1"/>
  <c r="K14" i="2"/>
  <c r="J14" i="2"/>
  <c r="I14" i="2"/>
  <c r="G14" i="2"/>
  <c r="H14" i="2" s="1"/>
  <c r="F14" i="2"/>
  <c r="I13" i="2"/>
  <c r="F13" i="2"/>
  <c r="G13" i="2" s="1"/>
  <c r="H13" i="2" s="1"/>
  <c r="K12" i="2"/>
  <c r="J12" i="2"/>
  <c r="I12" i="2"/>
  <c r="G12" i="2"/>
  <c r="H12" i="2" s="1"/>
  <c r="F12" i="2"/>
  <c r="I11" i="2"/>
  <c r="F11" i="2"/>
  <c r="G11" i="2" s="1"/>
  <c r="H11" i="2" s="1"/>
  <c r="K10" i="2"/>
  <c r="J10" i="2"/>
  <c r="I10" i="2"/>
  <c r="G10" i="2"/>
  <c r="H10" i="2" s="1"/>
  <c r="F10" i="2"/>
  <c r="I9" i="2"/>
  <c r="F9" i="2"/>
  <c r="G9" i="2" s="1"/>
  <c r="H9" i="2" s="1"/>
  <c r="K8" i="2"/>
  <c r="J8" i="2"/>
  <c r="I8" i="2"/>
  <c r="G8" i="2"/>
  <c r="H8" i="2" s="1"/>
  <c r="F8" i="2"/>
  <c r="I7" i="2"/>
  <c r="F7" i="2"/>
  <c r="G7" i="2" s="1"/>
  <c r="H7" i="2" s="1"/>
  <c r="K6" i="2"/>
  <c r="J6" i="2"/>
  <c r="I6" i="2"/>
  <c r="G6" i="2"/>
  <c r="H6" i="2" s="1"/>
  <c r="F6" i="2"/>
  <c r="I5" i="2"/>
  <c r="F5" i="2"/>
  <c r="G5" i="2" s="1"/>
  <c r="H5" i="2" s="1"/>
  <c r="K150" i="1"/>
  <c r="I148" i="1"/>
  <c r="J148" i="1" s="1"/>
  <c r="K148" i="1" s="1"/>
  <c r="H148" i="1"/>
  <c r="G148" i="1"/>
  <c r="F148" i="1"/>
  <c r="J147" i="1"/>
  <c r="I147" i="1"/>
  <c r="K147" i="1" s="1"/>
  <c r="F147" i="1"/>
  <c r="G147" i="1" s="1"/>
  <c r="H147" i="1" s="1"/>
  <c r="I146" i="1"/>
  <c r="J146" i="1" s="1"/>
  <c r="K146" i="1" s="1"/>
  <c r="H146" i="1"/>
  <c r="G146" i="1"/>
  <c r="F146" i="1"/>
  <c r="J145" i="1"/>
  <c r="I145" i="1"/>
  <c r="K145" i="1" s="1"/>
  <c r="F145" i="1"/>
  <c r="G145" i="1" s="1"/>
  <c r="H145" i="1" s="1"/>
  <c r="I144" i="1"/>
  <c r="J144" i="1" s="1"/>
  <c r="K144" i="1" s="1"/>
  <c r="H144" i="1"/>
  <c r="G144" i="1"/>
  <c r="F144" i="1"/>
  <c r="J143" i="1"/>
  <c r="I143" i="1"/>
  <c r="K143" i="1" s="1"/>
  <c r="F143" i="1"/>
  <c r="G143" i="1" s="1"/>
  <c r="H143" i="1" s="1"/>
  <c r="I142" i="1"/>
  <c r="J142" i="1" s="1"/>
  <c r="K142" i="1" s="1"/>
  <c r="H142" i="1"/>
  <c r="G142" i="1"/>
  <c r="F142" i="1"/>
  <c r="J141" i="1"/>
  <c r="I141" i="1"/>
  <c r="K141" i="1" s="1"/>
  <c r="F141" i="1"/>
  <c r="G141" i="1" s="1"/>
  <c r="H141" i="1" s="1"/>
  <c r="I140" i="1"/>
  <c r="J140" i="1" s="1"/>
  <c r="K140" i="1" s="1"/>
  <c r="H140" i="1"/>
  <c r="G140" i="1"/>
  <c r="F140" i="1"/>
  <c r="J139" i="1"/>
  <c r="I139" i="1"/>
  <c r="K139" i="1" s="1"/>
  <c r="F139" i="1"/>
  <c r="G139" i="1" s="1"/>
  <c r="H139" i="1" s="1"/>
  <c r="I138" i="1"/>
  <c r="J138" i="1" s="1"/>
  <c r="K138" i="1" s="1"/>
  <c r="H138" i="1"/>
  <c r="G138" i="1"/>
  <c r="F138" i="1"/>
  <c r="J137" i="1"/>
  <c r="I137" i="1"/>
  <c r="K137" i="1" s="1"/>
  <c r="F137" i="1"/>
  <c r="G137" i="1" s="1"/>
  <c r="H137" i="1" s="1"/>
  <c r="I136" i="1"/>
  <c r="J136" i="1" s="1"/>
  <c r="K136" i="1" s="1"/>
  <c r="H136" i="1"/>
  <c r="G136" i="1"/>
  <c r="F136" i="1"/>
  <c r="J135" i="1"/>
  <c r="I135" i="1"/>
  <c r="K135" i="1" s="1"/>
  <c r="F135" i="1"/>
  <c r="G135" i="1" s="1"/>
  <c r="H135" i="1" s="1"/>
  <c r="I134" i="1"/>
  <c r="J134" i="1" s="1"/>
  <c r="K134" i="1" s="1"/>
  <c r="H134" i="1"/>
  <c r="G134" i="1"/>
  <c r="F134" i="1"/>
  <c r="J133" i="1"/>
  <c r="I133" i="1"/>
  <c r="K133" i="1" s="1"/>
  <c r="F133" i="1"/>
  <c r="G133" i="1" s="1"/>
  <c r="H133" i="1" s="1"/>
  <c r="I132" i="1"/>
  <c r="J132" i="1" s="1"/>
  <c r="K132" i="1" s="1"/>
  <c r="H132" i="1"/>
  <c r="G132" i="1"/>
  <c r="F132" i="1"/>
  <c r="J131" i="1"/>
  <c r="I131" i="1"/>
  <c r="K131" i="1" s="1"/>
  <c r="F131" i="1"/>
  <c r="G131" i="1" s="1"/>
  <c r="H131" i="1" s="1"/>
  <c r="I130" i="1"/>
  <c r="J130" i="1" s="1"/>
  <c r="K130" i="1" s="1"/>
  <c r="H130" i="1"/>
  <c r="G130" i="1"/>
  <c r="F130" i="1"/>
  <c r="K125" i="1"/>
  <c r="K123" i="1"/>
  <c r="J123" i="1"/>
  <c r="I123" i="1"/>
  <c r="G123" i="1"/>
  <c r="H123" i="1" s="1"/>
  <c r="F123" i="1"/>
  <c r="I122" i="1"/>
  <c r="F122" i="1"/>
  <c r="G122" i="1" s="1"/>
  <c r="H122" i="1" s="1"/>
  <c r="K121" i="1"/>
  <c r="J121" i="1"/>
  <c r="I121" i="1"/>
  <c r="G121" i="1"/>
  <c r="H121" i="1" s="1"/>
  <c r="F121" i="1"/>
  <c r="I120" i="1"/>
  <c r="F120" i="1"/>
  <c r="G120" i="1" s="1"/>
  <c r="H120" i="1" s="1"/>
  <c r="K119" i="1"/>
  <c r="J119" i="1"/>
  <c r="I119" i="1"/>
  <c r="G119" i="1"/>
  <c r="H119" i="1" s="1"/>
  <c r="F119" i="1"/>
  <c r="I118" i="1"/>
  <c r="F118" i="1"/>
  <c r="G118" i="1" s="1"/>
  <c r="H118" i="1" s="1"/>
  <c r="K117" i="1"/>
  <c r="J117" i="1"/>
  <c r="I117" i="1"/>
  <c r="G117" i="1"/>
  <c r="H117" i="1" s="1"/>
  <c r="F117" i="1"/>
  <c r="I116" i="1"/>
  <c r="F116" i="1"/>
  <c r="G116" i="1" s="1"/>
  <c r="H116" i="1" s="1"/>
  <c r="K115" i="1"/>
  <c r="J115" i="1"/>
  <c r="I115" i="1"/>
  <c r="G115" i="1"/>
  <c r="H115" i="1" s="1"/>
  <c r="F115" i="1"/>
  <c r="I114" i="1"/>
  <c r="F114" i="1"/>
  <c r="G114" i="1" s="1"/>
  <c r="H114" i="1" s="1"/>
  <c r="K113" i="1"/>
  <c r="J113" i="1"/>
  <c r="I113" i="1"/>
  <c r="G113" i="1"/>
  <c r="H113" i="1" s="1"/>
  <c r="F113" i="1"/>
  <c r="K108" i="1"/>
  <c r="J106" i="1"/>
  <c r="I106" i="1"/>
  <c r="K106" i="1" s="1"/>
  <c r="F106" i="1"/>
  <c r="G106" i="1" s="1"/>
  <c r="H106" i="1" s="1"/>
  <c r="I105" i="1"/>
  <c r="J105" i="1" s="1"/>
  <c r="K105" i="1" s="1"/>
  <c r="H105" i="1"/>
  <c r="G105" i="1"/>
  <c r="F105" i="1"/>
  <c r="J104" i="1"/>
  <c r="I104" i="1"/>
  <c r="K104" i="1" s="1"/>
  <c r="F104" i="1"/>
  <c r="G104" i="1" s="1"/>
  <c r="H104" i="1" s="1"/>
  <c r="I103" i="1"/>
  <c r="J103" i="1" s="1"/>
  <c r="K103" i="1" s="1"/>
  <c r="H103" i="1"/>
  <c r="G103" i="1"/>
  <c r="F103" i="1"/>
  <c r="J102" i="1"/>
  <c r="I102" i="1"/>
  <c r="F102" i="1"/>
  <c r="G102" i="1" s="1"/>
  <c r="H102" i="1" s="1"/>
  <c r="I101" i="1"/>
  <c r="J101" i="1" s="1"/>
  <c r="K101" i="1" s="1"/>
  <c r="H101" i="1"/>
  <c r="G101" i="1"/>
  <c r="F101" i="1"/>
  <c r="J100" i="1"/>
  <c r="I100" i="1"/>
  <c r="F100" i="1"/>
  <c r="G100" i="1" s="1"/>
  <c r="H100" i="1" s="1"/>
  <c r="I99" i="1"/>
  <c r="J99" i="1" s="1"/>
  <c r="K99" i="1" s="1"/>
  <c r="H99" i="1"/>
  <c r="G99" i="1"/>
  <c r="F99" i="1"/>
  <c r="J98" i="1"/>
  <c r="I98" i="1"/>
  <c r="K98" i="1" s="1"/>
  <c r="F98" i="1"/>
  <c r="G98" i="1" s="1"/>
  <c r="H98" i="1" s="1"/>
  <c r="I97" i="1"/>
  <c r="J97" i="1" s="1"/>
  <c r="K97" i="1" s="1"/>
  <c r="H97" i="1"/>
  <c r="G97" i="1"/>
  <c r="F97" i="1"/>
  <c r="J96" i="1"/>
  <c r="I96" i="1"/>
  <c r="K96" i="1" s="1"/>
  <c r="F96" i="1"/>
  <c r="G96" i="1" s="1"/>
  <c r="H96" i="1" s="1"/>
  <c r="I95" i="1"/>
  <c r="J95" i="1" s="1"/>
  <c r="K95" i="1" s="1"/>
  <c r="H95" i="1"/>
  <c r="G95" i="1"/>
  <c r="F95" i="1"/>
  <c r="K92" i="1"/>
  <c r="K90" i="1"/>
  <c r="J90" i="1"/>
  <c r="I90" i="1"/>
  <c r="G90" i="1"/>
  <c r="H90" i="1" s="1"/>
  <c r="F90" i="1"/>
  <c r="I89" i="1"/>
  <c r="F89" i="1"/>
  <c r="G89" i="1" s="1"/>
  <c r="H89" i="1" s="1"/>
  <c r="K88" i="1"/>
  <c r="J88" i="1"/>
  <c r="I88" i="1"/>
  <c r="G88" i="1"/>
  <c r="H88" i="1" s="1"/>
  <c r="F88" i="1"/>
  <c r="I87" i="1"/>
  <c r="F87" i="1"/>
  <c r="G87" i="1" s="1"/>
  <c r="H87" i="1" s="1"/>
  <c r="K86" i="1"/>
  <c r="J86" i="1"/>
  <c r="I86" i="1"/>
  <c r="G86" i="1"/>
  <c r="H86" i="1" s="1"/>
  <c r="F86" i="1"/>
  <c r="I85" i="1"/>
  <c r="F85" i="1"/>
  <c r="G85" i="1" s="1"/>
  <c r="H85" i="1" s="1"/>
  <c r="K84" i="1"/>
  <c r="J84" i="1"/>
  <c r="I84" i="1"/>
  <c r="G84" i="1"/>
  <c r="H84" i="1" s="1"/>
  <c r="F84" i="1"/>
  <c r="I83" i="1"/>
  <c r="F83" i="1"/>
  <c r="G83" i="1" s="1"/>
  <c r="H83" i="1" s="1"/>
  <c r="K82" i="1"/>
  <c r="J82" i="1"/>
  <c r="I82" i="1"/>
  <c r="G82" i="1"/>
  <c r="H82" i="1" s="1"/>
  <c r="F82" i="1"/>
  <c r="I81" i="1"/>
  <c r="F81" i="1"/>
  <c r="G81" i="1" s="1"/>
  <c r="H81" i="1" s="1"/>
  <c r="K80" i="1"/>
  <c r="J80" i="1"/>
  <c r="I80" i="1"/>
  <c r="G80" i="1"/>
  <c r="H80" i="1" s="1"/>
  <c r="F80" i="1"/>
  <c r="I79" i="1"/>
  <c r="F79" i="1"/>
  <c r="G79" i="1" s="1"/>
  <c r="H79" i="1" s="1"/>
  <c r="K78" i="1"/>
  <c r="J78" i="1"/>
  <c r="I78" i="1"/>
  <c r="G78" i="1"/>
  <c r="H78" i="1" s="1"/>
  <c r="F78" i="1"/>
  <c r="I77" i="1"/>
  <c r="F77" i="1"/>
  <c r="G77" i="1" s="1"/>
  <c r="H77" i="1" s="1"/>
  <c r="K76" i="1"/>
  <c r="J76" i="1"/>
  <c r="I76" i="1"/>
  <c r="G76" i="1"/>
  <c r="H76" i="1" s="1"/>
  <c r="F76" i="1"/>
  <c r="K71" i="1"/>
  <c r="J69" i="1"/>
  <c r="I69" i="1"/>
  <c r="F69" i="1"/>
  <c r="G69" i="1" s="1"/>
  <c r="H69" i="1" s="1"/>
  <c r="J68" i="1"/>
  <c r="K68" i="1" s="1"/>
  <c r="I68" i="1"/>
  <c r="F68" i="1"/>
  <c r="G68" i="1" s="1"/>
  <c r="H68" i="1" s="1"/>
  <c r="J67" i="1"/>
  <c r="I67" i="1"/>
  <c r="F67" i="1"/>
  <c r="G67" i="1" s="1"/>
  <c r="H67" i="1" s="1"/>
  <c r="J66" i="1"/>
  <c r="I66" i="1"/>
  <c r="F66" i="1"/>
  <c r="G66" i="1" s="1"/>
  <c r="H66" i="1" s="1"/>
  <c r="J65" i="1"/>
  <c r="I65" i="1"/>
  <c r="K65" i="1" s="1"/>
  <c r="F65" i="1"/>
  <c r="G65" i="1" s="1"/>
  <c r="H65" i="1" s="1"/>
  <c r="J64" i="1"/>
  <c r="K64" i="1" s="1"/>
  <c r="I64" i="1"/>
  <c r="F64" i="1"/>
  <c r="G64" i="1" s="1"/>
  <c r="H64" i="1" s="1"/>
  <c r="I63" i="1"/>
  <c r="F63" i="1"/>
  <c r="G63" i="1" s="1"/>
  <c r="H63" i="1" s="1"/>
  <c r="J62" i="1"/>
  <c r="K62" i="1" s="1"/>
  <c r="I62" i="1"/>
  <c r="F62" i="1"/>
  <c r="G62" i="1" s="1"/>
  <c r="H62" i="1" s="1"/>
  <c r="I61" i="1"/>
  <c r="F61" i="1"/>
  <c r="G61" i="1" s="1"/>
  <c r="H61" i="1" s="1"/>
  <c r="J60" i="1"/>
  <c r="K60" i="1" s="1"/>
  <c r="I60" i="1"/>
  <c r="F60" i="1"/>
  <c r="G60" i="1" s="1"/>
  <c r="H60" i="1" s="1"/>
  <c r="I59" i="1"/>
  <c r="F59" i="1"/>
  <c r="G59" i="1" s="1"/>
  <c r="H59" i="1" s="1"/>
  <c r="J58" i="1"/>
  <c r="K58" i="1" s="1"/>
  <c r="I58" i="1"/>
  <c r="F58" i="1"/>
  <c r="G58" i="1" s="1"/>
  <c r="H58" i="1" s="1"/>
  <c r="I57" i="1"/>
  <c r="F57" i="1"/>
  <c r="G57" i="1" s="1"/>
  <c r="H57" i="1" s="1"/>
  <c r="K52" i="1"/>
  <c r="G49" i="1"/>
  <c r="H49" i="1" s="1"/>
  <c r="I49" i="1" s="1"/>
  <c r="F49" i="1"/>
  <c r="F48" i="1"/>
  <c r="G48" i="1" s="1"/>
  <c r="H48" i="1" s="1"/>
  <c r="I48" i="1" s="1"/>
  <c r="G47" i="1"/>
  <c r="H47" i="1" s="1"/>
  <c r="I47" i="1" s="1"/>
  <c r="F47" i="1"/>
  <c r="F46" i="1"/>
  <c r="G46" i="1" s="1"/>
  <c r="H46" i="1" s="1"/>
  <c r="I46" i="1" s="1"/>
  <c r="G45" i="1"/>
  <c r="H45" i="1" s="1"/>
  <c r="I45" i="1" s="1"/>
  <c r="F45" i="1"/>
  <c r="F44" i="1"/>
  <c r="G44" i="1" s="1"/>
  <c r="H44" i="1" s="1"/>
  <c r="I44" i="1" s="1"/>
  <c r="G43" i="1"/>
  <c r="H43" i="1" s="1"/>
  <c r="I43" i="1" s="1"/>
  <c r="F43" i="1"/>
  <c r="F42" i="1"/>
  <c r="G42" i="1" s="1"/>
  <c r="H42" i="1" s="1"/>
  <c r="I42" i="1" s="1"/>
  <c r="G41" i="1"/>
  <c r="H41" i="1" s="1"/>
  <c r="I41" i="1" s="1"/>
  <c r="F41" i="1"/>
  <c r="F40" i="1"/>
  <c r="G40" i="1" s="1"/>
  <c r="H40" i="1" s="1"/>
  <c r="I40" i="1" s="1"/>
  <c r="K33" i="1"/>
  <c r="I30" i="1"/>
  <c r="F30" i="1"/>
  <c r="G30" i="1" s="1"/>
  <c r="H30" i="1" s="1"/>
  <c r="J29" i="1"/>
  <c r="K29" i="1" s="1"/>
  <c r="I29" i="1"/>
  <c r="F29" i="1"/>
  <c r="G29" i="1" s="1"/>
  <c r="H29" i="1" s="1"/>
  <c r="I28" i="1"/>
  <c r="F28" i="1"/>
  <c r="G28" i="1" s="1"/>
  <c r="H28" i="1" s="1"/>
  <c r="J27" i="1"/>
  <c r="K27" i="1" s="1"/>
  <c r="I27" i="1"/>
  <c r="F27" i="1"/>
  <c r="G27" i="1" s="1"/>
  <c r="H27" i="1" s="1"/>
  <c r="I26" i="1"/>
  <c r="F26" i="1"/>
  <c r="G26" i="1" s="1"/>
  <c r="H26" i="1" s="1"/>
  <c r="J25" i="1"/>
  <c r="K25" i="1" s="1"/>
  <c r="I25" i="1"/>
  <c r="F25" i="1"/>
  <c r="G25" i="1" s="1"/>
  <c r="H25" i="1" s="1"/>
  <c r="I24" i="1"/>
  <c r="F24" i="1"/>
  <c r="G24" i="1" s="1"/>
  <c r="H24" i="1" s="1"/>
  <c r="J23" i="1"/>
  <c r="K23" i="1" s="1"/>
  <c r="I23" i="1"/>
  <c r="F23" i="1"/>
  <c r="G23" i="1" s="1"/>
  <c r="H23" i="1" s="1"/>
  <c r="K19" i="1"/>
  <c r="J16" i="1"/>
  <c r="K16" i="1" s="1"/>
  <c r="I16" i="1"/>
  <c r="F16" i="1"/>
  <c r="G16" i="1" s="1"/>
  <c r="H16" i="1" s="1"/>
  <c r="I15" i="1"/>
  <c r="F15" i="1"/>
  <c r="G15" i="1" s="1"/>
  <c r="H15" i="1" s="1"/>
  <c r="J14" i="1"/>
  <c r="K14" i="1" s="1"/>
  <c r="I14" i="1"/>
  <c r="F14" i="1"/>
  <c r="G14" i="1" s="1"/>
  <c r="H14" i="1" s="1"/>
  <c r="I13" i="1"/>
  <c r="F13" i="1"/>
  <c r="G13" i="1" s="1"/>
  <c r="H13" i="1" s="1"/>
  <c r="J12" i="1"/>
  <c r="K12" i="1" s="1"/>
  <c r="I12" i="1"/>
  <c r="F12" i="1"/>
  <c r="G12" i="1" s="1"/>
  <c r="H12" i="1" s="1"/>
  <c r="I11" i="1"/>
  <c r="F11" i="1"/>
  <c r="G11" i="1" s="1"/>
  <c r="H11" i="1" s="1"/>
  <c r="J10" i="1"/>
  <c r="K10" i="1" s="1"/>
  <c r="I10" i="1"/>
  <c r="F10" i="1"/>
  <c r="G10" i="1" s="1"/>
  <c r="H10" i="1" s="1"/>
  <c r="I9" i="1"/>
  <c r="F9" i="1"/>
  <c r="G9" i="1" s="1"/>
  <c r="H9" i="1" s="1"/>
  <c r="J8" i="1"/>
  <c r="K8" i="1" s="1"/>
  <c r="I8" i="1"/>
  <c r="F8" i="1"/>
  <c r="G8" i="1" s="1"/>
  <c r="H8" i="1" s="1"/>
  <c r="I7" i="1"/>
  <c r="F7" i="1"/>
  <c r="G7" i="1" s="1"/>
  <c r="H7" i="1" s="1"/>
  <c r="J6" i="1"/>
  <c r="K6" i="1" s="1"/>
  <c r="I6" i="1"/>
  <c r="F6" i="1"/>
  <c r="G6" i="1" s="1"/>
  <c r="H6" i="1" s="1"/>
  <c r="I5" i="1"/>
  <c r="F5" i="1"/>
  <c r="G5" i="1" s="1"/>
  <c r="H5" i="1" s="1"/>
  <c r="J4" i="1"/>
  <c r="K4" i="1" s="1"/>
  <c r="I4" i="1"/>
  <c r="F4" i="1"/>
  <c r="G4" i="1" s="1"/>
  <c r="K5" i="6" l="1"/>
  <c r="K6" i="6"/>
  <c r="K7" i="6"/>
  <c r="K8" i="6"/>
  <c r="K9" i="6"/>
  <c r="K10" i="6"/>
  <c r="K11" i="6"/>
  <c r="K12" i="6"/>
  <c r="K13" i="6"/>
  <c r="K14" i="6"/>
  <c r="K16" i="6"/>
  <c r="K17" i="6"/>
  <c r="K24" i="6"/>
  <c r="K25" i="6"/>
  <c r="K32" i="6"/>
  <c r="J15" i="6"/>
  <c r="K15" i="6" s="1"/>
  <c r="J16" i="6"/>
  <c r="J17" i="6"/>
  <c r="J18" i="6"/>
  <c r="K18" i="6" s="1"/>
  <c r="J19" i="6"/>
  <c r="K19" i="6" s="1"/>
  <c r="J20" i="6"/>
  <c r="K20" i="6" s="1"/>
  <c r="J21" i="6"/>
  <c r="K21" i="6" s="1"/>
  <c r="J22" i="6"/>
  <c r="K22" i="6" s="1"/>
  <c r="J23" i="6"/>
  <c r="K23" i="6" s="1"/>
  <c r="J24" i="6"/>
  <c r="J25" i="6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G17" i="1"/>
  <c r="H4" i="1"/>
  <c r="K13" i="1"/>
  <c r="J43" i="1"/>
  <c r="K43" i="1" s="1"/>
  <c r="J46" i="1"/>
  <c r="K46" i="1" s="1"/>
  <c r="K41" i="1"/>
  <c r="J41" i="1"/>
  <c r="J44" i="1"/>
  <c r="K44" i="1" s="1"/>
  <c r="K49" i="1"/>
  <c r="J49" i="1"/>
  <c r="K24" i="1"/>
  <c r="J42" i="1"/>
  <c r="K42" i="1"/>
  <c r="J47" i="1"/>
  <c r="K47" i="1" s="1"/>
  <c r="J40" i="1"/>
  <c r="K40" i="1" s="1"/>
  <c r="K45" i="1"/>
  <c r="J45" i="1"/>
  <c r="J48" i="1"/>
  <c r="K48" i="1" s="1"/>
  <c r="J5" i="1"/>
  <c r="K5" i="1" s="1"/>
  <c r="J7" i="1"/>
  <c r="K7" i="1" s="1"/>
  <c r="J9" i="1"/>
  <c r="K9" i="1" s="1"/>
  <c r="J11" i="1"/>
  <c r="K11" i="1" s="1"/>
  <c r="J13" i="1"/>
  <c r="J15" i="1"/>
  <c r="K15" i="1" s="1"/>
  <c r="J24" i="1"/>
  <c r="J26" i="1"/>
  <c r="K26" i="1" s="1"/>
  <c r="J28" i="1"/>
  <c r="K28" i="1" s="1"/>
  <c r="J30" i="1"/>
  <c r="K30" i="1" s="1"/>
  <c r="J57" i="1"/>
  <c r="K57" i="1" s="1"/>
  <c r="J59" i="1"/>
  <c r="K59" i="1" s="1"/>
  <c r="J61" i="1"/>
  <c r="K61" i="1" s="1"/>
  <c r="J63" i="1"/>
  <c r="K63" i="1" s="1"/>
  <c r="K69" i="1"/>
  <c r="K79" i="1"/>
  <c r="J79" i="1"/>
  <c r="K87" i="1"/>
  <c r="J87" i="1"/>
  <c r="K102" i="1"/>
  <c r="K67" i="1"/>
  <c r="K77" i="1"/>
  <c r="J77" i="1"/>
  <c r="K85" i="1"/>
  <c r="J85" i="1"/>
  <c r="K100" i="1"/>
  <c r="K66" i="1"/>
  <c r="J83" i="1"/>
  <c r="K83" i="1" s="1"/>
  <c r="J116" i="1"/>
  <c r="K116" i="1" s="1"/>
  <c r="K81" i="1"/>
  <c r="J81" i="1"/>
  <c r="K89" i="1"/>
  <c r="J89" i="1"/>
  <c r="K114" i="1"/>
  <c r="J114" i="1"/>
  <c r="K13" i="2"/>
  <c r="K29" i="2"/>
  <c r="K75" i="2"/>
  <c r="J118" i="1"/>
  <c r="K118" i="1" s="1"/>
  <c r="J120" i="1"/>
  <c r="K120" i="1" s="1"/>
  <c r="J122" i="1"/>
  <c r="K122" i="1" s="1"/>
  <c r="J5" i="2"/>
  <c r="K5" i="2" s="1"/>
  <c r="J7" i="2"/>
  <c r="K7" i="2" s="1"/>
  <c r="J9" i="2"/>
  <c r="K9" i="2" s="1"/>
  <c r="J11" i="2"/>
  <c r="K11" i="2" s="1"/>
  <c r="J13" i="2"/>
  <c r="J15" i="2"/>
  <c r="K15" i="2" s="1"/>
  <c r="J17" i="2"/>
  <c r="K17" i="2" s="1"/>
  <c r="J19" i="2"/>
  <c r="K19" i="2" s="1"/>
  <c r="J21" i="2"/>
  <c r="K21" i="2" s="1"/>
  <c r="J23" i="2"/>
  <c r="K23" i="2" s="1"/>
  <c r="J25" i="2"/>
  <c r="K25" i="2" s="1"/>
  <c r="J27" i="2"/>
  <c r="K27" i="2" s="1"/>
  <c r="J29" i="2"/>
  <c r="J31" i="2"/>
  <c r="K31" i="2" s="1"/>
  <c r="J67" i="2"/>
  <c r="K67" i="2" s="1"/>
  <c r="J69" i="2"/>
  <c r="K69" i="2" s="1"/>
  <c r="J71" i="2"/>
  <c r="K71" i="2" s="1"/>
  <c r="J73" i="2"/>
  <c r="K73" i="2" s="1"/>
  <c r="J75" i="2"/>
  <c r="J77" i="2"/>
  <c r="K77" i="2" s="1"/>
  <c r="J79" i="2"/>
  <c r="K79" i="2" s="1"/>
  <c r="J81" i="2"/>
  <c r="K81" i="2" s="1"/>
  <c r="J83" i="2"/>
  <c r="K83" i="2" s="1"/>
  <c r="J85" i="2"/>
  <c r="K85" i="2" s="1"/>
  <c r="J87" i="2"/>
  <c r="K87" i="2" s="1"/>
  <c r="K161" i="2"/>
  <c r="K169" i="2"/>
  <c r="K177" i="2"/>
  <c r="K159" i="2"/>
  <c r="K167" i="2"/>
  <c r="K175" i="2"/>
  <c r="K183" i="2"/>
  <c r="K191" i="2"/>
  <c r="K199" i="2"/>
  <c r="K207" i="2"/>
  <c r="K215" i="2"/>
  <c r="J191" i="2"/>
  <c r="J193" i="2"/>
  <c r="K193" i="2" s="1"/>
  <c r="J195" i="2"/>
  <c r="K195" i="2" s="1"/>
  <c r="J197" i="2"/>
  <c r="K197" i="2" s="1"/>
  <c r="J199" i="2"/>
  <c r="J201" i="2"/>
  <c r="K201" i="2" s="1"/>
  <c r="J203" i="2"/>
  <c r="K203" i="2" s="1"/>
  <c r="J205" i="2"/>
  <c r="K205" i="2" s="1"/>
  <c r="J207" i="2"/>
  <c r="J209" i="2"/>
  <c r="K209" i="2" s="1"/>
  <c r="J211" i="2"/>
  <c r="K211" i="2" s="1"/>
  <c r="J213" i="2"/>
  <c r="K213" i="2" s="1"/>
  <c r="J215" i="2"/>
  <c r="J217" i="2"/>
  <c r="K217" i="2" s="1"/>
  <c r="M37" i="4"/>
  <c r="M41" i="4"/>
  <c r="I113" i="3"/>
  <c r="J113" i="3"/>
  <c r="I121" i="3"/>
  <c r="J121" i="3"/>
  <c r="I129" i="3"/>
  <c r="J129" i="3"/>
  <c r="J96" i="3"/>
  <c r="I111" i="3"/>
  <c r="J111" i="3" s="1"/>
  <c r="I119" i="3"/>
  <c r="J119" i="3" s="1"/>
  <c r="I127" i="3"/>
  <c r="J127" i="3" s="1"/>
  <c r="M35" i="4"/>
  <c r="M39" i="4"/>
  <c r="M43" i="4"/>
  <c r="J94" i="3"/>
  <c r="J102" i="3"/>
  <c r="I109" i="3"/>
  <c r="J109" i="3"/>
  <c r="I117" i="3"/>
  <c r="J117" i="3"/>
  <c r="I125" i="3"/>
  <c r="J125" i="3"/>
  <c r="I133" i="3"/>
  <c r="J133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I107" i="3"/>
  <c r="J107" i="3"/>
  <c r="I115" i="3"/>
  <c r="J115" i="3"/>
  <c r="I123" i="3"/>
  <c r="J123" i="3"/>
  <c r="I131" i="3"/>
  <c r="J131" i="3"/>
  <c r="J170" i="3"/>
  <c r="I171" i="3"/>
  <c r="J171" i="3" s="1"/>
  <c r="I173" i="3"/>
  <c r="J173" i="3" s="1"/>
  <c r="I175" i="3"/>
  <c r="J175" i="3" s="1"/>
  <c r="I177" i="3"/>
  <c r="J177" i="3" s="1"/>
  <c r="I179" i="3"/>
  <c r="J179" i="3" s="1"/>
  <c r="I181" i="3"/>
  <c r="J181" i="3" s="1"/>
  <c r="I183" i="3"/>
  <c r="J183" i="3" s="1"/>
  <c r="I185" i="3"/>
  <c r="J185" i="3" s="1"/>
  <c r="I187" i="3"/>
  <c r="J187" i="3" s="1"/>
  <c r="I189" i="3"/>
  <c r="J189" i="3" s="1"/>
  <c r="I191" i="3"/>
  <c r="J191" i="3" s="1"/>
  <c r="J201" i="3"/>
  <c r="I201" i="3"/>
  <c r="J205" i="3"/>
  <c r="I205" i="3"/>
  <c r="J209" i="3"/>
  <c r="I209" i="3"/>
  <c r="J213" i="3"/>
  <c r="I213" i="3"/>
  <c r="J217" i="3"/>
  <c r="I217" i="3"/>
  <c r="J221" i="3"/>
  <c r="I221" i="3"/>
  <c r="J225" i="3"/>
  <c r="I225" i="3"/>
  <c r="J229" i="3"/>
  <c r="I229" i="3"/>
  <c r="J203" i="3"/>
  <c r="I203" i="3"/>
  <c r="J207" i="3"/>
  <c r="I207" i="3"/>
  <c r="J211" i="3"/>
  <c r="I211" i="3"/>
  <c r="J215" i="3"/>
  <c r="I215" i="3"/>
  <c r="J219" i="3"/>
  <c r="I219" i="3"/>
  <c r="J223" i="3"/>
  <c r="I223" i="3"/>
  <c r="J227" i="3"/>
  <c r="I227" i="3"/>
  <c r="J193" i="3"/>
  <c r="J195" i="3"/>
  <c r="N38" i="5"/>
  <c r="N40" i="5"/>
  <c r="N42" i="5"/>
  <c r="N44" i="5"/>
  <c r="N46" i="5"/>
  <c r="N48" i="5"/>
  <c r="N50" i="5"/>
  <c r="N52" i="5"/>
  <c r="N54" i="5"/>
  <c r="N56" i="5"/>
  <c r="K33" i="6"/>
  <c r="J36" i="6"/>
  <c r="K36" i="6" s="1"/>
  <c r="K37" i="6"/>
  <c r="J40" i="6"/>
  <c r="K40" i="6" s="1"/>
  <c r="K41" i="6"/>
  <c r="J44" i="6"/>
  <c r="K44" i="6" s="1"/>
  <c r="K45" i="6"/>
  <c r="J48" i="6"/>
  <c r="K48" i="6" s="1"/>
  <c r="K49" i="6"/>
  <c r="J52" i="6"/>
  <c r="K52" i="6" s="1"/>
  <c r="K53" i="6"/>
  <c r="J56" i="6"/>
  <c r="K56" i="6" s="1"/>
  <c r="K57" i="6"/>
  <c r="J60" i="6"/>
  <c r="K60" i="6" s="1"/>
  <c r="K61" i="6"/>
  <c r="J64" i="6"/>
  <c r="K64" i="6" s="1"/>
  <c r="K65" i="6"/>
  <c r="J68" i="6"/>
  <c r="K68" i="6" s="1"/>
  <c r="K69" i="6"/>
  <c r="K70" i="6"/>
  <c r="K71" i="6"/>
  <c r="K72" i="6"/>
  <c r="K73" i="6"/>
  <c r="K74" i="6"/>
  <c r="J34" i="6"/>
  <c r="K34" i="6" s="1"/>
  <c r="K35" i="6"/>
  <c r="J38" i="6"/>
  <c r="K38" i="6" s="1"/>
  <c r="K39" i="6"/>
  <c r="J42" i="6"/>
  <c r="K42" i="6" s="1"/>
  <c r="K43" i="6"/>
  <c r="J46" i="6"/>
  <c r="K46" i="6" s="1"/>
  <c r="K47" i="6"/>
  <c r="J50" i="6"/>
  <c r="K50" i="6" s="1"/>
  <c r="K51" i="6"/>
  <c r="J54" i="6"/>
  <c r="K54" i="6" s="1"/>
  <c r="K55" i="6"/>
  <c r="J58" i="6"/>
  <c r="K58" i="6" s="1"/>
  <c r="K59" i="6"/>
  <c r="J62" i="6"/>
  <c r="K62" i="6" s="1"/>
  <c r="K63" i="6"/>
  <c r="J66" i="6"/>
  <c r="K66" i="6" s="1"/>
  <c r="K67" i="6"/>
</calcChain>
</file>

<file path=xl/sharedStrings.xml><?xml version="1.0" encoding="utf-8"?>
<sst xmlns="http://schemas.openxmlformats.org/spreadsheetml/2006/main" count="2654" uniqueCount="432">
  <si>
    <t>IITA PLOT 1</t>
  </si>
  <si>
    <t>Species</t>
  </si>
  <si>
    <t>Family</t>
  </si>
  <si>
    <t>Abundance</t>
  </si>
  <si>
    <t>DBH (cm)</t>
  </si>
  <si>
    <t>DBH (m)</t>
  </si>
  <si>
    <t>Basal Area</t>
  </si>
  <si>
    <t>RDO</t>
  </si>
  <si>
    <t>Pi</t>
  </si>
  <si>
    <t>LnPi</t>
  </si>
  <si>
    <t>PiLnPi</t>
  </si>
  <si>
    <t>Albizia ferrugenea</t>
  </si>
  <si>
    <t>Fabaceae</t>
  </si>
  <si>
    <t>Albizia zygia</t>
  </si>
  <si>
    <t>Antiaris toxicaria</t>
  </si>
  <si>
    <t>Moraceae</t>
  </si>
  <si>
    <t>Chrysophyllum albidum</t>
  </si>
  <si>
    <t>Sapotaceae</t>
  </si>
  <si>
    <t>Cola nitida</t>
  </si>
  <si>
    <t>Malvaceae</t>
  </si>
  <si>
    <t>Funtumia elastica</t>
  </si>
  <si>
    <t>Apocynaceae</t>
  </si>
  <si>
    <t>Hollarhena floribunda</t>
  </si>
  <si>
    <t>Lecaniodiscus cupanioides</t>
  </si>
  <si>
    <t>Sapindaceae</t>
  </si>
  <si>
    <t>Lonchocarpus sericeus</t>
  </si>
  <si>
    <t>Milicia excelsa</t>
  </si>
  <si>
    <t>Newbouldia laevis</t>
  </si>
  <si>
    <t>Bignonaceae</t>
  </si>
  <si>
    <t>Trilepisium madagascariense</t>
  </si>
  <si>
    <t>Triplochiton scleroxylon</t>
  </si>
  <si>
    <t>Sterculiaceae</t>
  </si>
  <si>
    <t>H'</t>
  </si>
  <si>
    <t>E</t>
  </si>
  <si>
    <t>PLOT 2</t>
  </si>
  <si>
    <t>Celtis zenkeri</t>
  </si>
  <si>
    <t>Ulmaceae</t>
  </si>
  <si>
    <t>Cola gigantea</t>
  </si>
  <si>
    <t>Spondias mombin</t>
  </si>
  <si>
    <t>Anacardiaceae</t>
  </si>
  <si>
    <t>Trichilia monadelpha</t>
  </si>
  <si>
    <t>Meliaceae</t>
  </si>
  <si>
    <t>PLOT 3</t>
  </si>
  <si>
    <t xml:space="preserve">Abundance </t>
  </si>
  <si>
    <t>Ricinodendron heudelotii</t>
  </si>
  <si>
    <t>Euphorbiaceae</t>
  </si>
  <si>
    <t>Bignoniaceae</t>
  </si>
  <si>
    <t>Trichilia megalantha</t>
  </si>
  <si>
    <t>PLOT 4</t>
  </si>
  <si>
    <t>DBH</t>
  </si>
  <si>
    <t>Daniella ogea</t>
  </si>
  <si>
    <t>Caesalpiniaceae </t>
  </si>
  <si>
    <t>Pycnanthus angolensis</t>
  </si>
  <si>
    <t>Myristicaceae</t>
  </si>
  <si>
    <t>Tetrapleura tetraptera</t>
  </si>
  <si>
    <t>PLOT 5</t>
  </si>
  <si>
    <t>Species Name</t>
  </si>
  <si>
    <t xml:space="preserve">DBH </t>
  </si>
  <si>
    <t>Maesopsis emini</t>
  </si>
  <si>
    <t>Rhamnaceae</t>
  </si>
  <si>
    <t xml:space="preserve">Pouteria alnifolia </t>
  </si>
  <si>
    <t>Pycnathus angolensis</t>
  </si>
  <si>
    <t>Sterculia tragacantha</t>
  </si>
  <si>
    <t>PLOT 6</t>
  </si>
  <si>
    <t xml:space="preserve">Family </t>
  </si>
  <si>
    <t>DBH cm</t>
  </si>
  <si>
    <t>Afzelia africana</t>
  </si>
  <si>
    <t>Morus mesozygia</t>
  </si>
  <si>
    <t>PLOT 7</t>
  </si>
  <si>
    <t xml:space="preserve">Species Name </t>
  </si>
  <si>
    <t>Alstonia boonei</t>
  </si>
  <si>
    <t>Cleistopholis patens</t>
  </si>
  <si>
    <t>Annonaceae</t>
  </si>
  <si>
    <t>Dialium guineensis</t>
  </si>
  <si>
    <t>Entandrophragama angolense</t>
  </si>
  <si>
    <t>Kigelia africana</t>
  </si>
  <si>
    <t>Myrianthus arboreus</t>
  </si>
  <si>
    <t>Cecropiaceae</t>
  </si>
  <si>
    <t>Trichilia</t>
  </si>
  <si>
    <t>PLOT 8</t>
  </si>
  <si>
    <t xml:space="preserve">Albizia adianthifolia </t>
  </si>
  <si>
    <t>Albizia glaberrima</t>
  </si>
  <si>
    <t>Cola acuminata</t>
  </si>
  <si>
    <t>Ficus exasperata</t>
  </si>
  <si>
    <t>Ficus spp</t>
  </si>
  <si>
    <t>Ficus vogelii</t>
  </si>
  <si>
    <t>Horlarhenna floribunda</t>
  </si>
  <si>
    <t xml:space="preserve">Irvingia gabonensis </t>
  </si>
  <si>
    <t>Irvingiaceae</t>
  </si>
  <si>
    <t>PLOT 1</t>
  </si>
  <si>
    <t xml:space="preserve">Species </t>
  </si>
  <si>
    <t>DBH(cm)</t>
  </si>
  <si>
    <t>Aidia genipiflora</t>
  </si>
  <si>
    <t>Rubiaceae</t>
  </si>
  <si>
    <t>Albizia adianthifolia</t>
  </si>
  <si>
    <t>Alstonia cogensis</t>
  </si>
  <si>
    <t>Anthonotha macrophylla</t>
  </si>
  <si>
    <t>Caesalpiniaceae</t>
  </si>
  <si>
    <t>Ceiba Petandra</t>
  </si>
  <si>
    <t>Bombacaceae</t>
  </si>
  <si>
    <t>Celtis philippensis</t>
  </si>
  <si>
    <t>Celtis toka</t>
  </si>
  <si>
    <t xml:space="preserve">Cleistopholis patens </t>
  </si>
  <si>
    <t>Cola nigerica</t>
  </si>
  <si>
    <t>Cordia millenii</t>
  </si>
  <si>
    <t>Boraginaceae</t>
  </si>
  <si>
    <t>Desplatasia subericarpa</t>
  </si>
  <si>
    <t>Tiliaceae</t>
  </si>
  <si>
    <t>Diospyros mespliformis</t>
  </si>
  <si>
    <t>Ebenaceae</t>
  </si>
  <si>
    <t>Diospyros suaveolens</t>
  </si>
  <si>
    <t>Ficus lutea</t>
  </si>
  <si>
    <t>Musanga cecropioides</t>
  </si>
  <si>
    <t>Napoleonaea imperialis</t>
  </si>
  <si>
    <t>Lecythidaceae</t>
  </si>
  <si>
    <t xml:space="preserve"> Napoleonaea vogelii</t>
  </si>
  <si>
    <t>Nauclea diderrichii</t>
  </si>
  <si>
    <t>Piptadenisatrum africanum</t>
  </si>
  <si>
    <t>Mimosaceae </t>
  </si>
  <si>
    <t>Ricinodendrum heudelotii</t>
  </si>
  <si>
    <t>Sterculia oblonga</t>
  </si>
  <si>
    <t>Sterculia rhinopetala</t>
  </si>
  <si>
    <t>Strombosia postulata</t>
  </si>
  <si>
    <t>Olacaceae</t>
  </si>
  <si>
    <t>Terminalia superba</t>
  </si>
  <si>
    <t>Trichillia heudelotii</t>
  </si>
  <si>
    <t>Annickia chlorantha</t>
  </si>
  <si>
    <t>Canarium schweinfurthii</t>
  </si>
  <si>
    <t>Burseraceae</t>
  </si>
  <si>
    <t>Ceiba petandra</t>
  </si>
  <si>
    <t>Cola Sp</t>
  </si>
  <si>
    <t>Diospyros dendo</t>
  </si>
  <si>
    <t>Diospyros mespiliformis</t>
  </si>
  <si>
    <t>Khaya ivorensis</t>
  </si>
  <si>
    <t>Napoleonaea  vogelii</t>
  </si>
  <si>
    <t>Picralima nitida</t>
  </si>
  <si>
    <t xml:space="preserve">Stombosia pustulata </t>
  </si>
  <si>
    <t>Combretaceae</t>
  </si>
  <si>
    <t>Trichilia heudelotii</t>
  </si>
  <si>
    <t>Zanthoxylum zanthoxyloides</t>
  </si>
  <si>
    <t>Rutaceae</t>
  </si>
  <si>
    <t>Cola Spp</t>
  </si>
  <si>
    <t>Microdesmis puberula</t>
  </si>
  <si>
    <t>Pandaceae</t>
  </si>
  <si>
    <t>Napoleonaea vogelii</t>
  </si>
  <si>
    <t>Pycnanthus angolense</t>
  </si>
  <si>
    <t>Terminallia ivorensis</t>
  </si>
  <si>
    <t>Bullet Tree</t>
  </si>
  <si>
    <t>Cola spp</t>
  </si>
  <si>
    <t>Diospyros crassiflora</t>
  </si>
  <si>
    <t>Dracaena mannii</t>
  </si>
  <si>
    <t>Dracaenaceae</t>
  </si>
  <si>
    <t>Napoleonaea vogelli</t>
  </si>
  <si>
    <t>Strombosia pustulata</t>
  </si>
  <si>
    <t xml:space="preserve">Brachystegia eurycoma </t>
  </si>
  <si>
    <t>Asparagaceae</t>
  </si>
  <si>
    <t>Terminalia ivorensis</t>
  </si>
  <si>
    <t>Zanthoxyllum leuprierii</t>
  </si>
  <si>
    <t>Baphia pubescens</t>
  </si>
  <si>
    <t>Leguminosae</t>
  </si>
  <si>
    <t xml:space="preserve">Entandrophragma cylindricum </t>
  </si>
  <si>
    <t xml:space="preserve">Piptadeniastrum africanum </t>
  </si>
  <si>
    <t>Rothmannia witfieldii</t>
  </si>
  <si>
    <t>Baphia nitida</t>
  </si>
  <si>
    <t xml:space="preserve">Ceiba petandra </t>
  </si>
  <si>
    <t>Celtis milbreadii</t>
  </si>
  <si>
    <t>Dia lium guinensis</t>
  </si>
  <si>
    <t xml:space="preserve">Diospyros suaveolens </t>
  </si>
  <si>
    <t xml:space="preserve">Lecaniodiscus cupanioides </t>
  </si>
  <si>
    <t>Pterygota bequarthi</t>
  </si>
  <si>
    <t>Pterygota macrocarpa</t>
  </si>
  <si>
    <t>Pycanthus angolensis</t>
  </si>
  <si>
    <t>Rothmania longiflora</t>
  </si>
  <si>
    <t>Zanthoxyllum zanthoxyloides</t>
  </si>
  <si>
    <t xml:space="preserve">Plot </t>
  </si>
  <si>
    <t xml:space="preserve">ABUNDANCE </t>
  </si>
  <si>
    <t>Conservation status</t>
  </si>
  <si>
    <t>RD</t>
  </si>
  <si>
    <t>IVI</t>
  </si>
  <si>
    <t>Vulnerable</t>
  </si>
  <si>
    <t xml:space="preserve">Least Concern </t>
  </si>
  <si>
    <t>Near Threatened</t>
  </si>
  <si>
    <t>Not assessed</t>
  </si>
  <si>
    <t>Emerald Plot 1</t>
  </si>
  <si>
    <t>Albizia lebbeck</t>
  </si>
  <si>
    <t>Blighia sapida</t>
  </si>
  <si>
    <t>Blighia unijugata</t>
  </si>
  <si>
    <t>Cola millenii</t>
  </si>
  <si>
    <t>Diospyros monbuttensis</t>
  </si>
  <si>
    <t>Holarrhena floribunda</t>
  </si>
  <si>
    <t>Millettia thonningii</t>
  </si>
  <si>
    <t>Trichilia heudelotti</t>
  </si>
  <si>
    <t xml:space="preserve">Triplochiton scleroxylon </t>
  </si>
  <si>
    <t>Emerald Plot 2</t>
  </si>
  <si>
    <t>Brachystegia eurycoma</t>
  </si>
  <si>
    <t xml:space="preserve">Cassia siamea </t>
  </si>
  <si>
    <t>Olax subscorpioidea</t>
  </si>
  <si>
    <t>Pterocarpus osun</t>
  </si>
  <si>
    <t xml:space="preserve">Pterygota  macrocarpa </t>
  </si>
  <si>
    <t>Emerald Plot 3</t>
  </si>
  <si>
    <t xml:space="preserve">Albizia glaberrima </t>
  </si>
  <si>
    <t>Bombax buonopozense</t>
  </si>
  <si>
    <t>Launaea weiweithi</t>
  </si>
  <si>
    <t>Olax subicorpiodiae</t>
  </si>
  <si>
    <t>Shypranthus mahrotrys</t>
  </si>
  <si>
    <t xml:space="preserve">Trichilia monadelpha </t>
  </si>
  <si>
    <t>Emerald Plot 4</t>
  </si>
  <si>
    <t xml:space="preserve">Albizia ferruginea </t>
  </si>
  <si>
    <t>Menzoneron benthamianum</t>
  </si>
  <si>
    <t>Trichillia monadelpha</t>
  </si>
  <si>
    <t>Zanthoxylum leprieurii</t>
  </si>
  <si>
    <t>Emerald Plot 5</t>
  </si>
  <si>
    <t>Albizia ferrugima</t>
  </si>
  <si>
    <t xml:space="preserve">Chrysophyllum albidum </t>
  </si>
  <si>
    <t>Funtamia elastica</t>
  </si>
  <si>
    <t>Hildegardia  barteri</t>
  </si>
  <si>
    <t xml:space="preserve">Landolphia </t>
  </si>
  <si>
    <t>Mansonia altissima</t>
  </si>
  <si>
    <t xml:space="preserve">Monodora tenuifolia </t>
  </si>
  <si>
    <t xml:space="preserve">Olax subicorpiodea </t>
  </si>
  <si>
    <t>Ricinodendron  heudelotti</t>
  </si>
  <si>
    <t>Trichillia heudellotti</t>
  </si>
  <si>
    <t>Triplesium madagascariense</t>
  </si>
  <si>
    <t>unknown</t>
  </si>
  <si>
    <t>Vitex rivoularis</t>
  </si>
  <si>
    <t>Lamiaceae</t>
  </si>
  <si>
    <t>Emerald Plot 6</t>
  </si>
  <si>
    <t>Papilionaceae </t>
  </si>
  <si>
    <t>Chytranthus macrobotrys</t>
  </si>
  <si>
    <t>Cynometra megalophylla</t>
  </si>
  <si>
    <t>Entandrophragma angolense</t>
  </si>
  <si>
    <t>Launa weiwetchi</t>
  </si>
  <si>
    <t>Philenoptera cyanescens</t>
  </si>
  <si>
    <t>Pterocerpus osun</t>
  </si>
  <si>
    <t>Rothmannia hispida</t>
  </si>
  <si>
    <r>
      <rPr>
        <b/>
        <i/>
        <sz val="11"/>
        <color rgb="FF5F6368"/>
        <rFont val="Calibri"/>
        <charset val="134"/>
      </rPr>
      <t>Trichilia</t>
    </r>
    <r>
      <rPr>
        <i/>
        <sz val="11"/>
        <color rgb="FF4D5156"/>
        <rFont val="Calibri"/>
        <charset val="134"/>
      </rPr>
      <t> prieureana</t>
    </r>
  </si>
  <si>
    <t>Emerald Plot 7</t>
  </si>
  <si>
    <t>Khaya grandifoliola</t>
  </si>
  <si>
    <t>Marganitaria discordea</t>
  </si>
  <si>
    <t>Nesogodonia papaverifera</t>
  </si>
  <si>
    <t>Trichilia prieuriana</t>
  </si>
  <si>
    <t>Emerald Plot 8</t>
  </si>
  <si>
    <t>Antiaris toxicana</t>
  </si>
  <si>
    <t>Baphia pubescence</t>
  </si>
  <si>
    <t>Celtis milbraedii</t>
  </si>
  <si>
    <t>Cannabaceae</t>
  </si>
  <si>
    <t>Hildegardia banteri</t>
  </si>
  <si>
    <t xml:space="preserve">Microdesmis puberula </t>
  </si>
  <si>
    <t>Rothmannia longiflora</t>
  </si>
  <si>
    <t>Sterculia tragacanta</t>
  </si>
  <si>
    <t>Trichillia heudelotti</t>
  </si>
  <si>
    <t>Trichillia prieuriana</t>
  </si>
  <si>
    <t>Mean DBH(cm)</t>
  </si>
  <si>
    <t>Papilionoideae</t>
  </si>
  <si>
    <t>Lannea welwitschii</t>
  </si>
  <si>
    <t xml:space="preserve">Endangered </t>
  </si>
  <si>
    <t xml:space="preserve">Strombosia pustulata </t>
  </si>
  <si>
    <t>Albizia ferruginea</t>
  </si>
  <si>
    <t>Least Concern</t>
  </si>
  <si>
    <t>Maganitaria discadea</t>
  </si>
  <si>
    <t>Endangered</t>
  </si>
  <si>
    <t>Nesogordonia papaverifera</t>
  </si>
  <si>
    <t>Olax subscorpioidae</t>
  </si>
  <si>
    <t>Papilionaceae</t>
  </si>
  <si>
    <t>S/N</t>
  </si>
  <si>
    <t>IITA Forest</t>
  </si>
  <si>
    <t>Emerald Forest</t>
  </si>
  <si>
    <t>Elephant Forest Reserve</t>
  </si>
  <si>
    <t>No of</t>
  </si>
  <si>
    <t>No of species</t>
  </si>
  <si>
    <t>species</t>
  </si>
  <si>
    <t>Leguminoceae</t>
  </si>
  <si>
    <t>Mimosaceae</t>
  </si>
  <si>
    <t>Papilioniodeae</t>
  </si>
  <si>
    <t xml:space="preserve">Bacterial </t>
  </si>
  <si>
    <t>Plot</t>
  </si>
  <si>
    <t xml:space="preserve">Emerald </t>
  </si>
  <si>
    <t xml:space="preserve">IITA </t>
  </si>
  <si>
    <t>OMO</t>
  </si>
  <si>
    <r>
      <rPr>
        <sz val="11"/>
        <color theme="1"/>
        <rFont val="Calibri"/>
        <charset val="134"/>
        <scheme val="minor"/>
      </rPr>
      <t>1.27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</si>
  <si>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6.93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</si>
  <si>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1.71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</si>
  <si>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1.4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</si>
  <si>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2.27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</si>
  <si>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8.50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</si>
  <si>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6.67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</si>
  <si>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4.90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</si>
  <si>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3.41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</si>
  <si>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8.43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</si>
  <si>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9.27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</si>
  <si>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2.19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</si>
  <si>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1.35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</si>
  <si>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2.83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</si>
  <si>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3.66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</si>
  <si>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1.73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</si>
  <si>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1.07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</si>
  <si>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5.54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</si>
  <si>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9.46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</si>
  <si>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1.27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</si>
  <si>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1.97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</si>
  <si>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8.73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</si>
  <si>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2.83 X 10</t>
    </r>
    <r>
      <rPr>
        <vertAlign val="superscript"/>
        <sz val="11"/>
        <color theme="1"/>
        <rFont val="Calibri"/>
        <charset val="134"/>
        <scheme val="minor"/>
      </rPr>
      <t>10</t>
    </r>
  </si>
  <si>
    <r>
      <rPr>
        <sz val="11"/>
        <color theme="1"/>
        <rFont val="Calibri"/>
        <charset val="134"/>
        <scheme val="minor"/>
      </rPr>
      <t>1.22 X 10</t>
    </r>
    <r>
      <rPr>
        <vertAlign val="superscript"/>
        <sz val="11"/>
        <color theme="1"/>
        <rFont val="Calibri"/>
        <charset val="134"/>
        <scheme val="minor"/>
      </rPr>
      <t>9</t>
    </r>
  </si>
  <si>
    <t>Fungi</t>
  </si>
  <si>
    <r>
      <rPr>
        <sz val="12"/>
        <color theme="1"/>
        <rFont val="Calibri"/>
        <charset val="134"/>
        <scheme val="minor"/>
      </rPr>
      <t>1.6 x 10</t>
    </r>
    <r>
      <rPr>
        <vertAlign val="superscript"/>
        <sz val="12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</si>
  <si>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5.39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</si>
  <si>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3.53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</si>
  <si>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2"/>
        <color theme="1"/>
        <rFont val="Calibri"/>
        <charset val="134"/>
        <scheme val="minor"/>
      </rPr>
      <t>1.59 x 10</t>
    </r>
    <r>
      <rPr>
        <vertAlign val="superscript"/>
        <sz val="12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</si>
  <si>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8.67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</si>
  <si>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1.4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</si>
  <si>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2"/>
        <color theme="1"/>
        <rFont val="Calibri"/>
        <charset val="134"/>
        <scheme val="minor"/>
      </rPr>
      <t>8.28 x 10</t>
    </r>
    <r>
      <rPr>
        <vertAlign val="superscript"/>
        <sz val="12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</si>
  <si>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1.04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</si>
  <si>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2.35 X 10</t>
    </r>
    <r>
      <rPr>
        <vertAlign val="superscript"/>
        <sz val="11"/>
        <color theme="1"/>
        <rFont val="Calibri"/>
        <charset val="134"/>
        <scheme val="minor"/>
      </rPr>
      <t>9</t>
    </r>
  </si>
  <si>
    <r>
      <rPr>
        <sz val="11"/>
        <color theme="1"/>
        <rFont val="Calibri"/>
        <charset val="134"/>
        <scheme val="minor"/>
      </rPr>
      <t>5.1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</si>
  <si>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2.79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</si>
  <si>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1.24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</si>
  <si>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3.68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</si>
  <si>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9.01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</si>
  <si>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1.05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</si>
  <si>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6.4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</si>
  <si>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6.37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</si>
  <si>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9.44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</si>
  <si>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1.93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</si>
  <si>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5.25 X 10</t>
    </r>
    <r>
      <rPr>
        <vertAlign val="superscript"/>
        <sz val="11"/>
        <color theme="1"/>
        <rFont val="Calibri"/>
        <charset val="134"/>
        <scheme val="minor"/>
      </rPr>
      <t>8</t>
    </r>
  </si>
  <si>
    <r>
      <rPr>
        <sz val="11"/>
        <color theme="1"/>
        <rFont val="Calibri"/>
        <charset val="134"/>
        <scheme val="minor"/>
      </rPr>
      <t>5.7 X 10</t>
    </r>
    <r>
      <rPr>
        <vertAlign val="superscript"/>
        <sz val="11"/>
        <color theme="1"/>
        <rFont val="Calibri"/>
        <charset val="134"/>
        <scheme val="minor"/>
      </rPr>
      <t>7</t>
    </r>
  </si>
  <si>
    <r>
      <rPr>
        <sz val="11"/>
        <color theme="1"/>
        <rFont val="Calibri"/>
        <charset val="134"/>
        <scheme val="minor"/>
      </rPr>
      <t>5.2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</si>
  <si>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7.27 X 10</t>
    </r>
    <r>
      <rPr>
        <vertAlign val="superscript"/>
        <sz val="11"/>
        <color theme="1"/>
        <rFont val="Calibri"/>
        <charset val="134"/>
        <scheme val="minor"/>
      </rPr>
      <t>6</t>
    </r>
  </si>
  <si>
    <r>
      <rPr>
        <sz val="11"/>
        <color theme="1"/>
        <rFont val="Calibri"/>
        <charset val="134"/>
        <scheme val="minor"/>
      </rPr>
      <t>1.96 X 10</t>
    </r>
    <r>
      <rPr>
        <vertAlign val="superscript"/>
        <sz val="11"/>
        <color theme="1"/>
        <rFont val="Calibri"/>
        <charset val="134"/>
        <scheme val="minor"/>
      </rPr>
      <t>7</t>
    </r>
  </si>
  <si>
    <t>EMELRAD FOREST</t>
  </si>
  <si>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</si>
  <si>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</si>
  <si>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</si>
  <si>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</si>
  <si>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</si>
  <si>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</si>
  <si>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</si>
  <si>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</si>
  <si>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nematodes</t>
  </si>
  <si>
    <t>Tardigrades</t>
  </si>
  <si>
    <t>opliones</t>
  </si>
  <si>
    <t>mites</t>
  </si>
  <si>
    <t>pauropods</t>
  </si>
  <si>
    <t>collembola</t>
  </si>
  <si>
    <t>enchytraeidae</t>
  </si>
  <si>
    <t>IITA FOREST RESERVE</t>
  </si>
  <si>
    <t>OMO FOREST RESERVE</t>
  </si>
  <si>
    <t>Freq.</t>
  </si>
  <si>
    <t>Mean dbh (cm)</t>
  </si>
  <si>
    <t>Max dbh (cm)</t>
  </si>
  <si>
    <t>RDO (%)</t>
  </si>
  <si>
    <t>RD (%)</t>
  </si>
  <si>
    <t>IVI (%)</t>
  </si>
  <si>
    <t>s</t>
  </si>
  <si>
    <t xml:space="preserve">Freq. </t>
  </si>
  <si>
    <t>Max dbh (m)</t>
  </si>
  <si>
    <t>RD  (%)</t>
  </si>
  <si>
    <t>IVI  (%)</t>
  </si>
  <si>
    <t xml:space="preserve">Not assessed </t>
  </si>
  <si>
    <t>N/A</t>
  </si>
  <si>
    <t>Max. dbh (m)</t>
  </si>
  <si>
    <t>Unknown</t>
  </si>
  <si>
    <t>IITA forest</t>
  </si>
  <si>
    <t xml:space="preserve">Emerald forest </t>
  </si>
  <si>
    <t>Elephant forest reserve</t>
  </si>
  <si>
    <t>Trees Parameters/ Biodiversity indices</t>
  </si>
  <si>
    <t>Number of species</t>
  </si>
  <si>
    <t>Mean Db(cm)</t>
  </si>
  <si>
    <t>Maximum  Dbh(cm)</t>
  </si>
  <si>
    <t>Shannon diversity index</t>
  </si>
  <si>
    <t>Species evenness</t>
  </si>
  <si>
    <t xml:space="preserve">Number of families </t>
  </si>
  <si>
    <t>Maximum Diversity(Hmax)</t>
  </si>
  <si>
    <t>Diff. Btw.H1 &amp; Hmax</t>
  </si>
  <si>
    <t>Ca2+</t>
  </si>
  <si>
    <t>Mg2+</t>
  </si>
  <si>
    <t>Sand</t>
  </si>
  <si>
    <t>Clay</t>
  </si>
  <si>
    <t>Silt</t>
  </si>
  <si>
    <t>pH</t>
  </si>
  <si>
    <t>Organic Carbon</t>
  </si>
  <si>
    <t>Organic Matter</t>
  </si>
  <si>
    <t>Sodium (Na)</t>
  </si>
  <si>
    <t>Potassium (K)</t>
  </si>
  <si>
    <t>Phosphorus</t>
  </si>
  <si>
    <t>C.E.C</t>
  </si>
  <si>
    <t>Nitrogen (N) %</t>
  </si>
  <si>
    <t>Frequency</t>
  </si>
  <si>
    <t>Amaryllidaceae</t>
  </si>
  <si>
    <t>Connaraceae</t>
  </si>
  <si>
    <t>Cannaraceae</t>
  </si>
  <si>
    <t>Celastraceae</t>
  </si>
  <si>
    <t>Clusiaceae</t>
  </si>
  <si>
    <t>Clausena anisata</t>
  </si>
  <si>
    <t>Entandrophragma angolensis</t>
  </si>
  <si>
    <t>Longaniaceae</t>
  </si>
  <si>
    <t>Menispermaceae</t>
  </si>
  <si>
    <t>Alchornea cordifolia</t>
  </si>
  <si>
    <t>Polygalaceae</t>
  </si>
  <si>
    <t>Pouteria alnifolia</t>
  </si>
  <si>
    <t>Pteridaceae</t>
  </si>
  <si>
    <t>Monodora tenuifolia</t>
  </si>
  <si>
    <t>Phytolaccaceae</t>
  </si>
  <si>
    <t>Monodora myristica</t>
  </si>
  <si>
    <t>Cola gigantia</t>
  </si>
  <si>
    <t>Anthocleista vogelii</t>
  </si>
  <si>
    <t>Napoleona imperialis</t>
  </si>
  <si>
    <t>Carpolobia lutea</t>
  </si>
  <si>
    <t>Cnestis ferruginea</t>
  </si>
  <si>
    <t>Dracaena arborea</t>
  </si>
  <si>
    <t>Pteris togoensis</t>
  </si>
  <si>
    <t>Sphenocentrum jollyanum</t>
  </si>
  <si>
    <t>Crinum jagus</t>
  </si>
  <si>
    <t xml:space="preserve">Annickia clorantha </t>
  </si>
  <si>
    <t>Allanblachia floribunda</t>
  </si>
  <si>
    <t xml:space="preserve">Diospyros mespliformis </t>
  </si>
  <si>
    <t>Napoleona vogelii</t>
  </si>
  <si>
    <t xml:space="preserve">Trichilia heudelotii </t>
  </si>
  <si>
    <t xml:space="preserve">Sphenocentrum jollyanum </t>
  </si>
  <si>
    <t>Massularia acuminata</t>
  </si>
  <si>
    <t>Rothmannia whitfieldii</t>
  </si>
  <si>
    <t>Oligocalyx spp</t>
  </si>
  <si>
    <t>Motandra guineensis</t>
  </si>
  <si>
    <t>Petiveria alliacea</t>
  </si>
  <si>
    <t>Salacia pallescens</t>
  </si>
  <si>
    <t>Napoleonae imperialis</t>
  </si>
  <si>
    <t>Napoleonae vogelii</t>
  </si>
  <si>
    <t>Spathodia campanulata</t>
  </si>
  <si>
    <t>IIacia tracatua</t>
  </si>
  <si>
    <t>Trichilia peruriana</t>
  </si>
  <si>
    <t>Dracaena manni</t>
  </si>
  <si>
    <t>Pouteria alnifoila</t>
  </si>
  <si>
    <t>Hildegardia barteri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</si>
</sst>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_ "/>
    <numFmt numFmtId="169" formatCode="0.0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i/>
      <sz val="11"/>
      <name val="Calibri"/>
      <charset val="134"/>
    </font>
    <font>
      <sz val="12"/>
      <color theme="1"/>
      <name val="Times New Roman"/>
      <charset val="134"/>
    </font>
    <font>
      <sz val="11"/>
      <color rgb="FF202124"/>
      <name val="Calibri"/>
      <charset val="134"/>
      <scheme val="minor"/>
    </font>
    <font>
      <b/>
      <i/>
      <sz val="11"/>
      <color rgb="FF5F6368"/>
      <name val="Calibri"/>
      <charset val="134"/>
    </font>
    <font>
      <sz val="11"/>
      <color rgb="FF000000"/>
      <name val="Calibri"/>
      <charset val="134"/>
      <scheme val="minor"/>
    </font>
    <font>
      <sz val="11"/>
      <color rgb="FF252525"/>
      <name val="Calibri"/>
      <charset val="134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i/>
      <sz val="11"/>
      <color rgb="FF202122"/>
      <name val="Calibri"/>
      <charset val="134"/>
      <scheme val="minor"/>
    </font>
    <font>
      <sz val="11"/>
      <color rgb="FF202122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vertAlign val="superscript"/>
      <sz val="12"/>
      <color theme="1"/>
      <name val="Calibri"/>
      <charset val="134"/>
      <scheme val="minor"/>
    </font>
    <font>
      <vertAlign val="superscript"/>
      <sz val="11"/>
      <color theme="1"/>
      <name val="Calibri"/>
      <charset val="134"/>
      <scheme val="minor"/>
    </font>
    <font>
      <i/>
      <sz val="11"/>
      <color rgb="FF4D5156"/>
      <name val="Calibr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68" fontId="0" fillId="0" borderId="0" xfId="0" applyNumberFormat="1"/>
    <xf numFmtId="169" fontId="0" fillId="0" borderId="0" xfId="0" applyNumberFormat="1"/>
    <xf numFmtId="0" fontId="6" fillId="0" borderId="0" xfId="0" applyFont="1" applyAlignment="1">
      <alignment vertical="top" wrapText="1"/>
    </xf>
    <xf numFmtId="0" fontId="0" fillId="0" borderId="0" xfId="0" applyFont="1" applyFill="1" applyAlignment="1"/>
    <xf numFmtId="168" fontId="0" fillId="0" borderId="0" xfId="0" applyNumberFormat="1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/>
    <xf numFmtId="0" fontId="9" fillId="0" borderId="0" xfId="0" applyFont="1" applyFill="1" applyAlignment="1"/>
    <xf numFmtId="0" fontId="10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0" fontId="12" fillId="0" borderId="0" xfId="0" applyFont="1"/>
    <xf numFmtId="0" fontId="0" fillId="0" borderId="0" xfId="0" applyNumberFormat="1" applyFont="1"/>
    <xf numFmtId="0" fontId="13" fillId="0" borderId="1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0" xfId="0" applyNumberFormat="1" applyFont="1" applyAlignment="1">
      <alignment horizontal="center" vertical="top"/>
    </xf>
    <xf numFmtId="0" fontId="13" fillId="0" borderId="3" xfId="0" applyFont="1" applyBorder="1" applyAlignment="1">
      <alignment vertical="top"/>
    </xf>
    <xf numFmtId="0" fontId="13" fillId="0" borderId="3" xfId="0" applyNumberFormat="1" applyFont="1" applyBorder="1" applyAlignment="1">
      <alignment horizontal="center" vertical="top"/>
    </xf>
    <xf numFmtId="0" fontId="14" fillId="0" borderId="0" xfId="0" applyFo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5" fillId="0" borderId="0" xfId="0" applyFont="1" applyFill="1" applyAlignment="1"/>
    <xf numFmtId="0" fontId="16" fillId="0" borderId="0" xfId="0" applyFont="1" applyFill="1" applyAlignment="1"/>
    <xf numFmtId="0" fontId="9" fillId="0" borderId="0" xfId="0" applyFont="1"/>
    <xf numFmtId="0" fontId="17" fillId="0" borderId="0" xfId="0" applyFont="1" applyFill="1" applyAlignment="1"/>
    <xf numFmtId="0" fontId="17" fillId="0" borderId="0" xfId="0" applyFont="1"/>
    <xf numFmtId="2" fontId="0" fillId="0" borderId="0" xfId="0" applyNumberFormat="1"/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0"/>
  <sheetViews>
    <sheetView workbookViewId="0">
      <selection activeCell="K23" sqref="K23"/>
    </sheetView>
  </sheetViews>
  <sheetFormatPr defaultColWidth="9" defaultRowHeight="15"/>
  <cols>
    <col min="2" max="2" width="27.28515625" customWidth="1"/>
    <col min="3" max="3" width="12.85546875" customWidth="1"/>
    <col min="4" max="4" width="11" customWidth="1"/>
    <col min="7" max="7" width="11.5703125" customWidth="1"/>
    <col min="8" max="8" width="12.85546875"/>
    <col min="9" max="11" width="14"/>
  </cols>
  <sheetData>
    <row r="2" spans="2:11">
      <c r="C2" s="1" t="s">
        <v>0</v>
      </c>
    </row>
    <row r="3" spans="2:11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34" t="s">
        <v>8</v>
      </c>
      <c r="J3" s="34" t="s">
        <v>9</v>
      </c>
      <c r="K3" s="34" t="s">
        <v>10</v>
      </c>
    </row>
    <row r="4" spans="2:11">
      <c r="B4" s="2" t="s">
        <v>11</v>
      </c>
      <c r="C4" s="10" t="s">
        <v>12</v>
      </c>
      <c r="D4">
        <v>1</v>
      </c>
      <c r="E4">
        <v>46</v>
      </c>
      <c r="F4">
        <f>(E4)/100</f>
        <v>0.46</v>
      </c>
      <c r="G4">
        <f>((3.142*(F4)^2/4))</f>
        <v>0.16621179999999999</v>
      </c>
      <c r="H4">
        <f>(G4/16.669)*100</f>
        <v>0.99713120163177138</v>
      </c>
      <c r="I4">
        <f>D4/37</f>
        <v>2.7027027027027029E-2</v>
      </c>
      <c r="J4">
        <f>LN(I4)</f>
        <v>-3.6109179126442243</v>
      </c>
      <c r="K4">
        <f>I4*J4</f>
        <v>-9.759237601741147E-2</v>
      </c>
    </row>
    <row r="5" spans="2:11">
      <c r="B5" s="2" t="s">
        <v>13</v>
      </c>
      <c r="C5" s="10" t="s">
        <v>12</v>
      </c>
      <c r="D5">
        <v>1</v>
      </c>
      <c r="E5">
        <v>48.1</v>
      </c>
      <c r="F5">
        <f t="shared" ref="F5:F16" si="0">(E5)/100</f>
        <v>0.48100000000000004</v>
      </c>
      <c r="G5">
        <f t="shared" ref="G5:G16" si="1">((3.142*(F5)^2/4))</f>
        <v>0.18173406550000001</v>
      </c>
      <c r="H5">
        <f t="shared" ref="H5:H16" si="2">(G5/16.669)*100</f>
        <v>1.0902517577539146</v>
      </c>
      <c r="I5">
        <f t="shared" ref="I5:I16" si="3">D5/37</f>
        <v>2.7027027027027029E-2</v>
      </c>
      <c r="J5">
        <f t="shared" ref="J5:J16" si="4">LN(I5)</f>
        <v>-3.6109179126442243</v>
      </c>
      <c r="K5">
        <f t="shared" ref="K5:K16" si="5">I5*J5</f>
        <v>-9.759237601741147E-2</v>
      </c>
    </row>
    <row r="6" spans="2:11">
      <c r="B6" s="2" t="s">
        <v>14</v>
      </c>
      <c r="C6" t="s">
        <v>15</v>
      </c>
      <c r="D6">
        <v>4</v>
      </c>
      <c r="E6">
        <v>152.80000000000001</v>
      </c>
      <c r="F6">
        <f t="shared" si="0"/>
        <v>1.528</v>
      </c>
      <c r="G6">
        <f t="shared" si="1"/>
        <v>1.8339728319999999</v>
      </c>
      <c r="H6">
        <f t="shared" si="2"/>
        <v>11.002296670466134</v>
      </c>
      <c r="I6">
        <f t="shared" si="3"/>
        <v>0.10810810810810811</v>
      </c>
      <c r="J6">
        <f t="shared" si="4"/>
        <v>-2.2246235515243336</v>
      </c>
      <c r="K6">
        <f t="shared" si="5"/>
        <v>-0.24049984340803607</v>
      </c>
    </row>
    <row r="7" spans="2:11">
      <c r="B7" s="2" t="s">
        <v>16</v>
      </c>
      <c r="C7" t="s">
        <v>17</v>
      </c>
      <c r="D7">
        <v>1</v>
      </c>
      <c r="E7">
        <v>21.2</v>
      </c>
      <c r="F7">
        <f t="shared" si="0"/>
        <v>0.21199999999999999</v>
      </c>
      <c r="G7">
        <f t="shared" si="1"/>
        <v>3.5303511999999995E-2</v>
      </c>
      <c r="H7">
        <f t="shared" si="2"/>
        <v>0.21179142120103184</v>
      </c>
      <c r="I7">
        <f t="shared" si="3"/>
        <v>2.7027027027027029E-2</v>
      </c>
      <c r="J7">
        <f t="shared" si="4"/>
        <v>-3.6109179126442243</v>
      </c>
      <c r="K7">
        <f t="shared" si="5"/>
        <v>-9.759237601741147E-2</v>
      </c>
    </row>
    <row r="8" spans="2:11">
      <c r="B8" s="2" t="s">
        <v>18</v>
      </c>
      <c r="C8" t="s">
        <v>19</v>
      </c>
      <c r="D8">
        <v>1</v>
      </c>
      <c r="E8">
        <v>18.5</v>
      </c>
      <c r="F8">
        <f t="shared" si="0"/>
        <v>0.185</v>
      </c>
      <c r="G8">
        <f t="shared" si="1"/>
        <v>2.6883737499999998E-2</v>
      </c>
      <c r="H8">
        <f t="shared" si="2"/>
        <v>0.16127984582158494</v>
      </c>
      <c r="I8">
        <f t="shared" si="3"/>
        <v>2.7027027027027029E-2</v>
      </c>
      <c r="J8">
        <f t="shared" si="4"/>
        <v>-3.6109179126442243</v>
      </c>
      <c r="K8">
        <f t="shared" si="5"/>
        <v>-9.759237601741147E-2</v>
      </c>
    </row>
    <row r="9" spans="2:11">
      <c r="B9" s="2" t="s">
        <v>20</v>
      </c>
      <c r="C9" t="s">
        <v>21</v>
      </c>
      <c r="D9">
        <v>6</v>
      </c>
      <c r="E9">
        <v>99</v>
      </c>
      <c r="F9">
        <f t="shared" si="0"/>
        <v>0.99</v>
      </c>
      <c r="G9">
        <f t="shared" si="1"/>
        <v>0.76986854999999998</v>
      </c>
      <c r="H9">
        <f t="shared" si="2"/>
        <v>4.6185647009418673</v>
      </c>
      <c r="I9">
        <f t="shared" si="3"/>
        <v>0.16216216216216217</v>
      </c>
      <c r="J9">
        <f t="shared" si="4"/>
        <v>-1.8191584434161694</v>
      </c>
      <c r="K9">
        <f t="shared" si="5"/>
        <v>-0.2949986664999194</v>
      </c>
    </row>
    <row r="10" spans="2:11">
      <c r="B10" s="2" t="s">
        <v>22</v>
      </c>
      <c r="C10" t="s">
        <v>21</v>
      </c>
      <c r="D10">
        <v>4</v>
      </c>
      <c r="E10">
        <v>128.4</v>
      </c>
      <c r="F10">
        <f t="shared" si="0"/>
        <v>1.284</v>
      </c>
      <c r="G10">
        <f t="shared" si="1"/>
        <v>1.295019288</v>
      </c>
      <c r="H10">
        <f t="shared" si="2"/>
        <v>7.769028064071029</v>
      </c>
      <c r="I10">
        <f t="shared" si="3"/>
        <v>0.10810810810810811</v>
      </c>
      <c r="J10">
        <f t="shared" si="4"/>
        <v>-2.2246235515243336</v>
      </c>
      <c r="K10">
        <f t="shared" si="5"/>
        <v>-0.24049984340803607</v>
      </c>
    </row>
    <row r="11" spans="2:11">
      <c r="B11" s="2" t="s">
        <v>23</v>
      </c>
      <c r="C11" t="s">
        <v>24</v>
      </c>
      <c r="D11">
        <v>2</v>
      </c>
      <c r="E11">
        <v>44.6</v>
      </c>
      <c r="F11">
        <f t="shared" si="0"/>
        <v>0.44600000000000001</v>
      </c>
      <c r="G11">
        <f t="shared" si="1"/>
        <v>0.156248518</v>
      </c>
      <c r="H11">
        <f t="shared" si="2"/>
        <v>0.93735987761713357</v>
      </c>
      <c r="I11">
        <f t="shared" si="3"/>
        <v>5.4054054054054057E-2</v>
      </c>
      <c r="J11">
        <f t="shared" si="4"/>
        <v>-2.917770732084279</v>
      </c>
      <c r="K11">
        <f t="shared" si="5"/>
        <v>-0.15771733686942049</v>
      </c>
    </row>
    <row r="12" spans="2:11">
      <c r="B12" s="2" t="s">
        <v>25</v>
      </c>
      <c r="C12" t="s">
        <v>12</v>
      </c>
      <c r="D12">
        <v>6</v>
      </c>
      <c r="E12">
        <v>241.3</v>
      </c>
      <c r="F12">
        <f t="shared" si="0"/>
        <v>2.4130000000000003</v>
      </c>
      <c r="G12">
        <f t="shared" si="1"/>
        <v>4.5736279495000014</v>
      </c>
      <c r="H12">
        <f t="shared" si="2"/>
        <v>27.437926387305783</v>
      </c>
      <c r="I12">
        <f t="shared" si="3"/>
        <v>0.16216216216216217</v>
      </c>
      <c r="J12">
        <f t="shared" si="4"/>
        <v>-1.8191584434161694</v>
      </c>
      <c r="K12">
        <f t="shared" si="5"/>
        <v>-0.2949986664999194</v>
      </c>
    </row>
    <row r="13" spans="2:11">
      <c r="B13" s="2" t="s">
        <v>26</v>
      </c>
      <c r="C13" t="s">
        <v>15</v>
      </c>
      <c r="D13">
        <v>1</v>
      </c>
      <c r="E13">
        <v>46.1</v>
      </c>
      <c r="F13">
        <f t="shared" si="0"/>
        <v>0.46100000000000002</v>
      </c>
      <c r="G13">
        <f t="shared" si="1"/>
        <v>0.1669352455</v>
      </c>
      <c r="H13">
        <f t="shared" si="2"/>
        <v>1.0014712670226169</v>
      </c>
      <c r="I13">
        <f t="shared" si="3"/>
        <v>2.7027027027027029E-2</v>
      </c>
      <c r="J13">
        <f t="shared" si="4"/>
        <v>-3.6109179126442243</v>
      </c>
      <c r="K13">
        <f t="shared" si="5"/>
        <v>-9.759237601741147E-2</v>
      </c>
    </row>
    <row r="14" spans="2:11">
      <c r="B14" s="2" t="s">
        <v>27</v>
      </c>
      <c r="C14" t="s">
        <v>28</v>
      </c>
      <c r="D14">
        <v>2</v>
      </c>
      <c r="E14">
        <v>35.6</v>
      </c>
      <c r="F14">
        <f t="shared" si="0"/>
        <v>0.35600000000000004</v>
      </c>
      <c r="G14">
        <f t="shared" si="1"/>
        <v>9.9551128000000003E-2</v>
      </c>
      <c r="H14">
        <f t="shared" si="2"/>
        <v>0.59722315675805382</v>
      </c>
      <c r="I14">
        <f t="shared" si="3"/>
        <v>5.4054054054054057E-2</v>
      </c>
      <c r="J14">
        <f t="shared" si="4"/>
        <v>-2.917770732084279</v>
      </c>
      <c r="K14">
        <f t="shared" si="5"/>
        <v>-0.15771733686942049</v>
      </c>
    </row>
    <row r="15" spans="2:11">
      <c r="B15" s="2" t="s">
        <v>29</v>
      </c>
      <c r="C15" t="s">
        <v>15</v>
      </c>
      <c r="D15">
        <v>7</v>
      </c>
      <c r="E15">
        <v>278.5</v>
      </c>
      <c r="F15">
        <f t="shared" si="0"/>
        <v>2.7850000000000001</v>
      </c>
      <c r="G15">
        <f t="shared" si="1"/>
        <v>6.0925147375000002</v>
      </c>
      <c r="H15">
        <f t="shared" si="2"/>
        <v>36.549971428999939</v>
      </c>
      <c r="I15">
        <f t="shared" si="3"/>
        <v>0.1891891891891892</v>
      </c>
      <c r="J15">
        <f t="shared" si="4"/>
        <v>-1.6650077635889111</v>
      </c>
      <c r="K15">
        <f t="shared" si="5"/>
        <v>-0.31500146878709129</v>
      </c>
    </row>
    <row r="16" spans="2:11">
      <c r="B16" s="2" t="s">
        <v>30</v>
      </c>
      <c r="C16" t="s">
        <v>31</v>
      </c>
      <c r="D16">
        <v>1</v>
      </c>
      <c r="E16" s="6">
        <v>127.2</v>
      </c>
      <c r="F16">
        <f t="shared" si="0"/>
        <v>1.272</v>
      </c>
      <c r="G16">
        <f t="shared" si="1"/>
        <v>1.270926432</v>
      </c>
      <c r="H16">
        <f t="shared" si="2"/>
        <v>7.6244911632371455</v>
      </c>
      <c r="I16">
        <f t="shared" si="3"/>
        <v>2.7027027027027029E-2</v>
      </c>
      <c r="J16">
        <f t="shared" si="4"/>
        <v>-3.6109179126442243</v>
      </c>
      <c r="K16">
        <f t="shared" si="5"/>
        <v>-9.759237601741147E-2</v>
      </c>
    </row>
    <row r="17" spans="2:11">
      <c r="B17" s="2"/>
      <c r="D17">
        <v>37</v>
      </c>
      <c r="E17" s="6"/>
      <c r="G17">
        <f>(SUM(G4:G16))</f>
        <v>16.668797795500002</v>
      </c>
    </row>
    <row r="18" spans="2:11">
      <c r="B18" s="2"/>
      <c r="E18" s="6"/>
      <c r="J18" t="s">
        <v>32</v>
      </c>
      <c r="K18">
        <v>2.2999999999999998</v>
      </c>
    </row>
    <row r="19" spans="2:11">
      <c r="B19" s="2"/>
      <c r="E19" s="6"/>
      <c r="J19" t="s">
        <v>33</v>
      </c>
      <c r="K19" s="42">
        <f>K18/LN(D17)</f>
        <v>0.63695715484037196</v>
      </c>
    </row>
    <row r="21" spans="2:11" s="1" customFormat="1">
      <c r="C21" s="1" t="s">
        <v>34</v>
      </c>
    </row>
    <row r="22" spans="2:11"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34" t="s">
        <v>8</v>
      </c>
      <c r="J22" s="34" t="s">
        <v>9</v>
      </c>
      <c r="K22" s="34" t="s">
        <v>10</v>
      </c>
    </row>
    <row r="23" spans="2:11">
      <c r="B23" s="2" t="s">
        <v>14</v>
      </c>
      <c r="C23" t="s">
        <v>15</v>
      </c>
      <c r="D23">
        <v>7</v>
      </c>
      <c r="E23">
        <v>79.099999999999994</v>
      </c>
      <c r="F23">
        <f>E23/100</f>
        <v>0.79099999999999993</v>
      </c>
      <c r="G23">
        <f>((3.142*(F23)^2/4))</f>
        <v>0.49147242549999992</v>
      </c>
      <c r="H23">
        <f>(G23/1.5522)*100</f>
        <v>31.662957447493874</v>
      </c>
      <c r="I23">
        <f>D23/29</f>
        <v>0.2413793103448276</v>
      </c>
      <c r="J23">
        <f>LN(I23)</f>
        <v>-1.4213856809311607</v>
      </c>
      <c r="K23">
        <f>I23*J23</f>
        <v>-0.34309309539717675</v>
      </c>
    </row>
    <row r="24" spans="2:11">
      <c r="B24" s="2" t="s">
        <v>35</v>
      </c>
      <c r="C24" t="s">
        <v>36</v>
      </c>
      <c r="D24">
        <v>2</v>
      </c>
      <c r="E24">
        <v>46.9</v>
      </c>
      <c r="F24">
        <f t="shared" ref="F24:F30" si="6">E24/100</f>
        <v>0.46899999999999997</v>
      </c>
      <c r="G24">
        <f t="shared" ref="G24:G30" si="7">((3.142*(F24)^2/4))</f>
        <v>0.17277936549999998</v>
      </c>
      <c r="H24">
        <f t="shared" ref="H24:H30" si="8">(G24/1.5522)*100</f>
        <v>11.131256635742815</v>
      </c>
      <c r="I24">
        <f t="shared" ref="I24:I30" si="9">D24/29</f>
        <v>6.8965517241379309E-2</v>
      </c>
      <c r="J24">
        <f t="shared" ref="J24:J30" si="10">LN(I24)</f>
        <v>-2.6741486494265287</v>
      </c>
      <c r="K24">
        <f t="shared" ref="K24:K30" si="11">I24*J24</f>
        <v>-0.18442404478803645</v>
      </c>
    </row>
    <row r="25" spans="2:11">
      <c r="B25" s="2" t="s">
        <v>37</v>
      </c>
      <c r="C25" t="s">
        <v>31</v>
      </c>
      <c r="D25">
        <v>1</v>
      </c>
      <c r="E25">
        <v>21.2</v>
      </c>
      <c r="F25">
        <f t="shared" si="6"/>
        <v>0.21199999999999999</v>
      </c>
      <c r="G25">
        <f t="shared" si="7"/>
        <v>3.5303511999999995E-2</v>
      </c>
      <c r="H25">
        <f t="shared" si="8"/>
        <v>2.2744177296740107</v>
      </c>
      <c r="I25">
        <f t="shared" si="9"/>
        <v>3.4482758620689655E-2</v>
      </c>
      <c r="J25">
        <f t="shared" si="10"/>
        <v>-3.3672958299864741</v>
      </c>
      <c r="K25">
        <f t="shared" si="11"/>
        <v>-0.11611364930987841</v>
      </c>
    </row>
    <row r="26" spans="2:11">
      <c r="B26" s="2" t="s">
        <v>20</v>
      </c>
      <c r="C26" t="s">
        <v>21</v>
      </c>
      <c r="D26">
        <v>8</v>
      </c>
      <c r="E26">
        <v>120.5</v>
      </c>
      <c r="F26">
        <f t="shared" si="6"/>
        <v>1.2050000000000001</v>
      </c>
      <c r="G26">
        <f t="shared" si="7"/>
        <v>1.1405656375</v>
      </c>
      <c r="H26">
        <f t="shared" si="8"/>
        <v>73.480584815101153</v>
      </c>
      <c r="I26">
        <f t="shared" si="9"/>
        <v>0.27586206896551724</v>
      </c>
      <c r="J26">
        <f t="shared" si="10"/>
        <v>-1.2878542883066382</v>
      </c>
      <c r="K26">
        <f t="shared" si="11"/>
        <v>-0.35527014849838295</v>
      </c>
    </row>
    <row r="27" spans="2:11">
      <c r="B27" s="2" t="s">
        <v>25</v>
      </c>
      <c r="C27" t="s">
        <v>12</v>
      </c>
      <c r="D27">
        <v>4</v>
      </c>
      <c r="E27">
        <v>53.3</v>
      </c>
      <c r="F27">
        <f t="shared" si="6"/>
        <v>0.53299999999999992</v>
      </c>
      <c r="G27">
        <f t="shared" si="7"/>
        <v>0.22315190949999994</v>
      </c>
      <c r="H27">
        <f t="shared" si="8"/>
        <v>14.376492043551083</v>
      </c>
      <c r="I27">
        <f t="shared" si="9"/>
        <v>0.13793103448275862</v>
      </c>
      <c r="J27">
        <f t="shared" si="10"/>
        <v>-1.9810014688665833</v>
      </c>
      <c r="K27">
        <f t="shared" si="11"/>
        <v>-0.2732415819126322</v>
      </c>
    </row>
    <row r="28" spans="2:11">
      <c r="B28" s="2" t="s">
        <v>38</v>
      </c>
      <c r="C28" t="s">
        <v>39</v>
      </c>
      <c r="D28">
        <v>2</v>
      </c>
      <c r="E28">
        <v>26.4</v>
      </c>
      <c r="F28">
        <f t="shared" si="6"/>
        <v>0.26400000000000001</v>
      </c>
      <c r="G28">
        <f t="shared" si="7"/>
        <v>5.4746208000000005E-2</v>
      </c>
      <c r="H28">
        <f t="shared" si="8"/>
        <v>3.5270073444143799</v>
      </c>
      <c r="I28">
        <f t="shared" si="9"/>
        <v>6.8965517241379309E-2</v>
      </c>
      <c r="J28">
        <f t="shared" si="10"/>
        <v>-2.6741486494265287</v>
      </c>
      <c r="K28">
        <f t="shared" si="11"/>
        <v>-0.18442404478803645</v>
      </c>
    </row>
    <row r="29" spans="2:11">
      <c r="B29" s="2" t="s">
        <v>40</v>
      </c>
      <c r="C29" t="s">
        <v>41</v>
      </c>
      <c r="D29">
        <v>3</v>
      </c>
      <c r="E29">
        <v>56.1</v>
      </c>
      <c r="F29">
        <f t="shared" si="6"/>
        <v>0.56100000000000005</v>
      </c>
      <c r="G29">
        <f t="shared" si="7"/>
        <v>0.24721334550000007</v>
      </c>
      <c r="H29">
        <f t="shared" si="8"/>
        <v>15.926642539621186</v>
      </c>
      <c r="I29">
        <f t="shared" si="9"/>
        <v>0.10344827586206896</v>
      </c>
      <c r="J29">
        <f t="shared" si="10"/>
        <v>-2.2686835413183641</v>
      </c>
      <c r="K29">
        <f t="shared" si="11"/>
        <v>-0.23469140082603768</v>
      </c>
    </row>
    <row r="30" spans="2:11">
      <c r="B30" s="2" t="s">
        <v>29</v>
      </c>
      <c r="C30" t="s">
        <v>15</v>
      </c>
      <c r="D30">
        <v>2</v>
      </c>
      <c r="E30">
        <v>48.8</v>
      </c>
      <c r="F30">
        <f t="shared" si="6"/>
        <v>0.48799999999999999</v>
      </c>
      <c r="G30">
        <f t="shared" si="7"/>
        <v>0.187062112</v>
      </c>
      <c r="H30">
        <f t="shared" si="8"/>
        <v>12.051418116222136</v>
      </c>
      <c r="I30">
        <f t="shared" si="9"/>
        <v>6.8965517241379309E-2</v>
      </c>
      <c r="J30">
        <f t="shared" si="10"/>
        <v>-2.6741486494265287</v>
      </c>
      <c r="K30">
        <f t="shared" si="11"/>
        <v>-0.18442404478803645</v>
      </c>
    </row>
    <row r="31" spans="2:11">
      <c r="B31" s="2"/>
      <c r="D31">
        <v>29</v>
      </c>
      <c r="G31">
        <v>2.5522</v>
      </c>
    </row>
    <row r="32" spans="2:11">
      <c r="B32" s="2"/>
      <c r="J32" t="s">
        <v>32</v>
      </c>
      <c r="K32">
        <v>1.87</v>
      </c>
    </row>
    <row r="33" spans="2:11">
      <c r="B33" s="2"/>
      <c r="J33" t="s">
        <v>33</v>
      </c>
      <c r="K33" s="42">
        <f>K32/LN(29)</f>
        <v>0.55534176217820208</v>
      </c>
    </row>
    <row r="34" spans="2:11">
      <c r="B34" s="2"/>
      <c r="C34" s="1"/>
      <c r="K34" s="42"/>
    </row>
    <row r="35" spans="2:11">
      <c r="B35" s="2"/>
      <c r="C35" s="1"/>
      <c r="K35" s="42"/>
    </row>
    <row r="36" spans="2:11">
      <c r="B36" s="2"/>
      <c r="C36" s="1"/>
      <c r="K36" s="42"/>
    </row>
    <row r="37" spans="2:11">
      <c r="B37" s="2"/>
      <c r="C37" s="1"/>
      <c r="K37" s="42"/>
    </row>
    <row r="38" spans="2:11">
      <c r="B38" s="2"/>
      <c r="C38" s="1" t="s">
        <v>42</v>
      </c>
      <c r="K38" s="42"/>
    </row>
    <row r="39" spans="2:11">
      <c r="B39" s="41" t="s">
        <v>1</v>
      </c>
      <c r="C39" s="1" t="s">
        <v>2</v>
      </c>
      <c r="D39" s="1" t="s">
        <v>43</v>
      </c>
      <c r="E39" s="1" t="s">
        <v>4</v>
      </c>
      <c r="F39" s="1" t="s">
        <v>5</v>
      </c>
      <c r="G39" s="1" t="s">
        <v>6</v>
      </c>
      <c r="H39" s="1" t="s">
        <v>7</v>
      </c>
      <c r="I39" s="34" t="s">
        <v>8</v>
      </c>
      <c r="J39" s="34" t="s">
        <v>9</v>
      </c>
      <c r="K39" s="34" t="s">
        <v>10</v>
      </c>
    </row>
    <row r="40" spans="2:11">
      <c r="B40" s="2" t="s">
        <v>44</v>
      </c>
      <c r="C40" t="s">
        <v>45</v>
      </c>
      <c r="D40">
        <v>1</v>
      </c>
      <c r="E40">
        <v>42.3</v>
      </c>
      <c r="F40">
        <f>(E40)/100</f>
        <v>0.42299999999999999</v>
      </c>
      <c r="G40">
        <f>((3.142*(F40)^2/4))</f>
        <v>0.14054872949999997</v>
      </c>
      <c r="H40">
        <f>(G40/3.1689)*100</f>
        <v>4.4352529111047989</v>
      </c>
      <c r="I40">
        <f>H40/17</f>
        <v>0.26089723006498816</v>
      </c>
      <c r="J40">
        <f>LN(I40)</f>
        <v>-1.3436287037413934</v>
      </c>
      <c r="K40">
        <f>I40*J40</f>
        <v>-0.35054900704194014</v>
      </c>
    </row>
    <row r="41" spans="2:11">
      <c r="B41" s="2" t="s">
        <v>11</v>
      </c>
      <c r="C41" t="s">
        <v>12</v>
      </c>
      <c r="D41">
        <v>3</v>
      </c>
      <c r="E41">
        <v>141.6</v>
      </c>
      <c r="F41">
        <f t="shared" ref="F41:F49" si="12">(E41)/100</f>
        <v>1.4159999999999999</v>
      </c>
      <c r="G41">
        <f t="shared" ref="G41:G49" si="13">((3.142*(F41)^2/4))</f>
        <v>1.5749714879999996</v>
      </c>
      <c r="H41">
        <f t="shared" ref="H41:H49" si="14">(G41/3.1689)*100</f>
        <v>49.700889520022713</v>
      </c>
      <c r="I41">
        <f t="shared" ref="I41:I49" si="15">H41/17</f>
        <v>2.9235817364719243</v>
      </c>
      <c r="J41">
        <f t="shared" ref="J41:J49" si="16">LN(I41)</f>
        <v>1.0728094866733808</v>
      </c>
      <c r="K41">
        <f t="shared" ref="K41:K49" si="17">I41*J41</f>
        <v>3.1364462219521165</v>
      </c>
    </row>
    <row r="42" spans="2:11">
      <c r="B42" s="2" t="s">
        <v>14</v>
      </c>
      <c r="C42" t="s">
        <v>15</v>
      </c>
      <c r="D42">
        <v>4</v>
      </c>
      <c r="E42">
        <v>115.6</v>
      </c>
      <c r="F42">
        <f t="shared" si="12"/>
        <v>1.1559999999999999</v>
      </c>
      <c r="G42">
        <f t="shared" si="13"/>
        <v>1.0496919279999997</v>
      </c>
      <c r="H42">
        <f t="shared" si="14"/>
        <v>33.124804443182164</v>
      </c>
      <c r="I42">
        <f t="shared" si="15"/>
        <v>1.9485179084224802</v>
      </c>
      <c r="J42">
        <f t="shared" si="16"/>
        <v>0.66706903663069594</v>
      </c>
      <c r="K42">
        <f t="shared" si="17"/>
        <v>1.2997959640290424</v>
      </c>
    </row>
    <row r="43" spans="2:11">
      <c r="B43" s="2" t="s">
        <v>35</v>
      </c>
      <c r="C43" t="s">
        <v>36</v>
      </c>
      <c r="D43">
        <v>1</v>
      </c>
      <c r="E43">
        <v>26</v>
      </c>
      <c r="F43">
        <f t="shared" si="12"/>
        <v>0.26</v>
      </c>
      <c r="G43">
        <f t="shared" si="13"/>
        <v>5.3099800000000003E-2</v>
      </c>
      <c r="H43">
        <f t="shared" si="14"/>
        <v>1.6756540124333368</v>
      </c>
      <c r="I43">
        <f t="shared" si="15"/>
        <v>9.8567883084313926E-2</v>
      </c>
      <c r="J43">
        <f t="shared" si="16"/>
        <v>-2.3170097998028938</v>
      </c>
      <c r="K43">
        <f t="shared" si="17"/>
        <v>-0.22838275105218125</v>
      </c>
    </row>
    <row r="44" spans="2:11">
      <c r="B44" s="2" t="s">
        <v>20</v>
      </c>
      <c r="C44" t="s">
        <v>21</v>
      </c>
      <c r="D44">
        <v>2</v>
      </c>
      <c r="E44">
        <v>28</v>
      </c>
      <c r="F44">
        <f t="shared" si="12"/>
        <v>0.28000000000000003</v>
      </c>
      <c r="G44">
        <f t="shared" si="13"/>
        <v>6.1583200000000005E-2</v>
      </c>
      <c r="H44">
        <f t="shared" si="14"/>
        <v>1.9433620499226862</v>
      </c>
      <c r="I44">
        <f t="shared" si="15"/>
        <v>0.11431541470133448</v>
      </c>
      <c r="J44">
        <f t="shared" si="16"/>
        <v>-2.16879385549545</v>
      </c>
      <c r="K44">
        <f t="shared" si="17"/>
        <v>-0.24792656899266846</v>
      </c>
    </row>
    <row r="45" spans="2:11">
      <c r="B45" s="2" t="s">
        <v>23</v>
      </c>
      <c r="C45" t="s">
        <v>24</v>
      </c>
      <c r="D45">
        <v>2</v>
      </c>
      <c r="E45">
        <v>31.5</v>
      </c>
      <c r="F45">
        <f t="shared" si="12"/>
        <v>0.315</v>
      </c>
      <c r="G45">
        <f t="shared" si="13"/>
        <v>7.794123750000001E-2</v>
      </c>
      <c r="H45">
        <f t="shared" si="14"/>
        <v>2.4595675944334001</v>
      </c>
      <c r="I45">
        <f t="shared" si="15"/>
        <v>0.14468044673137648</v>
      </c>
      <c r="J45">
        <f t="shared" si="16"/>
        <v>-1.9332277841826828</v>
      </c>
      <c r="K45">
        <f t="shared" si="17"/>
        <v>-0.27970025944905963</v>
      </c>
    </row>
    <row r="46" spans="2:11">
      <c r="B46" s="2" t="s">
        <v>27</v>
      </c>
      <c r="C46" t="s">
        <v>46</v>
      </c>
      <c r="D46">
        <v>1</v>
      </c>
      <c r="E46" s="6">
        <v>15</v>
      </c>
      <c r="F46">
        <f t="shared" si="12"/>
        <v>0.15</v>
      </c>
      <c r="G46">
        <f t="shared" si="13"/>
        <v>1.7673749999999998E-2</v>
      </c>
      <c r="H46">
        <f t="shared" si="14"/>
        <v>0.55772507810281169</v>
      </c>
      <c r="I46">
        <f t="shared" si="15"/>
        <v>3.2807357535459512E-2</v>
      </c>
      <c r="J46">
        <f t="shared" si="16"/>
        <v>-3.4171024736414375</v>
      </c>
      <c r="K46">
        <f t="shared" si="17"/>
        <v>-0.11210610258805775</v>
      </c>
    </row>
    <row r="47" spans="2:11">
      <c r="B47" s="2" t="s">
        <v>47</v>
      </c>
      <c r="C47" t="s">
        <v>41</v>
      </c>
      <c r="D47">
        <v>1</v>
      </c>
      <c r="E47" s="6">
        <v>11.5</v>
      </c>
      <c r="F47">
        <f t="shared" si="12"/>
        <v>0.115</v>
      </c>
      <c r="G47">
        <f t="shared" si="13"/>
        <v>1.03882375E-2</v>
      </c>
      <c r="H47">
        <f t="shared" si="14"/>
        <v>0.32781840701820825</v>
      </c>
      <c r="I47">
        <f t="shared" si="15"/>
        <v>1.9283435706953428E-2</v>
      </c>
      <c r="J47">
        <f t="shared" si="16"/>
        <v>-3.9485088051074491</v>
      </c>
      <c r="K47">
        <f t="shared" si="17"/>
        <v>-7.614081568162899E-2</v>
      </c>
    </row>
    <row r="48" spans="2:11">
      <c r="B48" s="2" t="s">
        <v>29</v>
      </c>
      <c r="C48" t="s">
        <v>15</v>
      </c>
      <c r="D48">
        <v>1</v>
      </c>
      <c r="E48" s="6">
        <v>11</v>
      </c>
      <c r="F48">
        <f t="shared" si="12"/>
        <v>0.11</v>
      </c>
      <c r="G48">
        <f t="shared" si="13"/>
        <v>9.5045499999999988E-3</v>
      </c>
      <c r="H48">
        <f t="shared" si="14"/>
        <v>0.29993215311306759</v>
      </c>
      <c r="I48">
        <f t="shared" si="15"/>
        <v>1.7643067830180447E-2</v>
      </c>
      <c r="J48">
        <f t="shared" si="16"/>
        <v>-4.0374123302491167</v>
      </c>
      <c r="K48">
        <f t="shared" si="17"/>
        <v>-7.1232339600992067E-2</v>
      </c>
    </row>
    <row r="49" spans="2:11">
      <c r="B49" s="2" t="s">
        <v>30</v>
      </c>
      <c r="C49" t="s">
        <v>31</v>
      </c>
      <c r="D49">
        <v>1</v>
      </c>
      <c r="E49" s="6">
        <v>47</v>
      </c>
      <c r="F49">
        <f t="shared" si="12"/>
        <v>0.47</v>
      </c>
      <c r="G49">
        <f t="shared" si="13"/>
        <v>0.17351694999999998</v>
      </c>
      <c r="H49">
        <f t="shared" si="14"/>
        <v>5.4756208779071596</v>
      </c>
      <c r="I49">
        <f t="shared" si="15"/>
        <v>0.3220953457592447</v>
      </c>
      <c r="J49">
        <f t="shared" si="16"/>
        <v>-1.1329076724257408</v>
      </c>
      <c r="K49">
        <f t="shared" si="17"/>
        <v>-0.36490428846327011</v>
      </c>
    </row>
    <row r="50" spans="2:11">
      <c r="B50" s="2"/>
      <c r="D50">
        <v>17</v>
      </c>
      <c r="G50">
        <v>3.1688999999999998</v>
      </c>
    </row>
    <row r="51" spans="2:11">
      <c r="B51" s="2"/>
      <c r="J51" t="s">
        <v>32</v>
      </c>
      <c r="K51">
        <v>2.71</v>
      </c>
    </row>
    <row r="52" spans="2:11">
      <c r="B52" s="2"/>
      <c r="J52" t="s">
        <v>33</v>
      </c>
      <c r="K52">
        <f>2.71/LN(17)</f>
        <v>0.95651109567350268</v>
      </c>
    </row>
    <row r="53" spans="2:11">
      <c r="B53" s="2"/>
    </row>
    <row r="54" spans="2:11">
      <c r="B54" s="2"/>
    </row>
    <row r="55" spans="2:11">
      <c r="B55" s="2"/>
      <c r="C55" s="1" t="s">
        <v>48</v>
      </c>
    </row>
    <row r="56" spans="2:11">
      <c r="B56" s="41" t="s">
        <v>1</v>
      </c>
      <c r="C56" s="1" t="s">
        <v>2</v>
      </c>
      <c r="D56" s="1" t="s">
        <v>3</v>
      </c>
      <c r="E56" s="1" t="s">
        <v>49</v>
      </c>
      <c r="F56" s="1" t="s">
        <v>5</v>
      </c>
      <c r="G56" s="1" t="s">
        <v>6</v>
      </c>
      <c r="H56" s="1" t="s">
        <v>7</v>
      </c>
      <c r="I56" s="34" t="s">
        <v>8</v>
      </c>
      <c r="J56" s="34" t="s">
        <v>9</v>
      </c>
      <c r="K56" s="34" t="s">
        <v>10</v>
      </c>
    </row>
    <row r="57" spans="2:11">
      <c r="B57" s="2" t="s">
        <v>13</v>
      </c>
      <c r="C57" t="s">
        <v>12</v>
      </c>
      <c r="D57">
        <v>3</v>
      </c>
      <c r="E57">
        <v>41.2</v>
      </c>
      <c r="F57">
        <f>E57/100</f>
        <v>0.41200000000000003</v>
      </c>
      <c r="G57">
        <f>((3.142*(F57)^2/4))</f>
        <v>0.13333391200000003</v>
      </c>
      <c r="H57">
        <f>(G57/1.61)*100</f>
        <v>8.2816094409937904</v>
      </c>
      <c r="I57">
        <f>D57/29</f>
        <v>0.10344827586206896</v>
      </c>
      <c r="J57">
        <f>LN(I57)</f>
        <v>-2.2686835413183641</v>
      </c>
      <c r="K57">
        <f>I57*J57</f>
        <v>-0.23469140082603768</v>
      </c>
    </row>
    <row r="58" spans="2:11">
      <c r="B58" s="2" t="s">
        <v>14</v>
      </c>
      <c r="C58" t="s">
        <v>15</v>
      </c>
      <c r="D58">
        <v>6</v>
      </c>
      <c r="E58">
        <v>75.400000000000006</v>
      </c>
      <c r="F58">
        <f t="shared" ref="F58:F69" si="18">E58/100</f>
        <v>0.754</v>
      </c>
      <c r="G58">
        <f t="shared" ref="G58:G69" si="19">((3.142*(F58)^2/4))</f>
        <v>0.44656931799999999</v>
      </c>
      <c r="H58">
        <f t="shared" ref="H58:H69" si="20">(G58/1.61)*100</f>
        <v>27.737224720496894</v>
      </c>
      <c r="I58">
        <f t="shared" ref="I58:I69" si="21">D58/29</f>
        <v>0.20689655172413793</v>
      </c>
      <c r="J58">
        <f t="shared" ref="J58:J69" si="22">LN(I58)</f>
        <v>-1.575536360758419</v>
      </c>
      <c r="K58">
        <f t="shared" ref="K58:K69" si="23">I58*J58</f>
        <v>-0.32597304015691425</v>
      </c>
    </row>
    <row r="59" spans="2:11">
      <c r="B59" s="2" t="s">
        <v>35</v>
      </c>
      <c r="C59" t="s">
        <v>36</v>
      </c>
      <c r="D59">
        <v>3</v>
      </c>
      <c r="E59">
        <v>51.1</v>
      </c>
      <c r="F59">
        <f t="shared" si="18"/>
        <v>0.51100000000000001</v>
      </c>
      <c r="G59">
        <f t="shared" si="19"/>
        <v>0.20511054549999999</v>
      </c>
      <c r="H59">
        <f t="shared" si="20"/>
        <v>12.739785434782608</v>
      </c>
      <c r="I59">
        <f t="shared" si="21"/>
        <v>0.10344827586206896</v>
      </c>
      <c r="J59">
        <f t="shared" si="22"/>
        <v>-2.2686835413183641</v>
      </c>
      <c r="K59">
        <f t="shared" si="23"/>
        <v>-0.23469140082603768</v>
      </c>
    </row>
    <row r="60" spans="2:11">
      <c r="B60" s="2" t="s">
        <v>16</v>
      </c>
      <c r="C60" t="s">
        <v>17</v>
      </c>
      <c r="D60">
        <v>2</v>
      </c>
      <c r="E60">
        <v>25</v>
      </c>
      <c r="F60">
        <f t="shared" si="18"/>
        <v>0.25</v>
      </c>
      <c r="G60">
        <f t="shared" si="19"/>
        <v>4.9093749999999999E-2</v>
      </c>
      <c r="H60">
        <f t="shared" si="20"/>
        <v>3.0493012422360248</v>
      </c>
      <c r="I60">
        <f t="shared" si="21"/>
        <v>6.8965517241379309E-2</v>
      </c>
      <c r="J60">
        <f t="shared" si="22"/>
        <v>-2.6741486494265287</v>
      </c>
      <c r="K60">
        <f t="shared" si="23"/>
        <v>-0.18442404478803645</v>
      </c>
    </row>
    <row r="61" spans="2:11">
      <c r="B61" s="2" t="s">
        <v>37</v>
      </c>
      <c r="C61" t="s">
        <v>31</v>
      </c>
      <c r="D61">
        <v>2</v>
      </c>
      <c r="E61">
        <v>32.9</v>
      </c>
      <c r="F61">
        <f t="shared" si="18"/>
        <v>0.32899999999999996</v>
      </c>
      <c r="G61">
        <f t="shared" si="19"/>
        <v>8.5023305499999979E-2</v>
      </c>
      <c r="H61">
        <f t="shared" si="20"/>
        <v>5.280950652173912</v>
      </c>
      <c r="I61">
        <f t="shared" si="21"/>
        <v>6.8965517241379309E-2</v>
      </c>
      <c r="J61">
        <f t="shared" si="22"/>
        <v>-2.6741486494265287</v>
      </c>
      <c r="K61">
        <f t="shared" si="23"/>
        <v>-0.18442404478803645</v>
      </c>
    </row>
    <row r="62" spans="2:11">
      <c r="B62" s="2" t="s">
        <v>50</v>
      </c>
      <c r="C62" s="17" t="s">
        <v>51</v>
      </c>
      <c r="D62">
        <v>1</v>
      </c>
      <c r="E62">
        <v>17.100000000000001</v>
      </c>
      <c r="F62">
        <f t="shared" si="18"/>
        <v>0.17100000000000001</v>
      </c>
      <c r="G62">
        <f t="shared" si="19"/>
        <v>2.2968805500000002E-2</v>
      </c>
      <c r="H62">
        <f t="shared" si="20"/>
        <v>1.4266338819875777</v>
      </c>
      <c r="I62">
        <f t="shared" si="21"/>
        <v>3.4482758620689655E-2</v>
      </c>
      <c r="J62">
        <f t="shared" si="22"/>
        <v>-3.3672958299864741</v>
      </c>
      <c r="K62">
        <f t="shared" si="23"/>
        <v>-0.11611364930987841</v>
      </c>
    </row>
    <row r="63" spans="2:11">
      <c r="B63" s="2" t="s">
        <v>20</v>
      </c>
      <c r="C63" t="s">
        <v>21</v>
      </c>
      <c r="D63">
        <v>3</v>
      </c>
      <c r="E63">
        <v>31.8</v>
      </c>
      <c r="F63">
        <f t="shared" si="18"/>
        <v>0.318</v>
      </c>
      <c r="G63">
        <f t="shared" si="19"/>
        <v>7.9432902E-2</v>
      </c>
      <c r="H63">
        <f t="shared" si="20"/>
        <v>4.9337206211180122</v>
      </c>
      <c r="I63">
        <f t="shared" si="21"/>
        <v>0.10344827586206896</v>
      </c>
      <c r="J63">
        <f t="shared" si="22"/>
        <v>-2.2686835413183641</v>
      </c>
      <c r="K63">
        <f t="shared" si="23"/>
        <v>-0.23469140082603768</v>
      </c>
    </row>
    <row r="64" spans="2:11">
      <c r="B64" s="2" t="s">
        <v>23</v>
      </c>
      <c r="C64" t="s">
        <v>24</v>
      </c>
      <c r="D64">
        <v>3</v>
      </c>
      <c r="E64">
        <v>39.1</v>
      </c>
      <c r="F64">
        <f t="shared" si="18"/>
        <v>0.39100000000000001</v>
      </c>
      <c r="G64">
        <f t="shared" si="19"/>
        <v>0.12008802550000001</v>
      </c>
      <c r="H64">
        <f t="shared" si="20"/>
        <v>7.4588835714285722</v>
      </c>
      <c r="I64">
        <f t="shared" si="21"/>
        <v>0.10344827586206896</v>
      </c>
      <c r="J64">
        <f t="shared" si="22"/>
        <v>-2.2686835413183641</v>
      </c>
      <c r="K64">
        <f t="shared" si="23"/>
        <v>-0.23469140082603768</v>
      </c>
    </row>
    <row r="65" spans="2:11">
      <c r="B65" s="2" t="s">
        <v>52</v>
      </c>
      <c r="C65" t="s">
        <v>53</v>
      </c>
      <c r="D65">
        <v>1</v>
      </c>
      <c r="E65" s="6">
        <v>30</v>
      </c>
      <c r="F65">
        <f t="shared" si="18"/>
        <v>0.3</v>
      </c>
      <c r="G65">
        <f t="shared" si="19"/>
        <v>7.0694999999999994E-2</v>
      </c>
      <c r="H65">
        <f t="shared" si="20"/>
        <v>4.3909937888198751</v>
      </c>
      <c r="I65">
        <f t="shared" si="21"/>
        <v>3.4482758620689655E-2</v>
      </c>
      <c r="J65">
        <f t="shared" si="22"/>
        <v>-3.3672958299864741</v>
      </c>
      <c r="K65">
        <f t="shared" si="23"/>
        <v>-0.11611364930987841</v>
      </c>
    </row>
    <row r="66" spans="2:11">
      <c r="B66" s="2" t="s">
        <v>38</v>
      </c>
      <c r="C66" t="s">
        <v>39</v>
      </c>
      <c r="D66">
        <v>1</v>
      </c>
      <c r="E66" s="6">
        <v>22.2</v>
      </c>
      <c r="F66">
        <f t="shared" si="18"/>
        <v>0.222</v>
      </c>
      <c r="G66">
        <f t="shared" si="19"/>
        <v>3.8712582000000002E-2</v>
      </c>
      <c r="H66">
        <f t="shared" si="20"/>
        <v>2.4045081987577639</v>
      </c>
      <c r="I66">
        <f t="shared" si="21"/>
        <v>3.4482758620689655E-2</v>
      </c>
      <c r="J66">
        <f t="shared" si="22"/>
        <v>-3.3672958299864741</v>
      </c>
      <c r="K66">
        <f t="shared" si="23"/>
        <v>-0.11611364930987841</v>
      </c>
    </row>
    <row r="67" spans="2:11">
      <c r="B67" s="2" t="s">
        <v>30</v>
      </c>
      <c r="C67" t="s">
        <v>31</v>
      </c>
      <c r="D67">
        <v>1</v>
      </c>
      <c r="E67" s="6">
        <v>50.7</v>
      </c>
      <c r="F67">
        <f t="shared" si="18"/>
        <v>0.50700000000000001</v>
      </c>
      <c r="G67">
        <f t="shared" si="19"/>
        <v>0.20191198950000003</v>
      </c>
      <c r="H67">
        <f t="shared" si="20"/>
        <v>12.54111736024845</v>
      </c>
      <c r="I67">
        <f t="shared" si="21"/>
        <v>3.4482758620689655E-2</v>
      </c>
      <c r="J67">
        <f t="shared" si="22"/>
        <v>-3.3672958299864741</v>
      </c>
      <c r="K67">
        <f t="shared" si="23"/>
        <v>-0.11611364930987841</v>
      </c>
    </row>
    <row r="68" spans="2:11">
      <c r="B68" s="2" t="s">
        <v>54</v>
      </c>
      <c r="C68" t="s">
        <v>12</v>
      </c>
      <c r="D68">
        <v>1</v>
      </c>
      <c r="E68" s="6">
        <v>18.2</v>
      </c>
      <c r="F68">
        <f t="shared" si="18"/>
        <v>0.182</v>
      </c>
      <c r="G68">
        <f t="shared" si="19"/>
        <v>2.6018902E-2</v>
      </c>
      <c r="H68">
        <f t="shared" si="20"/>
        <v>1.6160808695652173</v>
      </c>
      <c r="I68">
        <f t="shared" si="21"/>
        <v>3.4482758620689655E-2</v>
      </c>
      <c r="J68">
        <f t="shared" si="22"/>
        <v>-3.3672958299864741</v>
      </c>
      <c r="K68">
        <f t="shared" si="23"/>
        <v>-0.11611364930987841</v>
      </c>
    </row>
    <row r="69" spans="2:11">
      <c r="B69" s="2" t="s">
        <v>47</v>
      </c>
      <c r="C69" t="s">
        <v>41</v>
      </c>
      <c r="D69">
        <v>2</v>
      </c>
      <c r="E69">
        <v>41.2</v>
      </c>
      <c r="F69">
        <f t="shared" si="18"/>
        <v>0.41200000000000003</v>
      </c>
      <c r="G69">
        <f t="shared" si="19"/>
        <v>0.13333391200000003</v>
      </c>
      <c r="H69">
        <f t="shared" si="20"/>
        <v>8.2816094409937904</v>
      </c>
      <c r="I69">
        <f t="shared" si="21"/>
        <v>6.8965517241379309E-2</v>
      </c>
      <c r="J69">
        <f t="shared" si="22"/>
        <v>-2.6741486494265287</v>
      </c>
      <c r="K69">
        <f t="shared" si="23"/>
        <v>-0.18442404478803645</v>
      </c>
    </row>
    <row r="70" spans="2:11">
      <c r="B70" s="2"/>
      <c r="D70">
        <v>29</v>
      </c>
      <c r="G70">
        <v>1.61</v>
      </c>
      <c r="J70" t="s">
        <v>32</v>
      </c>
      <c r="K70">
        <v>2.39</v>
      </c>
    </row>
    <row r="71" spans="2:11">
      <c r="B71" s="2"/>
      <c r="J71" t="s">
        <v>33</v>
      </c>
      <c r="K71">
        <f>2.39/LN(29)</f>
        <v>0.70976834845235448</v>
      </c>
    </row>
    <row r="72" spans="2:11">
      <c r="B72" s="2"/>
    </row>
    <row r="73" spans="2:11">
      <c r="B73" s="2"/>
    </row>
    <row r="74" spans="2:11">
      <c r="B74" s="2"/>
      <c r="C74" s="1" t="s">
        <v>55</v>
      </c>
    </row>
    <row r="75" spans="2:11">
      <c r="B75" s="41" t="s">
        <v>56</v>
      </c>
      <c r="C75" s="1" t="s">
        <v>2</v>
      </c>
      <c r="D75" s="1" t="s">
        <v>3</v>
      </c>
      <c r="E75" s="1" t="s">
        <v>57</v>
      </c>
      <c r="F75" s="1" t="s">
        <v>5</v>
      </c>
      <c r="G75" s="1" t="s">
        <v>6</v>
      </c>
      <c r="H75" s="1" t="s">
        <v>7</v>
      </c>
      <c r="I75" s="34" t="s">
        <v>8</v>
      </c>
      <c r="J75" s="34" t="s">
        <v>9</v>
      </c>
      <c r="K75" s="34" t="s">
        <v>10</v>
      </c>
    </row>
    <row r="76" spans="2:11">
      <c r="B76" s="2" t="s">
        <v>11</v>
      </c>
      <c r="C76" t="s">
        <v>12</v>
      </c>
      <c r="D76">
        <v>1</v>
      </c>
      <c r="E76">
        <v>11.6</v>
      </c>
      <c r="F76">
        <f>E76/100</f>
        <v>0.11599999999999999</v>
      </c>
      <c r="G76">
        <f>((3.142*(F76)^2/4))</f>
        <v>1.0569687999999997E-2</v>
      </c>
      <c r="H76">
        <f>(G76/10.01)*100</f>
        <v>0.10559128871128869</v>
      </c>
      <c r="I76">
        <f>D76/60</f>
        <v>1.6666666666666666E-2</v>
      </c>
      <c r="J76">
        <f>LN(I76)</f>
        <v>-4.0943445622221004</v>
      </c>
      <c r="K76">
        <f>I76*J76</f>
        <v>-6.823907603703501E-2</v>
      </c>
    </row>
    <row r="77" spans="2:11">
      <c r="B77" s="2" t="s">
        <v>13</v>
      </c>
      <c r="C77" t="s">
        <v>12</v>
      </c>
      <c r="D77">
        <v>3</v>
      </c>
      <c r="E77">
        <v>40.5</v>
      </c>
      <c r="F77">
        <f t="shared" ref="F77:F90" si="24">E77/100</f>
        <v>0.40500000000000003</v>
      </c>
      <c r="G77">
        <f t="shared" ref="G77:G90" si="25">((3.142*(F77)^2/4))</f>
        <v>0.12884163750000002</v>
      </c>
      <c r="H77">
        <f t="shared" ref="H77:H90" si="26">(G77/10.01)*100</f>
        <v>1.287129245754246</v>
      </c>
      <c r="I77">
        <f t="shared" ref="I77:I90" si="27">D77/60</f>
        <v>0.05</v>
      </c>
      <c r="J77">
        <f t="shared" ref="J77:J90" si="28">LN(I77)</f>
        <v>-2.9957322735539909</v>
      </c>
      <c r="K77">
        <f t="shared" ref="K77:K90" si="29">I77*J77</f>
        <v>-0.14978661367769955</v>
      </c>
    </row>
    <row r="78" spans="2:11">
      <c r="B78" s="2" t="s">
        <v>14</v>
      </c>
      <c r="C78" t="s">
        <v>15</v>
      </c>
      <c r="D78">
        <v>6</v>
      </c>
      <c r="E78">
        <v>103.4</v>
      </c>
      <c r="F78">
        <f t="shared" si="24"/>
        <v>1.034</v>
      </c>
      <c r="G78">
        <f t="shared" si="25"/>
        <v>0.83982203799999999</v>
      </c>
      <c r="H78">
        <f t="shared" si="26"/>
        <v>8.3898305494505507</v>
      </c>
      <c r="I78">
        <f t="shared" si="27"/>
        <v>0.1</v>
      </c>
      <c r="J78">
        <f t="shared" si="28"/>
        <v>-2.3025850929940455</v>
      </c>
      <c r="K78">
        <f t="shared" si="29"/>
        <v>-0.23025850929940456</v>
      </c>
    </row>
    <row r="79" spans="2:11">
      <c r="B79" s="2" t="s">
        <v>35</v>
      </c>
      <c r="C79" t="s">
        <v>36</v>
      </c>
      <c r="D79">
        <v>4</v>
      </c>
      <c r="E79">
        <v>79.7</v>
      </c>
      <c r="F79">
        <f t="shared" si="24"/>
        <v>0.79700000000000004</v>
      </c>
      <c r="G79">
        <f t="shared" si="25"/>
        <v>0.49895666950000001</v>
      </c>
      <c r="H79">
        <f t="shared" si="26"/>
        <v>4.9845821128871126</v>
      </c>
      <c r="I79">
        <f t="shared" si="27"/>
        <v>6.6666666666666666E-2</v>
      </c>
      <c r="J79">
        <f t="shared" si="28"/>
        <v>-2.7080502011022101</v>
      </c>
      <c r="K79">
        <f t="shared" si="29"/>
        <v>-0.18053668007348067</v>
      </c>
    </row>
    <row r="80" spans="2:11">
      <c r="B80" s="2" t="s">
        <v>20</v>
      </c>
      <c r="C80" t="s">
        <v>21</v>
      </c>
      <c r="D80">
        <v>12</v>
      </c>
      <c r="E80">
        <v>181.6</v>
      </c>
      <c r="F80">
        <f t="shared" si="24"/>
        <v>1.8159999999999998</v>
      </c>
      <c r="G80">
        <f t="shared" si="25"/>
        <v>2.5904658879999993</v>
      </c>
      <c r="H80">
        <f t="shared" si="26"/>
        <v>25.878780099900094</v>
      </c>
      <c r="I80">
        <f t="shared" si="27"/>
        <v>0.2</v>
      </c>
      <c r="J80">
        <f t="shared" si="28"/>
        <v>-1.6094379124341003</v>
      </c>
      <c r="K80">
        <f t="shared" si="29"/>
        <v>-0.32188758248682009</v>
      </c>
    </row>
    <row r="81" spans="1:11">
      <c r="B81" s="2" t="s">
        <v>22</v>
      </c>
      <c r="C81" t="s">
        <v>21</v>
      </c>
      <c r="D81">
        <v>1</v>
      </c>
      <c r="E81">
        <v>18</v>
      </c>
      <c r="F81">
        <f t="shared" si="24"/>
        <v>0.18</v>
      </c>
      <c r="G81">
        <f t="shared" si="25"/>
        <v>2.5450199999999999E-2</v>
      </c>
      <c r="H81">
        <f t="shared" si="26"/>
        <v>0.25424775224775226</v>
      </c>
      <c r="I81">
        <f t="shared" si="27"/>
        <v>1.6666666666666666E-2</v>
      </c>
      <c r="J81">
        <f t="shared" si="28"/>
        <v>-4.0943445622221004</v>
      </c>
      <c r="K81">
        <f t="shared" si="29"/>
        <v>-6.823907603703501E-2</v>
      </c>
    </row>
    <row r="82" spans="1:11">
      <c r="B82" s="2" t="s">
        <v>23</v>
      </c>
      <c r="C82" t="s">
        <v>24</v>
      </c>
      <c r="D82">
        <v>8</v>
      </c>
      <c r="E82">
        <v>128</v>
      </c>
      <c r="F82">
        <f t="shared" si="24"/>
        <v>1.28</v>
      </c>
      <c r="G82">
        <f t="shared" si="25"/>
        <v>1.2869632</v>
      </c>
      <c r="H82">
        <f t="shared" si="26"/>
        <v>12.856775224775225</v>
      </c>
      <c r="I82">
        <f t="shared" si="27"/>
        <v>0.13333333333333333</v>
      </c>
      <c r="J82">
        <f t="shared" si="28"/>
        <v>-2.0149030205422647</v>
      </c>
      <c r="K82">
        <f t="shared" si="29"/>
        <v>-0.26865373607230197</v>
      </c>
    </row>
    <row r="83" spans="1:11">
      <c r="B83" t="s">
        <v>58</v>
      </c>
      <c r="C83" t="s">
        <v>59</v>
      </c>
      <c r="D83">
        <v>1</v>
      </c>
      <c r="E83">
        <v>22.1</v>
      </c>
      <c r="F83">
        <f t="shared" si="24"/>
        <v>0.221</v>
      </c>
      <c r="G83">
        <f t="shared" si="25"/>
        <v>3.8364605500000003E-2</v>
      </c>
      <c r="H83">
        <f t="shared" si="26"/>
        <v>0.38326279220779225</v>
      </c>
      <c r="I83">
        <f t="shared" si="27"/>
        <v>1.6666666666666666E-2</v>
      </c>
      <c r="J83">
        <f t="shared" si="28"/>
        <v>-4.0943445622221004</v>
      </c>
      <c r="K83">
        <f t="shared" si="29"/>
        <v>-6.823907603703501E-2</v>
      </c>
    </row>
    <row r="84" spans="1:11">
      <c r="B84" s="2" t="s">
        <v>26</v>
      </c>
      <c r="C84" t="s">
        <v>15</v>
      </c>
      <c r="D84">
        <v>1</v>
      </c>
      <c r="E84">
        <v>90.4</v>
      </c>
      <c r="F84">
        <f t="shared" si="24"/>
        <v>0.90400000000000003</v>
      </c>
      <c r="G84">
        <f t="shared" si="25"/>
        <v>0.64192316800000004</v>
      </c>
      <c r="H84">
        <f t="shared" si="26"/>
        <v>6.4128188611388621</v>
      </c>
      <c r="I84">
        <f t="shared" si="27"/>
        <v>1.6666666666666666E-2</v>
      </c>
      <c r="J84">
        <f t="shared" si="28"/>
        <v>-4.0943445622221004</v>
      </c>
      <c r="K84">
        <f t="shared" si="29"/>
        <v>-6.823907603703501E-2</v>
      </c>
    </row>
    <row r="85" spans="1:11">
      <c r="B85" s="2" t="s">
        <v>27</v>
      </c>
      <c r="C85" t="s">
        <v>46</v>
      </c>
      <c r="D85">
        <v>1</v>
      </c>
      <c r="E85">
        <v>13.7</v>
      </c>
      <c r="F85">
        <f t="shared" si="24"/>
        <v>0.13699999999999998</v>
      </c>
      <c r="G85">
        <f t="shared" si="25"/>
        <v>1.4743049499999996E-2</v>
      </c>
      <c r="H85">
        <f t="shared" si="26"/>
        <v>0.14728321178821174</v>
      </c>
      <c r="I85">
        <f t="shared" si="27"/>
        <v>1.6666666666666666E-2</v>
      </c>
      <c r="J85">
        <f t="shared" si="28"/>
        <v>-4.0943445622221004</v>
      </c>
      <c r="K85">
        <f t="shared" si="29"/>
        <v>-6.823907603703501E-2</v>
      </c>
    </row>
    <row r="86" spans="1:11">
      <c r="B86" s="2" t="s">
        <v>60</v>
      </c>
      <c r="C86" t="s">
        <v>17</v>
      </c>
      <c r="D86">
        <v>1</v>
      </c>
      <c r="E86">
        <v>14.7</v>
      </c>
      <c r="F86">
        <f t="shared" si="24"/>
        <v>0.14699999999999999</v>
      </c>
      <c r="G86">
        <f t="shared" si="25"/>
        <v>1.6973869499999995E-2</v>
      </c>
      <c r="H86">
        <f t="shared" si="26"/>
        <v>0.16956912587412581</v>
      </c>
      <c r="I86">
        <f t="shared" si="27"/>
        <v>1.6666666666666666E-2</v>
      </c>
      <c r="J86">
        <f t="shared" si="28"/>
        <v>-4.0943445622221004</v>
      </c>
      <c r="K86">
        <f t="shared" si="29"/>
        <v>-6.823907603703501E-2</v>
      </c>
    </row>
    <row r="87" spans="1:11">
      <c r="B87" s="2" t="s">
        <v>61</v>
      </c>
      <c r="C87" t="s">
        <v>53</v>
      </c>
      <c r="D87">
        <v>1</v>
      </c>
      <c r="E87">
        <v>15.4</v>
      </c>
      <c r="F87">
        <f t="shared" si="24"/>
        <v>0.154</v>
      </c>
      <c r="G87">
        <f t="shared" si="25"/>
        <v>1.8628918000000001E-2</v>
      </c>
      <c r="H87">
        <f t="shared" si="26"/>
        <v>0.18610307692307695</v>
      </c>
      <c r="I87">
        <f t="shared" si="27"/>
        <v>1.6666666666666666E-2</v>
      </c>
      <c r="J87">
        <f t="shared" si="28"/>
        <v>-4.0943445622221004</v>
      </c>
      <c r="K87">
        <f t="shared" si="29"/>
        <v>-6.823907603703501E-2</v>
      </c>
    </row>
    <row r="88" spans="1:11">
      <c r="B88" s="2" t="s">
        <v>38</v>
      </c>
      <c r="C88" t="s">
        <v>39</v>
      </c>
      <c r="D88">
        <v>9</v>
      </c>
      <c r="E88">
        <v>162.5</v>
      </c>
      <c r="F88">
        <f t="shared" si="24"/>
        <v>1.625</v>
      </c>
      <c r="G88">
        <f t="shared" si="25"/>
        <v>2.0742109374999997</v>
      </c>
      <c r="H88">
        <f t="shared" si="26"/>
        <v>20.721387987012985</v>
      </c>
      <c r="I88">
        <f t="shared" si="27"/>
        <v>0.15</v>
      </c>
      <c r="J88">
        <f t="shared" si="28"/>
        <v>-1.8971199848858813</v>
      </c>
      <c r="K88">
        <f t="shared" si="29"/>
        <v>-0.28456799773288216</v>
      </c>
    </row>
    <row r="89" spans="1:11">
      <c r="B89" s="2" t="s">
        <v>62</v>
      </c>
      <c r="C89" t="s">
        <v>31</v>
      </c>
      <c r="D89">
        <v>1</v>
      </c>
      <c r="E89">
        <v>10.7</v>
      </c>
      <c r="F89">
        <f t="shared" si="24"/>
        <v>0.107</v>
      </c>
      <c r="G89">
        <f t="shared" si="25"/>
        <v>8.9931894999999984E-3</v>
      </c>
      <c r="H89">
        <f t="shared" si="26"/>
        <v>8.9842052947052928E-2</v>
      </c>
      <c r="I89">
        <f t="shared" si="27"/>
        <v>1.6666666666666666E-2</v>
      </c>
      <c r="J89">
        <f t="shared" si="28"/>
        <v>-4.0943445622221004</v>
      </c>
      <c r="K89">
        <f t="shared" si="29"/>
        <v>-6.823907603703501E-2</v>
      </c>
    </row>
    <row r="90" spans="1:11">
      <c r="B90" s="2" t="s">
        <v>40</v>
      </c>
      <c r="C90" t="s">
        <v>41</v>
      </c>
      <c r="D90">
        <v>10</v>
      </c>
      <c r="E90">
        <v>153.5</v>
      </c>
      <c r="F90">
        <f t="shared" si="24"/>
        <v>1.5349999999999999</v>
      </c>
      <c r="G90">
        <f t="shared" si="25"/>
        <v>1.8508147374999997</v>
      </c>
      <c r="H90">
        <f t="shared" si="26"/>
        <v>18.489657717282714</v>
      </c>
      <c r="I90">
        <f t="shared" si="27"/>
        <v>0.16666666666666666</v>
      </c>
      <c r="J90">
        <f t="shared" si="28"/>
        <v>-1.791759469228055</v>
      </c>
      <c r="K90">
        <f t="shared" si="29"/>
        <v>-0.29862657820467581</v>
      </c>
    </row>
    <row r="91" spans="1:11">
      <c r="B91" s="2"/>
      <c r="D91">
        <v>60</v>
      </c>
      <c r="G91">
        <v>10.01</v>
      </c>
      <c r="J91" t="s">
        <v>32</v>
      </c>
      <c r="K91">
        <v>2.2799999999999998</v>
      </c>
    </row>
    <row r="92" spans="1:11">
      <c r="B92" s="2"/>
      <c r="J92" t="s">
        <v>33</v>
      </c>
      <c r="K92">
        <f>2.28/LN(60)</f>
        <v>0.5568656876212168</v>
      </c>
    </row>
    <row r="93" spans="1:11">
      <c r="A93" s="1"/>
      <c r="B93" s="41"/>
      <c r="C93" s="1" t="s">
        <v>63</v>
      </c>
    </row>
    <row r="94" spans="1:11">
      <c r="B94" s="41" t="s">
        <v>56</v>
      </c>
      <c r="C94" s="1" t="s">
        <v>64</v>
      </c>
      <c r="D94" s="1" t="s">
        <v>3</v>
      </c>
      <c r="E94" s="1" t="s">
        <v>65</v>
      </c>
      <c r="F94" s="1" t="s">
        <v>5</v>
      </c>
      <c r="G94" s="1" t="s">
        <v>6</v>
      </c>
      <c r="H94" s="1" t="s">
        <v>7</v>
      </c>
      <c r="I94" s="34" t="s">
        <v>8</v>
      </c>
      <c r="J94" s="34" t="s">
        <v>9</v>
      </c>
      <c r="K94" s="34" t="s">
        <v>10</v>
      </c>
    </row>
    <row r="95" spans="1:11">
      <c r="B95" s="2" t="s">
        <v>66</v>
      </c>
      <c r="C95" t="s">
        <v>12</v>
      </c>
      <c r="D95">
        <v>1</v>
      </c>
      <c r="E95">
        <v>13.1</v>
      </c>
      <c r="F95">
        <f>E95/100</f>
        <v>0.13100000000000001</v>
      </c>
      <c r="G95">
        <f>((3.142*(F95)^2/4))</f>
        <v>1.3479965500000001E-2</v>
      </c>
      <c r="H95">
        <f>(G95/2.58)*100</f>
        <v>0.52247928294573642</v>
      </c>
      <c r="I95">
        <f>D95/29</f>
        <v>3.4482758620689655E-2</v>
      </c>
      <c r="J95">
        <f>LN(I95)</f>
        <v>-3.3672958299864741</v>
      </c>
      <c r="K95">
        <f>I95*J95</f>
        <v>-0.11611364930987841</v>
      </c>
    </row>
    <row r="96" spans="1:11">
      <c r="B96" s="2" t="s">
        <v>35</v>
      </c>
      <c r="C96" t="s">
        <v>36</v>
      </c>
      <c r="D96">
        <v>3</v>
      </c>
      <c r="E96">
        <v>45.2</v>
      </c>
      <c r="F96">
        <f t="shared" ref="F96:F106" si="30">E96/100</f>
        <v>0.45200000000000001</v>
      </c>
      <c r="G96">
        <f t="shared" ref="G96:G106" si="31">((3.142*(F96)^2/4))</f>
        <v>0.16048079200000001</v>
      </c>
      <c r="H96">
        <f t="shared" ref="H96:H106" si="32">(G96/2.58)*100</f>
        <v>6.2201857364341082</v>
      </c>
      <c r="I96">
        <f t="shared" ref="I96:I106" si="33">D96/29</f>
        <v>0.10344827586206896</v>
      </c>
      <c r="J96">
        <f t="shared" ref="J96:J106" si="34">LN(I96)</f>
        <v>-2.2686835413183641</v>
      </c>
      <c r="K96">
        <f t="shared" ref="K96:K106" si="35">I96*J96</f>
        <v>-0.23469140082603768</v>
      </c>
    </row>
    <row r="97" spans="2:11">
      <c r="B97" s="2" t="s">
        <v>18</v>
      </c>
      <c r="C97" t="s">
        <v>31</v>
      </c>
      <c r="D97">
        <v>1</v>
      </c>
      <c r="E97">
        <v>37.700000000000003</v>
      </c>
      <c r="F97">
        <f t="shared" si="30"/>
        <v>0.377</v>
      </c>
      <c r="G97">
        <f t="shared" si="31"/>
        <v>0.1116423295</v>
      </c>
      <c r="H97">
        <f t="shared" si="32"/>
        <v>4.3272220736434104</v>
      </c>
      <c r="I97">
        <f t="shared" si="33"/>
        <v>3.4482758620689655E-2</v>
      </c>
      <c r="J97">
        <f t="shared" si="34"/>
        <v>-3.3672958299864741</v>
      </c>
      <c r="K97">
        <f t="shared" si="35"/>
        <v>-0.11611364930987841</v>
      </c>
    </row>
    <row r="98" spans="2:11">
      <c r="B98" s="2" t="s">
        <v>50</v>
      </c>
      <c r="C98" s="17" t="s">
        <v>51</v>
      </c>
      <c r="D98">
        <v>2</v>
      </c>
      <c r="E98">
        <v>27.1</v>
      </c>
      <c r="F98">
        <f t="shared" si="30"/>
        <v>0.27100000000000002</v>
      </c>
      <c r="G98">
        <f t="shared" si="31"/>
        <v>5.7687905500000004E-2</v>
      </c>
      <c r="H98">
        <f t="shared" si="32"/>
        <v>2.2359653294573643</v>
      </c>
      <c r="I98">
        <f t="shared" si="33"/>
        <v>6.8965517241379309E-2</v>
      </c>
      <c r="J98">
        <f t="shared" si="34"/>
        <v>-2.6741486494265287</v>
      </c>
      <c r="K98">
        <f t="shared" si="35"/>
        <v>-0.18442404478803645</v>
      </c>
    </row>
    <row r="99" spans="2:11">
      <c r="B99" s="2" t="s">
        <v>20</v>
      </c>
      <c r="C99" t="s">
        <v>21</v>
      </c>
      <c r="D99">
        <v>4</v>
      </c>
      <c r="E99">
        <v>68.400000000000006</v>
      </c>
      <c r="F99">
        <f t="shared" si="30"/>
        <v>0.68400000000000005</v>
      </c>
      <c r="G99">
        <f t="shared" si="31"/>
        <v>0.36750088800000003</v>
      </c>
      <c r="H99">
        <f t="shared" si="32"/>
        <v>14.24422046511628</v>
      </c>
      <c r="I99">
        <f t="shared" si="33"/>
        <v>0.13793103448275862</v>
      </c>
      <c r="J99">
        <f t="shared" si="34"/>
        <v>-1.9810014688665833</v>
      </c>
      <c r="K99">
        <f t="shared" si="35"/>
        <v>-0.2732415819126322</v>
      </c>
    </row>
    <row r="100" spans="2:11">
      <c r="B100" s="2" t="s">
        <v>23</v>
      </c>
      <c r="C100" t="s">
        <v>24</v>
      </c>
      <c r="D100">
        <v>2</v>
      </c>
      <c r="E100">
        <v>40.200000000000003</v>
      </c>
      <c r="F100">
        <f t="shared" si="30"/>
        <v>0.40200000000000002</v>
      </c>
      <c r="G100">
        <f t="shared" si="31"/>
        <v>0.12693994200000003</v>
      </c>
      <c r="H100">
        <f t="shared" si="32"/>
        <v>4.9201527906976752</v>
      </c>
      <c r="I100">
        <f t="shared" si="33"/>
        <v>6.8965517241379309E-2</v>
      </c>
      <c r="J100">
        <f t="shared" si="34"/>
        <v>-2.6741486494265287</v>
      </c>
      <c r="K100">
        <f t="shared" si="35"/>
        <v>-0.18442404478803645</v>
      </c>
    </row>
    <row r="101" spans="2:11">
      <c r="B101" s="2" t="s">
        <v>25</v>
      </c>
      <c r="C101" t="s">
        <v>24</v>
      </c>
      <c r="D101">
        <v>1</v>
      </c>
      <c r="E101">
        <v>17.2</v>
      </c>
      <c r="F101">
        <f t="shared" si="30"/>
        <v>0.17199999999999999</v>
      </c>
      <c r="G101">
        <f t="shared" si="31"/>
        <v>2.3238231999999998E-2</v>
      </c>
      <c r="H101">
        <f t="shared" si="32"/>
        <v>0.90070666666666654</v>
      </c>
      <c r="I101">
        <f t="shared" si="33"/>
        <v>3.4482758620689655E-2</v>
      </c>
      <c r="J101">
        <f t="shared" si="34"/>
        <v>-3.3672958299864741</v>
      </c>
      <c r="K101">
        <f t="shared" si="35"/>
        <v>-0.11611364930987841</v>
      </c>
    </row>
    <row r="102" spans="2:11">
      <c r="B102" s="2" t="s">
        <v>67</v>
      </c>
      <c r="C102" t="s">
        <v>15</v>
      </c>
      <c r="D102">
        <v>1</v>
      </c>
      <c r="E102">
        <v>12.3</v>
      </c>
      <c r="F102">
        <f t="shared" si="30"/>
        <v>0.12300000000000001</v>
      </c>
      <c r="G102">
        <f t="shared" si="31"/>
        <v>1.1883829500000002E-2</v>
      </c>
      <c r="H102">
        <f t="shared" si="32"/>
        <v>0.46061354651162795</v>
      </c>
      <c r="I102">
        <f t="shared" si="33"/>
        <v>3.4482758620689655E-2</v>
      </c>
      <c r="J102">
        <f t="shared" si="34"/>
        <v>-3.3672958299864741</v>
      </c>
      <c r="K102">
        <f t="shared" si="35"/>
        <v>-0.11611364930987841</v>
      </c>
    </row>
    <row r="103" spans="2:11">
      <c r="B103" s="2" t="s">
        <v>27</v>
      </c>
      <c r="C103" t="s">
        <v>46</v>
      </c>
      <c r="D103">
        <v>1</v>
      </c>
      <c r="E103">
        <v>12.1</v>
      </c>
      <c r="F103">
        <f t="shared" si="30"/>
        <v>0.121</v>
      </c>
      <c r="G103">
        <f t="shared" si="31"/>
        <v>1.1500505499999999E-2</v>
      </c>
      <c r="H103">
        <f t="shared" si="32"/>
        <v>0.44575602713178286</v>
      </c>
      <c r="I103">
        <f t="shared" si="33"/>
        <v>3.4482758620689655E-2</v>
      </c>
      <c r="J103">
        <f t="shared" si="34"/>
        <v>-3.3672958299864741</v>
      </c>
      <c r="K103">
        <f t="shared" si="35"/>
        <v>-0.11611364930987841</v>
      </c>
    </row>
    <row r="104" spans="2:11">
      <c r="B104" s="2" t="s">
        <v>38</v>
      </c>
      <c r="C104" t="s">
        <v>39</v>
      </c>
      <c r="D104">
        <v>2</v>
      </c>
      <c r="E104">
        <v>37.200000000000003</v>
      </c>
      <c r="F104">
        <f t="shared" si="30"/>
        <v>0.37200000000000005</v>
      </c>
      <c r="G104">
        <f t="shared" si="31"/>
        <v>0.10870063200000002</v>
      </c>
      <c r="H104">
        <f t="shared" si="32"/>
        <v>4.2132027906976752</v>
      </c>
      <c r="I104">
        <f t="shared" si="33"/>
        <v>6.8965517241379309E-2</v>
      </c>
      <c r="J104">
        <f t="shared" si="34"/>
        <v>-2.6741486494265287</v>
      </c>
      <c r="K104">
        <f t="shared" si="35"/>
        <v>-0.18442404478803645</v>
      </c>
    </row>
    <row r="105" spans="2:11">
      <c r="B105" s="2" t="s">
        <v>62</v>
      </c>
      <c r="C105" t="s">
        <v>31</v>
      </c>
      <c r="D105">
        <v>3</v>
      </c>
      <c r="E105">
        <v>45.4</v>
      </c>
      <c r="F105">
        <f t="shared" si="30"/>
        <v>0.45399999999999996</v>
      </c>
      <c r="G105">
        <f t="shared" si="31"/>
        <v>0.16190411799999996</v>
      </c>
      <c r="H105">
        <f t="shared" si="32"/>
        <v>6.2753534108527118</v>
      </c>
      <c r="I105">
        <f t="shared" si="33"/>
        <v>0.10344827586206896</v>
      </c>
      <c r="J105">
        <f t="shared" si="34"/>
        <v>-2.2686835413183641</v>
      </c>
      <c r="K105">
        <f t="shared" si="35"/>
        <v>-0.23469140082603768</v>
      </c>
    </row>
    <row r="106" spans="2:11">
      <c r="B106" s="2" t="s">
        <v>40</v>
      </c>
      <c r="C106" t="s">
        <v>41</v>
      </c>
      <c r="D106">
        <v>8</v>
      </c>
      <c r="E106">
        <v>134.80000000000001</v>
      </c>
      <c r="F106">
        <f t="shared" si="30"/>
        <v>1.3480000000000001</v>
      </c>
      <c r="G106">
        <f t="shared" si="31"/>
        <v>1.4273351920000001</v>
      </c>
      <c r="H106">
        <f t="shared" si="32"/>
        <v>55.323069457364348</v>
      </c>
      <c r="I106">
        <f t="shared" si="33"/>
        <v>0.27586206896551724</v>
      </c>
      <c r="J106">
        <f t="shared" si="34"/>
        <v>-1.2878542883066382</v>
      </c>
      <c r="K106">
        <f t="shared" si="35"/>
        <v>-0.35527014849838295</v>
      </c>
    </row>
    <row r="107" spans="2:11">
      <c r="B107" s="2"/>
      <c r="D107">
        <v>29</v>
      </c>
      <c r="G107">
        <v>2.58</v>
      </c>
      <c r="J107" t="s">
        <v>32</v>
      </c>
      <c r="K107">
        <v>2.23</v>
      </c>
    </row>
    <row r="108" spans="2:11">
      <c r="B108" s="2"/>
      <c r="J108" t="s">
        <v>33</v>
      </c>
      <c r="K108">
        <f>2.23/LN(29)</f>
        <v>0.66225247575261526</v>
      </c>
    </row>
    <row r="109" spans="2:11">
      <c r="B109" s="2"/>
    </row>
    <row r="110" spans="2:11">
      <c r="B110" s="2"/>
    </row>
    <row r="111" spans="2:11">
      <c r="B111" s="2"/>
      <c r="C111" s="1" t="s">
        <v>68</v>
      </c>
    </row>
    <row r="112" spans="2:11">
      <c r="B112" s="41" t="s">
        <v>69</v>
      </c>
      <c r="C112" s="1" t="s">
        <v>64</v>
      </c>
      <c r="D112" s="1" t="s">
        <v>43</v>
      </c>
      <c r="E112" s="1" t="s">
        <v>57</v>
      </c>
      <c r="F112" s="1" t="s">
        <v>5</v>
      </c>
      <c r="G112" s="1" t="s">
        <v>6</v>
      </c>
      <c r="H112" s="1" t="s">
        <v>7</v>
      </c>
      <c r="I112" s="34" t="s">
        <v>8</v>
      </c>
      <c r="J112" s="34" t="s">
        <v>9</v>
      </c>
      <c r="K112" s="34" t="s">
        <v>10</v>
      </c>
    </row>
    <row r="113" spans="2:11">
      <c r="B113" s="2" t="s">
        <v>70</v>
      </c>
      <c r="C113" t="s">
        <v>21</v>
      </c>
      <c r="D113">
        <v>2</v>
      </c>
      <c r="E113">
        <v>35.1</v>
      </c>
      <c r="F113">
        <f>E113/100</f>
        <v>0.35100000000000003</v>
      </c>
      <c r="G113">
        <f>((3.142*(F113)^2/4))</f>
        <v>9.6774385500000018E-2</v>
      </c>
      <c r="H113">
        <f>(G113/18.26)*100</f>
        <v>0.52998020536692225</v>
      </c>
      <c r="I113">
        <f>D113/29</f>
        <v>6.8965517241379309E-2</v>
      </c>
      <c r="J113">
        <f>LN(I113)</f>
        <v>-2.6741486494265287</v>
      </c>
      <c r="K113">
        <f>I113*J113</f>
        <v>-0.18442404478803645</v>
      </c>
    </row>
    <row r="114" spans="2:11">
      <c r="B114" s="2" t="s">
        <v>71</v>
      </c>
      <c r="C114" t="s">
        <v>72</v>
      </c>
      <c r="D114">
        <v>7</v>
      </c>
      <c r="E114">
        <v>418</v>
      </c>
      <c r="F114">
        <f t="shared" ref="F114:F123" si="36">E114/100</f>
        <v>4.18</v>
      </c>
      <c r="G114">
        <f t="shared" ref="G114:G123" si="37">((3.142*(F114)^2/4))</f>
        <v>13.724570199999997</v>
      </c>
      <c r="H114">
        <f t="shared" ref="H114:H123" si="38">(G114/18.26)*100</f>
        <v>75.161939759036116</v>
      </c>
      <c r="I114">
        <f t="shared" ref="I114:I123" si="39">D114/29</f>
        <v>0.2413793103448276</v>
      </c>
      <c r="J114">
        <f t="shared" ref="J114:J123" si="40">LN(I114)</f>
        <v>-1.4213856809311607</v>
      </c>
      <c r="K114">
        <f t="shared" ref="K114:K123" si="41">I114*J114</f>
        <v>-0.34309309539717675</v>
      </c>
    </row>
    <row r="115" spans="2:11">
      <c r="B115" s="2" t="s">
        <v>18</v>
      </c>
      <c r="C115" t="s">
        <v>31</v>
      </c>
      <c r="D115">
        <v>1</v>
      </c>
      <c r="E115">
        <v>16.2</v>
      </c>
      <c r="F115">
        <f t="shared" si="36"/>
        <v>0.16200000000000001</v>
      </c>
      <c r="G115">
        <f t="shared" si="37"/>
        <v>2.0614661999999999E-2</v>
      </c>
      <c r="H115">
        <f t="shared" si="38"/>
        <v>0.11289519167579407</v>
      </c>
      <c r="I115">
        <f t="shared" si="39"/>
        <v>3.4482758620689655E-2</v>
      </c>
      <c r="J115">
        <f t="shared" si="40"/>
        <v>-3.3672958299864741</v>
      </c>
      <c r="K115">
        <f t="shared" si="41"/>
        <v>-0.11611364930987841</v>
      </c>
    </row>
    <row r="116" spans="2:11">
      <c r="B116" s="2" t="s">
        <v>50</v>
      </c>
      <c r="C116" s="17" t="s">
        <v>51</v>
      </c>
      <c r="D116">
        <v>4</v>
      </c>
      <c r="E116">
        <v>165.5</v>
      </c>
      <c r="F116">
        <f t="shared" si="36"/>
        <v>1.655</v>
      </c>
      <c r="G116">
        <f t="shared" si="37"/>
        <v>2.1515041375000004</v>
      </c>
      <c r="H116">
        <f t="shared" si="38"/>
        <v>11.782607543811611</v>
      </c>
      <c r="I116">
        <f t="shared" si="39"/>
        <v>0.13793103448275862</v>
      </c>
      <c r="J116">
        <f t="shared" si="40"/>
        <v>-1.9810014688665833</v>
      </c>
      <c r="K116">
        <f t="shared" si="41"/>
        <v>-0.2732415819126322</v>
      </c>
    </row>
    <row r="117" spans="2:11">
      <c r="B117" s="2" t="s">
        <v>73</v>
      </c>
      <c r="C117" t="s">
        <v>12</v>
      </c>
      <c r="D117">
        <v>4</v>
      </c>
      <c r="E117">
        <v>105.4</v>
      </c>
      <c r="F117">
        <f t="shared" si="36"/>
        <v>1.054</v>
      </c>
      <c r="G117">
        <f t="shared" si="37"/>
        <v>0.87262451799999996</v>
      </c>
      <c r="H117">
        <f t="shared" si="38"/>
        <v>4.7788856407447966</v>
      </c>
      <c r="I117">
        <f t="shared" si="39"/>
        <v>0.13793103448275862</v>
      </c>
      <c r="J117">
        <f t="shared" si="40"/>
        <v>-1.9810014688665833</v>
      </c>
      <c r="K117">
        <f t="shared" si="41"/>
        <v>-0.2732415819126322</v>
      </c>
    </row>
    <row r="118" spans="2:11">
      <c r="B118" s="2" t="s">
        <v>74</v>
      </c>
      <c r="D118">
        <v>2</v>
      </c>
      <c r="E118">
        <v>43.6</v>
      </c>
      <c r="F118">
        <f t="shared" si="36"/>
        <v>0.436</v>
      </c>
      <c r="G118">
        <f t="shared" si="37"/>
        <v>0.14932040799999999</v>
      </c>
      <c r="H118">
        <f t="shared" si="38"/>
        <v>0.81774593647316529</v>
      </c>
      <c r="I118">
        <f t="shared" si="39"/>
        <v>6.8965517241379309E-2</v>
      </c>
      <c r="J118">
        <f t="shared" si="40"/>
        <v>-2.6741486494265287</v>
      </c>
      <c r="K118">
        <f t="shared" si="41"/>
        <v>-0.18442404478803645</v>
      </c>
    </row>
    <row r="119" spans="2:11">
      <c r="B119" s="2" t="s">
        <v>75</v>
      </c>
      <c r="C119" t="s">
        <v>46</v>
      </c>
      <c r="D119">
        <v>1</v>
      </c>
      <c r="E119">
        <v>15.6</v>
      </c>
      <c r="F119">
        <f t="shared" si="36"/>
        <v>0.156</v>
      </c>
      <c r="G119">
        <f t="shared" si="37"/>
        <v>1.9115928000000001E-2</v>
      </c>
      <c r="H119">
        <f t="shared" si="38"/>
        <v>0.10468744797371304</v>
      </c>
      <c r="I119">
        <f t="shared" si="39"/>
        <v>3.4482758620689655E-2</v>
      </c>
      <c r="J119">
        <f t="shared" si="40"/>
        <v>-3.3672958299864741</v>
      </c>
      <c r="K119">
        <f t="shared" si="41"/>
        <v>-0.11611364930987841</v>
      </c>
    </row>
    <row r="120" spans="2:11">
      <c r="B120" s="2" t="s">
        <v>76</v>
      </c>
      <c r="C120" t="s">
        <v>77</v>
      </c>
      <c r="D120">
        <v>1</v>
      </c>
      <c r="E120">
        <v>11.6</v>
      </c>
      <c r="F120">
        <f t="shared" si="36"/>
        <v>0.11599999999999999</v>
      </c>
      <c r="G120">
        <f t="shared" si="37"/>
        <v>1.0569687999999997E-2</v>
      </c>
      <c r="H120">
        <f t="shared" si="38"/>
        <v>5.7884381161007643E-2</v>
      </c>
      <c r="I120">
        <f t="shared" si="39"/>
        <v>3.4482758620689655E-2</v>
      </c>
      <c r="J120">
        <f t="shared" si="40"/>
        <v>-3.3672958299864741</v>
      </c>
      <c r="K120">
        <f t="shared" si="41"/>
        <v>-0.11611364930987841</v>
      </c>
    </row>
    <row r="121" spans="2:11">
      <c r="B121" s="2" t="s">
        <v>38</v>
      </c>
      <c r="C121" t="s">
        <v>39</v>
      </c>
      <c r="D121">
        <v>1</v>
      </c>
      <c r="E121">
        <v>40</v>
      </c>
      <c r="F121">
        <f t="shared" si="36"/>
        <v>0.4</v>
      </c>
      <c r="G121">
        <f t="shared" si="37"/>
        <v>0.12568000000000001</v>
      </c>
      <c r="H121">
        <f t="shared" si="38"/>
        <v>0.68828039430449073</v>
      </c>
      <c r="I121">
        <f t="shared" si="39"/>
        <v>3.4482758620689655E-2</v>
      </c>
      <c r="J121">
        <f t="shared" si="40"/>
        <v>-3.3672958299864741</v>
      </c>
      <c r="K121">
        <f t="shared" si="41"/>
        <v>-0.11611364930987841</v>
      </c>
    </row>
    <row r="122" spans="2:11">
      <c r="B122" s="2" t="s">
        <v>62</v>
      </c>
      <c r="C122" t="s">
        <v>31</v>
      </c>
      <c r="D122">
        <v>5</v>
      </c>
      <c r="E122">
        <v>117</v>
      </c>
      <c r="F122">
        <f t="shared" si="36"/>
        <v>1.17</v>
      </c>
      <c r="G122">
        <f t="shared" si="37"/>
        <v>1.0752709499999997</v>
      </c>
      <c r="H122">
        <f t="shared" si="38"/>
        <v>5.8886689485213566</v>
      </c>
      <c r="I122">
        <f t="shared" si="39"/>
        <v>0.17241379310344829</v>
      </c>
      <c r="J122">
        <f t="shared" si="40"/>
        <v>-1.7578579175523736</v>
      </c>
      <c r="K122">
        <f t="shared" si="41"/>
        <v>-0.30307895130213341</v>
      </c>
    </row>
    <row r="123" spans="2:11">
      <c r="B123" s="2" t="s">
        <v>78</v>
      </c>
      <c r="C123" t="s">
        <v>41</v>
      </c>
      <c r="D123">
        <v>1</v>
      </c>
      <c r="E123">
        <v>11</v>
      </c>
      <c r="F123">
        <f t="shared" si="36"/>
        <v>0.11</v>
      </c>
      <c r="G123">
        <f t="shared" si="37"/>
        <v>9.5045499999999988E-3</v>
      </c>
      <c r="H123">
        <f t="shared" si="38"/>
        <v>5.2051204819277094E-2</v>
      </c>
      <c r="I123">
        <f t="shared" si="39"/>
        <v>3.4482758620689655E-2</v>
      </c>
      <c r="J123">
        <f t="shared" si="40"/>
        <v>-3.3672958299864741</v>
      </c>
      <c r="K123">
        <f t="shared" si="41"/>
        <v>-0.11611364930987841</v>
      </c>
    </row>
    <row r="124" spans="2:11">
      <c r="B124" s="2"/>
      <c r="D124">
        <v>29</v>
      </c>
      <c r="G124">
        <v>18.260000000000002</v>
      </c>
      <c r="J124" t="s">
        <v>32</v>
      </c>
      <c r="K124">
        <v>2.14</v>
      </c>
    </row>
    <row r="125" spans="2:11">
      <c r="B125" s="2"/>
      <c r="J125" t="s">
        <v>33</v>
      </c>
      <c r="K125">
        <f>2.14/LN(29)</f>
        <v>0.63552479735901202</v>
      </c>
    </row>
    <row r="126" spans="2:11">
      <c r="B126" s="2"/>
    </row>
    <row r="127" spans="2:11">
      <c r="B127" s="2"/>
    </row>
    <row r="128" spans="2:11">
      <c r="B128" s="2"/>
      <c r="C128" t="s">
        <v>79</v>
      </c>
    </row>
    <row r="129" spans="2:11">
      <c r="B129" s="41" t="s">
        <v>69</v>
      </c>
      <c r="C129" s="1" t="s">
        <v>64</v>
      </c>
      <c r="D129" s="1" t="s">
        <v>43</v>
      </c>
      <c r="E129" s="1" t="s">
        <v>57</v>
      </c>
      <c r="F129" s="1" t="s">
        <v>5</v>
      </c>
      <c r="G129" s="1" t="s">
        <v>6</v>
      </c>
      <c r="H129" s="1" t="s">
        <v>7</v>
      </c>
      <c r="I129" s="34" t="s">
        <v>8</v>
      </c>
      <c r="J129" s="34" t="s">
        <v>9</v>
      </c>
      <c r="K129" s="34" t="s">
        <v>10</v>
      </c>
    </row>
    <row r="130" spans="2:11">
      <c r="B130" s="2" t="s">
        <v>66</v>
      </c>
      <c r="C130" t="s">
        <v>51</v>
      </c>
      <c r="D130">
        <v>1</v>
      </c>
      <c r="E130">
        <v>30.4</v>
      </c>
      <c r="F130">
        <f>E130/100</f>
        <v>0.30399999999999999</v>
      </c>
      <c r="G130">
        <f>((3.142*(F130)^2/4))</f>
        <v>7.2592768000000002E-2</v>
      </c>
      <c r="H130">
        <f>(G130/3.27)*100</f>
        <v>2.2199623241590216</v>
      </c>
      <c r="I130">
        <f>D130/30</f>
        <v>3.3333333333333333E-2</v>
      </c>
      <c r="J130">
        <f>LN(I130)</f>
        <v>-3.4011973816621555</v>
      </c>
      <c r="K130">
        <f>I130*J130</f>
        <v>-0.11337324605540518</v>
      </c>
    </row>
    <row r="131" spans="2:11">
      <c r="B131" s="2" t="s">
        <v>80</v>
      </c>
      <c r="C131" t="s">
        <v>12</v>
      </c>
      <c r="D131">
        <v>1</v>
      </c>
      <c r="E131">
        <v>19.2</v>
      </c>
      <c r="F131">
        <f t="shared" ref="F131:F148" si="42">E131/100</f>
        <v>0.192</v>
      </c>
      <c r="G131">
        <f t="shared" ref="G131:G148" si="43">((3.142*(F131)^2/4))</f>
        <v>2.8956671999999999E-2</v>
      </c>
      <c r="H131">
        <f t="shared" ref="H131:H148" si="44">(G131/3.27)*100</f>
        <v>0.88552513761467888</v>
      </c>
      <c r="I131">
        <f t="shared" ref="I131:I148" si="45">D131/30</f>
        <v>3.3333333333333333E-2</v>
      </c>
      <c r="J131">
        <f t="shared" ref="J131:J148" si="46">LN(I131)</f>
        <v>-3.4011973816621555</v>
      </c>
      <c r="K131">
        <f t="shared" ref="K131:K148" si="47">I131*J131</f>
        <v>-0.11337324605540518</v>
      </c>
    </row>
    <row r="132" spans="2:11">
      <c r="B132" s="2" t="s">
        <v>81</v>
      </c>
      <c r="C132" t="s">
        <v>12</v>
      </c>
      <c r="D132">
        <v>1</v>
      </c>
      <c r="E132">
        <v>20.399999999999999</v>
      </c>
      <c r="F132">
        <f t="shared" si="42"/>
        <v>0.20399999999999999</v>
      </c>
      <c r="G132">
        <f t="shared" si="43"/>
        <v>3.2689367999999996E-2</v>
      </c>
      <c r="H132">
        <f t="shared" si="44"/>
        <v>0.99967486238532099</v>
      </c>
      <c r="I132">
        <f t="shared" si="45"/>
        <v>3.3333333333333333E-2</v>
      </c>
      <c r="J132">
        <f t="shared" si="46"/>
        <v>-3.4011973816621555</v>
      </c>
      <c r="K132">
        <f t="shared" si="47"/>
        <v>-0.11337324605540518</v>
      </c>
    </row>
    <row r="133" spans="2:11">
      <c r="B133" s="2" t="s">
        <v>13</v>
      </c>
      <c r="C133" t="s">
        <v>12</v>
      </c>
      <c r="D133">
        <v>1</v>
      </c>
      <c r="E133">
        <v>66</v>
      </c>
      <c r="F133">
        <f t="shared" si="42"/>
        <v>0.66</v>
      </c>
      <c r="G133">
        <f t="shared" si="43"/>
        <v>0.34216380000000002</v>
      </c>
      <c r="H133">
        <f t="shared" si="44"/>
        <v>10.463724770642202</v>
      </c>
      <c r="I133">
        <f t="shared" si="45"/>
        <v>3.3333333333333333E-2</v>
      </c>
      <c r="J133">
        <f t="shared" si="46"/>
        <v>-3.4011973816621555</v>
      </c>
      <c r="K133">
        <f t="shared" si="47"/>
        <v>-0.11337324605540518</v>
      </c>
    </row>
    <row r="134" spans="2:11">
      <c r="B134" s="2" t="s">
        <v>71</v>
      </c>
      <c r="C134" t="s">
        <v>72</v>
      </c>
      <c r="D134">
        <v>3</v>
      </c>
      <c r="E134">
        <v>124.2</v>
      </c>
      <c r="F134">
        <f t="shared" si="42"/>
        <v>1.242</v>
      </c>
      <c r="G134">
        <f t="shared" si="43"/>
        <v>1.211684022</v>
      </c>
      <c r="H134">
        <f t="shared" si="44"/>
        <v>37.05455724770642</v>
      </c>
      <c r="I134">
        <f t="shared" si="45"/>
        <v>0.1</v>
      </c>
      <c r="J134">
        <f t="shared" si="46"/>
        <v>-2.3025850929940455</v>
      </c>
      <c r="K134">
        <f t="shared" si="47"/>
        <v>-0.23025850929940456</v>
      </c>
    </row>
    <row r="135" spans="2:11">
      <c r="B135" s="2" t="s">
        <v>82</v>
      </c>
      <c r="C135" t="s">
        <v>31</v>
      </c>
      <c r="D135">
        <v>1</v>
      </c>
      <c r="E135">
        <v>13.2</v>
      </c>
      <c r="F135">
        <f t="shared" si="42"/>
        <v>0.13200000000000001</v>
      </c>
      <c r="G135">
        <f t="shared" si="43"/>
        <v>1.3686552000000001E-2</v>
      </c>
      <c r="H135">
        <f t="shared" si="44"/>
        <v>0.41854899082568808</v>
      </c>
      <c r="I135">
        <f t="shared" si="45"/>
        <v>3.3333333333333333E-2</v>
      </c>
      <c r="J135">
        <f t="shared" si="46"/>
        <v>-3.4011973816621555</v>
      </c>
      <c r="K135">
        <f t="shared" si="47"/>
        <v>-0.11337324605540518</v>
      </c>
    </row>
    <row r="136" spans="2:11">
      <c r="B136" s="2" t="s">
        <v>50</v>
      </c>
      <c r="C136" s="17" t="s">
        <v>51</v>
      </c>
      <c r="D136">
        <v>1</v>
      </c>
      <c r="E136">
        <v>72.599999999999994</v>
      </c>
      <c r="F136">
        <f t="shared" si="42"/>
        <v>0.72599999999999998</v>
      </c>
      <c r="G136">
        <f t="shared" si="43"/>
        <v>0.414018198</v>
      </c>
      <c r="H136">
        <f t="shared" si="44"/>
        <v>12.661106972477064</v>
      </c>
      <c r="I136">
        <f t="shared" si="45"/>
        <v>3.3333333333333333E-2</v>
      </c>
      <c r="J136">
        <f t="shared" si="46"/>
        <v>-3.4011973816621555</v>
      </c>
      <c r="K136">
        <f t="shared" si="47"/>
        <v>-0.11337324605540518</v>
      </c>
    </row>
    <row r="137" spans="2:11">
      <c r="B137" s="2" t="s">
        <v>83</v>
      </c>
      <c r="C137" t="s">
        <v>15</v>
      </c>
      <c r="D137">
        <v>1</v>
      </c>
      <c r="E137">
        <v>12.2</v>
      </c>
      <c r="F137">
        <f t="shared" si="42"/>
        <v>0.122</v>
      </c>
      <c r="G137">
        <f t="shared" si="43"/>
        <v>1.1691382E-2</v>
      </c>
      <c r="H137">
        <f t="shared" si="44"/>
        <v>0.35753461773700307</v>
      </c>
      <c r="I137">
        <f t="shared" si="45"/>
        <v>3.3333333333333333E-2</v>
      </c>
      <c r="J137">
        <f t="shared" si="46"/>
        <v>-3.4011973816621555</v>
      </c>
      <c r="K137">
        <f t="shared" si="47"/>
        <v>-0.11337324605540518</v>
      </c>
    </row>
    <row r="138" spans="2:11">
      <c r="B138" s="2" t="s">
        <v>84</v>
      </c>
      <c r="C138" t="s">
        <v>15</v>
      </c>
      <c r="D138">
        <v>1</v>
      </c>
      <c r="E138">
        <v>12.3</v>
      </c>
      <c r="F138">
        <f t="shared" si="42"/>
        <v>0.12300000000000001</v>
      </c>
      <c r="G138">
        <f t="shared" si="43"/>
        <v>1.1883829500000002E-2</v>
      </c>
      <c r="H138">
        <f t="shared" si="44"/>
        <v>0.36341986238532115</v>
      </c>
      <c r="I138">
        <f t="shared" si="45"/>
        <v>3.3333333333333333E-2</v>
      </c>
      <c r="J138">
        <f t="shared" si="46"/>
        <v>-3.4011973816621555</v>
      </c>
      <c r="K138">
        <f t="shared" si="47"/>
        <v>-0.11337324605540518</v>
      </c>
    </row>
    <row r="139" spans="2:11">
      <c r="B139" s="2" t="s">
        <v>85</v>
      </c>
      <c r="C139" t="s">
        <v>15</v>
      </c>
      <c r="D139">
        <v>1</v>
      </c>
      <c r="E139">
        <v>30.1</v>
      </c>
      <c r="F139">
        <f t="shared" si="42"/>
        <v>0.30099999999999999</v>
      </c>
      <c r="G139">
        <f t="shared" si="43"/>
        <v>7.1167085499999991E-2</v>
      </c>
      <c r="H139">
        <f t="shared" si="44"/>
        <v>2.176363470948012</v>
      </c>
      <c r="I139">
        <f t="shared" si="45"/>
        <v>3.3333333333333333E-2</v>
      </c>
      <c r="J139">
        <f t="shared" si="46"/>
        <v>-3.4011973816621555</v>
      </c>
      <c r="K139">
        <f t="shared" si="47"/>
        <v>-0.11337324605540518</v>
      </c>
    </row>
    <row r="140" spans="2:11">
      <c r="B140" s="2" t="s">
        <v>20</v>
      </c>
      <c r="C140" t="s">
        <v>21</v>
      </c>
      <c r="D140">
        <v>3</v>
      </c>
      <c r="E140">
        <v>48.1</v>
      </c>
      <c r="F140">
        <f t="shared" si="42"/>
        <v>0.48100000000000004</v>
      </c>
      <c r="G140">
        <f t="shared" si="43"/>
        <v>0.18173406550000001</v>
      </c>
      <c r="H140">
        <f t="shared" si="44"/>
        <v>5.5576166819571871</v>
      </c>
      <c r="I140">
        <f t="shared" si="45"/>
        <v>0.1</v>
      </c>
      <c r="J140">
        <f t="shared" si="46"/>
        <v>-2.3025850929940455</v>
      </c>
      <c r="K140">
        <f t="shared" si="47"/>
        <v>-0.23025850929940456</v>
      </c>
    </row>
    <row r="141" spans="2:11">
      <c r="B141" s="2" t="s">
        <v>86</v>
      </c>
      <c r="C141" t="s">
        <v>21</v>
      </c>
      <c r="D141">
        <v>1</v>
      </c>
      <c r="E141">
        <v>16</v>
      </c>
      <c r="F141">
        <f t="shared" si="42"/>
        <v>0.16</v>
      </c>
      <c r="G141">
        <f t="shared" si="43"/>
        <v>2.01088E-2</v>
      </c>
      <c r="H141">
        <f t="shared" si="44"/>
        <v>0.61494801223241591</v>
      </c>
      <c r="I141">
        <f t="shared" si="45"/>
        <v>3.3333333333333333E-2</v>
      </c>
      <c r="J141">
        <f t="shared" si="46"/>
        <v>-3.4011973816621555</v>
      </c>
      <c r="K141">
        <f t="shared" si="47"/>
        <v>-0.11337324605540518</v>
      </c>
    </row>
    <row r="142" spans="2:11">
      <c r="B142" s="2" t="s">
        <v>87</v>
      </c>
      <c r="C142" t="s">
        <v>88</v>
      </c>
      <c r="D142">
        <v>1</v>
      </c>
      <c r="E142">
        <v>32.4</v>
      </c>
      <c r="F142">
        <f t="shared" si="42"/>
        <v>0.32400000000000001</v>
      </c>
      <c r="G142">
        <f t="shared" si="43"/>
        <v>8.2458647999999996E-2</v>
      </c>
      <c r="H142">
        <f t="shared" si="44"/>
        <v>2.5216711926605502</v>
      </c>
      <c r="I142">
        <f t="shared" si="45"/>
        <v>3.3333333333333333E-2</v>
      </c>
      <c r="J142">
        <f t="shared" si="46"/>
        <v>-3.4011973816621555</v>
      </c>
      <c r="K142">
        <f t="shared" si="47"/>
        <v>-0.11337324605540518</v>
      </c>
    </row>
    <row r="143" spans="2:11">
      <c r="B143" s="2" t="s">
        <v>23</v>
      </c>
      <c r="C143" t="s">
        <v>24</v>
      </c>
      <c r="D143">
        <v>3</v>
      </c>
      <c r="E143">
        <v>35.700000000000003</v>
      </c>
      <c r="F143">
        <f t="shared" si="42"/>
        <v>0.35700000000000004</v>
      </c>
      <c r="G143">
        <f t="shared" si="43"/>
        <v>0.10011118950000003</v>
      </c>
      <c r="H143">
        <f t="shared" si="44"/>
        <v>3.0615042660550467</v>
      </c>
      <c r="I143">
        <f t="shared" si="45"/>
        <v>0.1</v>
      </c>
      <c r="J143">
        <f t="shared" si="46"/>
        <v>-2.3025850929940455</v>
      </c>
      <c r="K143">
        <f t="shared" si="47"/>
        <v>-0.23025850929940456</v>
      </c>
    </row>
    <row r="144" spans="2:11">
      <c r="B144" s="2" t="s">
        <v>25</v>
      </c>
      <c r="C144" t="s">
        <v>24</v>
      </c>
      <c r="D144">
        <v>2</v>
      </c>
      <c r="E144">
        <v>58.5</v>
      </c>
      <c r="F144">
        <f t="shared" si="42"/>
        <v>0.58499999999999996</v>
      </c>
      <c r="G144">
        <f t="shared" si="43"/>
        <v>0.26881773749999993</v>
      </c>
      <c r="H144">
        <f t="shared" si="44"/>
        <v>8.2207259174311904</v>
      </c>
      <c r="I144">
        <f t="shared" si="45"/>
        <v>6.6666666666666666E-2</v>
      </c>
      <c r="J144">
        <f t="shared" si="46"/>
        <v>-2.7080502011022101</v>
      </c>
      <c r="K144">
        <f t="shared" si="47"/>
        <v>-0.18053668007348067</v>
      </c>
    </row>
    <row r="145" spans="2:11">
      <c r="B145" s="2" t="s">
        <v>76</v>
      </c>
      <c r="C145" t="s">
        <v>77</v>
      </c>
      <c r="D145">
        <v>1</v>
      </c>
      <c r="E145">
        <v>14</v>
      </c>
      <c r="F145">
        <f t="shared" si="42"/>
        <v>0.14000000000000001</v>
      </c>
      <c r="G145">
        <f t="shared" si="43"/>
        <v>1.5395800000000001E-2</v>
      </c>
      <c r="H145">
        <f t="shared" si="44"/>
        <v>0.47081957186544349</v>
      </c>
      <c r="I145">
        <f t="shared" si="45"/>
        <v>3.3333333333333333E-2</v>
      </c>
      <c r="J145">
        <f t="shared" si="46"/>
        <v>-3.4011973816621555</v>
      </c>
      <c r="K145">
        <f t="shared" si="47"/>
        <v>-0.11337324605540518</v>
      </c>
    </row>
    <row r="146" spans="2:11">
      <c r="B146" s="2" t="s">
        <v>62</v>
      </c>
      <c r="C146" t="s">
        <v>31</v>
      </c>
      <c r="D146">
        <v>2</v>
      </c>
      <c r="E146">
        <v>28.7</v>
      </c>
      <c r="F146">
        <f t="shared" si="42"/>
        <v>0.28699999999999998</v>
      </c>
      <c r="G146">
        <f t="shared" si="43"/>
        <v>6.4700849499999991E-2</v>
      </c>
      <c r="H146">
        <f t="shared" si="44"/>
        <v>1.9786192507645257</v>
      </c>
      <c r="I146">
        <f t="shared" si="45"/>
        <v>6.6666666666666666E-2</v>
      </c>
      <c r="J146">
        <f t="shared" si="46"/>
        <v>-2.7080502011022101</v>
      </c>
      <c r="K146">
        <f t="shared" si="47"/>
        <v>-0.18053668007348067</v>
      </c>
    </row>
    <row r="147" spans="2:11">
      <c r="B147" s="2" t="s">
        <v>40</v>
      </c>
      <c r="C147" t="s">
        <v>41</v>
      </c>
      <c r="D147">
        <v>4</v>
      </c>
      <c r="E147">
        <v>61.6</v>
      </c>
      <c r="F147">
        <f t="shared" si="42"/>
        <v>0.61599999999999999</v>
      </c>
      <c r="G147">
        <f t="shared" si="43"/>
        <v>0.29806268800000002</v>
      </c>
      <c r="H147">
        <f t="shared" si="44"/>
        <v>9.1150669113149849</v>
      </c>
      <c r="I147">
        <f t="shared" si="45"/>
        <v>0.13333333333333333</v>
      </c>
      <c r="J147">
        <f t="shared" si="46"/>
        <v>-2.0149030205422647</v>
      </c>
      <c r="K147">
        <f t="shared" si="47"/>
        <v>-0.26865373607230197</v>
      </c>
    </row>
    <row r="148" spans="2:11">
      <c r="B148" s="2" t="s">
        <v>30</v>
      </c>
      <c r="C148" t="s">
        <v>31</v>
      </c>
      <c r="D148">
        <v>1</v>
      </c>
      <c r="E148">
        <v>18.600000000000001</v>
      </c>
      <c r="F148">
        <f t="shared" si="42"/>
        <v>0.18600000000000003</v>
      </c>
      <c r="G148">
        <f t="shared" si="43"/>
        <v>2.7175158000000005E-2</v>
      </c>
      <c r="H148">
        <f t="shared" si="44"/>
        <v>0.83104458715596352</v>
      </c>
      <c r="I148">
        <f t="shared" si="45"/>
        <v>3.3333333333333333E-2</v>
      </c>
      <c r="J148">
        <f t="shared" si="46"/>
        <v>-3.4011973816621555</v>
      </c>
      <c r="K148">
        <f t="shared" si="47"/>
        <v>-0.11337324605540518</v>
      </c>
    </row>
    <row r="149" spans="2:11">
      <c r="D149">
        <v>30</v>
      </c>
      <c r="G149">
        <v>3.27</v>
      </c>
      <c r="J149" t="s">
        <v>32</v>
      </c>
      <c r="K149">
        <v>2.79</v>
      </c>
    </row>
    <row r="150" spans="2:11">
      <c r="J150" t="s">
        <v>33</v>
      </c>
      <c r="K150">
        <f>2.79/LN(30)</f>
        <v>0.82029934958862483</v>
      </c>
    </row>
  </sheetData>
  <sortState ref="B81:E109">
    <sortCondition ref="B81:B109"/>
  </sortState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tabSelected="1" workbookViewId="0">
      <selection activeCell="A3" sqref="A3"/>
    </sheetView>
  </sheetViews>
  <sheetFormatPr defaultColWidth="9.140625" defaultRowHeight="15"/>
  <sheetData>
    <row r="2" spans="2:12">
      <c r="E2" t="s">
        <v>328</v>
      </c>
    </row>
    <row r="3" spans="2:12">
      <c r="C3" t="s">
        <v>329</v>
      </c>
      <c r="D3" t="s">
        <v>330</v>
      </c>
      <c r="E3" t="s">
        <v>331</v>
      </c>
      <c r="F3" t="s">
        <v>332</v>
      </c>
      <c r="G3" t="s">
        <v>333</v>
      </c>
      <c r="H3" t="s">
        <v>334</v>
      </c>
      <c r="I3" t="s">
        <v>335</v>
      </c>
      <c r="J3" t="s">
        <v>336</v>
      </c>
    </row>
    <row r="4" spans="2:12" ht="18.75">
      <c r="B4" s="18" t="s">
        <v>337</v>
      </c>
      <c r="C4" s="19">
        <v>5</v>
      </c>
      <c r="D4" s="19">
        <v>8</v>
      </c>
      <c r="E4" s="19">
        <v>11</v>
      </c>
      <c r="F4" s="19">
        <v>6</v>
      </c>
      <c r="G4" s="19">
        <v>0</v>
      </c>
      <c r="H4" s="19">
        <v>0</v>
      </c>
      <c r="I4" s="19">
        <v>9</v>
      </c>
      <c r="J4" s="19">
        <v>8</v>
      </c>
      <c r="L4" s="21">
        <f t="shared" ref="L4:L10" si="0">SUM(C4:J4)</f>
        <v>47</v>
      </c>
    </row>
    <row r="5" spans="2:12" ht="18.75">
      <c r="B5" s="18" t="s">
        <v>338</v>
      </c>
      <c r="C5" s="20">
        <v>15</v>
      </c>
      <c r="D5" s="20">
        <v>8</v>
      </c>
      <c r="E5" s="20">
        <v>12</v>
      </c>
      <c r="F5" s="20">
        <v>18</v>
      </c>
      <c r="G5" s="20">
        <v>9</v>
      </c>
      <c r="H5" s="20">
        <v>11</v>
      </c>
      <c r="I5" s="20">
        <v>13</v>
      </c>
      <c r="J5" s="20">
        <v>11</v>
      </c>
      <c r="L5" s="21">
        <f t="shared" si="0"/>
        <v>97</v>
      </c>
    </row>
    <row r="6" spans="2:12" ht="18.75">
      <c r="B6" s="18" t="s">
        <v>339</v>
      </c>
      <c r="C6" s="20">
        <v>2</v>
      </c>
      <c r="D6" s="20">
        <v>0</v>
      </c>
      <c r="E6" s="20">
        <v>0</v>
      </c>
      <c r="F6" s="20">
        <v>3</v>
      </c>
      <c r="G6" s="20">
        <v>0</v>
      </c>
      <c r="H6" s="20">
        <v>0</v>
      </c>
      <c r="I6" s="20">
        <v>0</v>
      </c>
      <c r="J6" s="20">
        <v>0</v>
      </c>
      <c r="L6" s="21">
        <f t="shared" si="0"/>
        <v>5</v>
      </c>
    </row>
    <row r="7" spans="2:12" ht="18.75">
      <c r="B7" s="18" t="s">
        <v>340</v>
      </c>
      <c r="C7" s="20">
        <v>6</v>
      </c>
      <c r="D7" s="20">
        <v>8</v>
      </c>
      <c r="E7" s="20">
        <v>2</v>
      </c>
      <c r="F7" s="20">
        <v>0</v>
      </c>
      <c r="G7" s="20">
        <v>5</v>
      </c>
      <c r="H7" s="20">
        <v>3</v>
      </c>
      <c r="I7" s="20">
        <v>10</v>
      </c>
      <c r="J7" s="20">
        <v>6</v>
      </c>
      <c r="L7" s="21">
        <f t="shared" si="0"/>
        <v>40</v>
      </c>
    </row>
    <row r="8" spans="2:12" ht="18.75">
      <c r="B8" s="18" t="s">
        <v>341</v>
      </c>
      <c r="C8" s="20">
        <v>0</v>
      </c>
      <c r="D8" s="20">
        <v>2</v>
      </c>
      <c r="E8" s="20">
        <v>2</v>
      </c>
      <c r="F8" s="20">
        <v>6</v>
      </c>
      <c r="G8" s="20">
        <v>4</v>
      </c>
      <c r="H8" s="20">
        <v>0</v>
      </c>
      <c r="I8" s="20">
        <v>0</v>
      </c>
      <c r="J8" s="20">
        <v>3</v>
      </c>
      <c r="L8" s="21">
        <f t="shared" si="0"/>
        <v>17</v>
      </c>
    </row>
    <row r="9" spans="2:12" ht="18.75">
      <c r="B9" s="18" t="s">
        <v>342</v>
      </c>
      <c r="C9" s="20">
        <v>6</v>
      </c>
      <c r="D9" s="20">
        <v>3</v>
      </c>
      <c r="E9" s="20">
        <v>2</v>
      </c>
      <c r="F9" s="20">
        <v>2</v>
      </c>
      <c r="G9" s="20">
        <v>0</v>
      </c>
      <c r="H9" s="20">
        <v>0</v>
      </c>
      <c r="I9" s="20">
        <v>7</v>
      </c>
      <c r="J9" s="20">
        <v>10</v>
      </c>
      <c r="L9" s="21">
        <f t="shared" si="0"/>
        <v>30</v>
      </c>
    </row>
    <row r="10" spans="2:12" ht="18.75">
      <c r="B10" s="18" t="s">
        <v>343</v>
      </c>
      <c r="C10" s="20">
        <v>14</v>
      </c>
      <c r="D10" s="20">
        <v>18</v>
      </c>
      <c r="E10" s="20">
        <v>10</v>
      </c>
      <c r="F10" s="20">
        <v>12</v>
      </c>
      <c r="G10" s="20">
        <v>9</v>
      </c>
      <c r="H10" s="20">
        <v>10</v>
      </c>
      <c r="I10" s="20">
        <v>8</v>
      </c>
      <c r="J10" s="20">
        <v>7</v>
      </c>
      <c r="L10" s="21">
        <f t="shared" si="0"/>
        <v>88</v>
      </c>
    </row>
    <row r="11" spans="2:12">
      <c r="L11" s="21"/>
    </row>
    <row r="12" spans="2:12">
      <c r="L12" s="21"/>
    </row>
    <row r="13" spans="2:12">
      <c r="E13" t="s">
        <v>344</v>
      </c>
      <c r="L13" s="21"/>
    </row>
    <row r="14" spans="2:12">
      <c r="C14" t="s">
        <v>329</v>
      </c>
      <c r="D14" t="s">
        <v>330</v>
      </c>
      <c r="E14" t="s">
        <v>331</v>
      </c>
      <c r="F14" t="s">
        <v>332</v>
      </c>
      <c r="G14" t="s">
        <v>333</v>
      </c>
      <c r="H14" t="s">
        <v>334</v>
      </c>
      <c r="I14" t="s">
        <v>335</v>
      </c>
      <c r="J14" t="s">
        <v>336</v>
      </c>
      <c r="L14" s="21"/>
    </row>
    <row r="15" spans="2:12" ht="18.75">
      <c r="B15" s="18" t="s">
        <v>337</v>
      </c>
      <c r="C15" s="19">
        <v>0</v>
      </c>
      <c r="D15" s="19">
        <v>0</v>
      </c>
      <c r="E15" s="19">
        <v>10</v>
      </c>
      <c r="F15" s="19">
        <v>13</v>
      </c>
      <c r="G15" s="19">
        <v>10</v>
      </c>
      <c r="H15" s="19">
        <v>0</v>
      </c>
      <c r="I15" s="19">
        <v>0</v>
      </c>
      <c r="J15" s="19">
        <v>0</v>
      </c>
      <c r="L15" s="21">
        <f t="shared" ref="L15:L21" si="1">SUM(C15:J15)</f>
        <v>33</v>
      </c>
    </row>
    <row r="16" spans="2:12" ht="18.75">
      <c r="B16" s="18" t="s">
        <v>338</v>
      </c>
      <c r="C16" s="20">
        <v>18</v>
      </c>
      <c r="D16" s="20">
        <v>10</v>
      </c>
      <c r="E16" s="20">
        <v>11</v>
      </c>
      <c r="F16" s="20">
        <v>16</v>
      </c>
      <c r="G16" s="20">
        <v>8</v>
      </c>
      <c r="H16" s="20">
        <v>8</v>
      </c>
      <c r="I16" s="20">
        <v>21</v>
      </c>
      <c r="J16" s="20">
        <v>19</v>
      </c>
      <c r="L16" s="21">
        <f t="shared" si="1"/>
        <v>111</v>
      </c>
    </row>
    <row r="17" spans="2:12" ht="18.75">
      <c r="B17" s="18" t="s">
        <v>339</v>
      </c>
      <c r="C17" s="20">
        <v>3</v>
      </c>
      <c r="D17" s="20">
        <v>4</v>
      </c>
      <c r="E17" s="20">
        <v>0</v>
      </c>
      <c r="F17" s="20">
        <v>0</v>
      </c>
      <c r="G17" s="20">
        <v>2</v>
      </c>
      <c r="H17" s="20">
        <v>0</v>
      </c>
      <c r="I17" s="20">
        <v>0</v>
      </c>
      <c r="J17" s="20">
        <v>5</v>
      </c>
      <c r="L17" s="21">
        <f t="shared" si="1"/>
        <v>14</v>
      </c>
    </row>
    <row r="18" spans="2:12" ht="18.75">
      <c r="B18" s="18" t="s">
        <v>340</v>
      </c>
      <c r="C18" s="20">
        <v>4</v>
      </c>
      <c r="D18" s="20">
        <v>11</v>
      </c>
      <c r="E18" s="20">
        <v>2</v>
      </c>
      <c r="F18" s="20">
        <v>0</v>
      </c>
      <c r="G18" s="20">
        <v>6</v>
      </c>
      <c r="H18" s="20">
        <v>8</v>
      </c>
      <c r="I18" s="20">
        <v>2</v>
      </c>
      <c r="J18" s="20">
        <v>0</v>
      </c>
      <c r="L18" s="21">
        <f t="shared" si="1"/>
        <v>33</v>
      </c>
    </row>
    <row r="19" spans="2:12" ht="18.75">
      <c r="B19" s="18" t="s">
        <v>341</v>
      </c>
      <c r="C19" s="20">
        <v>8</v>
      </c>
      <c r="D19" s="20">
        <v>7</v>
      </c>
      <c r="E19" s="20">
        <v>6</v>
      </c>
      <c r="F19" s="20">
        <v>9</v>
      </c>
      <c r="G19" s="20">
        <v>12</v>
      </c>
      <c r="H19" s="20">
        <v>10</v>
      </c>
      <c r="I19" s="20">
        <v>0</v>
      </c>
      <c r="J19" s="20">
        <v>4</v>
      </c>
      <c r="L19" s="21">
        <f t="shared" si="1"/>
        <v>56</v>
      </c>
    </row>
    <row r="20" spans="2:12" ht="18.75">
      <c r="B20" s="18" t="s">
        <v>342</v>
      </c>
      <c r="C20" s="20">
        <v>0</v>
      </c>
      <c r="D20" s="20">
        <v>0</v>
      </c>
      <c r="E20" s="20">
        <v>1</v>
      </c>
      <c r="F20" s="20">
        <v>6</v>
      </c>
      <c r="G20" s="20">
        <v>2</v>
      </c>
      <c r="H20" s="20">
        <v>2</v>
      </c>
      <c r="I20" s="20">
        <v>0</v>
      </c>
      <c r="J20" s="20">
        <v>0</v>
      </c>
      <c r="L20" s="21">
        <f t="shared" si="1"/>
        <v>11</v>
      </c>
    </row>
    <row r="21" spans="2:12" ht="18.75">
      <c r="B21" s="18" t="s">
        <v>343</v>
      </c>
      <c r="C21" s="20">
        <v>15</v>
      </c>
      <c r="D21" s="20">
        <v>18</v>
      </c>
      <c r="E21" s="20">
        <v>11</v>
      </c>
      <c r="F21" s="20">
        <v>14</v>
      </c>
      <c r="G21" s="20">
        <v>17</v>
      </c>
      <c r="H21" s="20">
        <v>10</v>
      </c>
      <c r="I21" s="20">
        <v>8</v>
      </c>
      <c r="J21" s="20">
        <v>16</v>
      </c>
      <c r="L21" s="21">
        <f t="shared" si="1"/>
        <v>109</v>
      </c>
    </row>
    <row r="22" spans="2:12">
      <c r="L22" s="21"/>
    </row>
    <row r="23" spans="2:12">
      <c r="L23" s="21"/>
    </row>
    <row r="24" spans="2:12">
      <c r="E24" t="s">
        <v>345</v>
      </c>
      <c r="L24" s="21"/>
    </row>
    <row r="25" spans="2:12">
      <c r="C25" t="s">
        <v>329</v>
      </c>
      <c r="D25" t="s">
        <v>330</v>
      </c>
      <c r="E25" t="s">
        <v>331</v>
      </c>
      <c r="F25" t="s">
        <v>332</v>
      </c>
      <c r="G25" t="s">
        <v>333</v>
      </c>
      <c r="H25" t="s">
        <v>334</v>
      </c>
      <c r="I25" t="s">
        <v>335</v>
      </c>
      <c r="J25" t="s">
        <v>336</v>
      </c>
      <c r="L25" s="21"/>
    </row>
    <row r="26" spans="2:12" ht="18.75">
      <c r="B26" s="18" t="s">
        <v>337</v>
      </c>
      <c r="C26" s="19">
        <v>0</v>
      </c>
      <c r="D26" s="19">
        <v>8</v>
      </c>
      <c r="E26" s="19">
        <v>11</v>
      </c>
      <c r="F26" s="19">
        <v>5</v>
      </c>
      <c r="G26" s="19">
        <v>7</v>
      </c>
      <c r="H26" s="19">
        <v>0</v>
      </c>
      <c r="I26" s="19">
        <v>0</v>
      </c>
      <c r="J26" s="19">
        <v>12</v>
      </c>
      <c r="K26" s="19">
        <v>10</v>
      </c>
      <c r="L26" s="21">
        <f t="shared" ref="L26:L32" si="2">SUM(C26:J26)</f>
        <v>43</v>
      </c>
    </row>
    <row r="27" spans="2:12" ht="18.75">
      <c r="B27" s="18" t="s">
        <v>338</v>
      </c>
      <c r="C27" s="20">
        <v>19</v>
      </c>
      <c r="D27" s="20">
        <v>10</v>
      </c>
      <c r="E27" s="20">
        <v>7</v>
      </c>
      <c r="F27" s="20">
        <v>9</v>
      </c>
      <c r="G27" s="20">
        <v>5</v>
      </c>
      <c r="H27" s="20">
        <v>11</v>
      </c>
      <c r="I27" s="20">
        <v>6</v>
      </c>
      <c r="J27" s="20">
        <v>14</v>
      </c>
      <c r="K27" s="20">
        <v>3</v>
      </c>
      <c r="L27" s="21">
        <f t="shared" si="2"/>
        <v>81</v>
      </c>
    </row>
    <row r="28" spans="2:12" ht="18.75">
      <c r="B28" s="18" t="s">
        <v>339</v>
      </c>
      <c r="C28" s="20">
        <v>5</v>
      </c>
      <c r="D28" s="20">
        <v>0</v>
      </c>
      <c r="E28" s="20">
        <v>4</v>
      </c>
      <c r="F28" s="20">
        <v>4</v>
      </c>
      <c r="G28" s="20">
        <v>0</v>
      </c>
      <c r="H28" s="20">
        <v>0</v>
      </c>
      <c r="I28" s="20">
        <v>0</v>
      </c>
      <c r="J28" s="20">
        <v>3</v>
      </c>
      <c r="K28" s="20">
        <v>1</v>
      </c>
      <c r="L28" s="21">
        <f t="shared" si="2"/>
        <v>16</v>
      </c>
    </row>
    <row r="29" spans="2:12" ht="18.75">
      <c r="B29" s="18" t="s">
        <v>340</v>
      </c>
      <c r="C29" s="20">
        <v>0</v>
      </c>
      <c r="D29" s="20">
        <v>8</v>
      </c>
      <c r="E29" s="20">
        <v>12</v>
      </c>
      <c r="F29" s="20">
        <v>9</v>
      </c>
      <c r="G29" s="20">
        <v>9</v>
      </c>
      <c r="H29" s="20">
        <v>13</v>
      </c>
      <c r="I29" s="20">
        <v>7</v>
      </c>
      <c r="J29" s="20">
        <v>9</v>
      </c>
      <c r="K29" s="20">
        <v>5</v>
      </c>
      <c r="L29" s="21">
        <f t="shared" si="2"/>
        <v>67</v>
      </c>
    </row>
    <row r="30" spans="2:12" ht="18.75">
      <c r="B30" s="18" t="s">
        <v>341</v>
      </c>
      <c r="C30" s="20">
        <v>4</v>
      </c>
      <c r="D30" s="20">
        <v>12</v>
      </c>
      <c r="E30" s="20">
        <v>10</v>
      </c>
      <c r="F30" s="20">
        <v>15</v>
      </c>
      <c r="G30" s="20">
        <v>9</v>
      </c>
      <c r="H30" s="20">
        <v>8</v>
      </c>
      <c r="I30" s="20">
        <v>11</v>
      </c>
      <c r="J30" s="20">
        <v>14</v>
      </c>
      <c r="K30" s="20">
        <v>9</v>
      </c>
      <c r="L30" s="21">
        <f t="shared" si="2"/>
        <v>83</v>
      </c>
    </row>
    <row r="31" spans="2:12" ht="18.75">
      <c r="B31" s="18" t="s">
        <v>342</v>
      </c>
      <c r="C31" s="20">
        <v>0</v>
      </c>
      <c r="D31" s="20">
        <v>5</v>
      </c>
      <c r="E31" s="20">
        <v>0</v>
      </c>
      <c r="F31" s="20">
        <v>0</v>
      </c>
      <c r="G31" s="20">
        <v>8</v>
      </c>
      <c r="H31" s="20">
        <v>8</v>
      </c>
      <c r="I31" s="20">
        <v>4</v>
      </c>
      <c r="J31" s="20">
        <v>3</v>
      </c>
      <c r="K31" s="20">
        <v>0</v>
      </c>
      <c r="L31" s="21">
        <f t="shared" si="2"/>
        <v>28</v>
      </c>
    </row>
    <row r="32" spans="2:12" ht="18.75">
      <c r="B32" s="18" t="s">
        <v>343</v>
      </c>
      <c r="C32" s="20">
        <v>16</v>
      </c>
      <c r="D32" s="20">
        <v>22</v>
      </c>
      <c r="E32" s="20">
        <v>19</v>
      </c>
      <c r="F32" s="20">
        <v>14</v>
      </c>
      <c r="G32" s="20">
        <v>10</v>
      </c>
      <c r="H32" s="20">
        <v>11</v>
      </c>
      <c r="I32" s="20">
        <v>9</v>
      </c>
      <c r="J32" s="20">
        <v>18</v>
      </c>
      <c r="K32" s="20">
        <v>16</v>
      </c>
      <c r="L32" s="21">
        <f t="shared" si="2"/>
        <v>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6" workbookViewId="0">
      <selection activeCell="A34" sqref="A34"/>
    </sheetView>
  </sheetViews>
  <sheetFormatPr defaultColWidth="9.140625" defaultRowHeight="15"/>
  <cols>
    <col min="1" max="1" width="17" customWidth="1"/>
    <col min="2" max="2" width="30.42578125" customWidth="1"/>
    <col min="3" max="3" width="6.140625" customWidth="1"/>
    <col min="4" max="4" width="20.140625" customWidth="1"/>
    <col min="5" max="5" width="16" customWidth="1"/>
    <col min="6" max="6" width="14.140625" customWidth="1"/>
    <col min="7" max="7" width="10.85546875" customWidth="1"/>
    <col min="8" max="8" width="10.5703125" customWidth="1"/>
    <col min="9" max="9" width="6.5703125" customWidth="1"/>
    <col min="10" max="10" width="9.5703125" customWidth="1"/>
    <col min="11" max="11" width="12.85546875"/>
  </cols>
  <sheetData>
    <row r="1" spans="1:12">
      <c r="A1" s="1" t="s">
        <v>2</v>
      </c>
      <c r="B1" s="1" t="s">
        <v>1</v>
      </c>
      <c r="C1" s="1" t="s">
        <v>346</v>
      </c>
      <c r="D1" s="1" t="s">
        <v>176</v>
      </c>
      <c r="E1" s="1" t="s">
        <v>347</v>
      </c>
      <c r="F1" s="1" t="s">
        <v>348</v>
      </c>
      <c r="G1" s="1" t="s">
        <v>6</v>
      </c>
      <c r="H1" s="1" t="s">
        <v>349</v>
      </c>
      <c r="I1" s="1" t="s">
        <v>350</v>
      </c>
      <c r="J1" s="1" t="s">
        <v>351</v>
      </c>
    </row>
    <row r="2" spans="1:12">
      <c r="A2" t="s">
        <v>39</v>
      </c>
      <c r="B2" s="2" t="s">
        <v>38</v>
      </c>
      <c r="C2">
        <v>15</v>
      </c>
      <c r="D2" t="s">
        <v>180</v>
      </c>
      <c r="E2">
        <v>288.3</v>
      </c>
      <c r="F2">
        <v>288.3</v>
      </c>
      <c r="G2" s="7">
        <f t="shared" ref="G2:G41" si="0">((3.142*(F2)^2/4))</f>
        <v>65288.317094999999</v>
      </c>
      <c r="H2" s="7">
        <f t="shared" ref="H2:H41" si="1">(G2/149.77)*100</f>
        <v>43592.386389129999</v>
      </c>
      <c r="I2" s="7">
        <f t="shared" ref="I2:I41" si="2">C2/260*100</f>
        <v>5.7692307692307692</v>
      </c>
      <c r="J2" s="7">
        <f t="shared" ref="J2:J41" si="3">H2/2</f>
        <v>21796.193194564999</v>
      </c>
      <c r="K2">
        <f>LN(40)</f>
        <v>3.6888794541139363</v>
      </c>
    </row>
    <row r="3" spans="1:12">
      <c r="A3" t="s">
        <v>72</v>
      </c>
      <c r="B3" s="2" t="s">
        <v>71</v>
      </c>
      <c r="C3">
        <v>10</v>
      </c>
      <c r="D3" t="s">
        <v>180</v>
      </c>
      <c r="E3">
        <v>542.20000000000005</v>
      </c>
      <c r="F3">
        <v>542.20000000000005</v>
      </c>
      <c r="G3" s="7">
        <f t="shared" si="0"/>
        <v>230921.94982000001</v>
      </c>
      <c r="H3" s="7">
        <f t="shared" si="1"/>
        <v>154184.38259998662</v>
      </c>
      <c r="I3" s="7">
        <f t="shared" si="2"/>
        <v>3.8461538461538463</v>
      </c>
      <c r="J3" s="7">
        <f t="shared" si="3"/>
        <v>77092.191299993312</v>
      </c>
    </row>
    <row r="4" spans="1:12">
      <c r="A4" t="s">
        <v>21</v>
      </c>
      <c r="B4" s="2" t="s">
        <v>70</v>
      </c>
      <c r="C4">
        <v>2</v>
      </c>
      <c r="D4" t="s">
        <v>180</v>
      </c>
      <c r="E4">
        <v>35.1</v>
      </c>
      <c r="F4">
        <v>35.1</v>
      </c>
      <c r="G4" s="7">
        <f t="shared" si="0"/>
        <v>967.74385499999994</v>
      </c>
      <c r="H4" s="7">
        <f t="shared" si="1"/>
        <v>646.1533384522935</v>
      </c>
      <c r="I4" s="7">
        <f t="shared" si="2"/>
        <v>0.76923076923076927</v>
      </c>
      <c r="J4" s="7">
        <f t="shared" si="3"/>
        <v>323.07666922614675</v>
      </c>
    </row>
    <row r="5" spans="1:12">
      <c r="A5" t="s">
        <v>21</v>
      </c>
      <c r="B5" s="2" t="s">
        <v>20</v>
      </c>
      <c r="C5">
        <v>38</v>
      </c>
      <c r="D5" t="s">
        <v>180</v>
      </c>
      <c r="E5">
        <v>577.4</v>
      </c>
      <c r="F5">
        <v>577.4</v>
      </c>
      <c r="G5" s="7">
        <f t="shared" si="0"/>
        <v>261878.44197999995</v>
      </c>
      <c r="H5" s="7">
        <f t="shared" si="1"/>
        <v>174853.73705014351</v>
      </c>
      <c r="I5" s="7">
        <f t="shared" si="2"/>
        <v>14.615384615384617</v>
      </c>
      <c r="J5" s="7">
        <f t="shared" si="3"/>
        <v>87426.868525071754</v>
      </c>
    </row>
    <row r="6" spans="1:12">
      <c r="A6" t="s">
        <v>21</v>
      </c>
      <c r="B6" s="2" t="s">
        <v>22</v>
      </c>
      <c r="C6">
        <v>6</v>
      </c>
      <c r="D6" t="s">
        <v>180</v>
      </c>
      <c r="E6">
        <v>162.4</v>
      </c>
      <c r="F6">
        <v>162.4</v>
      </c>
      <c r="G6" s="7">
        <f t="shared" si="0"/>
        <v>20716.588480000002</v>
      </c>
      <c r="H6" s="7">
        <f t="shared" si="1"/>
        <v>13832.268464979637</v>
      </c>
      <c r="I6" s="7">
        <f t="shared" si="2"/>
        <v>2.3076923076923079</v>
      </c>
      <c r="J6" s="7">
        <f t="shared" si="3"/>
        <v>6916.1342324898187</v>
      </c>
    </row>
    <row r="7" spans="1:12">
      <c r="A7" t="s">
        <v>28</v>
      </c>
      <c r="B7" s="2" t="s">
        <v>27</v>
      </c>
      <c r="C7">
        <v>5</v>
      </c>
      <c r="D7" t="s">
        <v>180</v>
      </c>
      <c r="E7">
        <v>76.400000000000006</v>
      </c>
      <c r="F7">
        <v>76.400000000000006</v>
      </c>
      <c r="G7" s="7">
        <f t="shared" si="0"/>
        <v>4584.9320800000005</v>
      </c>
      <c r="H7" s="7">
        <f t="shared" si="1"/>
        <v>3061.3154036188826</v>
      </c>
      <c r="I7" s="7">
        <f t="shared" si="2"/>
        <v>1.9230769230769231</v>
      </c>
      <c r="J7" s="7">
        <f t="shared" si="3"/>
        <v>1530.6577018094413</v>
      </c>
    </row>
    <row r="8" spans="1:12">
      <c r="A8" t="s">
        <v>46</v>
      </c>
      <c r="B8" s="2" t="s">
        <v>75</v>
      </c>
      <c r="C8">
        <v>1</v>
      </c>
      <c r="D8" t="s">
        <v>180</v>
      </c>
      <c r="E8">
        <v>15.6</v>
      </c>
      <c r="F8">
        <v>15.6</v>
      </c>
      <c r="G8" s="7">
        <f t="shared" si="0"/>
        <v>191.15928</v>
      </c>
      <c r="H8" s="7">
        <f t="shared" si="1"/>
        <v>127.63522734860118</v>
      </c>
      <c r="I8" s="7">
        <f t="shared" si="2"/>
        <v>0.38461538461538464</v>
      </c>
      <c r="J8" s="7">
        <f t="shared" si="3"/>
        <v>63.817613674300588</v>
      </c>
    </row>
    <row r="9" spans="1:12">
      <c r="A9" s="17" t="s">
        <v>51</v>
      </c>
      <c r="B9" s="2" t="s">
        <v>50</v>
      </c>
      <c r="C9">
        <v>8</v>
      </c>
      <c r="D9" t="s">
        <v>182</v>
      </c>
      <c r="E9">
        <v>282.3</v>
      </c>
      <c r="F9">
        <v>282.3</v>
      </c>
      <c r="G9" s="7">
        <f t="shared" si="0"/>
        <v>62599.079295000003</v>
      </c>
      <c r="H9" s="7">
        <f t="shared" si="1"/>
        <v>41796.807968885623</v>
      </c>
      <c r="I9" s="7">
        <f t="shared" si="2"/>
        <v>3.0769230769230771</v>
      </c>
      <c r="J9" s="7">
        <f t="shared" si="3"/>
        <v>20898.403984442812</v>
      </c>
      <c r="L9" t="s">
        <v>352</v>
      </c>
    </row>
    <row r="10" spans="1:12">
      <c r="A10" t="s">
        <v>77</v>
      </c>
      <c r="B10" s="2" t="s">
        <v>76</v>
      </c>
      <c r="C10">
        <v>2</v>
      </c>
      <c r="D10" t="s">
        <v>180</v>
      </c>
      <c r="E10">
        <v>25.6</v>
      </c>
      <c r="F10">
        <v>25.6</v>
      </c>
      <c r="G10" s="7">
        <f t="shared" si="0"/>
        <v>514.78528000000006</v>
      </c>
      <c r="H10" s="7">
        <f t="shared" si="1"/>
        <v>343.71721973693002</v>
      </c>
      <c r="I10" s="7">
        <f t="shared" si="2"/>
        <v>0.76923076923076927</v>
      </c>
      <c r="J10" s="7">
        <f t="shared" si="3"/>
        <v>171.85860986846501</v>
      </c>
    </row>
    <row r="11" spans="1:12">
      <c r="A11" t="s">
        <v>45</v>
      </c>
      <c r="B11" s="2" t="s">
        <v>44</v>
      </c>
      <c r="C11">
        <v>1</v>
      </c>
      <c r="D11" t="s">
        <v>179</v>
      </c>
      <c r="E11">
        <v>42.3</v>
      </c>
      <c r="F11">
        <v>42.3</v>
      </c>
      <c r="G11" s="7">
        <f t="shared" si="0"/>
        <v>1405.4872949999997</v>
      </c>
      <c r="H11" s="7">
        <f t="shared" si="1"/>
        <v>938.43045670027345</v>
      </c>
      <c r="I11" s="7">
        <f t="shared" si="2"/>
        <v>0.38461538461538464</v>
      </c>
      <c r="J11" s="7">
        <f t="shared" si="3"/>
        <v>469.21522835013673</v>
      </c>
    </row>
    <row r="12" spans="1:12">
      <c r="A12" t="s">
        <v>12</v>
      </c>
      <c r="B12" s="2" t="s">
        <v>66</v>
      </c>
      <c r="C12">
        <v>2</v>
      </c>
      <c r="D12" t="s">
        <v>179</v>
      </c>
      <c r="E12">
        <v>43.5</v>
      </c>
      <c r="F12">
        <v>43.5</v>
      </c>
      <c r="G12" s="7">
        <f t="shared" si="0"/>
        <v>1486.3623749999999</v>
      </c>
      <c r="H12" s="7">
        <f t="shared" si="1"/>
        <v>992.42997596314331</v>
      </c>
      <c r="I12" s="7">
        <f t="shared" si="2"/>
        <v>0.76923076923076927</v>
      </c>
      <c r="J12" s="7">
        <f t="shared" si="3"/>
        <v>496.21498798157165</v>
      </c>
    </row>
    <row r="13" spans="1:12">
      <c r="A13" t="s">
        <v>12</v>
      </c>
      <c r="B13" s="2" t="s">
        <v>80</v>
      </c>
      <c r="C13">
        <v>1</v>
      </c>
      <c r="D13" t="s">
        <v>180</v>
      </c>
      <c r="E13">
        <v>19.2</v>
      </c>
      <c r="F13">
        <v>19.2</v>
      </c>
      <c r="G13" s="7">
        <f t="shared" si="0"/>
        <v>289.56671999999998</v>
      </c>
      <c r="H13" s="7">
        <f t="shared" si="1"/>
        <v>193.34093610202308</v>
      </c>
      <c r="I13" s="7">
        <f t="shared" si="2"/>
        <v>0.38461538461538464</v>
      </c>
      <c r="J13" s="7">
        <f t="shared" si="3"/>
        <v>96.67046805101154</v>
      </c>
    </row>
    <row r="14" spans="1:12">
      <c r="A14" s="10" t="s">
        <v>12</v>
      </c>
      <c r="B14" s="2" t="s">
        <v>11</v>
      </c>
      <c r="C14">
        <v>5</v>
      </c>
      <c r="D14" t="s">
        <v>179</v>
      </c>
      <c r="E14">
        <v>199.2</v>
      </c>
      <c r="F14">
        <v>199.2</v>
      </c>
      <c r="G14" s="7">
        <f t="shared" si="0"/>
        <v>31169.142719999993</v>
      </c>
      <c r="H14" s="7">
        <f t="shared" si="1"/>
        <v>20811.339200106824</v>
      </c>
      <c r="I14" s="7">
        <f t="shared" si="2"/>
        <v>1.9230769230769231</v>
      </c>
      <c r="J14" s="7">
        <f t="shared" si="3"/>
        <v>10405.669600053412</v>
      </c>
    </row>
    <row r="15" spans="1:12">
      <c r="A15" t="s">
        <v>12</v>
      </c>
      <c r="B15" s="2" t="s">
        <v>81</v>
      </c>
      <c r="C15">
        <v>1</v>
      </c>
      <c r="D15" t="s">
        <v>180</v>
      </c>
      <c r="E15">
        <v>20.399999999999999</v>
      </c>
      <c r="F15">
        <v>20.399999999999999</v>
      </c>
      <c r="G15" s="7">
        <f t="shared" si="0"/>
        <v>326.89367999999996</v>
      </c>
      <c r="H15" s="7">
        <f t="shared" si="1"/>
        <v>218.26379114642447</v>
      </c>
      <c r="I15" s="7">
        <f t="shared" si="2"/>
        <v>0.38461538461538464</v>
      </c>
      <c r="J15" s="7">
        <f t="shared" si="3"/>
        <v>109.13189557321223</v>
      </c>
    </row>
    <row r="16" spans="1:12">
      <c r="A16" s="10" t="s">
        <v>12</v>
      </c>
      <c r="B16" s="2" t="s">
        <v>13</v>
      </c>
      <c r="C16">
        <v>8</v>
      </c>
      <c r="D16" t="s">
        <v>180</v>
      </c>
      <c r="E16">
        <v>195.8</v>
      </c>
      <c r="F16">
        <v>195.8</v>
      </c>
      <c r="G16" s="7">
        <f t="shared" si="0"/>
        <v>30114.216220000006</v>
      </c>
      <c r="H16" s="7">
        <f t="shared" si="1"/>
        <v>20106.974841423518</v>
      </c>
      <c r="I16" s="7">
        <f t="shared" si="2"/>
        <v>3.0769230769230771</v>
      </c>
      <c r="J16" s="7">
        <f t="shared" si="3"/>
        <v>10053.487420711759</v>
      </c>
    </row>
    <row r="17" spans="1:10">
      <c r="A17" t="s">
        <v>12</v>
      </c>
      <c r="B17" s="2" t="s">
        <v>73</v>
      </c>
      <c r="C17">
        <v>4</v>
      </c>
      <c r="E17">
        <v>105.4</v>
      </c>
      <c r="F17">
        <v>105.4</v>
      </c>
      <c r="G17" s="7">
        <f t="shared" si="0"/>
        <v>8726.2451800000017</v>
      </c>
      <c r="H17" s="7">
        <f t="shared" si="1"/>
        <v>5826.4306469920557</v>
      </c>
      <c r="I17" s="7">
        <f t="shared" si="2"/>
        <v>1.5384615384615385</v>
      </c>
      <c r="J17" s="7">
        <f t="shared" si="3"/>
        <v>2913.2153234960278</v>
      </c>
    </row>
    <row r="18" spans="1:10">
      <c r="A18" t="s">
        <v>12</v>
      </c>
      <c r="B18" s="2" t="s">
        <v>25</v>
      </c>
      <c r="C18">
        <v>13</v>
      </c>
      <c r="D18" t="s">
        <v>180</v>
      </c>
      <c r="E18">
        <v>370.3</v>
      </c>
      <c r="F18">
        <v>370.3</v>
      </c>
      <c r="G18" s="7">
        <f t="shared" si="0"/>
        <v>107709.40169499999</v>
      </c>
      <c r="H18" s="7">
        <f t="shared" si="1"/>
        <v>71916.539824397405</v>
      </c>
      <c r="I18" s="7">
        <f t="shared" si="2"/>
        <v>5</v>
      </c>
      <c r="J18" s="7">
        <f t="shared" si="3"/>
        <v>35958.269912198703</v>
      </c>
    </row>
    <row r="19" spans="1:10">
      <c r="A19" t="s">
        <v>12</v>
      </c>
      <c r="B19" s="2" t="s">
        <v>54</v>
      </c>
      <c r="C19">
        <v>1</v>
      </c>
      <c r="D19" t="s">
        <v>180</v>
      </c>
      <c r="E19">
        <v>18.2</v>
      </c>
      <c r="F19">
        <v>18.2</v>
      </c>
      <c r="G19" s="7">
        <f t="shared" si="0"/>
        <v>260.18901999999997</v>
      </c>
      <c r="H19" s="7">
        <f t="shared" si="1"/>
        <v>173.72572611337381</v>
      </c>
      <c r="I19" s="7">
        <f t="shared" si="2"/>
        <v>0.38461538461538464</v>
      </c>
      <c r="J19" s="7">
        <f t="shared" si="3"/>
        <v>86.862863056686905</v>
      </c>
    </row>
    <row r="20" spans="1:10">
      <c r="A20" t="s">
        <v>88</v>
      </c>
      <c r="B20" s="2" t="s">
        <v>87</v>
      </c>
      <c r="C20">
        <v>1</v>
      </c>
      <c r="D20" t="s">
        <v>181</v>
      </c>
      <c r="E20">
        <v>32.4</v>
      </c>
      <c r="F20">
        <v>32.4</v>
      </c>
      <c r="G20" s="7">
        <f t="shared" si="0"/>
        <v>824.58647999999994</v>
      </c>
      <c r="H20" s="7">
        <f t="shared" si="1"/>
        <v>550.56852507177666</v>
      </c>
      <c r="I20" s="7">
        <f t="shared" si="2"/>
        <v>0.38461538461538464</v>
      </c>
      <c r="J20" s="7">
        <f t="shared" si="3"/>
        <v>275.28426253588833</v>
      </c>
    </row>
    <row r="21" spans="1:10">
      <c r="A21" t="s">
        <v>19</v>
      </c>
      <c r="B21" s="2" t="s">
        <v>18</v>
      </c>
      <c r="C21">
        <v>3</v>
      </c>
      <c r="D21" t="s">
        <v>180</v>
      </c>
      <c r="E21">
        <v>72.400000000000006</v>
      </c>
      <c r="F21">
        <v>72.400000000000006</v>
      </c>
      <c r="G21" s="7">
        <f t="shared" si="0"/>
        <v>4117.4024800000007</v>
      </c>
      <c r="H21" s="7">
        <f t="shared" si="1"/>
        <v>2749.1503505374912</v>
      </c>
      <c r="I21" s="7">
        <f t="shared" si="2"/>
        <v>1.153846153846154</v>
      </c>
      <c r="J21" s="7">
        <f t="shared" si="3"/>
        <v>1374.5751752687456</v>
      </c>
    </row>
    <row r="22" spans="1:10">
      <c r="A22" s="10" t="s">
        <v>41</v>
      </c>
      <c r="B22" s="2" t="s">
        <v>74</v>
      </c>
      <c r="C22">
        <v>2</v>
      </c>
      <c r="D22" t="s">
        <v>181</v>
      </c>
      <c r="E22">
        <v>43.6</v>
      </c>
      <c r="F22">
        <v>43.6</v>
      </c>
      <c r="G22" s="7">
        <f t="shared" si="0"/>
        <v>1493.20408</v>
      </c>
      <c r="H22" s="7">
        <f t="shared" si="1"/>
        <v>996.99811711290636</v>
      </c>
      <c r="I22" s="7">
        <f t="shared" si="2"/>
        <v>0.76923076923076927</v>
      </c>
      <c r="J22" s="7">
        <f t="shared" si="3"/>
        <v>498.49905855645318</v>
      </c>
    </row>
    <row r="23" spans="1:10">
      <c r="A23" t="s">
        <v>41</v>
      </c>
      <c r="B23" s="2" t="s">
        <v>47</v>
      </c>
      <c r="C23">
        <v>5</v>
      </c>
      <c r="D23" t="s">
        <v>180</v>
      </c>
      <c r="E23">
        <v>77.900000000000006</v>
      </c>
      <c r="F23">
        <v>77.900000000000006</v>
      </c>
      <c r="G23" s="7">
        <f t="shared" si="0"/>
        <v>4766.7360550000003</v>
      </c>
      <c r="H23" s="7">
        <f t="shared" si="1"/>
        <v>3182.7041830807239</v>
      </c>
      <c r="I23" s="7">
        <f t="shared" si="2"/>
        <v>1.9230769230769231</v>
      </c>
      <c r="J23" s="7">
        <f t="shared" si="3"/>
        <v>1591.3520915403619</v>
      </c>
    </row>
    <row r="24" spans="1:10">
      <c r="A24" t="s">
        <v>41</v>
      </c>
      <c r="B24" s="2" t="s">
        <v>40</v>
      </c>
      <c r="C24">
        <v>24</v>
      </c>
      <c r="D24" t="s">
        <v>180</v>
      </c>
      <c r="E24">
        <v>391.8</v>
      </c>
      <c r="F24">
        <v>391.8</v>
      </c>
      <c r="G24" s="7">
        <f t="shared" si="0"/>
        <v>120579.93702000001</v>
      </c>
      <c r="H24" s="7">
        <f t="shared" si="1"/>
        <v>80510.073459304273</v>
      </c>
      <c r="I24" s="7">
        <f t="shared" si="2"/>
        <v>9.2307692307692317</v>
      </c>
      <c r="J24" s="7">
        <f t="shared" si="3"/>
        <v>40255.036729652136</v>
      </c>
    </row>
    <row r="25" spans="1:10">
      <c r="A25" t="s">
        <v>15</v>
      </c>
      <c r="B25" s="2" t="s">
        <v>14</v>
      </c>
      <c r="C25">
        <v>27</v>
      </c>
      <c r="D25" t="s">
        <v>179</v>
      </c>
      <c r="E25">
        <v>526.29999999999995</v>
      </c>
      <c r="F25">
        <v>526.29999999999995</v>
      </c>
      <c r="G25" s="7">
        <f t="shared" si="0"/>
        <v>217576.97249499994</v>
      </c>
      <c r="H25" s="7">
        <f t="shared" si="1"/>
        <v>145274.06856847162</v>
      </c>
      <c r="I25" s="7">
        <f t="shared" si="2"/>
        <v>10.384615384615385</v>
      </c>
      <c r="J25" s="7">
        <f t="shared" si="3"/>
        <v>72637.034284235808</v>
      </c>
    </row>
    <row r="26" spans="1:10">
      <c r="A26" t="s">
        <v>15</v>
      </c>
      <c r="B26" s="2" t="s">
        <v>83</v>
      </c>
      <c r="C26">
        <v>1</v>
      </c>
      <c r="D26" t="s">
        <v>180</v>
      </c>
      <c r="E26">
        <v>12.2</v>
      </c>
      <c r="F26">
        <v>12.2</v>
      </c>
      <c r="G26" s="7">
        <f t="shared" si="0"/>
        <v>116.91381999999997</v>
      </c>
      <c r="H26" s="7">
        <f t="shared" si="1"/>
        <v>78.062242104560298</v>
      </c>
      <c r="I26" s="7">
        <f t="shared" si="2"/>
        <v>0.38461538461538464</v>
      </c>
      <c r="J26" s="7">
        <f t="shared" si="3"/>
        <v>39.031121052280149</v>
      </c>
    </row>
    <row r="27" spans="1:10">
      <c r="A27" t="s">
        <v>15</v>
      </c>
      <c r="B27" s="2" t="s">
        <v>84</v>
      </c>
      <c r="C27">
        <v>1</v>
      </c>
      <c r="E27">
        <v>12.3</v>
      </c>
      <c r="F27">
        <v>12.3</v>
      </c>
      <c r="G27" s="7">
        <f t="shared" si="0"/>
        <v>118.83829500000002</v>
      </c>
      <c r="H27" s="7">
        <f t="shared" si="1"/>
        <v>79.347195700073442</v>
      </c>
      <c r="I27" s="7">
        <f t="shared" si="2"/>
        <v>0.38461538461538464</v>
      </c>
      <c r="J27" s="7">
        <f t="shared" si="3"/>
        <v>39.673597850036721</v>
      </c>
    </row>
    <row r="28" spans="1:10">
      <c r="A28" t="s">
        <v>15</v>
      </c>
      <c r="B28" s="2" t="s">
        <v>85</v>
      </c>
      <c r="C28">
        <v>1</v>
      </c>
      <c r="E28">
        <v>30.1</v>
      </c>
      <c r="F28">
        <v>30.1</v>
      </c>
      <c r="G28" s="7">
        <f t="shared" si="0"/>
        <v>711.67085500000007</v>
      </c>
      <c r="H28" s="7">
        <f t="shared" si="1"/>
        <v>475.17583962075179</v>
      </c>
      <c r="I28" s="7">
        <f t="shared" si="2"/>
        <v>0.38461538461538464</v>
      </c>
      <c r="J28" s="7">
        <f t="shared" si="3"/>
        <v>237.58791981037589</v>
      </c>
    </row>
    <row r="29" spans="1:10">
      <c r="A29" t="s">
        <v>15</v>
      </c>
      <c r="B29" s="2" t="s">
        <v>26</v>
      </c>
      <c r="C29">
        <v>2</v>
      </c>
      <c r="D29" t="s">
        <v>181</v>
      </c>
      <c r="E29">
        <v>136.5</v>
      </c>
      <c r="F29">
        <v>136.5</v>
      </c>
      <c r="G29" s="7">
        <f t="shared" si="0"/>
        <v>14635.632374999999</v>
      </c>
      <c r="H29" s="7">
        <f t="shared" si="1"/>
        <v>9772.0720938772774</v>
      </c>
      <c r="I29" s="7">
        <f t="shared" si="2"/>
        <v>0.76923076923076927</v>
      </c>
      <c r="J29" s="7">
        <f t="shared" si="3"/>
        <v>4886.0360469386387</v>
      </c>
    </row>
    <row r="30" spans="1:10">
      <c r="A30" t="s">
        <v>15</v>
      </c>
      <c r="B30" s="2" t="s">
        <v>67</v>
      </c>
      <c r="C30">
        <v>1</v>
      </c>
      <c r="E30">
        <v>12.3</v>
      </c>
      <c r="F30">
        <v>12.3</v>
      </c>
      <c r="G30" s="7">
        <f t="shared" si="0"/>
        <v>118.83829500000002</v>
      </c>
      <c r="H30" s="7">
        <f t="shared" si="1"/>
        <v>79.347195700073442</v>
      </c>
      <c r="I30" s="7">
        <f t="shared" si="2"/>
        <v>0.38461538461538464</v>
      </c>
      <c r="J30" s="7">
        <f t="shared" si="3"/>
        <v>39.673597850036721</v>
      </c>
    </row>
    <row r="31" spans="1:10">
      <c r="A31" t="s">
        <v>15</v>
      </c>
      <c r="B31" s="2" t="s">
        <v>29</v>
      </c>
      <c r="C31">
        <v>10</v>
      </c>
      <c r="E31">
        <v>338.3</v>
      </c>
      <c r="F31">
        <v>338.3</v>
      </c>
      <c r="G31" s="7">
        <f t="shared" si="0"/>
        <v>89898.032095000002</v>
      </c>
      <c r="H31" s="7">
        <f t="shared" si="1"/>
        <v>60024.058286038584</v>
      </c>
      <c r="I31" s="7">
        <f t="shared" si="2"/>
        <v>3.8461538461538463</v>
      </c>
      <c r="J31" s="7">
        <f t="shared" si="3"/>
        <v>30012.029143019292</v>
      </c>
    </row>
    <row r="32" spans="1:10">
      <c r="A32" t="s">
        <v>53</v>
      </c>
      <c r="B32" s="2" t="s">
        <v>52</v>
      </c>
      <c r="C32">
        <v>2</v>
      </c>
      <c r="D32" t="s">
        <v>180</v>
      </c>
      <c r="E32">
        <v>45.4</v>
      </c>
      <c r="F32">
        <v>45.4</v>
      </c>
      <c r="G32" s="7">
        <f t="shared" si="0"/>
        <v>1619.0411799999999</v>
      </c>
      <c r="H32" s="7">
        <f t="shared" si="1"/>
        <v>1081.0183481338051</v>
      </c>
      <c r="I32" s="7">
        <f t="shared" si="2"/>
        <v>0.76923076923076927</v>
      </c>
      <c r="J32" s="7">
        <f t="shared" si="3"/>
        <v>540.50917406690257</v>
      </c>
    </row>
    <row r="33" spans="1:10">
      <c r="A33" t="s">
        <v>59</v>
      </c>
      <c r="B33" t="s">
        <v>58</v>
      </c>
      <c r="C33">
        <v>1</v>
      </c>
      <c r="D33" t="s">
        <v>180</v>
      </c>
      <c r="E33">
        <v>22.1</v>
      </c>
      <c r="F33">
        <v>22.1</v>
      </c>
      <c r="G33" s="7">
        <f t="shared" si="0"/>
        <v>383.64605500000005</v>
      </c>
      <c r="H33" s="7">
        <f t="shared" si="1"/>
        <v>256.15681044267882</v>
      </c>
      <c r="I33" s="7">
        <f t="shared" si="2"/>
        <v>0.38461538461538464</v>
      </c>
      <c r="J33" s="7">
        <f t="shared" si="3"/>
        <v>128.07840522133941</v>
      </c>
    </row>
    <row r="34" spans="1:10">
      <c r="A34" t="s">
        <v>24</v>
      </c>
      <c r="B34" s="2" t="s">
        <v>23</v>
      </c>
      <c r="C34">
        <v>20</v>
      </c>
      <c r="D34" t="s">
        <v>180</v>
      </c>
      <c r="E34">
        <v>319.10000000000002</v>
      </c>
      <c r="F34">
        <v>319.10000000000002</v>
      </c>
      <c r="G34" s="7">
        <f t="shared" si="0"/>
        <v>79983.388255000013</v>
      </c>
      <c r="H34" s="7">
        <f t="shared" si="1"/>
        <v>53404.145192628697</v>
      </c>
      <c r="I34" s="7">
        <f t="shared" si="2"/>
        <v>7.6923076923076925</v>
      </c>
      <c r="J34" s="7">
        <f t="shared" si="3"/>
        <v>26702.072596314349</v>
      </c>
    </row>
    <row r="35" spans="1:10">
      <c r="A35" t="s">
        <v>17</v>
      </c>
      <c r="B35" s="2" t="s">
        <v>16</v>
      </c>
      <c r="C35">
        <v>3</v>
      </c>
      <c r="D35" t="s">
        <v>181</v>
      </c>
      <c r="E35">
        <v>46.2</v>
      </c>
      <c r="F35">
        <v>46.2</v>
      </c>
      <c r="G35" s="7">
        <f t="shared" si="0"/>
        <v>1676.6026199999999</v>
      </c>
      <c r="H35" s="7">
        <f t="shared" si="1"/>
        <v>1119.4515724110302</v>
      </c>
      <c r="I35" s="7">
        <f t="shared" si="2"/>
        <v>1.153846153846154</v>
      </c>
      <c r="J35" s="7">
        <f t="shared" si="3"/>
        <v>559.72578620551508</v>
      </c>
    </row>
    <row r="36" spans="1:10">
      <c r="A36" t="s">
        <v>17</v>
      </c>
      <c r="B36" s="2" t="s">
        <v>60</v>
      </c>
      <c r="C36">
        <v>1</v>
      </c>
      <c r="D36" t="s">
        <v>180</v>
      </c>
      <c r="E36">
        <v>14.2</v>
      </c>
      <c r="F36">
        <v>14.2</v>
      </c>
      <c r="G36" s="7">
        <f t="shared" si="0"/>
        <v>158.38821999999999</v>
      </c>
      <c r="H36" s="7">
        <f t="shared" si="1"/>
        <v>105.75430326500633</v>
      </c>
      <c r="I36" s="7">
        <f t="shared" si="2"/>
        <v>0.38461538461538464</v>
      </c>
      <c r="J36" s="7">
        <f t="shared" si="3"/>
        <v>52.877151632503164</v>
      </c>
    </row>
    <row r="37" spans="1:10">
      <c r="A37" t="s">
        <v>31</v>
      </c>
      <c r="B37" s="2" t="s">
        <v>82</v>
      </c>
      <c r="C37">
        <v>1</v>
      </c>
      <c r="D37" t="s">
        <v>180</v>
      </c>
      <c r="E37">
        <v>13.2</v>
      </c>
      <c r="F37">
        <v>13.2</v>
      </c>
      <c r="G37" s="7">
        <f t="shared" si="0"/>
        <v>136.86551999999998</v>
      </c>
      <c r="H37" s="7">
        <f t="shared" si="1"/>
        <v>91.383801829471835</v>
      </c>
      <c r="I37" s="7">
        <f t="shared" si="2"/>
        <v>0.38461538461538464</v>
      </c>
      <c r="J37" s="7">
        <f t="shared" si="3"/>
        <v>45.691900914735918</v>
      </c>
    </row>
    <row r="38" spans="1:10">
      <c r="A38" t="s">
        <v>31</v>
      </c>
      <c r="B38" s="2" t="s">
        <v>37</v>
      </c>
      <c r="C38">
        <v>3</v>
      </c>
      <c r="D38" t="s">
        <v>180</v>
      </c>
      <c r="E38">
        <v>54.1</v>
      </c>
      <c r="F38">
        <v>54.1</v>
      </c>
      <c r="G38" s="7">
        <f t="shared" si="0"/>
        <v>2299.0092549999999</v>
      </c>
      <c r="H38" s="7">
        <f t="shared" si="1"/>
        <v>1535.0265440341855</v>
      </c>
      <c r="I38" s="7">
        <f t="shared" si="2"/>
        <v>1.153846153846154</v>
      </c>
      <c r="J38" s="7">
        <f t="shared" si="3"/>
        <v>767.51327201709273</v>
      </c>
    </row>
    <row r="39" spans="1:10">
      <c r="A39" t="s">
        <v>31</v>
      </c>
      <c r="B39" s="2" t="s">
        <v>62</v>
      </c>
      <c r="C39">
        <v>11</v>
      </c>
      <c r="E39">
        <v>201.8</v>
      </c>
      <c r="F39">
        <v>201.8</v>
      </c>
      <c r="G39" s="7">
        <f t="shared" si="0"/>
        <v>31988.105020000003</v>
      </c>
      <c r="H39" s="7">
        <f t="shared" si="1"/>
        <v>21358.152513854577</v>
      </c>
      <c r="I39" s="7">
        <f t="shared" si="2"/>
        <v>4.2307692307692308</v>
      </c>
      <c r="J39" s="7">
        <f t="shared" si="3"/>
        <v>10679.076256927288</v>
      </c>
    </row>
    <row r="40" spans="1:10">
      <c r="A40" t="s">
        <v>31</v>
      </c>
      <c r="B40" s="2" t="s">
        <v>30</v>
      </c>
      <c r="C40">
        <v>4</v>
      </c>
      <c r="D40" t="s">
        <v>180</v>
      </c>
      <c r="E40">
        <v>243.5</v>
      </c>
      <c r="F40">
        <v>243.5</v>
      </c>
      <c r="G40" s="7">
        <f t="shared" si="0"/>
        <v>46574.062375000001</v>
      </c>
      <c r="H40" s="7">
        <f t="shared" si="1"/>
        <v>31097.057070841958</v>
      </c>
      <c r="I40" s="7">
        <f t="shared" si="2"/>
        <v>1.5384615384615385</v>
      </c>
      <c r="J40" s="7">
        <f t="shared" si="3"/>
        <v>15548.528535420979</v>
      </c>
    </row>
    <row r="41" spans="1:10">
      <c r="A41" t="s">
        <v>36</v>
      </c>
      <c r="B41" s="2" t="s">
        <v>35</v>
      </c>
      <c r="C41">
        <v>13</v>
      </c>
      <c r="D41" t="s">
        <v>180</v>
      </c>
      <c r="E41">
        <v>249.3</v>
      </c>
      <c r="F41">
        <v>249.3</v>
      </c>
      <c r="G41" s="7">
        <f t="shared" si="0"/>
        <v>48819.209895</v>
      </c>
      <c r="H41" s="7">
        <f t="shared" si="1"/>
        <v>32596.120648327433</v>
      </c>
      <c r="I41" s="7">
        <f t="shared" si="2"/>
        <v>5</v>
      </c>
      <c r="J41" s="7">
        <f t="shared" si="3"/>
        <v>16298.060324163716</v>
      </c>
    </row>
    <row r="42" spans="1:10">
      <c r="C42">
        <v>260</v>
      </c>
      <c r="G42">
        <v>149.77000000000001</v>
      </c>
    </row>
  </sheetData>
  <sortState ref="A2:K42">
    <sortCondition ref="A2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42" workbookViewId="0">
      <selection activeCell="A2" sqref="A2:A61"/>
    </sheetView>
  </sheetViews>
  <sheetFormatPr defaultColWidth="9.140625" defaultRowHeight="15"/>
  <cols>
    <col min="1" max="1" width="16.5703125" customWidth="1"/>
    <col min="2" max="2" width="31" customWidth="1"/>
    <col min="3" max="3" width="12.28515625" customWidth="1"/>
    <col min="4" max="4" width="20.140625" customWidth="1"/>
    <col min="5" max="5" width="15.42578125" customWidth="1"/>
    <col min="6" max="6" width="13.140625" customWidth="1"/>
    <col min="7" max="10" width="12.85546875" customWidth="1"/>
  </cols>
  <sheetData>
    <row r="1" spans="1:10">
      <c r="A1" s="12" t="s">
        <v>2</v>
      </c>
      <c r="B1" s="12" t="s">
        <v>90</v>
      </c>
      <c r="C1" s="12" t="s">
        <v>353</v>
      </c>
      <c r="D1" s="12" t="s">
        <v>176</v>
      </c>
      <c r="E1" s="12" t="s">
        <v>252</v>
      </c>
      <c r="F1" s="1" t="s">
        <v>354</v>
      </c>
      <c r="G1" s="1" t="s">
        <v>6</v>
      </c>
      <c r="H1" s="1" t="s">
        <v>349</v>
      </c>
      <c r="I1" s="12" t="s">
        <v>355</v>
      </c>
      <c r="J1" s="12" t="s">
        <v>356</v>
      </c>
    </row>
    <row r="2" spans="1:10">
      <c r="A2" s="10" t="s">
        <v>39</v>
      </c>
      <c r="B2" s="13" t="s">
        <v>254</v>
      </c>
      <c r="C2" s="10">
        <v>1</v>
      </c>
      <c r="D2" s="10" t="s">
        <v>255</v>
      </c>
      <c r="E2" s="10">
        <v>31</v>
      </c>
      <c r="F2" s="10">
        <f t="shared" ref="F2:F61" si="0">E2/100</f>
        <v>0.31</v>
      </c>
      <c r="G2" s="11">
        <f t="shared" ref="G2:G61" si="1">((3.142*(F2)^2/4))</f>
        <v>7.5486549999999999E-2</v>
      </c>
      <c r="H2" s="11">
        <f t="shared" ref="H2:H61" si="2">(G2/507.99)*100</f>
        <v>1.485984960333865E-2</v>
      </c>
      <c r="I2" s="11">
        <f t="shared" ref="I2:I61" si="3">C2/457*100</f>
        <v>0.21881838074398249</v>
      </c>
      <c r="J2" s="11">
        <f t="shared" ref="J2:J61" si="4">H2/2</f>
        <v>7.4299248016693248E-3</v>
      </c>
    </row>
    <row r="3" spans="1:10">
      <c r="A3" s="10" t="s">
        <v>72</v>
      </c>
      <c r="B3" s="13" t="s">
        <v>126</v>
      </c>
      <c r="C3" s="10">
        <v>3</v>
      </c>
      <c r="D3" s="10" t="s">
        <v>180</v>
      </c>
      <c r="E3" s="10">
        <v>57</v>
      </c>
      <c r="F3" s="10">
        <f t="shared" si="0"/>
        <v>0.56999999999999995</v>
      </c>
      <c r="G3" s="11">
        <f t="shared" si="1"/>
        <v>0.25520894999999999</v>
      </c>
      <c r="H3" s="11">
        <f t="shared" si="2"/>
        <v>5.0238971239591333E-2</v>
      </c>
      <c r="I3" s="11">
        <f t="shared" si="3"/>
        <v>0.65645514223194745</v>
      </c>
      <c r="J3" s="11">
        <f t="shared" si="4"/>
        <v>2.5119485619795667E-2</v>
      </c>
    </row>
    <row r="4" spans="1:10">
      <c r="A4" s="10"/>
      <c r="B4" s="13" t="s">
        <v>102</v>
      </c>
      <c r="C4" s="10">
        <v>6</v>
      </c>
      <c r="D4" s="10" t="s">
        <v>180</v>
      </c>
      <c r="E4" s="10">
        <v>316</v>
      </c>
      <c r="F4" s="10">
        <f t="shared" si="0"/>
        <v>3.16</v>
      </c>
      <c r="G4" s="11">
        <f t="shared" si="1"/>
        <v>7.8436888000000007</v>
      </c>
      <c r="H4" s="11">
        <f t="shared" si="2"/>
        <v>1.5440636232996714</v>
      </c>
      <c r="I4" s="11">
        <f t="shared" si="3"/>
        <v>1.3129102844638949</v>
      </c>
      <c r="J4" s="11">
        <f t="shared" si="4"/>
        <v>0.7720318116498357</v>
      </c>
    </row>
    <row r="5" spans="1:10">
      <c r="A5" s="10" t="s">
        <v>21</v>
      </c>
      <c r="B5" s="13" t="s">
        <v>95</v>
      </c>
      <c r="C5" s="10">
        <v>6</v>
      </c>
      <c r="D5" s="10" t="s">
        <v>357</v>
      </c>
      <c r="E5" s="10">
        <v>164</v>
      </c>
      <c r="F5" s="10">
        <f t="shared" si="0"/>
        <v>1.64</v>
      </c>
      <c r="G5" s="11">
        <f t="shared" si="1"/>
        <v>2.1126807999999997</v>
      </c>
      <c r="H5" s="11">
        <f t="shared" si="2"/>
        <v>0.41589023405972553</v>
      </c>
      <c r="I5" s="11">
        <f t="shared" si="3"/>
        <v>1.3129102844638949</v>
      </c>
      <c r="J5" s="11">
        <f t="shared" si="4"/>
        <v>0.20794511702986276</v>
      </c>
    </row>
    <row r="6" spans="1:10">
      <c r="A6" s="10"/>
      <c r="B6" s="13" t="s">
        <v>20</v>
      </c>
      <c r="C6" s="10">
        <v>27</v>
      </c>
      <c r="D6" s="10" t="s">
        <v>180</v>
      </c>
      <c r="E6" s="10">
        <v>413.8</v>
      </c>
      <c r="F6" s="10">
        <f t="shared" si="0"/>
        <v>4.1379999999999999</v>
      </c>
      <c r="G6" s="11">
        <f t="shared" si="1"/>
        <v>13.450151062</v>
      </c>
      <c r="H6" s="11">
        <f t="shared" si="2"/>
        <v>2.6477196523553612</v>
      </c>
      <c r="I6" s="11">
        <f t="shared" si="3"/>
        <v>5.9080962800875279</v>
      </c>
      <c r="J6" s="11">
        <f t="shared" si="4"/>
        <v>1.3238598261776806</v>
      </c>
    </row>
    <row r="7" spans="1:10">
      <c r="A7" s="10"/>
      <c r="B7" s="13" t="s">
        <v>135</v>
      </c>
      <c r="C7" s="10">
        <v>41</v>
      </c>
      <c r="D7" s="10" t="s">
        <v>357</v>
      </c>
      <c r="E7" s="10">
        <v>771</v>
      </c>
      <c r="F7" s="10">
        <f t="shared" si="0"/>
        <v>7.71</v>
      </c>
      <c r="G7" s="11">
        <f t="shared" si="1"/>
        <v>46.693340549999995</v>
      </c>
      <c r="H7" s="11">
        <f t="shared" si="2"/>
        <v>9.1917834110907695</v>
      </c>
      <c r="I7" s="11">
        <f t="shared" si="3"/>
        <v>8.9715536105032836</v>
      </c>
      <c r="J7" s="11">
        <f t="shared" si="4"/>
        <v>4.5958917055453847</v>
      </c>
    </row>
    <row r="8" spans="1:10">
      <c r="A8" s="10" t="s">
        <v>46</v>
      </c>
      <c r="B8" s="13" t="s">
        <v>27</v>
      </c>
      <c r="C8" s="10">
        <v>2</v>
      </c>
      <c r="D8" s="10" t="s">
        <v>180</v>
      </c>
      <c r="E8" s="10">
        <v>24.2</v>
      </c>
      <c r="F8" s="10">
        <f t="shared" si="0"/>
        <v>0.24199999999999999</v>
      </c>
      <c r="G8" s="11">
        <f t="shared" si="1"/>
        <v>4.6002021999999997E-2</v>
      </c>
      <c r="H8" s="11">
        <f t="shared" si="2"/>
        <v>9.0556944034331371E-3</v>
      </c>
      <c r="I8" s="11">
        <f t="shared" si="3"/>
        <v>0.43763676148796499</v>
      </c>
      <c r="J8" s="11">
        <f t="shared" si="4"/>
        <v>4.5278472017165686E-3</v>
      </c>
    </row>
    <row r="9" spans="1:10">
      <c r="A9" s="10" t="s">
        <v>99</v>
      </c>
      <c r="B9" s="13" t="s">
        <v>129</v>
      </c>
      <c r="C9" s="10">
        <v>8</v>
      </c>
      <c r="D9" s="10" t="s">
        <v>357</v>
      </c>
      <c r="E9" s="10">
        <v>542.4</v>
      </c>
      <c r="F9" s="10">
        <f t="shared" si="0"/>
        <v>5.4239999999999995</v>
      </c>
      <c r="G9" s="11">
        <f t="shared" si="1"/>
        <v>23.109234047999994</v>
      </c>
      <c r="H9" s="11">
        <f t="shared" si="2"/>
        <v>4.5491513706962721</v>
      </c>
      <c r="I9" s="11">
        <f t="shared" si="3"/>
        <v>1.7505470459518599</v>
      </c>
      <c r="J9" s="11">
        <f t="shared" si="4"/>
        <v>2.274575685348136</v>
      </c>
    </row>
    <row r="10" spans="1:10">
      <c r="A10" s="10" t="s">
        <v>105</v>
      </c>
      <c r="B10" s="13" t="s">
        <v>104</v>
      </c>
      <c r="C10" s="10">
        <v>18</v>
      </c>
      <c r="D10" s="10" t="s">
        <v>180</v>
      </c>
      <c r="E10" s="10">
        <v>690</v>
      </c>
      <c r="F10" s="10">
        <f t="shared" si="0"/>
        <v>6.9</v>
      </c>
      <c r="G10" s="11">
        <f t="shared" si="1"/>
        <v>37.397655000000007</v>
      </c>
      <c r="H10" s="11">
        <f t="shared" si="2"/>
        <v>7.361888029291916</v>
      </c>
      <c r="I10" s="11">
        <f t="shared" si="3"/>
        <v>3.9387308533916849</v>
      </c>
      <c r="J10" s="11">
        <f t="shared" si="4"/>
        <v>3.680944014645958</v>
      </c>
    </row>
    <row r="11" spans="1:10">
      <c r="A11" s="10" t="s">
        <v>128</v>
      </c>
      <c r="B11" s="13" t="s">
        <v>127</v>
      </c>
      <c r="C11" s="10">
        <v>3</v>
      </c>
      <c r="D11" s="10" t="s">
        <v>180</v>
      </c>
      <c r="E11" s="10">
        <v>47</v>
      </c>
      <c r="F11" s="10">
        <f t="shared" si="0"/>
        <v>0.47</v>
      </c>
      <c r="G11" s="11">
        <f t="shared" si="1"/>
        <v>0.17351694999999998</v>
      </c>
      <c r="H11" s="11">
        <f t="shared" si="2"/>
        <v>3.415755231402192E-2</v>
      </c>
      <c r="I11" s="11">
        <f t="shared" si="3"/>
        <v>0.65645514223194745</v>
      </c>
      <c r="J11" s="11">
        <f t="shared" si="4"/>
        <v>1.707877615701096E-2</v>
      </c>
    </row>
    <row r="12" spans="1:10">
      <c r="A12" s="16" t="s">
        <v>97</v>
      </c>
      <c r="B12" s="13" t="s">
        <v>96</v>
      </c>
      <c r="C12" s="10">
        <v>32</v>
      </c>
      <c r="D12" s="10" t="s">
        <v>180</v>
      </c>
      <c r="E12" s="10">
        <v>483.5</v>
      </c>
      <c r="F12" s="10">
        <f t="shared" si="0"/>
        <v>4.835</v>
      </c>
      <c r="G12" s="11">
        <f t="shared" si="1"/>
        <v>18.3628102375</v>
      </c>
      <c r="H12" s="11">
        <f t="shared" si="2"/>
        <v>3.6147975821374434</v>
      </c>
      <c r="I12" s="11">
        <f t="shared" si="3"/>
        <v>7.0021881838074398</v>
      </c>
      <c r="J12" s="11">
        <f t="shared" si="4"/>
        <v>1.8073987910687217</v>
      </c>
    </row>
    <row r="13" spans="1:10">
      <c r="A13" s="10"/>
      <c r="B13" s="13" t="s">
        <v>154</v>
      </c>
      <c r="C13" s="10">
        <v>1</v>
      </c>
      <c r="D13" s="10" t="s">
        <v>180</v>
      </c>
      <c r="E13" s="10">
        <v>97</v>
      </c>
      <c r="F13" s="10">
        <f t="shared" si="0"/>
        <v>0.97</v>
      </c>
      <c r="G13" s="11">
        <f t="shared" si="1"/>
        <v>0.73907694999999995</v>
      </c>
      <c r="H13" s="11">
        <f t="shared" si="2"/>
        <v>0.14549045256796392</v>
      </c>
      <c r="I13" s="11">
        <f t="shared" si="3"/>
        <v>0.21881838074398249</v>
      </c>
      <c r="J13" s="11">
        <f t="shared" si="4"/>
        <v>7.2745226283981959E-2</v>
      </c>
    </row>
    <row r="14" spans="1:10">
      <c r="A14" s="10"/>
      <c r="B14" s="13" t="s">
        <v>166</v>
      </c>
      <c r="C14" s="10">
        <v>2</v>
      </c>
      <c r="D14" s="10" t="s">
        <v>180</v>
      </c>
      <c r="E14" s="10">
        <v>38.299999999999997</v>
      </c>
      <c r="F14" s="10">
        <f t="shared" si="0"/>
        <v>0.38299999999999995</v>
      </c>
      <c r="G14" s="11">
        <f t="shared" si="1"/>
        <v>0.11522420949999997</v>
      </c>
      <c r="H14" s="11">
        <f t="shared" si="2"/>
        <v>2.2682377507431243E-2</v>
      </c>
      <c r="I14" s="11">
        <f t="shared" si="3"/>
        <v>0.43763676148796499</v>
      </c>
      <c r="J14" s="11">
        <f t="shared" si="4"/>
        <v>1.1341188753715621E-2</v>
      </c>
    </row>
    <row r="15" spans="1:10">
      <c r="A15" s="10" t="s">
        <v>77</v>
      </c>
      <c r="B15" s="13" t="s">
        <v>112</v>
      </c>
      <c r="C15" s="10">
        <v>4</v>
      </c>
      <c r="D15" s="10" t="s">
        <v>180</v>
      </c>
      <c r="E15" s="10">
        <v>126</v>
      </c>
      <c r="F15" s="10">
        <f t="shared" si="0"/>
        <v>1.26</v>
      </c>
      <c r="G15" s="11">
        <f t="shared" si="1"/>
        <v>1.2470598000000002</v>
      </c>
      <c r="H15" s="11">
        <f t="shared" si="2"/>
        <v>0.24548904505994215</v>
      </c>
      <c r="I15" s="11">
        <f t="shared" si="3"/>
        <v>0.87527352297592997</v>
      </c>
      <c r="J15" s="11">
        <f t="shared" si="4"/>
        <v>0.12274452252997108</v>
      </c>
    </row>
    <row r="16" spans="1:10">
      <c r="A16" s="10" t="s">
        <v>137</v>
      </c>
      <c r="B16" s="13" t="s">
        <v>156</v>
      </c>
      <c r="C16" s="10">
        <v>4</v>
      </c>
      <c r="D16" s="10" t="s">
        <v>179</v>
      </c>
      <c r="E16" s="10">
        <v>71</v>
      </c>
      <c r="F16" s="10">
        <f t="shared" si="0"/>
        <v>0.71</v>
      </c>
      <c r="G16" s="11">
        <f t="shared" si="1"/>
        <v>0.39597054999999998</v>
      </c>
      <c r="H16" s="11">
        <f t="shared" si="2"/>
        <v>7.7948493080572445E-2</v>
      </c>
      <c r="I16" s="11">
        <f t="shared" si="3"/>
        <v>0.87527352297592997</v>
      </c>
      <c r="J16" s="11">
        <f t="shared" si="4"/>
        <v>3.8974246540286223E-2</v>
      </c>
    </row>
    <row r="17" spans="1:10">
      <c r="A17" s="16" t="s">
        <v>151</v>
      </c>
      <c r="B17" s="13" t="s">
        <v>150</v>
      </c>
      <c r="C17" s="10">
        <v>6</v>
      </c>
      <c r="D17" s="10" t="s">
        <v>180</v>
      </c>
      <c r="E17" s="10">
        <v>123</v>
      </c>
      <c r="F17" s="10">
        <f t="shared" si="0"/>
        <v>1.23</v>
      </c>
      <c r="G17" s="11">
        <f t="shared" si="1"/>
        <v>1.1883829499999998</v>
      </c>
      <c r="H17" s="11">
        <f t="shared" si="2"/>
        <v>0.23393825665859563</v>
      </c>
      <c r="I17" s="11">
        <f t="shared" si="3"/>
        <v>1.3129102844638949</v>
      </c>
      <c r="J17" s="11">
        <f t="shared" si="4"/>
        <v>0.11696912832929782</v>
      </c>
    </row>
    <row r="18" spans="1:10">
      <c r="A18" s="10" t="s">
        <v>109</v>
      </c>
      <c r="B18" s="13" t="s">
        <v>149</v>
      </c>
      <c r="C18" s="10">
        <v>1</v>
      </c>
      <c r="D18" s="10" t="s">
        <v>179</v>
      </c>
      <c r="E18" s="10">
        <v>51</v>
      </c>
      <c r="F18" s="10">
        <f t="shared" si="0"/>
        <v>0.51</v>
      </c>
      <c r="G18" s="11">
        <f t="shared" si="1"/>
        <v>0.20430855000000001</v>
      </c>
      <c r="H18" s="11">
        <f t="shared" si="2"/>
        <v>4.0219010216736552E-2</v>
      </c>
      <c r="I18" s="11">
        <f t="shared" si="3"/>
        <v>0.21881838074398249</v>
      </c>
      <c r="J18" s="11">
        <f t="shared" si="4"/>
        <v>2.0109505108368276E-2</v>
      </c>
    </row>
    <row r="19" spans="1:10">
      <c r="A19" s="10"/>
      <c r="B19" s="13" t="s">
        <v>131</v>
      </c>
      <c r="C19" s="10">
        <v>2</v>
      </c>
      <c r="D19" s="10" t="s">
        <v>180</v>
      </c>
      <c r="E19" s="10">
        <v>22</v>
      </c>
      <c r="F19" s="10">
        <f t="shared" si="0"/>
        <v>0.22</v>
      </c>
      <c r="G19" s="11">
        <f t="shared" si="1"/>
        <v>3.8018199999999995E-2</v>
      </c>
      <c r="H19" s="11">
        <f t="shared" si="2"/>
        <v>7.4840449615149887E-3</v>
      </c>
      <c r="I19" s="11">
        <f t="shared" si="3"/>
        <v>0.43763676148796499</v>
      </c>
      <c r="J19" s="11">
        <f t="shared" si="4"/>
        <v>3.7420224807574944E-3</v>
      </c>
    </row>
    <row r="20" spans="1:10">
      <c r="A20" s="10"/>
      <c r="B20" s="13" t="s">
        <v>132</v>
      </c>
      <c r="C20" s="10">
        <v>9</v>
      </c>
      <c r="D20" s="10" t="s">
        <v>180</v>
      </c>
      <c r="E20" s="10">
        <v>177</v>
      </c>
      <c r="F20" s="10">
        <f t="shared" si="0"/>
        <v>1.77</v>
      </c>
      <c r="G20" s="11">
        <f t="shared" si="1"/>
        <v>2.4608929500000003</v>
      </c>
      <c r="H20" s="11">
        <f t="shared" si="2"/>
        <v>0.48443728222996524</v>
      </c>
      <c r="I20" s="11">
        <f t="shared" si="3"/>
        <v>1.9693654266958425</v>
      </c>
      <c r="J20" s="11">
        <f t="shared" si="4"/>
        <v>0.24221864111498262</v>
      </c>
    </row>
    <row r="21" spans="1:10">
      <c r="A21" s="10"/>
      <c r="B21" s="13" t="s">
        <v>110</v>
      </c>
      <c r="C21" s="10">
        <v>19</v>
      </c>
      <c r="D21" s="10" t="s">
        <v>180</v>
      </c>
      <c r="E21" s="10">
        <v>294.2</v>
      </c>
      <c r="F21" s="10">
        <f t="shared" si="0"/>
        <v>2.9419999999999997</v>
      </c>
      <c r="G21" s="11">
        <f t="shared" si="1"/>
        <v>6.7987884219999986</v>
      </c>
      <c r="H21" s="11">
        <f t="shared" si="2"/>
        <v>1.3383705234355003</v>
      </c>
      <c r="I21" s="11">
        <f t="shared" si="3"/>
        <v>4.1575492341356668</v>
      </c>
      <c r="J21" s="11">
        <f t="shared" si="4"/>
        <v>0.66918526171775017</v>
      </c>
    </row>
    <row r="22" spans="1:10">
      <c r="A22" s="10" t="s">
        <v>45</v>
      </c>
      <c r="B22" s="13" t="s">
        <v>119</v>
      </c>
      <c r="C22" s="10">
        <v>8</v>
      </c>
      <c r="D22" s="10" t="s">
        <v>180</v>
      </c>
      <c r="E22" s="10">
        <v>282.60000000000002</v>
      </c>
      <c r="F22" s="10">
        <f t="shared" si="0"/>
        <v>2.8260000000000001</v>
      </c>
      <c r="G22" s="11">
        <f t="shared" si="1"/>
        <v>6.2732197979999995</v>
      </c>
      <c r="H22" s="11">
        <f t="shared" si="2"/>
        <v>1.2349100962617372</v>
      </c>
      <c r="I22" s="11">
        <f t="shared" si="3"/>
        <v>1.7505470459518599</v>
      </c>
      <c r="J22" s="11">
        <f t="shared" si="4"/>
        <v>0.6174550481308686</v>
      </c>
    </row>
    <row r="23" spans="1:10">
      <c r="A23" s="10" t="s">
        <v>12</v>
      </c>
      <c r="B23" s="13" t="s">
        <v>94</v>
      </c>
      <c r="C23" s="10">
        <v>5</v>
      </c>
      <c r="D23" s="10" t="s">
        <v>180</v>
      </c>
      <c r="E23" s="10">
        <v>141</v>
      </c>
      <c r="F23" s="10">
        <f t="shared" si="0"/>
        <v>1.41</v>
      </c>
      <c r="G23" s="11">
        <f t="shared" si="1"/>
        <v>1.5616525499999998</v>
      </c>
      <c r="H23" s="11">
        <f t="shared" si="2"/>
        <v>0.30741797082619732</v>
      </c>
      <c r="I23" s="11">
        <f t="shared" si="3"/>
        <v>1.0940919037199124</v>
      </c>
      <c r="J23" s="11">
        <f t="shared" si="4"/>
        <v>0.15370898541309866</v>
      </c>
    </row>
    <row r="24" spans="1:10">
      <c r="A24" s="10"/>
      <c r="B24" s="13" t="s">
        <v>13</v>
      </c>
      <c r="C24" s="10">
        <v>1</v>
      </c>
      <c r="D24" s="10" t="s">
        <v>180</v>
      </c>
      <c r="E24" s="10">
        <v>54.7</v>
      </c>
      <c r="F24" s="10">
        <f t="shared" si="0"/>
        <v>0.54700000000000004</v>
      </c>
      <c r="G24" s="11">
        <f t="shared" si="1"/>
        <v>0.23502866950000004</v>
      </c>
      <c r="H24" s="11">
        <f t="shared" si="2"/>
        <v>4.6266396877891303E-2</v>
      </c>
      <c r="I24" s="11">
        <f t="shared" si="3"/>
        <v>0.21881838074398249</v>
      </c>
      <c r="J24" s="11">
        <f t="shared" si="4"/>
        <v>2.3133198438945651E-2</v>
      </c>
    </row>
    <row r="25" spans="1:10">
      <c r="A25" s="10"/>
      <c r="B25" s="13" t="s">
        <v>158</v>
      </c>
      <c r="C25" s="10">
        <v>1</v>
      </c>
      <c r="D25" s="10" t="s">
        <v>180</v>
      </c>
      <c r="E25" s="10">
        <v>10</v>
      </c>
      <c r="F25" s="10">
        <f t="shared" si="0"/>
        <v>0.1</v>
      </c>
      <c r="G25" s="11">
        <f t="shared" si="1"/>
        <v>7.8550000000000009E-3</v>
      </c>
      <c r="H25" s="11">
        <f t="shared" si="2"/>
        <v>1.5462902813047502E-3</v>
      </c>
      <c r="I25" s="11">
        <f t="shared" si="3"/>
        <v>0.21881838074398249</v>
      </c>
      <c r="J25" s="11">
        <f t="shared" si="4"/>
        <v>7.7314514065237509E-4</v>
      </c>
    </row>
    <row r="26" spans="1:10">
      <c r="A26" s="10" t="s">
        <v>114</v>
      </c>
      <c r="B26" s="13" t="s">
        <v>113</v>
      </c>
      <c r="C26" s="10">
        <v>1</v>
      </c>
      <c r="D26" s="10" t="s">
        <v>357</v>
      </c>
      <c r="E26" s="10">
        <v>20</v>
      </c>
      <c r="F26" s="10">
        <f t="shared" si="0"/>
        <v>0.2</v>
      </c>
      <c r="G26" s="11">
        <f t="shared" si="1"/>
        <v>3.1420000000000003E-2</v>
      </c>
      <c r="H26" s="11">
        <f t="shared" si="2"/>
        <v>6.1851611252190008E-3</v>
      </c>
      <c r="I26" s="11">
        <f t="shared" si="3"/>
        <v>0.21881838074398249</v>
      </c>
      <c r="J26" s="11">
        <f t="shared" si="4"/>
        <v>3.0925805626095004E-3</v>
      </c>
    </row>
    <row r="27" spans="1:10">
      <c r="A27" s="10"/>
      <c r="B27" s="13" t="s">
        <v>134</v>
      </c>
      <c r="C27" s="10">
        <v>16</v>
      </c>
      <c r="D27" s="10" t="s">
        <v>180</v>
      </c>
      <c r="E27" s="10">
        <v>207</v>
      </c>
      <c r="F27" s="10">
        <f t="shared" si="0"/>
        <v>2.0699999999999998</v>
      </c>
      <c r="G27" s="11">
        <f t="shared" si="1"/>
        <v>3.3657889499999993</v>
      </c>
      <c r="H27" s="11">
        <f t="shared" si="2"/>
        <v>0.66256992263627223</v>
      </c>
      <c r="I27" s="11">
        <f t="shared" si="3"/>
        <v>3.5010940919037199</v>
      </c>
      <c r="J27" s="11">
        <f t="shared" si="4"/>
        <v>0.33128496131813612</v>
      </c>
    </row>
    <row r="28" spans="1:10">
      <c r="A28" s="10" t="s">
        <v>19</v>
      </c>
      <c r="B28" s="13" t="s">
        <v>103</v>
      </c>
      <c r="C28" s="10">
        <v>14</v>
      </c>
      <c r="D28" s="10" t="s">
        <v>179</v>
      </c>
      <c r="E28" s="10">
        <v>150</v>
      </c>
      <c r="F28" s="10">
        <f t="shared" si="0"/>
        <v>1.5</v>
      </c>
      <c r="G28" s="11">
        <f t="shared" si="1"/>
        <v>1.7673749999999999</v>
      </c>
      <c r="H28" s="11">
        <f t="shared" si="2"/>
        <v>0.34791531329356878</v>
      </c>
      <c r="I28" s="11">
        <f t="shared" si="3"/>
        <v>3.0634573304157549</v>
      </c>
      <c r="J28" s="11">
        <f t="shared" si="4"/>
        <v>0.17395765664678439</v>
      </c>
    </row>
    <row r="29" spans="1:10">
      <c r="A29" s="10" t="s">
        <v>41</v>
      </c>
      <c r="B29" s="13" t="s">
        <v>160</v>
      </c>
      <c r="C29" s="10">
        <v>1</v>
      </c>
      <c r="D29" s="10" t="s">
        <v>179</v>
      </c>
      <c r="E29" s="10">
        <v>17</v>
      </c>
      <c r="F29" s="10">
        <f t="shared" si="0"/>
        <v>0.17</v>
      </c>
      <c r="G29" s="11">
        <f t="shared" si="1"/>
        <v>2.2700950000000004E-2</v>
      </c>
      <c r="H29" s="11">
        <f t="shared" si="2"/>
        <v>4.4687789129707282E-3</v>
      </c>
      <c r="I29" s="11">
        <f t="shared" si="3"/>
        <v>0.21881838074398249</v>
      </c>
      <c r="J29" s="11">
        <f t="shared" si="4"/>
        <v>2.2343894564853641E-3</v>
      </c>
    </row>
    <row r="30" spans="1:10">
      <c r="A30" s="10"/>
      <c r="B30" s="13" t="s">
        <v>133</v>
      </c>
      <c r="C30" s="10">
        <v>2</v>
      </c>
      <c r="D30" s="10" t="s">
        <v>179</v>
      </c>
      <c r="E30" s="10">
        <v>113</v>
      </c>
      <c r="F30" s="10">
        <f t="shared" si="0"/>
        <v>1.1299999999999999</v>
      </c>
      <c r="G30" s="11">
        <f t="shared" si="1"/>
        <v>1.0030049499999998</v>
      </c>
      <c r="H30" s="11">
        <f t="shared" si="2"/>
        <v>0.19744580601980349</v>
      </c>
      <c r="I30" s="11">
        <f t="shared" si="3"/>
        <v>0.43763676148796499</v>
      </c>
      <c r="J30" s="11">
        <f t="shared" si="4"/>
        <v>9.8722903009901747E-2</v>
      </c>
    </row>
    <row r="31" spans="1:10">
      <c r="A31" s="10"/>
      <c r="B31" s="13" t="s">
        <v>138</v>
      </c>
      <c r="C31" s="10">
        <v>14</v>
      </c>
      <c r="D31" s="10" t="s">
        <v>357</v>
      </c>
      <c r="E31" s="10">
        <v>237.7</v>
      </c>
      <c r="F31" s="10">
        <f t="shared" si="0"/>
        <v>2.3769999999999998</v>
      </c>
      <c r="G31" s="11">
        <f t="shared" si="1"/>
        <v>4.4381763294999992</v>
      </c>
      <c r="H31" s="11">
        <f t="shared" si="2"/>
        <v>0.87367395608181253</v>
      </c>
      <c r="I31" s="11">
        <f t="shared" si="3"/>
        <v>3.0634573304157549</v>
      </c>
      <c r="J31" s="11">
        <f t="shared" si="4"/>
        <v>0.43683697804090627</v>
      </c>
    </row>
    <row r="32" spans="1:10">
      <c r="A32" s="10"/>
      <c r="B32" s="13" t="s">
        <v>40</v>
      </c>
      <c r="C32" s="10">
        <v>1</v>
      </c>
      <c r="D32" s="10" t="s">
        <v>180</v>
      </c>
      <c r="E32" s="10">
        <v>17</v>
      </c>
      <c r="F32" s="10">
        <f t="shared" si="0"/>
        <v>0.17</v>
      </c>
      <c r="G32" s="11">
        <f t="shared" si="1"/>
        <v>2.2700950000000004E-2</v>
      </c>
      <c r="H32" s="11">
        <f t="shared" si="2"/>
        <v>4.4687789129707282E-3</v>
      </c>
      <c r="I32" s="11">
        <f t="shared" si="3"/>
        <v>0.21881838074398249</v>
      </c>
      <c r="J32" s="11">
        <f t="shared" si="4"/>
        <v>2.2343894564853641E-3</v>
      </c>
    </row>
    <row r="33" spans="1:10">
      <c r="A33" s="10" t="s">
        <v>118</v>
      </c>
      <c r="B33" s="13" t="s">
        <v>161</v>
      </c>
      <c r="C33" s="10">
        <v>2</v>
      </c>
      <c r="D33" s="10" t="s">
        <v>180</v>
      </c>
      <c r="E33" s="10">
        <v>44.5</v>
      </c>
      <c r="F33" s="10">
        <f t="shared" si="0"/>
        <v>0.44500000000000001</v>
      </c>
      <c r="G33" s="11">
        <f t="shared" si="1"/>
        <v>0.1555486375</v>
      </c>
      <c r="H33" s="11">
        <f t="shared" si="2"/>
        <v>3.0620413295537312E-2</v>
      </c>
      <c r="I33" s="11">
        <f t="shared" si="3"/>
        <v>0.43763676148796499</v>
      </c>
      <c r="J33" s="11">
        <f t="shared" si="4"/>
        <v>1.5310206647768656E-2</v>
      </c>
    </row>
    <row r="34" spans="1:10">
      <c r="A34" s="10" t="s">
        <v>15</v>
      </c>
      <c r="B34" s="13" t="s">
        <v>14</v>
      </c>
      <c r="C34" s="10">
        <v>2</v>
      </c>
      <c r="D34" s="10" t="s">
        <v>180</v>
      </c>
      <c r="E34" s="10">
        <v>25</v>
      </c>
      <c r="F34" s="10">
        <f t="shared" si="0"/>
        <v>0.25</v>
      </c>
      <c r="G34" s="11">
        <f t="shared" si="1"/>
        <v>4.9093749999999999E-2</v>
      </c>
      <c r="H34" s="11">
        <f t="shared" si="2"/>
        <v>9.6643142581546871E-3</v>
      </c>
      <c r="I34" s="11">
        <f t="shared" si="3"/>
        <v>0.43763676148796499</v>
      </c>
      <c r="J34" s="11">
        <f t="shared" si="4"/>
        <v>4.8321571290773436E-3</v>
      </c>
    </row>
    <row r="35" spans="1:10">
      <c r="A35" s="10"/>
      <c r="B35" s="13" t="s">
        <v>83</v>
      </c>
      <c r="C35" s="10">
        <v>2</v>
      </c>
      <c r="D35" s="10" t="s">
        <v>180</v>
      </c>
      <c r="E35" s="10">
        <v>60</v>
      </c>
      <c r="F35" s="10">
        <f t="shared" si="0"/>
        <v>0.6</v>
      </c>
      <c r="G35" s="11">
        <f t="shared" si="1"/>
        <v>0.28277999999999998</v>
      </c>
      <c r="H35" s="11">
        <f t="shared" si="2"/>
        <v>5.5666450126971002E-2</v>
      </c>
      <c r="I35" s="11">
        <f t="shared" si="3"/>
        <v>0.43763676148796499</v>
      </c>
      <c r="J35" s="11">
        <f t="shared" si="4"/>
        <v>2.7833225063485501E-2</v>
      </c>
    </row>
    <row r="36" spans="1:10">
      <c r="A36" s="10"/>
      <c r="B36" s="13" t="s">
        <v>111</v>
      </c>
      <c r="C36" s="10">
        <v>1</v>
      </c>
      <c r="D36" s="10" t="s">
        <v>180</v>
      </c>
      <c r="E36" s="10">
        <v>32</v>
      </c>
      <c r="F36" s="10">
        <f t="shared" si="0"/>
        <v>0.32</v>
      </c>
      <c r="G36" s="11">
        <f t="shared" si="1"/>
        <v>8.0435199999999998E-2</v>
      </c>
      <c r="H36" s="11">
        <f t="shared" si="2"/>
        <v>1.5834012480560638E-2</v>
      </c>
      <c r="I36" s="11">
        <f t="shared" si="3"/>
        <v>0.21881838074398249</v>
      </c>
      <c r="J36" s="11">
        <f t="shared" si="4"/>
        <v>7.9170062402803189E-3</v>
      </c>
    </row>
    <row r="37" spans="1:10">
      <c r="A37" s="10"/>
      <c r="B37" s="13" t="s">
        <v>26</v>
      </c>
      <c r="C37" s="10">
        <v>4</v>
      </c>
      <c r="D37" s="10" t="s">
        <v>181</v>
      </c>
      <c r="E37" s="10">
        <v>158</v>
      </c>
      <c r="F37" s="10">
        <f t="shared" si="0"/>
        <v>1.58</v>
      </c>
      <c r="G37" s="11">
        <f t="shared" si="1"/>
        <v>1.9609222000000002</v>
      </c>
      <c r="H37" s="11">
        <f t="shared" si="2"/>
        <v>0.38601590582491785</v>
      </c>
      <c r="I37" s="11">
        <f t="shared" si="3"/>
        <v>0.87527352297592997</v>
      </c>
      <c r="J37" s="11">
        <f t="shared" si="4"/>
        <v>0.19300795291245892</v>
      </c>
    </row>
    <row r="38" spans="1:10">
      <c r="A38" s="10" t="s">
        <v>53</v>
      </c>
      <c r="B38" s="13" t="s">
        <v>171</v>
      </c>
      <c r="C38" s="10">
        <v>3</v>
      </c>
      <c r="D38" s="10" t="s">
        <v>180</v>
      </c>
      <c r="E38" s="10">
        <v>142</v>
      </c>
      <c r="F38" s="10">
        <f t="shared" si="0"/>
        <v>1.42</v>
      </c>
      <c r="G38" s="11">
        <f t="shared" si="1"/>
        <v>1.5838821999999999</v>
      </c>
      <c r="H38" s="11">
        <f t="shared" si="2"/>
        <v>0.31179397232228978</v>
      </c>
      <c r="I38" s="11">
        <f t="shared" si="3"/>
        <v>0.65645514223194745</v>
      </c>
      <c r="J38" s="11">
        <f t="shared" si="4"/>
        <v>0.15589698616114489</v>
      </c>
    </row>
    <row r="39" spans="1:10">
      <c r="A39" s="10" t="s">
        <v>123</v>
      </c>
      <c r="B39" s="13" t="s">
        <v>256</v>
      </c>
      <c r="C39" s="10">
        <v>47</v>
      </c>
      <c r="D39" s="10" t="s">
        <v>180</v>
      </c>
      <c r="E39" s="10">
        <v>1129</v>
      </c>
      <c r="F39" s="10">
        <f t="shared" si="0"/>
        <v>11.29</v>
      </c>
      <c r="G39" s="11">
        <f t="shared" si="1"/>
        <v>100.12305054999999</v>
      </c>
      <c r="H39" s="11">
        <f t="shared" si="2"/>
        <v>19.709649904525676</v>
      </c>
      <c r="I39" s="11">
        <f t="shared" si="3"/>
        <v>10.284463894967178</v>
      </c>
      <c r="J39" s="11">
        <f t="shared" si="4"/>
        <v>9.8548249522628382</v>
      </c>
    </row>
    <row r="40" spans="1:10">
      <c r="A40" s="10" t="s">
        <v>143</v>
      </c>
      <c r="B40" s="13" t="s">
        <v>142</v>
      </c>
      <c r="C40" s="10">
        <v>2</v>
      </c>
      <c r="D40" s="10" t="s">
        <v>180</v>
      </c>
      <c r="E40" s="10">
        <v>24</v>
      </c>
      <c r="F40" s="10">
        <f t="shared" si="0"/>
        <v>0.24</v>
      </c>
      <c r="G40" s="11">
        <f t="shared" si="1"/>
        <v>4.5244799999999995E-2</v>
      </c>
      <c r="H40" s="11">
        <f t="shared" si="2"/>
        <v>8.9066320203153582E-3</v>
      </c>
      <c r="I40" s="11">
        <f t="shared" si="3"/>
        <v>0.43763676148796499</v>
      </c>
      <c r="J40" s="11">
        <f t="shared" si="4"/>
        <v>4.4533160101576791E-3</v>
      </c>
    </row>
    <row r="41" spans="1:10">
      <c r="A41" s="10" t="s">
        <v>253</v>
      </c>
      <c r="B41" s="13" t="s">
        <v>163</v>
      </c>
      <c r="C41" s="10">
        <v>1</v>
      </c>
      <c r="D41" s="10" t="s">
        <v>180</v>
      </c>
      <c r="E41" s="10">
        <v>10</v>
      </c>
      <c r="F41" s="10">
        <f t="shared" si="0"/>
        <v>0.1</v>
      </c>
      <c r="G41" s="11">
        <f t="shared" si="1"/>
        <v>7.8550000000000009E-3</v>
      </c>
      <c r="H41" s="11">
        <f t="shared" si="2"/>
        <v>1.5462902813047502E-3</v>
      </c>
      <c r="I41" s="11">
        <f t="shared" si="3"/>
        <v>0.21881838074398249</v>
      </c>
      <c r="J41" s="11">
        <f t="shared" si="4"/>
        <v>7.7314514065237509E-4</v>
      </c>
    </row>
    <row r="42" spans="1:10">
      <c r="A42" s="10" t="s">
        <v>93</v>
      </c>
      <c r="B42" s="13" t="s">
        <v>92</v>
      </c>
      <c r="C42" s="10">
        <v>4</v>
      </c>
      <c r="D42" s="10" t="s">
        <v>180</v>
      </c>
      <c r="E42" s="10">
        <v>133</v>
      </c>
      <c r="F42" s="10">
        <f t="shared" si="0"/>
        <v>1.33</v>
      </c>
      <c r="G42" s="11">
        <f t="shared" si="1"/>
        <v>1.38947095</v>
      </c>
      <c r="H42" s="11">
        <f t="shared" si="2"/>
        <v>0.27352328785999724</v>
      </c>
      <c r="I42" s="11">
        <f t="shared" si="3"/>
        <v>0.87527352297592997</v>
      </c>
      <c r="J42" s="11">
        <f t="shared" si="4"/>
        <v>0.13676164392999862</v>
      </c>
    </row>
    <row r="43" spans="1:10">
      <c r="A43" s="10"/>
      <c r="B43" s="13" t="s">
        <v>116</v>
      </c>
      <c r="C43" s="10">
        <v>4</v>
      </c>
      <c r="D43" s="10" t="s">
        <v>181</v>
      </c>
      <c r="E43" s="10">
        <v>161.5</v>
      </c>
      <c r="F43" s="10">
        <f t="shared" si="0"/>
        <v>1.615</v>
      </c>
      <c r="G43" s="11">
        <f t="shared" si="1"/>
        <v>2.0487607374999999</v>
      </c>
      <c r="H43" s="11">
        <f t="shared" si="2"/>
        <v>0.40330729689560818</v>
      </c>
      <c r="I43" s="11">
        <f t="shared" si="3"/>
        <v>0.87527352297592997</v>
      </c>
      <c r="J43" s="11">
        <f t="shared" si="4"/>
        <v>0.20165364844780409</v>
      </c>
    </row>
    <row r="44" spans="1:10">
      <c r="A44" s="10"/>
      <c r="B44" s="13" t="s">
        <v>248</v>
      </c>
      <c r="C44" s="10">
        <v>1</v>
      </c>
      <c r="D44" s="10" t="s">
        <v>180</v>
      </c>
      <c r="E44" s="10">
        <v>10.1</v>
      </c>
      <c r="F44" s="10">
        <f t="shared" si="0"/>
        <v>0.10099999999999999</v>
      </c>
      <c r="G44" s="11">
        <f t="shared" si="1"/>
        <v>8.0128854999999988E-3</v>
      </c>
      <c r="H44" s="11">
        <f t="shared" si="2"/>
        <v>1.5773707159589753E-3</v>
      </c>
      <c r="I44" s="11">
        <f t="shared" si="3"/>
        <v>0.21881838074398249</v>
      </c>
      <c r="J44" s="11">
        <f t="shared" si="4"/>
        <v>7.8868535797948765E-4</v>
      </c>
    </row>
    <row r="45" spans="1:10">
      <c r="A45" s="10"/>
      <c r="B45" s="13" t="s">
        <v>162</v>
      </c>
      <c r="C45" s="10">
        <v>1</v>
      </c>
      <c r="D45" s="10" t="s">
        <v>180</v>
      </c>
      <c r="E45" s="10">
        <v>10</v>
      </c>
      <c r="F45" s="10">
        <f t="shared" si="0"/>
        <v>0.1</v>
      </c>
      <c r="G45" s="11">
        <f t="shared" si="1"/>
        <v>7.8550000000000009E-3</v>
      </c>
      <c r="H45" s="11">
        <f t="shared" si="2"/>
        <v>1.5462902813047502E-3</v>
      </c>
      <c r="I45" s="11">
        <f t="shared" si="3"/>
        <v>0.21881838074398249</v>
      </c>
      <c r="J45" s="11">
        <f t="shared" si="4"/>
        <v>7.7314514065237509E-4</v>
      </c>
    </row>
    <row r="46" spans="1:10">
      <c r="A46" s="10" t="s">
        <v>140</v>
      </c>
      <c r="B46" s="13" t="s">
        <v>157</v>
      </c>
      <c r="C46" s="10">
        <v>2</v>
      </c>
      <c r="D46" s="10" t="s">
        <v>357</v>
      </c>
      <c r="E46" s="10">
        <v>43</v>
      </c>
      <c r="F46" s="10">
        <f t="shared" si="0"/>
        <v>0.43</v>
      </c>
      <c r="G46" s="11">
        <f t="shared" si="1"/>
        <v>0.14523894999999998</v>
      </c>
      <c r="H46" s="11">
        <f t="shared" si="2"/>
        <v>2.8590907301324828E-2</v>
      </c>
      <c r="I46" s="11">
        <f t="shared" si="3"/>
        <v>0.43763676148796499</v>
      </c>
      <c r="J46" s="11">
        <f t="shared" si="4"/>
        <v>1.4295453650662414E-2</v>
      </c>
    </row>
    <row r="47" spans="1:10">
      <c r="A47" s="10"/>
      <c r="B47" s="13" t="s">
        <v>173</v>
      </c>
      <c r="C47" s="10">
        <v>2</v>
      </c>
      <c r="D47" s="10" t="s">
        <v>180</v>
      </c>
      <c r="E47" s="10">
        <v>40</v>
      </c>
      <c r="F47" s="10">
        <f t="shared" si="0"/>
        <v>0.4</v>
      </c>
      <c r="G47" s="11">
        <f t="shared" si="1"/>
        <v>0.12568000000000001</v>
      </c>
      <c r="H47" s="11">
        <f t="shared" si="2"/>
        <v>2.4740644500876003E-2</v>
      </c>
      <c r="I47" s="11">
        <f t="shared" si="3"/>
        <v>0.43763676148796499</v>
      </c>
      <c r="J47" s="11">
        <f t="shared" si="4"/>
        <v>1.2370322250438002E-2</v>
      </c>
    </row>
    <row r="48" spans="1:10">
      <c r="A48" s="10" t="s">
        <v>24</v>
      </c>
      <c r="B48" s="13" t="s">
        <v>168</v>
      </c>
      <c r="C48" s="10">
        <v>1</v>
      </c>
      <c r="D48" s="10" t="s">
        <v>180</v>
      </c>
      <c r="E48" s="10">
        <v>12.8</v>
      </c>
      <c r="F48" s="10">
        <f t="shared" si="0"/>
        <v>0.128</v>
      </c>
      <c r="G48" s="11">
        <f t="shared" si="1"/>
        <v>1.2869631999999999E-2</v>
      </c>
      <c r="H48" s="11">
        <f t="shared" si="2"/>
        <v>2.5334419968897023E-3</v>
      </c>
      <c r="I48" s="11">
        <f t="shared" si="3"/>
        <v>0.21881838074398249</v>
      </c>
      <c r="J48" s="11">
        <f t="shared" si="4"/>
        <v>1.2667209984448511E-3</v>
      </c>
    </row>
    <row r="49" spans="1:10">
      <c r="A49" s="10" t="s">
        <v>31</v>
      </c>
      <c r="B49" s="13" t="s">
        <v>37</v>
      </c>
      <c r="C49" s="10">
        <v>9</v>
      </c>
      <c r="D49" s="10" t="s">
        <v>180</v>
      </c>
      <c r="E49" s="10">
        <v>281.8</v>
      </c>
      <c r="F49" s="10">
        <f t="shared" si="0"/>
        <v>2.8180000000000001</v>
      </c>
      <c r="G49" s="11">
        <f t="shared" si="1"/>
        <v>6.2377529020000004</v>
      </c>
      <c r="H49" s="11">
        <f t="shared" si="2"/>
        <v>1.2279282863835903</v>
      </c>
      <c r="I49" s="11">
        <f t="shared" si="3"/>
        <v>1.9693654266958425</v>
      </c>
      <c r="J49" s="11">
        <f t="shared" si="4"/>
        <v>0.61396414319179515</v>
      </c>
    </row>
    <row r="50" spans="1:10">
      <c r="A50" s="10"/>
      <c r="B50" s="13" t="s">
        <v>130</v>
      </c>
      <c r="C50" s="10">
        <v>11</v>
      </c>
      <c r="D50" s="10" t="s">
        <v>358</v>
      </c>
      <c r="E50" s="10">
        <v>158</v>
      </c>
      <c r="F50" s="10">
        <f t="shared" si="0"/>
        <v>1.58</v>
      </c>
      <c r="G50" s="11">
        <f t="shared" si="1"/>
        <v>1.9609222000000002</v>
      </c>
      <c r="H50" s="11">
        <f t="shared" si="2"/>
        <v>0.38601590582491785</v>
      </c>
      <c r="I50" s="11">
        <f t="shared" si="3"/>
        <v>2.4070021881838075</v>
      </c>
      <c r="J50" s="11">
        <f t="shared" si="4"/>
        <v>0.19300795291245892</v>
      </c>
    </row>
    <row r="51" spans="1:10">
      <c r="A51" s="10"/>
      <c r="B51" s="13" t="s">
        <v>170</v>
      </c>
      <c r="C51" s="10">
        <v>1</v>
      </c>
      <c r="D51" s="10" t="s">
        <v>179</v>
      </c>
      <c r="E51" s="10">
        <v>10.7</v>
      </c>
      <c r="F51" s="10">
        <f t="shared" si="0"/>
        <v>0.107</v>
      </c>
      <c r="G51" s="11">
        <f t="shared" si="1"/>
        <v>8.9931894999999984E-3</v>
      </c>
      <c r="H51" s="11">
        <f t="shared" si="2"/>
        <v>1.7703477430658081E-3</v>
      </c>
      <c r="I51" s="11">
        <f t="shared" si="3"/>
        <v>0.21881838074398249</v>
      </c>
      <c r="J51" s="11">
        <f t="shared" si="4"/>
        <v>8.8517387153290406E-4</v>
      </c>
    </row>
    <row r="52" spans="1:10">
      <c r="A52" s="10"/>
      <c r="B52" s="13" t="s">
        <v>170</v>
      </c>
      <c r="C52" s="10">
        <v>3</v>
      </c>
      <c r="D52" s="10" t="s">
        <v>179</v>
      </c>
      <c r="E52" s="10">
        <v>30.9</v>
      </c>
      <c r="F52" s="10">
        <f t="shared" si="0"/>
        <v>0.309</v>
      </c>
      <c r="G52" s="11">
        <f t="shared" si="1"/>
        <v>7.5000325499999992E-2</v>
      </c>
      <c r="H52" s="11">
        <f t="shared" si="2"/>
        <v>1.4764134234925884E-2</v>
      </c>
      <c r="I52" s="11">
        <f t="shared" si="3"/>
        <v>0.65645514223194745</v>
      </c>
      <c r="J52" s="11">
        <f t="shared" si="4"/>
        <v>7.3820671174629421E-3</v>
      </c>
    </row>
    <row r="53" spans="1:10">
      <c r="A53" s="10"/>
      <c r="B53" s="13" t="s">
        <v>120</v>
      </c>
      <c r="C53" s="10">
        <v>8</v>
      </c>
      <c r="D53" s="10" t="s">
        <v>179</v>
      </c>
      <c r="E53" s="10">
        <v>189</v>
      </c>
      <c r="F53" s="10">
        <f t="shared" si="0"/>
        <v>1.89</v>
      </c>
      <c r="G53" s="11">
        <f t="shared" si="1"/>
        <v>2.8058845499999996</v>
      </c>
      <c r="H53" s="11">
        <f t="shared" si="2"/>
        <v>0.55235035138486965</v>
      </c>
      <c r="I53" s="11">
        <f t="shared" si="3"/>
        <v>1.7505470459518599</v>
      </c>
      <c r="J53" s="11">
        <f t="shared" si="4"/>
        <v>0.27617517569243483</v>
      </c>
    </row>
    <row r="54" spans="1:10">
      <c r="A54" s="10"/>
      <c r="B54" s="13" t="s">
        <v>121</v>
      </c>
      <c r="C54" s="10">
        <v>2</v>
      </c>
      <c r="D54" s="10" t="s">
        <v>180</v>
      </c>
      <c r="E54" s="10">
        <v>40</v>
      </c>
      <c r="F54" s="10">
        <f t="shared" si="0"/>
        <v>0.4</v>
      </c>
      <c r="G54" s="11">
        <f t="shared" si="1"/>
        <v>0.12568000000000001</v>
      </c>
      <c r="H54" s="11">
        <f t="shared" si="2"/>
        <v>2.4740644500876003E-2</v>
      </c>
      <c r="I54" s="11">
        <f t="shared" si="3"/>
        <v>0.43763676148796499</v>
      </c>
      <c r="J54" s="11">
        <f t="shared" si="4"/>
        <v>1.2370322250438002E-2</v>
      </c>
    </row>
    <row r="55" spans="1:10">
      <c r="A55" s="10"/>
      <c r="B55" s="13" t="s">
        <v>62</v>
      </c>
      <c r="C55" s="10">
        <v>1</v>
      </c>
      <c r="D55" s="10" t="s">
        <v>180</v>
      </c>
      <c r="E55" s="10">
        <v>10.4</v>
      </c>
      <c r="F55" s="10">
        <f t="shared" si="0"/>
        <v>0.10400000000000001</v>
      </c>
      <c r="G55" s="11">
        <f t="shared" si="1"/>
        <v>8.4959680000000013E-3</v>
      </c>
      <c r="H55" s="11">
        <f t="shared" si="2"/>
        <v>1.6724675682592181E-3</v>
      </c>
      <c r="I55" s="11">
        <f t="shared" si="3"/>
        <v>0.21881838074398249</v>
      </c>
      <c r="J55" s="11">
        <f t="shared" si="4"/>
        <v>8.3623378412960904E-4</v>
      </c>
    </row>
    <row r="56" spans="1:10">
      <c r="A56" s="10"/>
      <c r="B56" s="13" t="s">
        <v>124</v>
      </c>
      <c r="C56" s="10">
        <v>3</v>
      </c>
      <c r="D56" s="10" t="s">
        <v>357</v>
      </c>
      <c r="E56" s="10">
        <v>122</v>
      </c>
      <c r="F56" s="10">
        <f t="shared" si="0"/>
        <v>1.22</v>
      </c>
      <c r="G56" s="11">
        <f t="shared" si="1"/>
        <v>1.1691381999999999</v>
      </c>
      <c r="H56" s="11">
        <f t="shared" si="2"/>
        <v>0.23014984546939898</v>
      </c>
      <c r="I56" s="11">
        <f t="shared" si="3"/>
        <v>0.65645514223194745</v>
      </c>
      <c r="J56" s="11">
        <f t="shared" si="4"/>
        <v>0.11507492273469949</v>
      </c>
    </row>
    <row r="57" spans="1:10">
      <c r="A57" s="10" t="s">
        <v>107</v>
      </c>
      <c r="B57" s="13" t="s">
        <v>106</v>
      </c>
      <c r="C57" s="10">
        <v>4</v>
      </c>
      <c r="D57" s="10" t="s">
        <v>180</v>
      </c>
      <c r="E57" s="10">
        <v>57</v>
      </c>
      <c r="F57" s="10">
        <f t="shared" si="0"/>
        <v>0.56999999999999995</v>
      </c>
      <c r="G57" s="11">
        <f t="shared" si="1"/>
        <v>0.25520894999999999</v>
      </c>
      <c r="H57" s="11">
        <f t="shared" si="2"/>
        <v>5.0238971239591333E-2</v>
      </c>
      <c r="I57" s="11">
        <f t="shared" si="3"/>
        <v>0.87527352297592997</v>
      </c>
      <c r="J57" s="11">
        <f t="shared" si="4"/>
        <v>2.5119485619795667E-2</v>
      </c>
    </row>
    <row r="58" spans="1:10">
      <c r="A58" s="10" t="s">
        <v>36</v>
      </c>
      <c r="B58" s="13" t="s">
        <v>165</v>
      </c>
      <c r="C58" s="10">
        <v>1</v>
      </c>
      <c r="D58" s="10" t="s">
        <v>180</v>
      </c>
      <c r="E58" s="10">
        <v>11.6</v>
      </c>
      <c r="F58" s="10">
        <f t="shared" si="0"/>
        <v>0.11599999999999999</v>
      </c>
      <c r="G58" s="11">
        <f t="shared" si="1"/>
        <v>1.0569687999999997E-2</v>
      </c>
      <c r="H58" s="11">
        <f t="shared" si="2"/>
        <v>2.0806882025236713E-3</v>
      </c>
      <c r="I58" s="11">
        <f t="shared" si="3"/>
        <v>0.21881838074398249</v>
      </c>
      <c r="J58" s="11">
        <f t="shared" si="4"/>
        <v>1.0403441012618356E-3</v>
      </c>
    </row>
    <row r="59" spans="1:10">
      <c r="A59" s="10"/>
      <c r="B59" s="13" t="s">
        <v>100</v>
      </c>
      <c r="C59" s="10">
        <v>15</v>
      </c>
      <c r="D59" s="10" t="s">
        <v>180</v>
      </c>
      <c r="E59" s="10">
        <v>225.7</v>
      </c>
      <c r="F59" s="10">
        <f t="shared" si="0"/>
        <v>2.2569999999999997</v>
      </c>
      <c r="G59" s="11">
        <f t="shared" si="1"/>
        <v>4.0013754894999982</v>
      </c>
      <c r="H59" s="11">
        <f t="shared" si="2"/>
        <v>0.78768784611901765</v>
      </c>
      <c r="I59" s="11">
        <f t="shared" si="3"/>
        <v>3.2822757111597372</v>
      </c>
      <c r="J59" s="11">
        <f t="shared" si="4"/>
        <v>0.39384392305950883</v>
      </c>
    </row>
    <row r="60" spans="1:10">
      <c r="A60" s="10"/>
      <c r="B60" s="13" t="s">
        <v>101</v>
      </c>
      <c r="C60" s="10">
        <v>1</v>
      </c>
      <c r="D60" s="10" t="s">
        <v>180</v>
      </c>
      <c r="E60" s="10">
        <v>44</v>
      </c>
      <c r="F60" s="10">
        <f t="shared" si="0"/>
        <v>0.44</v>
      </c>
      <c r="G60" s="11">
        <f t="shared" si="1"/>
        <v>0.15207279999999998</v>
      </c>
      <c r="H60" s="11">
        <f t="shared" si="2"/>
        <v>2.9936179846059955E-2</v>
      </c>
      <c r="I60" s="11">
        <f t="shared" si="3"/>
        <v>0.21881838074398249</v>
      </c>
      <c r="J60" s="11">
        <f t="shared" si="4"/>
        <v>1.4968089923029977E-2</v>
      </c>
    </row>
    <row r="61" spans="1:10">
      <c r="A61" s="10"/>
      <c r="B61" s="13" t="s">
        <v>35</v>
      </c>
      <c r="C61" s="10">
        <v>60</v>
      </c>
      <c r="D61" s="10" t="s">
        <v>180</v>
      </c>
      <c r="E61" s="10">
        <v>1602.5</v>
      </c>
      <c r="F61" s="10">
        <f t="shared" si="0"/>
        <v>16.024999999999999</v>
      </c>
      <c r="G61" s="11">
        <f t="shared" si="1"/>
        <v>201.71689093749998</v>
      </c>
      <c r="H61" s="11">
        <f t="shared" si="2"/>
        <v>39.708831067048564</v>
      </c>
      <c r="I61" s="11">
        <f t="shared" si="3"/>
        <v>13.129102844638949</v>
      </c>
      <c r="J61" s="11">
        <f t="shared" si="4"/>
        <v>19.854415533524282</v>
      </c>
    </row>
    <row r="62" spans="1:10">
      <c r="A62" s="10"/>
      <c r="B62" s="10"/>
      <c r="C62" s="10">
        <v>457</v>
      </c>
      <c r="D62" s="10"/>
      <c r="E62" s="10"/>
      <c r="F62" s="10"/>
      <c r="G62" s="10">
        <v>507.99</v>
      </c>
      <c r="H62" s="10"/>
      <c r="I62" s="10"/>
      <c r="J62" s="10"/>
    </row>
    <row r="63" spans="1:10">
      <c r="A63" s="10"/>
      <c r="B63" s="10"/>
      <c r="C63" s="10"/>
      <c r="D63" s="10"/>
      <c r="E63" s="10"/>
      <c r="F63" s="10"/>
      <c r="G63" s="10"/>
      <c r="H63" s="10"/>
      <c r="I63" s="10"/>
      <c r="J63" s="10"/>
    </row>
  </sheetData>
  <sortState ref="A2:L61">
    <sortCondition ref="A2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A2" sqref="A2"/>
    </sheetView>
  </sheetViews>
  <sheetFormatPr defaultColWidth="9.140625" defaultRowHeight="15"/>
  <cols>
    <col min="1" max="1" width="16.5703125" customWidth="1"/>
    <col min="2" max="2" width="29.5703125" customWidth="1"/>
    <col min="3" max="3" width="11.7109375" customWidth="1"/>
    <col min="4" max="4" width="20.140625" customWidth="1"/>
    <col min="5" max="5" width="15.42578125" customWidth="1"/>
    <col min="6" max="6" width="13.7109375" customWidth="1"/>
    <col min="7" max="10" width="12.85546875" customWidth="1"/>
  </cols>
  <sheetData>
    <row r="1" spans="1:10" s="1" customFormat="1">
      <c r="A1" s="12" t="s">
        <v>2</v>
      </c>
      <c r="B1" s="12" t="s">
        <v>1</v>
      </c>
      <c r="C1" s="12" t="s">
        <v>346</v>
      </c>
      <c r="D1" s="1" t="s">
        <v>176</v>
      </c>
      <c r="E1" s="1" t="s">
        <v>347</v>
      </c>
      <c r="F1" s="1" t="s">
        <v>359</v>
      </c>
      <c r="G1" s="1" t="s">
        <v>6</v>
      </c>
      <c r="H1" s="1" t="s">
        <v>349</v>
      </c>
      <c r="I1" s="1" t="s">
        <v>355</v>
      </c>
      <c r="J1" s="1" t="s">
        <v>356</v>
      </c>
    </row>
    <row r="2" spans="1:10">
      <c r="A2" s="10" t="s">
        <v>39</v>
      </c>
      <c r="B2" s="13" t="s">
        <v>254</v>
      </c>
      <c r="C2" s="10">
        <v>2</v>
      </c>
      <c r="D2" s="10" t="s">
        <v>258</v>
      </c>
      <c r="E2" s="10">
        <v>43.8</v>
      </c>
      <c r="F2" s="7">
        <f t="shared" ref="F2:F65" si="0">E2/100</f>
        <v>0.43799999999999994</v>
      </c>
      <c r="G2" s="7">
        <f t="shared" ref="G2:G65" si="1">((3.142*(F2)^2/4))</f>
        <v>0.15069346199999997</v>
      </c>
      <c r="H2" s="7">
        <f t="shared" ref="H2:H65" si="2">(G2/426.47)*100</f>
        <v>3.5335067413886076E-2</v>
      </c>
      <c r="I2" s="7">
        <f t="shared" ref="I2:I65" si="3">C2/507*100</f>
        <v>0.39447731755424065</v>
      </c>
      <c r="J2" s="7">
        <f t="shared" ref="J2:J65" si="4">H2/2</f>
        <v>1.7667533706943038E-2</v>
      </c>
    </row>
    <row r="3" spans="1:10">
      <c r="A3" s="10" t="s">
        <v>72</v>
      </c>
      <c r="B3" s="13" t="s">
        <v>218</v>
      </c>
      <c r="C3" s="10">
        <v>4</v>
      </c>
      <c r="D3" s="10" t="s">
        <v>258</v>
      </c>
      <c r="E3" s="10">
        <v>46.1</v>
      </c>
      <c r="F3" s="7">
        <f t="shared" si="0"/>
        <v>0.46100000000000002</v>
      </c>
      <c r="G3" s="7">
        <f t="shared" si="1"/>
        <v>0.1669352455</v>
      </c>
      <c r="H3" s="7">
        <f t="shared" si="2"/>
        <v>3.914349086688395E-2</v>
      </c>
      <c r="I3" s="7">
        <f t="shared" si="3"/>
        <v>0.78895463510848129</v>
      </c>
      <c r="J3" s="7">
        <f t="shared" si="4"/>
        <v>1.9571745433441975E-2</v>
      </c>
    </row>
    <row r="4" spans="1:10">
      <c r="A4" s="10" t="s">
        <v>21</v>
      </c>
      <c r="B4" s="13" t="s">
        <v>70</v>
      </c>
      <c r="C4" s="10">
        <v>5</v>
      </c>
      <c r="D4" s="10" t="s">
        <v>258</v>
      </c>
      <c r="E4" s="10">
        <v>149.1</v>
      </c>
      <c r="F4" s="7">
        <f t="shared" si="0"/>
        <v>1.4909999999999999</v>
      </c>
      <c r="G4" s="7">
        <f t="shared" si="1"/>
        <v>1.7462301254999997</v>
      </c>
      <c r="H4" s="7">
        <f t="shared" si="2"/>
        <v>0.40946142178816786</v>
      </c>
      <c r="I4" s="7">
        <f t="shared" si="3"/>
        <v>0.98619329388560162</v>
      </c>
      <c r="J4" s="7">
        <f t="shared" si="4"/>
        <v>0.20473071089408393</v>
      </c>
    </row>
    <row r="5" spans="1:10">
      <c r="A5" s="10"/>
      <c r="B5" s="13" t="s">
        <v>214</v>
      </c>
      <c r="C5" s="10">
        <v>15</v>
      </c>
      <c r="D5" s="10" t="s">
        <v>258</v>
      </c>
      <c r="E5" s="10">
        <v>185.4</v>
      </c>
      <c r="F5" s="7">
        <f t="shared" si="0"/>
        <v>1.8540000000000001</v>
      </c>
      <c r="G5" s="7">
        <f t="shared" si="1"/>
        <v>2.7000117180000003</v>
      </c>
      <c r="H5" s="7">
        <f t="shared" si="2"/>
        <v>0.63310706919595749</v>
      </c>
      <c r="I5" s="7">
        <f t="shared" si="3"/>
        <v>2.9585798816568047</v>
      </c>
      <c r="J5" s="7">
        <f t="shared" si="4"/>
        <v>0.31655353459797875</v>
      </c>
    </row>
    <row r="6" spans="1:10">
      <c r="A6" s="10"/>
      <c r="B6" s="13" t="s">
        <v>189</v>
      </c>
      <c r="C6" s="10">
        <v>1</v>
      </c>
      <c r="D6" s="10" t="s">
        <v>258</v>
      </c>
      <c r="E6" s="10">
        <v>42.2</v>
      </c>
      <c r="F6" s="7">
        <f t="shared" si="0"/>
        <v>0.42200000000000004</v>
      </c>
      <c r="G6" s="7">
        <f t="shared" si="1"/>
        <v>0.13988498200000005</v>
      </c>
      <c r="H6" s="7">
        <f t="shared" si="2"/>
        <v>3.2800661711257541E-2</v>
      </c>
      <c r="I6" s="7">
        <f t="shared" si="3"/>
        <v>0.19723865877712032</v>
      </c>
      <c r="J6" s="7">
        <f t="shared" si="4"/>
        <v>1.640033085562877E-2</v>
      </c>
    </row>
    <row r="7" spans="1:10">
      <c r="A7" s="10"/>
      <c r="B7" s="13" t="s">
        <v>216</v>
      </c>
      <c r="C7" s="10">
        <v>1</v>
      </c>
      <c r="D7" s="10" t="s">
        <v>179</v>
      </c>
      <c r="E7" s="10">
        <v>11.1</v>
      </c>
      <c r="F7" s="7">
        <f t="shared" si="0"/>
        <v>0.111</v>
      </c>
      <c r="G7" s="7">
        <f t="shared" si="1"/>
        <v>9.6781455000000006E-3</v>
      </c>
      <c r="H7" s="7">
        <f t="shared" si="2"/>
        <v>2.2693613853260485E-3</v>
      </c>
      <c r="I7" s="7">
        <f t="shared" si="3"/>
        <v>0.19723865877712032</v>
      </c>
      <c r="J7" s="7">
        <f t="shared" si="4"/>
        <v>1.1346806926630243E-3</v>
      </c>
    </row>
    <row r="8" spans="1:10">
      <c r="A8" s="10"/>
      <c r="B8" s="13" t="s">
        <v>135</v>
      </c>
      <c r="C8" s="10">
        <v>9</v>
      </c>
      <c r="D8" s="10" t="s">
        <v>182</v>
      </c>
      <c r="E8" s="10">
        <v>160.80000000000001</v>
      </c>
      <c r="F8" s="7">
        <f t="shared" si="0"/>
        <v>1.6080000000000001</v>
      </c>
      <c r="G8" s="7">
        <f t="shared" si="1"/>
        <v>2.0310390720000004</v>
      </c>
      <c r="H8" s="7">
        <f t="shared" si="2"/>
        <v>0.47624430135765711</v>
      </c>
      <c r="I8" s="7">
        <f t="shared" si="3"/>
        <v>1.7751479289940828</v>
      </c>
      <c r="J8" s="7">
        <f t="shared" si="4"/>
        <v>0.23812215067882855</v>
      </c>
    </row>
    <row r="9" spans="1:10">
      <c r="A9" s="10" t="s">
        <v>46</v>
      </c>
      <c r="B9" s="13" t="s">
        <v>75</v>
      </c>
      <c r="C9" s="10">
        <v>1</v>
      </c>
      <c r="D9" s="10" t="s">
        <v>258</v>
      </c>
      <c r="E9" s="10">
        <v>10.4</v>
      </c>
      <c r="F9" s="7">
        <f t="shared" si="0"/>
        <v>0.10400000000000001</v>
      </c>
      <c r="G9" s="7">
        <f t="shared" si="1"/>
        <v>8.4959680000000013E-3</v>
      </c>
      <c r="H9" s="7">
        <f t="shared" si="2"/>
        <v>1.9921607616010507E-3</v>
      </c>
      <c r="I9" s="7">
        <f t="shared" si="3"/>
        <v>0.19723865877712032</v>
      </c>
      <c r="J9" s="7">
        <f t="shared" si="4"/>
        <v>9.9608038080052533E-4</v>
      </c>
    </row>
    <row r="10" spans="1:10">
      <c r="A10" s="10"/>
      <c r="B10" s="13" t="s">
        <v>27</v>
      </c>
      <c r="C10" s="10">
        <v>10</v>
      </c>
      <c r="D10" s="10" t="s">
        <v>258</v>
      </c>
      <c r="E10" s="10">
        <v>119.1</v>
      </c>
      <c r="F10" s="7">
        <f t="shared" si="0"/>
        <v>1.1909999999999998</v>
      </c>
      <c r="G10" s="7">
        <f t="shared" si="1"/>
        <v>1.1142168254999998</v>
      </c>
      <c r="H10" s="7">
        <f t="shared" si="2"/>
        <v>0.26126499531033831</v>
      </c>
      <c r="I10" s="7">
        <f t="shared" si="3"/>
        <v>1.9723865877712032</v>
      </c>
      <c r="J10" s="7">
        <f t="shared" si="4"/>
        <v>0.13063249765516916</v>
      </c>
    </row>
    <row r="11" spans="1:10">
      <c r="A11" s="10" t="s">
        <v>99</v>
      </c>
      <c r="B11" s="13" t="s">
        <v>201</v>
      </c>
      <c r="C11" s="10">
        <v>1</v>
      </c>
      <c r="D11" s="10" t="s">
        <v>258</v>
      </c>
      <c r="E11" s="10">
        <v>16.399999999999999</v>
      </c>
      <c r="F11" s="7">
        <f t="shared" si="0"/>
        <v>0.16399999999999998</v>
      </c>
      <c r="G11" s="7">
        <f t="shared" si="1"/>
        <v>2.1126807999999993E-2</v>
      </c>
      <c r="H11" s="7">
        <f t="shared" si="2"/>
        <v>4.9538790536262792E-3</v>
      </c>
      <c r="I11" s="7">
        <f t="shared" si="3"/>
        <v>0.19723865877712032</v>
      </c>
      <c r="J11" s="7">
        <f t="shared" si="4"/>
        <v>2.4769395268131396E-3</v>
      </c>
    </row>
    <row r="12" spans="1:10">
      <c r="A12" s="10"/>
      <c r="B12" s="13" t="s">
        <v>129</v>
      </c>
      <c r="C12" s="10">
        <v>17</v>
      </c>
      <c r="D12" s="10" t="s">
        <v>182</v>
      </c>
      <c r="E12" s="10">
        <v>659.7</v>
      </c>
      <c r="F12" s="7">
        <f t="shared" si="0"/>
        <v>6.5970000000000004</v>
      </c>
      <c r="G12" s="7">
        <f t="shared" si="1"/>
        <v>34.185281269500003</v>
      </c>
      <c r="H12" s="7">
        <f t="shared" si="2"/>
        <v>8.0158701126691216</v>
      </c>
      <c r="I12" s="7">
        <f t="shared" si="3"/>
        <v>3.3530571992110452</v>
      </c>
      <c r="J12" s="7">
        <f t="shared" si="4"/>
        <v>4.0079350563345608</v>
      </c>
    </row>
    <row r="13" spans="1:10">
      <c r="A13" s="10" t="s">
        <v>97</v>
      </c>
      <c r="B13" s="13" t="s">
        <v>66</v>
      </c>
      <c r="C13" s="10">
        <v>1</v>
      </c>
      <c r="D13" s="10" t="s">
        <v>179</v>
      </c>
      <c r="E13" s="10">
        <v>12.8</v>
      </c>
      <c r="F13" s="7">
        <f t="shared" si="0"/>
        <v>0.128</v>
      </c>
      <c r="G13" s="7">
        <f t="shared" si="1"/>
        <v>1.2869631999999999E-2</v>
      </c>
      <c r="H13" s="7">
        <f t="shared" si="2"/>
        <v>3.0177109761530701E-3</v>
      </c>
      <c r="I13" s="7">
        <f t="shared" si="3"/>
        <v>0.19723865877712032</v>
      </c>
      <c r="J13" s="7">
        <f t="shared" si="4"/>
        <v>1.5088554880765351E-3</v>
      </c>
    </row>
    <row r="14" spans="1:10">
      <c r="A14" s="10"/>
      <c r="B14" s="13" t="s">
        <v>96</v>
      </c>
      <c r="C14" s="10">
        <v>9</v>
      </c>
      <c r="D14" s="10" t="s">
        <v>258</v>
      </c>
      <c r="E14" s="10">
        <v>138.4</v>
      </c>
      <c r="F14" s="7">
        <f t="shared" si="0"/>
        <v>1.3840000000000001</v>
      </c>
      <c r="G14" s="7">
        <f t="shared" si="1"/>
        <v>1.5045906880000002</v>
      </c>
      <c r="H14" s="7">
        <f t="shared" si="2"/>
        <v>0.35280106173939552</v>
      </c>
      <c r="I14" s="7">
        <f t="shared" si="3"/>
        <v>1.7751479289940828</v>
      </c>
      <c r="J14" s="7">
        <f t="shared" si="4"/>
        <v>0.17640053086969776</v>
      </c>
    </row>
    <row r="15" spans="1:10">
      <c r="A15" s="10"/>
      <c r="B15" s="13" t="s">
        <v>229</v>
      </c>
      <c r="C15" s="10">
        <v>1</v>
      </c>
      <c r="D15" s="10" t="s">
        <v>258</v>
      </c>
      <c r="E15" s="10">
        <v>11.7</v>
      </c>
      <c r="F15" s="7">
        <f t="shared" si="0"/>
        <v>0.11699999999999999</v>
      </c>
      <c r="G15" s="7">
        <f t="shared" si="1"/>
        <v>1.0752709499999999E-2</v>
      </c>
      <c r="H15" s="7">
        <f t="shared" si="2"/>
        <v>2.521328463901329E-3</v>
      </c>
      <c r="I15" s="7">
        <f t="shared" si="3"/>
        <v>0.19723865877712032</v>
      </c>
      <c r="J15" s="7">
        <f t="shared" si="4"/>
        <v>1.2606642319506645E-3</v>
      </c>
    </row>
    <row r="16" spans="1:10">
      <c r="A16" s="10" t="s">
        <v>245</v>
      </c>
      <c r="B16" s="13" t="s">
        <v>244</v>
      </c>
      <c r="C16" s="10">
        <v>1</v>
      </c>
      <c r="D16" s="10" t="s">
        <v>182</v>
      </c>
      <c r="E16" s="10">
        <v>11.6</v>
      </c>
      <c r="F16" s="7">
        <f t="shared" si="0"/>
        <v>0.11599999999999999</v>
      </c>
      <c r="G16" s="7">
        <f t="shared" si="1"/>
        <v>1.0569687999999997E-2</v>
      </c>
      <c r="H16" s="7">
        <f t="shared" si="2"/>
        <v>2.4784130185007145E-3</v>
      </c>
      <c r="I16" s="7">
        <f t="shared" si="3"/>
        <v>0.19723865877712032</v>
      </c>
      <c r="J16" s="7">
        <f t="shared" si="4"/>
        <v>1.2392065092503572E-3</v>
      </c>
    </row>
    <row r="17" spans="1:10">
      <c r="A17" s="10" t="s">
        <v>137</v>
      </c>
      <c r="B17" s="13" t="s">
        <v>124</v>
      </c>
      <c r="C17" s="10">
        <v>1</v>
      </c>
      <c r="D17" s="10" t="s">
        <v>182</v>
      </c>
      <c r="E17" s="10">
        <v>58.8</v>
      </c>
      <c r="F17" s="7">
        <f t="shared" si="0"/>
        <v>0.58799999999999997</v>
      </c>
      <c r="G17" s="7">
        <f t="shared" si="1"/>
        <v>0.27158191199999993</v>
      </c>
      <c r="H17" s="7">
        <f t="shared" si="2"/>
        <v>6.3681363753605155E-2</v>
      </c>
      <c r="I17" s="7">
        <f t="shared" si="3"/>
        <v>0.19723865877712032</v>
      </c>
      <c r="J17" s="7">
        <f t="shared" si="4"/>
        <v>3.1840681876802578E-2</v>
      </c>
    </row>
    <row r="18" spans="1:10">
      <c r="A18" s="10" t="s">
        <v>109</v>
      </c>
      <c r="B18" s="13" t="s">
        <v>188</v>
      </c>
      <c r="C18" s="10">
        <v>7</v>
      </c>
      <c r="D18" s="10" t="s">
        <v>258</v>
      </c>
      <c r="E18" s="10">
        <v>70.7</v>
      </c>
      <c r="F18" s="7">
        <f t="shared" si="0"/>
        <v>0.70700000000000007</v>
      </c>
      <c r="G18" s="7">
        <f t="shared" si="1"/>
        <v>0.39263138950000004</v>
      </c>
      <c r="H18" s="7">
        <f t="shared" si="2"/>
        <v>9.2065418317818365E-2</v>
      </c>
      <c r="I18" s="7">
        <f t="shared" si="3"/>
        <v>1.3806706114398422</v>
      </c>
      <c r="J18" s="7">
        <f t="shared" si="4"/>
        <v>4.6032709158909182E-2</v>
      </c>
    </row>
    <row r="19" spans="1:10">
      <c r="A19" s="10"/>
      <c r="B19" s="13" t="s">
        <v>110</v>
      </c>
      <c r="C19" s="10">
        <v>1</v>
      </c>
      <c r="D19" s="10" t="s">
        <v>258</v>
      </c>
      <c r="E19" s="10">
        <v>14.2</v>
      </c>
      <c r="F19" s="7">
        <f t="shared" si="0"/>
        <v>0.14199999999999999</v>
      </c>
      <c r="G19" s="7">
        <f t="shared" si="1"/>
        <v>1.5838821999999999E-2</v>
      </c>
      <c r="H19" s="7">
        <f t="shared" si="2"/>
        <v>3.7139357985321356E-3</v>
      </c>
      <c r="I19" s="7">
        <f t="shared" si="3"/>
        <v>0.19723865877712032</v>
      </c>
      <c r="J19" s="7">
        <f t="shared" si="4"/>
        <v>1.8569678992660678E-3</v>
      </c>
    </row>
    <row r="20" spans="1:10">
      <c r="A20" s="10" t="s">
        <v>45</v>
      </c>
      <c r="B20" s="13" t="s">
        <v>44</v>
      </c>
      <c r="C20" s="10">
        <v>33</v>
      </c>
      <c r="D20" s="10" t="s">
        <v>258</v>
      </c>
      <c r="E20" s="10">
        <v>1152.5</v>
      </c>
      <c r="F20" s="7">
        <f t="shared" si="0"/>
        <v>11.525</v>
      </c>
      <c r="G20" s="7">
        <f t="shared" si="1"/>
        <v>104.3345284375</v>
      </c>
      <c r="H20" s="7">
        <f t="shared" si="2"/>
        <v>24.464681791802469</v>
      </c>
      <c r="I20" s="7">
        <f t="shared" si="3"/>
        <v>6.5088757396449708</v>
      </c>
      <c r="J20" s="7">
        <f t="shared" si="4"/>
        <v>12.232340895901235</v>
      </c>
    </row>
    <row r="21" spans="1:10">
      <c r="A21" s="10" t="s">
        <v>12</v>
      </c>
      <c r="B21" s="13" t="s">
        <v>257</v>
      </c>
      <c r="C21" s="10">
        <v>4</v>
      </c>
      <c r="D21" s="10" t="s">
        <v>181</v>
      </c>
      <c r="E21" s="10">
        <v>93.8</v>
      </c>
      <c r="F21" s="7">
        <f t="shared" si="0"/>
        <v>0.93799999999999994</v>
      </c>
      <c r="G21" s="7">
        <f t="shared" si="1"/>
        <v>0.6911174619999999</v>
      </c>
      <c r="H21" s="7">
        <f t="shared" si="2"/>
        <v>0.16205535254531384</v>
      </c>
      <c r="I21" s="7">
        <f t="shared" si="3"/>
        <v>0.78895463510848129</v>
      </c>
      <c r="J21" s="7">
        <f t="shared" si="4"/>
        <v>8.1027676272656918E-2</v>
      </c>
    </row>
    <row r="22" spans="1:10">
      <c r="A22" s="10"/>
      <c r="B22" s="13" t="s">
        <v>200</v>
      </c>
      <c r="C22" s="10">
        <v>4</v>
      </c>
      <c r="D22" s="10" t="s">
        <v>258</v>
      </c>
      <c r="E22" s="10">
        <v>109.7</v>
      </c>
      <c r="F22" s="7">
        <f t="shared" si="0"/>
        <v>1.097</v>
      </c>
      <c r="G22" s="7">
        <f t="shared" si="1"/>
        <v>0.94527776949999998</v>
      </c>
      <c r="H22" s="7">
        <f t="shared" si="2"/>
        <v>0.221651644781579</v>
      </c>
      <c r="I22" s="7">
        <f t="shared" si="3"/>
        <v>0.78895463510848129</v>
      </c>
      <c r="J22" s="7">
        <f t="shared" si="4"/>
        <v>0.1108258223907895</v>
      </c>
    </row>
    <row r="23" spans="1:10">
      <c r="A23" s="10"/>
      <c r="B23" s="13" t="s">
        <v>184</v>
      </c>
      <c r="C23" s="10">
        <v>1</v>
      </c>
      <c r="D23" s="10" t="s">
        <v>258</v>
      </c>
      <c r="E23" s="10">
        <v>12.6</v>
      </c>
      <c r="F23" s="7">
        <f t="shared" si="0"/>
        <v>0.126</v>
      </c>
      <c r="G23" s="7">
        <f t="shared" si="1"/>
        <v>1.2470598000000001E-2</v>
      </c>
      <c r="H23" s="7">
        <f t="shared" si="2"/>
        <v>2.9241442539920744E-3</v>
      </c>
      <c r="I23" s="7">
        <f t="shared" si="3"/>
        <v>0.19723865877712032</v>
      </c>
      <c r="J23" s="7">
        <f t="shared" si="4"/>
        <v>1.4620721269960372E-3</v>
      </c>
    </row>
    <row r="24" spans="1:10">
      <c r="A24" s="10"/>
      <c r="B24" s="13" t="s">
        <v>13</v>
      </c>
      <c r="C24" s="10">
        <v>5</v>
      </c>
      <c r="D24" s="10" t="s">
        <v>258</v>
      </c>
      <c r="E24" s="10">
        <v>104.5</v>
      </c>
      <c r="F24" s="7">
        <f t="shared" si="0"/>
        <v>1.0449999999999999</v>
      </c>
      <c r="G24" s="7">
        <f t="shared" si="1"/>
        <v>0.85778563749999981</v>
      </c>
      <c r="H24" s="7">
        <f t="shared" si="2"/>
        <v>0.20113622001547582</v>
      </c>
      <c r="I24" s="7">
        <f t="shared" si="3"/>
        <v>0.98619329388560162</v>
      </c>
      <c r="J24" s="7">
        <f t="shared" si="4"/>
        <v>0.10056811000773791</v>
      </c>
    </row>
    <row r="25" spans="1:10">
      <c r="A25" s="10"/>
      <c r="B25" s="13" t="s">
        <v>163</v>
      </c>
      <c r="C25" s="10">
        <v>14</v>
      </c>
      <c r="D25" s="10" t="s">
        <v>258</v>
      </c>
      <c r="E25" s="10">
        <v>231.7</v>
      </c>
      <c r="F25" s="7">
        <f t="shared" si="0"/>
        <v>2.3169999999999997</v>
      </c>
      <c r="G25" s="7">
        <f t="shared" si="1"/>
        <v>4.2169481094999988</v>
      </c>
      <c r="H25" s="7">
        <f t="shared" si="2"/>
        <v>0.98880298954205414</v>
      </c>
      <c r="I25" s="7">
        <f t="shared" si="3"/>
        <v>2.7613412228796843</v>
      </c>
      <c r="J25" s="7">
        <f t="shared" si="4"/>
        <v>0.49440149477102707</v>
      </c>
    </row>
    <row r="26" spans="1:10">
      <c r="A26" s="10"/>
      <c r="B26" s="13" t="s">
        <v>243</v>
      </c>
      <c r="C26" s="10">
        <v>3</v>
      </c>
      <c r="D26" s="10" t="s">
        <v>258</v>
      </c>
      <c r="E26" s="10">
        <v>54.2</v>
      </c>
      <c r="F26" s="7">
        <f t="shared" si="0"/>
        <v>0.54200000000000004</v>
      </c>
      <c r="G26" s="7">
        <f t="shared" si="1"/>
        <v>0.23075162200000002</v>
      </c>
      <c r="H26" s="7">
        <f t="shared" si="2"/>
        <v>5.4107351513588295E-2</v>
      </c>
      <c r="I26" s="7">
        <f t="shared" si="3"/>
        <v>0.59171597633136097</v>
      </c>
      <c r="J26" s="7">
        <f t="shared" si="4"/>
        <v>2.7053675756794147E-2</v>
      </c>
    </row>
    <row r="27" spans="1:10">
      <c r="A27" s="10"/>
      <c r="B27" s="13" t="s">
        <v>195</v>
      </c>
      <c r="C27" s="10">
        <v>1</v>
      </c>
      <c r="D27" s="10" t="s">
        <v>258</v>
      </c>
      <c r="E27" s="10">
        <v>13</v>
      </c>
      <c r="F27" s="7">
        <f t="shared" si="0"/>
        <v>0.13</v>
      </c>
      <c r="G27" s="7">
        <f t="shared" si="1"/>
        <v>1.3274950000000001E-2</v>
      </c>
      <c r="H27" s="7">
        <f t="shared" si="2"/>
        <v>3.1127511900016416E-3</v>
      </c>
      <c r="I27" s="7">
        <f t="shared" si="3"/>
        <v>0.19723865877712032</v>
      </c>
      <c r="J27" s="7">
        <f t="shared" si="4"/>
        <v>1.5563755950008208E-3</v>
      </c>
    </row>
    <row r="28" spans="1:10">
      <c r="A28" s="10"/>
      <c r="B28" s="13" t="s">
        <v>73</v>
      </c>
      <c r="C28" s="10">
        <v>7</v>
      </c>
      <c r="D28" s="10" t="s">
        <v>258</v>
      </c>
      <c r="E28" s="10">
        <v>100.5</v>
      </c>
      <c r="F28" s="7">
        <f t="shared" si="0"/>
        <v>1.0049999999999999</v>
      </c>
      <c r="G28" s="7">
        <f t="shared" si="1"/>
        <v>0.79337463749999981</v>
      </c>
      <c r="H28" s="7">
        <f t="shared" si="2"/>
        <v>0.18603293021783471</v>
      </c>
      <c r="I28" s="7">
        <f t="shared" si="3"/>
        <v>1.3806706114398422</v>
      </c>
      <c r="J28" s="7">
        <f t="shared" si="4"/>
        <v>9.3016465108917354E-2</v>
      </c>
    </row>
    <row r="29" spans="1:10">
      <c r="A29" s="10"/>
      <c r="B29" s="13" t="s">
        <v>259</v>
      </c>
      <c r="C29" s="10">
        <v>1</v>
      </c>
      <c r="D29" s="10" t="s">
        <v>182</v>
      </c>
      <c r="E29" s="10">
        <v>13.6</v>
      </c>
      <c r="F29" s="7">
        <f t="shared" si="0"/>
        <v>0.13600000000000001</v>
      </c>
      <c r="G29" s="7">
        <f t="shared" si="1"/>
        <v>1.4528608000000002E-2</v>
      </c>
      <c r="H29" s="7">
        <f t="shared" si="2"/>
        <v>3.4067127816728025E-3</v>
      </c>
      <c r="I29" s="7">
        <f t="shared" si="3"/>
        <v>0.19723865877712032</v>
      </c>
      <c r="J29" s="7">
        <f t="shared" si="4"/>
        <v>1.7033563908364013E-3</v>
      </c>
    </row>
    <row r="30" spans="1:10">
      <c r="A30" s="10"/>
      <c r="B30" s="13" t="s">
        <v>208</v>
      </c>
      <c r="C30" s="10">
        <v>1</v>
      </c>
      <c r="D30" s="10" t="s">
        <v>182</v>
      </c>
      <c r="E30" s="10">
        <v>15.5</v>
      </c>
      <c r="F30" s="7">
        <f t="shared" si="0"/>
        <v>0.155</v>
      </c>
      <c r="G30" s="7">
        <f t="shared" si="1"/>
        <v>1.88716375E-2</v>
      </c>
      <c r="H30" s="7">
        <f t="shared" si="2"/>
        <v>4.4250797242478953E-3</v>
      </c>
      <c r="I30" s="7">
        <f t="shared" si="3"/>
        <v>0.19723865877712032</v>
      </c>
      <c r="J30" s="7">
        <f t="shared" si="4"/>
        <v>2.2125398621239477E-3</v>
      </c>
    </row>
    <row r="31" spans="1:10">
      <c r="A31" s="10"/>
      <c r="B31" s="13" t="s">
        <v>232</v>
      </c>
      <c r="C31" s="10">
        <v>1</v>
      </c>
      <c r="D31" s="10" t="s">
        <v>182</v>
      </c>
      <c r="E31" s="10">
        <v>10</v>
      </c>
      <c r="F31" s="7">
        <f t="shared" si="0"/>
        <v>0.1</v>
      </c>
      <c r="G31" s="7">
        <f t="shared" si="1"/>
        <v>7.8550000000000009E-3</v>
      </c>
      <c r="H31" s="7">
        <f t="shared" si="2"/>
        <v>1.841864609468427E-3</v>
      </c>
      <c r="I31" s="7">
        <f t="shared" si="3"/>
        <v>0.19723865877712032</v>
      </c>
      <c r="J31" s="7">
        <f t="shared" si="4"/>
        <v>9.2093230473421351E-4</v>
      </c>
    </row>
    <row r="32" spans="1:10">
      <c r="A32" s="10" t="s">
        <v>225</v>
      </c>
      <c r="B32" s="13" t="s">
        <v>224</v>
      </c>
      <c r="C32" s="10">
        <v>1</v>
      </c>
      <c r="D32" s="10" t="s">
        <v>182</v>
      </c>
      <c r="E32" s="10">
        <v>10</v>
      </c>
      <c r="F32" s="7">
        <f t="shared" si="0"/>
        <v>0.1</v>
      </c>
      <c r="G32" s="7">
        <f t="shared" si="1"/>
        <v>7.8550000000000009E-3</v>
      </c>
      <c r="H32" s="7">
        <f t="shared" si="2"/>
        <v>1.841864609468427E-3</v>
      </c>
      <c r="I32" s="7">
        <f t="shared" si="3"/>
        <v>0.19723865877712032</v>
      </c>
      <c r="J32" s="7">
        <f t="shared" si="4"/>
        <v>9.2093230473421351E-4</v>
      </c>
    </row>
    <row r="33" spans="1:10">
      <c r="A33" s="10" t="s">
        <v>114</v>
      </c>
      <c r="B33" s="13" t="s">
        <v>113</v>
      </c>
      <c r="C33" s="10">
        <v>1</v>
      </c>
      <c r="D33" s="10" t="s">
        <v>182</v>
      </c>
      <c r="E33" s="10">
        <v>18.399999999999999</v>
      </c>
      <c r="F33" s="7">
        <f t="shared" si="0"/>
        <v>0.184</v>
      </c>
      <c r="G33" s="7">
        <f t="shared" si="1"/>
        <v>2.6593887999999996E-2</v>
      </c>
      <c r="H33" s="7">
        <f t="shared" si="2"/>
        <v>6.235816821816305E-3</v>
      </c>
      <c r="I33" s="7">
        <f t="shared" si="3"/>
        <v>0.19723865877712032</v>
      </c>
      <c r="J33" s="7">
        <f t="shared" si="4"/>
        <v>3.1179084109081525E-3</v>
      </c>
    </row>
    <row r="34" spans="1:10">
      <c r="A34" s="14" t="s">
        <v>159</v>
      </c>
      <c r="B34" s="13" t="s">
        <v>194</v>
      </c>
      <c r="C34" s="14">
        <v>12</v>
      </c>
      <c r="D34" s="10" t="s">
        <v>258</v>
      </c>
      <c r="E34" s="10">
        <v>453.5</v>
      </c>
      <c r="F34" s="7">
        <f t="shared" si="0"/>
        <v>4.5350000000000001</v>
      </c>
      <c r="G34" s="7">
        <f t="shared" si="1"/>
        <v>16.154769737500001</v>
      </c>
      <c r="H34" s="7">
        <f t="shared" si="2"/>
        <v>3.78802019778648</v>
      </c>
      <c r="I34" s="7">
        <f t="shared" si="3"/>
        <v>2.3668639053254439</v>
      </c>
      <c r="J34" s="7">
        <f t="shared" si="4"/>
        <v>1.89401009889324</v>
      </c>
    </row>
    <row r="35" spans="1:10">
      <c r="A35" s="10" t="s">
        <v>19</v>
      </c>
      <c r="B35" s="13" t="s">
        <v>215</v>
      </c>
      <c r="C35" s="10">
        <v>3</v>
      </c>
      <c r="D35" s="10" t="s">
        <v>258</v>
      </c>
      <c r="E35" s="10">
        <v>199.7</v>
      </c>
      <c r="F35" s="7">
        <f t="shared" si="0"/>
        <v>1.9969999999999999</v>
      </c>
      <c r="G35" s="7">
        <f t="shared" si="1"/>
        <v>3.1325810694999996</v>
      </c>
      <c r="H35" s="7">
        <f t="shared" si="2"/>
        <v>0.73453726393415708</v>
      </c>
      <c r="I35" s="7">
        <f t="shared" si="3"/>
        <v>0.59171597633136097</v>
      </c>
      <c r="J35" s="7">
        <f t="shared" si="4"/>
        <v>0.36726863196707854</v>
      </c>
    </row>
    <row r="36" spans="1:10">
      <c r="A36" s="10" t="s">
        <v>41</v>
      </c>
      <c r="B36" s="13" t="s">
        <v>230</v>
      </c>
      <c r="C36" s="10">
        <v>1</v>
      </c>
      <c r="D36" s="10" t="s">
        <v>181</v>
      </c>
      <c r="E36" s="10">
        <v>20.8</v>
      </c>
      <c r="F36" s="7">
        <f t="shared" si="0"/>
        <v>0.20800000000000002</v>
      </c>
      <c r="G36" s="7">
        <f t="shared" si="1"/>
        <v>3.3983872000000005E-2</v>
      </c>
      <c r="H36" s="7">
        <f t="shared" si="2"/>
        <v>7.9686430464042026E-3</v>
      </c>
      <c r="I36" s="7">
        <f t="shared" si="3"/>
        <v>0.19723865877712032</v>
      </c>
      <c r="J36" s="7">
        <f t="shared" si="4"/>
        <v>3.9843215232021013E-3</v>
      </c>
    </row>
    <row r="37" spans="1:10">
      <c r="A37" s="10"/>
      <c r="B37" s="13" t="s">
        <v>237</v>
      </c>
      <c r="C37" s="10">
        <v>1</v>
      </c>
      <c r="D37" s="10" t="s">
        <v>179</v>
      </c>
      <c r="E37" s="10">
        <v>14.1</v>
      </c>
      <c r="F37" s="7">
        <f t="shared" si="0"/>
        <v>0.14099999999999999</v>
      </c>
      <c r="G37" s="7">
        <f t="shared" si="1"/>
        <v>1.5616525499999997E-2</v>
      </c>
      <c r="H37" s="7">
        <f t="shared" si="2"/>
        <v>3.6618110300841783E-3</v>
      </c>
      <c r="I37" s="7">
        <f t="shared" si="3"/>
        <v>0.19723865877712032</v>
      </c>
      <c r="J37" s="7">
        <f t="shared" si="4"/>
        <v>1.8309055150420891E-3</v>
      </c>
    </row>
    <row r="38" spans="1:10">
      <c r="A38" s="10"/>
      <c r="B38" s="13" t="s">
        <v>205</v>
      </c>
      <c r="C38" s="10">
        <v>4</v>
      </c>
      <c r="D38" s="10" t="s">
        <v>182</v>
      </c>
      <c r="E38" s="10">
        <v>60.7</v>
      </c>
      <c r="F38" s="7">
        <f t="shared" si="0"/>
        <v>0.60699999999999998</v>
      </c>
      <c r="G38" s="7">
        <f t="shared" si="1"/>
        <v>0.28941668949999999</v>
      </c>
      <c r="H38" s="7">
        <f t="shared" si="2"/>
        <v>6.7863317349403235E-2</v>
      </c>
      <c r="I38" s="7">
        <f t="shared" si="3"/>
        <v>0.78895463510848129</v>
      </c>
      <c r="J38" s="7">
        <f t="shared" si="4"/>
        <v>3.3931658674701617E-2</v>
      </c>
    </row>
    <row r="39" spans="1:10">
      <c r="A39" s="10"/>
      <c r="B39" s="13" t="s">
        <v>240</v>
      </c>
      <c r="C39" s="10">
        <v>5</v>
      </c>
      <c r="D39" s="10" t="s">
        <v>258</v>
      </c>
      <c r="E39" s="10">
        <v>79.900000000000006</v>
      </c>
      <c r="F39" s="7">
        <f t="shared" si="0"/>
        <v>0.79900000000000004</v>
      </c>
      <c r="G39" s="7">
        <f t="shared" si="1"/>
        <v>0.50146398550000004</v>
      </c>
      <c r="H39" s="7">
        <f t="shared" si="2"/>
        <v>0.11758482085492532</v>
      </c>
      <c r="I39" s="7">
        <f t="shared" si="3"/>
        <v>0.98619329388560162</v>
      </c>
      <c r="J39" s="7">
        <f t="shared" si="4"/>
        <v>5.8792410427462659E-2</v>
      </c>
    </row>
    <row r="40" spans="1:10">
      <c r="A40" s="10"/>
      <c r="B40" s="13" t="s">
        <v>250</v>
      </c>
      <c r="C40" s="10">
        <v>7</v>
      </c>
      <c r="D40" s="10" t="s">
        <v>182</v>
      </c>
      <c r="E40" s="10">
        <v>123.5</v>
      </c>
      <c r="F40" s="7">
        <f t="shared" si="0"/>
        <v>1.2350000000000001</v>
      </c>
      <c r="G40" s="7">
        <f t="shared" si="1"/>
        <v>1.1980642375000001</v>
      </c>
      <c r="H40" s="7">
        <f t="shared" si="2"/>
        <v>0.28092579489764813</v>
      </c>
      <c r="I40" s="7">
        <f t="shared" si="3"/>
        <v>1.3806706114398422</v>
      </c>
      <c r="J40" s="7">
        <f t="shared" si="4"/>
        <v>0.14046289744882406</v>
      </c>
    </row>
    <row r="41" spans="1:10">
      <c r="A41" s="10" t="s">
        <v>15</v>
      </c>
      <c r="B41" s="13" t="s">
        <v>242</v>
      </c>
      <c r="C41" s="10">
        <v>7</v>
      </c>
      <c r="D41" s="10" t="s">
        <v>258</v>
      </c>
      <c r="E41" s="10">
        <v>160.5</v>
      </c>
      <c r="F41" s="7">
        <f t="shared" si="0"/>
        <v>1.605</v>
      </c>
      <c r="G41" s="7">
        <f t="shared" si="1"/>
        <v>2.0234676375</v>
      </c>
      <c r="H41" s="7">
        <f t="shared" si="2"/>
        <v>0.47446892806059038</v>
      </c>
      <c r="I41" s="7">
        <f t="shared" si="3"/>
        <v>1.3806706114398422</v>
      </c>
      <c r="J41" s="7">
        <f t="shared" si="4"/>
        <v>0.23723446403029519</v>
      </c>
    </row>
    <row r="42" spans="1:10">
      <c r="A42" s="10"/>
      <c r="B42" s="13" t="s">
        <v>83</v>
      </c>
      <c r="C42" s="10">
        <v>19</v>
      </c>
      <c r="D42" s="10" t="s">
        <v>258</v>
      </c>
      <c r="E42" s="10">
        <v>445.7</v>
      </c>
      <c r="F42" s="7">
        <f t="shared" si="0"/>
        <v>4.4569999999999999</v>
      </c>
      <c r="G42" s="7">
        <f t="shared" si="1"/>
        <v>15.603838889499999</v>
      </c>
      <c r="H42" s="7">
        <f t="shared" si="2"/>
        <v>3.6588362345534269</v>
      </c>
      <c r="I42" s="7">
        <f t="shared" si="3"/>
        <v>3.7475345167652856</v>
      </c>
      <c r="J42" s="7">
        <f t="shared" si="4"/>
        <v>1.8294181172767134</v>
      </c>
    </row>
    <row r="43" spans="1:10">
      <c r="A43" s="10"/>
      <c r="B43" s="13" t="s">
        <v>26</v>
      </c>
      <c r="C43" s="10">
        <v>3</v>
      </c>
      <c r="D43" s="10" t="s">
        <v>181</v>
      </c>
      <c r="E43" s="10">
        <v>30.9</v>
      </c>
      <c r="F43" s="7">
        <f t="shared" si="0"/>
        <v>0.309</v>
      </c>
      <c r="G43" s="7">
        <f t="shared" si="1"/>
        <v>7.5000325499999992E-2</v>
      </c>
      <c r="H43" s="7">
        <f t="shared" si="2"/>
        <v>1.7586307477665486E-2</v>
      </c>
      <c r="I43" s="7">
        <f t="shared" si="3"/>
        <v>0.59171597633136097</v>
      </c>
      <c r="J43" s="7">
        <f t="shared" si="4"/>
        <v>8.793153738832743E-3</v>
      </c>
    </row>
    <row r="44" spans="1:10">
      <c r="A44" s="10"/>
      <c r="B44" s="13" t="s">
        <v>29</v>
      </c>
      <c r="C44" s="10">
        <v>6</v>
      </c>
      <c r="D44" s="10" t="s">
        <v>182</v>
      </c>
      <c r="E44" s="10">
        <v>169.3</v>
      </c>
      <c r="F44" s="7">
        <f t="shared" si="0"/>
        <v>1.6930000000000001</v>
      </c>
      <c r="G44" s="7">
        <f t="shared" si="1"/>
        <v>2.2514385895000002</v>
      </c>
      <c r="H44" s="7">
        <f t="shared" si="2"/>
        <v>0.52792425950242694</v>
      </c>
      <c r="I44" s="7">
        <f t="shared" si="3"/>
        <v>1.1834319526627219</v>
      </c>
      <c r="J44" s="7">
        <f t="shared" si="4"/>
        <v>0.26396212975121347</v>
      </c>
    </row>
    <row r="45" spans="1:10">
      <c r="A45" s="10" t="s">
        <v>123</v>
      </c>
      <c r="B45" s="13" t="s">
        <v>262</v>
      </c>
      <c r="C45" s="10">
        <v>12</v>
      </c>
      <c r="D45" s="10" t="s">
        <v>258</v>
      </c>
      <c r="E45" s="10">
        <v>129.5</v>
      </c>
      <c r="F45" s="7">
        <f t="shared" si="0"/>
        <v>1.2949999999999999</v>
      </c>
      <c r="G45" s="7">
        <f t="shared" si="1"/>
        <v>1.3173031374999997</v>
      </c>
      <c r="H45" s="7">
        <f t="shared" si="2"/>
        <v>0.30888529966937878</v>
      </c>
      <c r="I45" s="7">
        <f t="shared" si="3"/>
        <v>2.3668639053254439</v>
      </c>
      <c r="J45" s="7">
        <f t="shared" si="4"/>
        <v>0.15444264983468939</v>
      </c>
    </row>
    <row r="46" spans="1:10">
      <c r="A46" s="10"/>
      <c r="B46" s="13" t="s">
        <v>153</v>
      </c>
      <c r="C46" s="10">
        <v>1</v>
      </c>
      <c r="D46" s="10" t="s">
        <v>258</v>
      </c>
      <c r="E46" s="10">
        <v>10.4</v>
      </c>
      <c r="F46" s="7">
        <f t="shared" si="0"/>
        <v>0.10400000000000001</v>
      </c>
      <c r="G46" s="7">
        <f t="shared" si="1"/>
        <v>8.4959680000000013E-3</v>
      </c>
      <c r="H46" s="7">
        <f t="shared" si="2"/>
        <v>1.9921607616010507E-3</v>
      </c>
      <c r="I46" s="7">
        <f t="shared" si="3"/>
        <v>0.19723865877712032</v>
      </c>
      <c r="J46" s="7">
        <f t="shared" si="4"/>
        <v>9.9608038080052533E-4</v>
      </c>
    </row>
    <row r="47" spans="1:10">
      <c r="A47" s="10" t="s">
        <v>143</v>
      </c>
      <c r="B47" s="13" t="s">
        <v>247</v>
      </c>
      <c r="C47" s="10">
        <v>2</v>
      </c>
      <c r="D47" s="10" t="s">
        <v>258</v>
      </c>
      <c r="E47" s="10">
        <v>26.8</v>
      </c>
      <c r="F47" s="7">
        <f t="shared" si="0"/>
        <v>0.26800000000000002</v>
      </c>
      <c r="G47" s="7">
        <f t="shared" si="1"/>
        <v>5.6417752000000009E-2</v>
      </c>
      <c r="H47" s="7">
        <f t="shared" si="2"/>
        <v>1.3229008371046029E-2</v>
      </c>
      <c r="I47" s="7">
        <f t="shared" si="3"/>
        <v>0.39447731755424065</v>
      </c>
      <c r="J47" s="7">
        <f t="shared" si="4"/>
        <v>6.6145041855230147E-3</v>
      </c>
    </row>
    <row r="48" spans="1:10">
      <c r="A48" s="10" t="s">
        <v>263</v>
      </c>
      <c r="B48" s="13" t="s">
        <v>197</v>
      </c>
      <c r="C48" s="10">
        <v>2</v>
      </c>
      <c r="D48" s="10" t="s">
        <v>258</v>
      </c>
      <c r="E48" s="10">
        <v>33.6</v>
      </c>
      <c r="F48" s="7">
        <f t="shared" si="0"/>
        <v>0.33600000000000002</v>
      </c>
      <c r="G48" s="7">
        <f t="shared" si="1"/>
        <v>8.8679807999999999E-2</v>
      </c>
      <c r="H48" s="7">
        <f t="shared" si="2"/>
        <v>2.079391469505475E-2</v>
      </c>
      <c r="I48" s="7">
        <f t="shared" si="3"/>
        <v>0.39447731755424065</v>
      </c>
      <c r="J48" s="7">
        <f t="shared" si="4"/>
        <v>1.0396957347527375E-2</v>
      </c>
    </row>
    <row r="49" spans="1:10">
      <c r="A49" s="10" t="s">
        <v>93</v>
      </c>
      <c r="B49" s="13" t="s">
        <v>234</v>
      </c>
      <c r="C49" s="10">
        <v>1</v>
      </c>
      <c r="D49" s="10" t="s">
        <v>258</v>
      </c>
      <c r="E49" s="10">
        <v>21.3</v>
      </c>
      <c r="F49" s="7">
        <f t="shared" si="0"/>
        <v>0.21299999999999999</v>
      </c>
      <c r="G49" s="7">
        <f t="shared" si="1"/>
        <v>3.5637349499999998E-2</v>
      </c>
      <c r="H49" s="7">
        <f t="shared" si="2"/>
        <v>8.3563555466973048E-3</v>
      </c>
      <c r="I49" s="7">
        <f t="shared" si="3"/>
        <v>0.19723865877712032</v>
      </c>
      <c r="J49" s="7">
        <f t="shared" si="4"/>
        <v>4.1781777733486524E-3</v>
      </c>
    </row>
    <row r="50" spans="1:10">
      <c r="A50" s="10"/>
      <c r="B50" s="13" t="s">
        <v>248</v>
      </c>
      <c r="C50" s="10">
        <v>1</v>
      </c>
      <c r="D50" s="10" t="s">
        <v>182</v>
      </c>
      <c r="E50" s="10">
        <v>10.1</v>
      </c>
      <c r="F50" s="7">
        <f t="shared" si="0"/>
        <v>0.10099999999999999</v>
      </c>
      <c r="G50" s="7">
        <f t="shared" si="1"/>
        <v>8.0128854999999988E-3</v>
      </c>
      <c r="H50" s="7">
        <f t="shared" si="2"/>
        <v>1.8788860881187419E-3</v>
      </c>
      <c r="I50" s="7">
        <f t="shared" si="3"/>
        <v>0.19723865877712032</v>
      </c>
      <c r="J50" s="7">
        <f t="shared" si="4"/>
        <v>9.3944304405937094E-4</v>
      </c>
    </row>
    <row r="51" spans="1:10">
      <c r="A51" s="10" t="s">
        <v>140</v>
      </c>
      <c r="B51" s="13" t="s">
        <v>210</v>
      </c>
      <c r="C51" s="10">
        <v>1</v>
      </c>
      <c r="D51" s="10" t="s">
        <v>182</v>
      </c>
      <c r="E51" s="10">
        <v>15</v>
      </c>
      <c r="F51" s="7">
        <f t="shared" si="0"/>
        <v>0.15</v>
      </c>
      <c r="G51" s="7">
        <f t="shared" si="1"/>
        <v>1.7673749999999998E-2</v>
      </c>
      <c r="H51" s="7">
        <f t="shared" si="2"/>
        <v>4.1441953713039596E-3</v>
      </c>
      <c r="I51" s="7">
        <f t="shared" si="3"/>
        <v>0.19723865877712032</v>
      </c>
      <c r="J51" s="7">
        <f t="shared" si="4"/>
        <v>2.0720976856519798E-3</v>
      </c>
    </row>
    <row r="52" spans="1:10">
      <c r="A52" s="10" t="s">
        <v>24</v>
      </c>
      <c r="B52" s="13" t="s">
        <v>185</v>
      </c>
      <c r="C52" s="10">
        <v>3</v>
      </c>
      <c r="D52" s="10" t="s">
        <v>258</v>
      </c>
      <c r="E52" s="10">
        <v>87.8</v>
      </c>
      <c r="F52" s="7">
        <f t="shared" si="0"/>
        <v>0.878</v>
      </c>
      <c r="G52" s="7">
        <f t="shared" si="1"/>
        <v>0.60552938199999995</v>
      </c>
      <c r="H52" s="7">
        <f t="shared" si="2"/>
        <v>0.14198639576054586</v>
      </c>
      <c r="I52" s="7">
        <f t="shared" si="3"/>
        <v>0.59171597633136097</v>
      </c>
      <c r="J52" s="7">
        <f t="shared" si="4"/>
        <v>7.0993197880272932E-2</v>
      </c>
    </row>
    <row r="53" spans="1:10">
      <c r="A53" s="10"/>
      <c r="B53" s="13" t="s">
        <v>186</v>
      </c>
      <c r="C53" s="10">
        <v>2</v>
      </c>
      <c r="D53" s="10" t="s">
        <v>258</v>
      </c>
      <c r="E53" s="10">
        <v>25.3</v>
      </c>
      <c r="F53" s="7">
        <f t="shared" si="0"/>
        <v>0.253</v>
      </c>
      <c r="G53" s="7">
        <f t="shared" si="1"/>
        <v>5.0279069499999995E-2</v>
      </c>
      <c r="H53" s="7">
        <f t="shared" si="2"/>
        <v>1.1789591178746452E-2</v>
      </c>
      <c r="I53" s="7">
        <f t="shared" si="3"/>
        <v>0.39447731755424065</v>
      </c>
      <c r="J53" s="7">
        <f t="shared" si="4"/>
        <v>5.894795589373226E-3</v>
      </c>
    </row>
    <row r="54" spans="1:10">
      <c r="A54" s="10"/>
      <c r="B54" s="15" t="s">
        <v>228</v>
      </c>
      <c r="C54" s="10">
        <v>1</v>
      </c>
      <c r="D54" s="10" t="s">
        <v>258</v>
      </c>
      <c r="E54" s="10">
        <v>10</v>
      </c>
      <c r="F54" s="7">
        <f t="shared" si="0"/>
        <v>0.1</v>
      </c>
      <c r="G54" s="7">
        <f t="shared" si="1"/>
        <v>7.8550000000000009E-3</v>
      </c>
      <c r="H54" s="7">
        <f t="shared" si="2"/>
        <v>1.841864609468427E-3</v>
      </c>
      <c r="I54" s="7">
        <f t="shared" si="3"/>
        <v>0.19723865877712032</v>
      </c>
      <c r="J54" s="7">
        <f t="shared" si="4"/>
        <v>9.2093230473421351E-4</v>
      </c>
    </row>
    <row r="55" spans="1:10">
      <c r="A55" s="10"/>
      <c r="B55" s="13" t="s">
        <v>168</v>
      </c>
      <c r="C55" s="10">
        <v>18</v>
      </c>
      <c r="D55" s="10" t="s">
        <v>258</v>
      </c>
      <c r="E55" s="10">
        <v>260.8</v>
      </c>
      <c r="F55" s="7">
        <f t="shared" si="0"/>
        <v>2.6080000000000001</v>
      </c>
      <c r="G55" s="7">
        <f t="shared" si="1"/>
        <v>5.3427070720000005</v>
      </c>
      <c r="H55" s="7">
        <f t="shared" si="2"/>
        <v>1.2527744207095459</v>
      </c>
      <c r="I55" s="7">
        <f t="shared" si="3"/>
        <v>3.5502958579881656</v>
      </c>
      <c r="J55" s="7">
        <f t="shared" si="4"/>
        <v>0.62638721035477296</v>
      </c>
    </row>
    <row r="56" spans="1:10">
      <c r="A56" s="10" t="s">
        <v>17</v>
      </c>
      <c r="B56" s="13" t="s">
        <v>213</v>
      </c>
      <c r="C56" s="10">
        <v>2</v>
      </c>
      <c r="D56" s="10" t="s">
        <v>181</v>
      </c>
      <c r="E56" s="10">
        <v>67.8</v>
      </c>
      <c r="F56" s="7">
        <f t="shared" si="0"/>
        <v>0.67799999999999994</v>
      </c>
      <c r="G56" s="7">
        <f t="shared" si="1"/>
        <v>0.36108178199999991</v>
      </c>
      <c r="H56" s="7">
        <f t="shared" si="2"/>
        <v>8.4667569113888411E-2</v>
      </c>
      <c r="I56" s="7">
        <f t="shared" si="3"/>
        <v>0.39447731755424065</v>
      </c>
      <c r="J56" s="7">
        <f t="shared" si="4"/>
        <v>4.2333784556944205E-2</v>
      </c>
    </row>
    <row r="57" spans="1:10">
      <c r="A57" s="10"/>
      <c r="B57" s="13" t="s">
        <v>60</v>
      </c>
      <c r="C57" s="10">
        <v>3</v>
      </c>
      <c r="D57" s="10" t="s">
        <v>258</v>
      </c>
      <c r="E57" s="10">
        <v>38.799999999999997</v>
      </c>
      <c r="F57" s="7">
        <f t="shared" si="0"/>
        <v>0.38799999999999996</v>
      </c>
      <c r="G57" s="7">
        <f t="shared" si="1"/>
        <v>0.11825231199999996</v>
      </c>
      <c r="H57" s="7">
        <f t="shared" si="2"/>
        <v>2.7728166576781472E-2</v>
      </c>
      <c r="I57" s="7">
        <f t="shared" si="3"/>
        <v>0.59171597633136097</v>
      </c>
      <c r="J57" s="7">
        <f t="shared" si="4"/>
        <v>1.3864083288390736E-2</v>
      </c>
    </row>
    <row r="58" spans="1:10">
      <c r="A58" s="10" t="s">
        <v>31</v>
      </c>
      <c r="B58" s="13" t="s">
        <v>82</v>
      </c>
      <c r="C58" s="10">
        <v>3</v>
      </c>
      <c r="D58" s="10" t="s">
        <v>258</v>
      </c>
      <c r="E58" s="10">
        <v>55.2</v>
      </c>
      <c r="F58" s="7">
        <f t="shared" si="0"/>
        <v>0.55200000000000005</v>
      </c>
      <c r="G58" s="7">
        <f t="shared" si="1"/>
        <v>0.23934499200000001</v>
      </c>
      <c r="H58" s="7">
        <f t="shared" si="2"/>
        <v>5.6122351396346748E-2</v>
      </c>
      <c r="I58" s="7">
        <f t="shared" si="3"/>
        <v>0.59171597633136097</v>
      </c>
      <c r="J58" s="7">
        <f t="shared" si="4"/>
        <v>2.8061175698173374E-2</v>
      </c>
    </row>
    <row r="59" spans="1:10">
      <c r="A59" s="10"/>
      <c r="B59" s="13" t="s">
        <v>37</v>
      </c>
      <c r="C59" s="10">
        <v>59</v>
      </c>
      <c r="D59" s="10" t="s">
        <v>258</v>
      </c>
      <c r="E59" s="10">
        <v>996.8</v>
      </c>
      <c r="F59" s="7">
        <f t="shared" si="0"/>
        <v>9.968</v>
      </c>
      <c r="G59" s="7">
        <f t="shared" si="1"/>
        <v>78.048084352000004</v>
      </c>
      <c r="H59" s="7">
        <f t="shared" si="2"/>
        <v>18.3009553666143</v>
      </c>
      <c r="I59" s="7">
        <f t="shared" si="3"/>
        <v>11.637080867850099</v>
      </c>
      <c r="J59" s="7">
        <f t="shared" si="4"/>
        <v>9.1504776833071499</v>
      </c>
    </row>
    <row r="60" spans="1:10">
      <c r="A60" s="10"/>
      <c r="B60" s="13" t="s">
        <v>187</v>
      </c>
      <c r="C60" s="10">
        <v>37</v>
      </c>
      <c r="D60" s="10" t="s">
        <v>182</v>
      </c>
      <c r="E60" s="10">
        <v>512.4</v>
      </c>
      <c r="F60" s="7">
        <f t="shared" si="0"/>
        <v>5.1239999999999997</v>
      </c>
      <c r="G60" s="7">
        <f t="shared" si="1"/>
        <v>20.623597847999999</v>
      </c>
      <c r="H60" s="7">
        <f t="shared" si="2"/>
        <v>4.8358847862686707</v>
      </c>
      <c r="I60" s="7">
        <f t="shared" si="3"/>
        <v>7.2978303747534516</v>
      </c>
      <c r="J60" s="7">
        <f t="shared" si="4"/>
        <v>2.4179423931343353</v>
      </c>
    </row>
    <row r="61" spans="1:10">
      <c r="A61" s="10"/>
      <c r="B61" s="13" t="s">
        <v>217</v>
      </c>
      <c r="C61" s="10">
        <v>3</v>
      </c>
      <c r="D61" s="10" t="s">
        <v>260</v>
      </c>
      <c r="E61" s="10">
        <v>76.5</v>
      </c>
      <c r="F61" s="7">
        <f t="shared" si="0"/>
        <v>0.76500000000000001</v>
      </c>
      <c r="G61" s="7">
        <f t="shared" si="1"/>
        <v>0.45969423749999999</v>
      </c>
      <c r="H61" s="7">
        <f t="shared" si="2"/>
        <v>0.10779052160761601</v>
      </c>
      <c r="I61" s="7">
        <f t="shared" si="3"/>
        <v>0.59171597633136097</v>
      </c>
      <c r="J61" s="7">
        <f t="shared" si="4"/>
        <v>5.3895260803808007E-2</v>
      </c>
    </row>
    <row r="62" spans="1:10">
      <c r="A62" s="10"/>
      <c r="B62" s="13" t="s">
        <v>261</v>
      </c>
      <c r="C62" s="10">
        <v>1</v>
      </c>
      <c r="D62" s="10" t="s">
        <v>179</v>
      </c>
      <c r="E62" s="10">
        <v>10</v>
      </c>
      <c r="F62" s="7">
        <f t="shared" si="0"/>
        <v>0.1</v>
      </c>
      <c r="G62" s="7">
        <f t="shared" si="1"/>
        <v>7.8550000000000009E-3</v>
      </c>
      <c r="H62" s="7">
        <f t="shared" si="2"/>
        <v>1.841864609468427E-3</v>
      </c>
      <c r="I62" s="7">
        <f t="shared" si="3"/>
        <v>0.19723865877712032</v>
      </c>
      <c r="J62" s="7">
        <f t="shared" si="4"/>
        <v>9.2093230473421351E-4</v>
      </c>
    </row>
    <row r="63" spans="1:10">
      <c r="A63" s="10"/>
      <c r="B63" s="13" t="s">
        <v>198</v>
      </c>
      <c r="C63" s="10">
        <v>44</v>
      </c>
      <c r="D63" s="10" t="s">
        <v>179</v>
      </c>
      <c r="E63" s="10">
        <v>811.1</v>
      </c>
      <c r="F63" s="7">
        <f t="shared" si="0"/>
        <v>8.1110000000000007</v>
      </c>
      <c r="G63" s="7">
        <f t="shared" si="1"/>
        <v>51.676726145500005</v>
      </c>
      <c r="H63" s="7">
        <f t="shared" si="2"/>
        <v>12.11731801662485</v>
      </c>
      <c r="I63" s="7">
        <f t="shared" si="3"/>
        <v>8.6785009861932938</v>
      </c>
      <c r="J63" s="7">
        <f t="shared" si="4"/>
        <v>6.058659008312425</v>
      </c>
    </row>
    <row r="64" spans="1:10">
      <c r="A64" s="10"/>
      <c r="B64" s="13" t="s">
        <v>120</v>
      </c>
      <c r="C64" s="10">
        <v>1</v>
      </c>
      <c r="D64" s="10" t="s">
        <v>179</v>
      </c>
      <c r="E64" s="10">
        <v>50.8</v>
      </c>
      <c r="F64" s="7">
        <f t="shared" si="0"/>
        <v>0.50800000000000001</v>
      </c>
      <c r="G64" s="7">
        <f t="shared" si="1"/>
        <v>0.202709272</v>
      </c>
      <c r="H64" s="7">
        <f t="shared" si="2"/>
        <v>4.7531894857786007E-2</v>
      </c>
      <c r="I64" s="7">
        <f t="shared" si="3"/>
        <v>0.19723865877712032</v>
      </c>
      <c r="J64" s="7">
        <f t="shared" si="4"/>
        <v>2.3765947428893004E-2</v>
      </c>
    </row>
    <row r="65" spans="1:10">
      <c r="A65" s="10"/>
      <c r="B65" s="13" t="s">
        <v>121</v>
      </c>
      <c r="C65" s="10">
        <v>5</v>
      </c>
      <c r="D65" s="10" t="s">
        <v>258</v>
      </c>
      <c r="E65" s="10">
        <v>135</v>
      </c>
      <c r="F65" s="7">
        <f t="shared" si="0"/>
        <v>1.35</v>
      </c>
      <c r="G65" s="7">
        <f t="shared" si="1"/>
        <v>1.4315737500000001</v>
      </c>
      <c r="H65" s="7">
        <f t="shared" si="2"/>
        <v>0.33567982507562083</v>
      </c>
      <c r="I65" s="7">
        <f t="shared" si="3"/>
        <v>0.98619329388560162</v>
      </c>
      <c r="J65" s="7">
        <f t="shared" si="4"/>
        <v>0.16783991253781042</v>
      </c>
    </row>
    <row r="66" spans="1:10">
      <c r="A66" s="10"/>
      <c r="B66" s="13" t="s">
        <v>249</v>
      </c>
      <c r="C66" s="10">
        <v>8</v>
      </c>
      <c r="D66" s="10" t="s">
        <v>182</v>
      </c>
      <c r="E66" s="10">
        <v>118.6</v>
      </c>
      <c r="F66" s="7">
        <f t="shared" ref="F66:F71" si="5">E66/100</f>
        <v>1.1859999999999999</v>
      </c>
      <c r="G66" s="7">
        <f t="shared" ref="G66:G71" si="6">((3.142*(F66)^2/4))</f>
        <v>1.104881158</v>
      </c>
      <c r="H66" s="7">
        <f t="shared" ref="H66:H71" si="7">(G66/426.47)*100</f>
        <v>0.25907593922198507</v>
      </c>
      <c r="I66" s="7">
        <f t="shared" ref="I66:I71" si="8">C66/507*100</f>
        <v>1.5779092702169626</v>
      </c>
      <c r="J66" s="7">
        <f t="shared" ref="J66:J71" si="9">H66/2</f>
        <v>0.12953796961099254</v>
      </c>
    </row>
    <row r="67" spans="1:10">
      <c r="A67" s="10"/>
      <c r="B67" s="13" t="s">
        <v>30</v>
      </c>
      <c r="C67" s="10">
        <v>11</v>
      </c>
      <c r="D67" s="10" t="s">
        <v>258</v>
      </c>
      <c r="E67" s="10">
        <v>669.8</v>
      </c>
      <c r="F67" s="7">
        <f t="shared" si="5"/>
        <v>6.6979999999999995</v>
      </c>
      <c r="G67" s="7">
        <f t="shared" si="6"/>
        <v>35.240046741999997</v>
      </c>
      <c r="H67" s="7">
        <f t="shared" si="7"/>
        <v>8.2631947714962344</v>
      </c>
      <c r="I67" s="7">
        <f t="shared" si="8"/>
        <v>2.1696252465483234</v>
      </c>
      <c r="J67" s="7">
        <f t="shared" si="9"/>
        <v>4.1315973857481172</v>
      </c>
    </row>
    <row r="68" spans="1:10">
      <c r="A68" s="10" t="s">
        <v>36</v>
      </c>
      <c r="B68" s="13" t="s">
        <v>100</v>
      </c>
      <c r="C68" s="10">
        <v>15</v>
      </c>
      <c r="D68" s="10" t="s">
        <v>258</v>
      </c>
      <c r="E68" s="10">
        <v>198.6</v>
      </c>
      <c r="F68" s="7">
        <f t="shared" si="5"/>
        <v>1.986</v>
      </c>
      <c r="G68" s="7">
        <f t="shared" si="6"/>
        <v>3.0981659579999996</v>
      </c>
      <c r="H68" s="7">
        <f t="shared" si="7"/>
        <v>0.72646750252069303</v>
      </c>
      <c r="I68" s="7">
        <f t="shared" si="8"/>
        <v>2.9585798816568047</v>
      </c>
      <c r="J68" s="7">
        <f t="shared" si="9"/>
        <v>0.36323375126034652</v>
      </c>
    </row>
    <row r="69" spans="1:10">
      <c r="A69" s="10"/>
      <c r="B69" s="13" t="s">
        <v>35</v>
      </c>
      <c r="C69" s="10">
        <v>37</v>
      </c>
      <c r="D69" s="10" t="s">
        <v>258</v>
      </c>
      <c r="E69" s="10">
        <v>598.4</v>
      </c>
      <c r="F69" s="7">
        <f t="shared" si="5"/>
        <v>5.984</v>
      </c>
      <c r="G69" s="7">
        <f t="shared" si="6"/>
        <v>28.127385088</v>
      </c>
      <c r="H69" s="7">
        <f t="shared" si="7"/>
        <v>6.5953959453185451</v>
      </c>
      <c r="I69" s="7">
        <f t="shared" si="8"/>
        <v>7.2978303747534516</v>
      </c>
      <c r="J69" s="7">
        <f t="shared" si="9"/>
        <v>3.2976979726592726</v>
      </c>
    </row>
    <row r="70" spans="1:10">
      <c r="A70" s="10"/>
      <c r="B70" s="13" t="s">
        <v>204</v>
      </c>
      <c r="C70" s="10">
        <v>1</v>
      </c>
      <c r="D70" s="10" t="s">
        <v>182</v>
      </c>
      <c r="E70" s="10">
        <v>10.199999999999999</v>
      </c>
      <c r="F70" s="7">
        <f t="shared" si="5"/>
        <v>0.10199999999999999</v>
      </c>
      <c r="G70" s="7">
        <f t="shared" si="6"/>
        <v>8.1723419999999991E-3</v>
      </c>
      <c r="H70" s="7">
        <f t="shared" si="7"/>
        <v>1.9162759396909508E-3</v>
      </c>
      <c r="I70" s="7">
        <f t="shared" si="8"/>
        <v>0.19723865877712032</v>
      </c>
      <c r="J70" s="7">
        <f t="shared" si="9"/>
        <v>9.5813796984547538E-4</v>
      </c>
    </row>
    <row r="71" spans="1:10">
      <c r="A71" s="10" t="s">
        <v>360</v>
      </c>
      <c r="B71" s="13" t="s">
        <v>223</v>
      </c>
      <c r="C71" s="10">
        <v>1</v>
      </c>
      <c r="D71" s="10" t="s">
        <v>360</v>
      </c>
      <c r="E71" s="10">
        <v>55.3</v>
      </c>
      <c r="F71" s="7">
        <f t="shared" si="5"/>
        <v>0.55299999999999994</v>
      </c>
      <c r="G71" s="7">
        <f t="shared" si="6"/>
        <v>0.24021296949999996</v>
      </c>
      <c r="H71" s="7">
        <f t="shared" si="7"/>
        <v>5.6325877435692999E-2</v>
      </c>
      <c r="I71" s="7">
        <f t="shared" si="8"/>
        <v>0.19723865877712032</v>
      </c>
      <c r="J71" s="7">
        <f t="shared" si="9"/>
        <v>2.8162938717846499E-2</v>
      </c>
    </row>
    <row r="72" spans="1:10">
      <c r="C72">
        <v>507</v>
      </c>
      <c r="G72">
        <v>426.47</v>
      </c>
    </row>
  </sheetData>
  <sortState ref="A2:J71">
    <sortCondition ref="A2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ColWidth="9.140625" defaultRowHeight="15"/>
  <cols>
    <col min="1" max="1" width="38.7109375" customWidth="1"/>
    <col min="2" max="2" width="10.85546875" customWidth="1"/>
    <col min="3" max="3" width="15.5703125" customWidth="1"/>
    <col min="4" max="4" width="23.85546875" customWidth="1"/>
    <col min="7" max="7" width="12.85546875"/>
  </cols>
  <sheetData>
    <row r="1" spans="1:4">
      <c r="B1" t="s">
        <v>361</v>
      </c>
      <c r="C1" t="s">
        <v>362</v>
      </c>
      <c r="D1" t="s">
        <v>363</v>
      </c>
    </row>
    <row r="2" spans="1:4">
      <c r="A2" t="s">
        <v>364</v>
      </c>
    </row>
    <row r="3" spans="1:4" ht="15.75">
      <c r="A3" s="9" t="s">
        <v>365</v>
      </c>
      <c r="B3">
        <v>40</v>
      </c>
      <c r="C3">
        <v>68</v>
      </c>
      <c r="D3">
        <v>60</v>
      </c>
    </row>
    <row r="4" spans="1:4">
      <c r="A4" t="s">
        <v>366</v>
      </c>
    </row>
    <row r="5" spans="1:4">
      <c r="A5" t="s">
        <v>367</v>
      </c>
      <c r="B5">
        <v>542.20000000000005</v>
      </c>
      <c r="C5">
        <v>1152.5</v>
      </c>
      <c r="D5">
        <v>1602.5</v>
      </c>
    </row>
    <row r="6" spans="1:4">
      <c r="A6" t="s">
        <v>368</v>
      </c>
      <c r="B6">
        <v>3.1</v>
      </c>
      <c r="C6">
        <v>3.51</v>
      </c>
      <c r="D6" s="10">
        <v>3.35</v>
      </c>
    </row>
    <row r="7" spans="1:4">
      <c r="A7" t="s">
        <v>369</v>
      </c>
      <c r="B7" s="7">
        <f>3.1/LN(260)</f>
        <v>0.55748561160367283</v>
      </c>
      <c r="C7" s="7">
        <f>3.51/LN(507)</f>
        <v>0.56353757711533836</v>
      </c>
      <c r="D7" s="11">
        <f>3.35/LN(457)</f>
        <v>0.54696704893849202</v>
      </c>
    </row>
    <row r="8" spans="1:4">
      <c r="A8" t="s">
        <v>370</v>
      </c>
      <c r="B8">
        <v>18</v>
      </c>
      <c r="C8">
        <v>26</v>
      </c>
      <c r="D8">
        <v>29</v>
      </c>
    </row>
    <row r="9" spans="1:4">
      <c r="A9" t="s">
        <v>371</v>
      </c>
      <c r="B9">
        <v>3.7</v>
      </c>
      <c r="C9">
        <v>4.22</v>
      </c>
      <c r="D9">
        <v>4.09</v>
      </c>
    </row>
    <row r="10" spans="1:4">
      <c r="A10" t="s">
        <v>372</v>
      </c>
      <c r="B10">
        <f>B9-B6</f>
        <v>0.60000000000000009</v>
      </c>
      <c r="C10">
        <f>C9-C6</f>
        <v>0.71</v>
      </c>
      <c r="D10">
        <f>D9-D6</f>
        <v>0.73999999999999977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2" sqref="I12"/>
    </sheetView>
  </sheetViews>
  <sheetFormatPr defaultColWidth="9.140625" defaultRowHeight="15"/>
  <cols>
    <col min="1" max="1" width="4.85546875" customWidth="1"/>
    <col min="2" max="2" width="5.7109375" customWidth="1"/>
    <col min="3" max="3" width="6.42578125" customWidth="1"/>
    <col min="4" max="4" width="5.85546875" customWidth="1"/>
    <col min="5" max="5" width="6.5703125" customWidth="1"/>
    <col min="7" max="7" width="5.5703125" customWidth="1"/>
    <col min="8" max="8" width="15.5703125" customWidth="1"/>
    <col min="9" max="9" width="15.42578125" customWidth="1"/>
    <col min="10" max="10" width="12.85546875" customWidth="1"/>
    <col min="11" max="11" width="14.140625" customWidth="1"/>
    <col min="12" max="12" width="12.28515625" customWidth="1"/>
    <col min="13" max="13" width="6" customWidth="1"/>
    <col min="14" max="14" width="14.28515625" customWidth="1"/>
  </cols>
  <sheetData>
    <row r="1" spans="1:14" s="1" customFormat="1">
      <c r="A1" s="1" t="s">
        <v>264</v>
      </c>
      <c r="B1" s="1" t="s">
        <v>373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  <c r="N1" s="1" t="s">
        <v>385</v>
      </c>
    </row>
    <row r="2" spans="1:14">
      <c r="A2">
        <v>1</v>
      </c>
      <c r="B2">
        <v>2.4</v>
      </c>
      <c r="C2">
        <v>4.5</v>
      </c>
      <c r="D2">
        <v>68.8</v>
      </c>
      <c r="E2">
        <v>76.08</v>
      </c>
      <c r="F2">
        <v>7.28</v>
      </c>
      <c r="G2">
        <v>4.5199999999999996</v>
      </c>
      <c r="H2">
        <v>2.5099999999999998</v>
      </c>
      <c r="I2">
        <v>42.3</v>
      </c>
      <c r="J2">
        <v>0.26</v>
      </c>
      <c r="K2">
        <v>0.18</v>
      </c>
      <c r="L2">
        <v>10.4</v>
      </c>
      <c r="M2">
        <v>7.78</v>
      </c>
      <c r="N2">
        <v>0.21</v>
      </c>
    </row>
    <row r="3" spans="1:14">
      <c r="A3">
        <v>2</v>
      </c>
      <c r="B3">
        <v>4.0999999999999996</v>
      </c>
      <c r="C3">
        <v>0.2</v>
      </c>
      <c r="D3">
        <v>70.8</v>
      </c>
      <c r="E3">
        <v>76.08</v>
      </c>
      <c r="F3">
        <v>5.28</v>
      </c>
      <c r="G3">
        <v>4.96</v>
      </c>
      <c r="H3">
        <v>2.31</v>
      </c>
      <c r="I3">
        <v>39.799999999999997</v>
      </c>
      <c r="J3">
        <v>0.24</v>
      </c>
      <c r="K3">
        <v>0.16</v>
      </c>
      <c r="L3">
        <v>9.32</v>
      </c>
      <c r="M3">
        <v>8.17</v>
      </c>
      <c r="N3">
        <v>0.14000000000000001</v>
      </c>
    </row>
    <row r="4" spans="1:14">
      <c r="A4">
        <v>3</v>
      </c>
      <c r="B4">
        <v>2.1</v>
      </c>
      <c r="C4">
        <v>9.9</v>
      </c>
      <c r="D4">
        <v>72.8</v>
      </c>
      <c r="E4">
        <v>76.08</v>
      </c>
      <c r="F4">
        <v>3.28</v>
      </c>
      <c r="G4">
        <v>5.01</v>
      </c>
      <c r="H4">
        <v>1.96</v>
      </c>
      <c r="I4">
        <v>33.799999999999997</v>
      </c>
      <c r="J4">
        <v>0.26</v>
      </c>
      <c r="K4">
        <v>0.16</v>
      </c>
      <c r="L4">
        <v>5.24</v>
      </c>
      <c r="M4">
        <v>5.83</v>
      </c>
      <c r="N4">
        <v>0.15</v>
      </c>
    </row>
    <row r="5" spans="1:14">
      <c r="A5">
        <v>4</v>
      </c>
      <c r="B5">
        <v>3.5</v>
      </c>
      <c r="C5">
        <v>3.8</v>
      </c>
      <c r="D5">
        <v>72.8</v>
      </c>
      <c r="E5">
        <v>78.08</v>
      </c>
      <c r="F5">
        <v>5.28</v>
      </c>
      <c r="G5">
        <v>5.47</v>
      </c>
      <c r="H5">
        <v>1.76</v>
      </c>
      <c r="I5">
        <v>30.3</v>
      </c>
      <c r="J5">
        <v>0.34</v>
      </c>
      <c r="K5">
        <v>0.24</v>
      </c>
      <c r="L5">
        <v>9.93</v>
      </c>
      <c r="M5">
        <v>9.33</v>
      </c>
      <c r="N5">
        <v>0.18</v>
      </c>
    </row>
    <row r="6" spans="1:14">
      <c r="A6">
        <v>5</v>
      </c>
      <c r="B6">
        <v>2.2999999999999998</v>
      </c>
      <c r="C6">
        <v>3.3</v>
      </c>
      <c r="D6">
        <v>72.8</v>
      </c>
      <c r="E6">
        <v>78.08</v>
      </c>
      <c r="F6">
        <v>5.28</v>
      </c>
      <c r="G6" s="7">
        <v>4.5999999999999996</v>
      </c>
      <c r="H6">
        <v>2.67</v>
      </c>
      <c r="I6" s="8">
        <v>46</v>
      </c>
      <c r="J6">
        <v>0.31</v>
      </c>
      <c r="K6">
        <v>0.19</v>
      </c>
      <c r="L6">
        <v>5.39</v>
      </c>
      <c r="M6">
        <v>6.22</v>
      </c>
      <c r="N6">
        <v>0.14000000000000001</v>
      </c>
    </row>
    <row r="7" spans="1:14">
      <c r="A7">
        <v>6</v>
      </c>
      <c r="B7">
        <v>4.3</v>
      </c>
      <c r="C7">
        <v>2.9</v>
      </c>
      <c r="D7">
        <v>70.8</v>
      </c>
      <c r="E7">
        <v>78.08</v>
      </c>
      <c r="F7">
        <v>7.28</v>
      </c>
      <c r="G7">
        <v>4.3600000000000003</v>
      </c>
      <c r="H7">
        <v>2.04</v>
      </c>
      <c r="I7">
        <v>35.200000000000003</v>
      </c>
      <c r="J7">
        <v>0.34</v>
      </c>
      <c r="K7">
        <v>0.23</v>
      </c>
      <c r="L7">
        <v>7.47</v>
      </c>
      <c r="M7">
        <v>7.78</v>
      </c>
      <c r="N7">
        <v>0.16</v>
      </c>
    </row>
    <row r="8" spans="1:14">
      <c r="A8">
        <v>7</v>
      </c>
      <c r="B8">
        <v>4.2</v>
      </c>
      <c r="C8">
        <v>2.1</v>
      </c>
      <c r="D8">
        <v>68.8</v>
      </c>
      <c r="E8">
        <v>78.08</v>
      </c>
      <c r="F8">
        <v>9.2799999999999994</v>
      </c>
      <c r="G8">
        <v>4.38</v>
      </c>
      <c r="H8">
        <v>2.19</v>
      </c>
      <c r="I8">
        <v>37.799999999999997</v>
      </c>
      <c r="J8">
        <v>0.36</v>
      </c>
      <c r="K8">
        <v>0.21</v>
      </c>
      <c r="L8">
        <v>14.94</v>
      </c>
      <c r="M8">
        <v>5.83</v>
      </c>
      <c r="N8">
        <v>0.18</v>
      </c>
    </row>
    <row r="9" spans="1:14">
      <c r="A9">
        <v>8</v>
      </c>
      <c r="B9">
        <v>3.8</v>
      </c>
      <c r="C9">
        <v>2.4</v>
      </c>
      <c r="D9">
        <v>70.8</v>
      </c>
      <c r="E9">
        <v>80.08</v>
      </c>
      <c r="F9">
        <v>9.2799999999999994</v>
      </c>
      <c r="G9">
        <v>4.6399999999999997</v>
      </c>
      <c r="H9">
        <v>2.95</v>
      </c>
      <c r="I9">
        <v>50.9</v>
      </c>
      <c r="J9">
        <v>0.33</v>
      </c>
      <c r="K9" s="7">
        <v>0.2</v>
      </c>
      <c r="L9">
        <v>14.25</v>
      </c>
      <c r="M9" s="7">
        <v>7</v>
      </c>
      <c r="N9">
        <v>0.14000000000000001</v>
      </c>
    </row>
    <row r="10" spans="1:14">
      <c r="A10">
        <v>9</v>
      </c>
      <c r="B10">
        <v>3.8</v>
      </c>
      <c r="C10">
        <v>5.8</v>
      </c>
      <c r="D10">
        <v>68.8</v>
      </c>
      <c r="E10">
        <v>80.08</v>
      </c>
      <c r="F10">
        <v>11.28</v>
      </c>
      <c r="G10" s="7">
        <v>4.8</v>
      </c>
      <c r="H10">
        <v>2.97</v>
      </c>
      <c r="I10">
        <v>51.2</v>
      </c>
      <c r="J10">
        <v>0.35</v>
      </c>
      <c r="K10">
        <v>0.19</v>
      </c>
      <c r="L10">
        <v>10.86</v>
      </c>
      <c r="M10">
        <v>9.7200000000000006</v>
      </c>
      <c r="N10">
        <v>0.18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4" workbookViewId="0">
      <selection activeCell="B14" sqref="B14"/>
    </sheetView>
  </sheetViews>
  <sheetFormatPr defaultColWidth="9.140625" defaultRowHeight="15"/>
  <cols>
    <col min="1" max="1" width="17.7109375" customWidth="1"/>
    <col min="2" max="2" width="29.5703125" customWidth="1"/>
    <col min="3" max="3" width="11" customWidth="1"/>
    <col min="6" max="8" width="17.7109375" customWidth="1"/>
  </cols>
  <sheetData>
    <row r="1" spans="1:8" s="1" customFormat="1">
      <c r="A1" s="1" t="s">
        <v>2</v>
      </c>
      <c r="B1" s="1" t="s">
        <v>1</v>
      </c>
      <c r="C1" s="1" t="s">
        <v>386</v>
      </c>
      <c r="F1" t="s">
        <v>72</v>
      </c>
      <c r="G1" t="s">
        <v>72</v>
      </c>
      <c r="H1" s="4" t="s">
        <v>387</v>
      </c>
    </row>
    <row r="2" spans="1:8">
      <c r="A2" t="s">
        <v>12</v>
      </c>
      <c r="B2" s="2" t="s">
        <v>257</v>
      </c>
      <c r="C2" s="6">
        <v>16</v>
      </c>
      <c r="F2" t="s">
        <v>21</v>
      </c>
      <c r="G2" t="s">
        <v>21</v>
      </c>
      <c r="H2" s="4" t="s">
        <v>72</v>
      </c>
    </row>
    <row r="3" spans="1:8">
      <c r="B3" s="2" t="s">
        <v>13</v>
      </c>
      <c r="C3" s="6">
        <v>49</v>
      </c>
      <c r="F3" t="s">
        <v>155</v>
      </c>
      <c r="G3" t="s">
        <v>155</v>
      </c>
      <c r="H3" s="4" t="s">
        <v>21</v>
      </c>
    </row>
    <row r="4" spans="1:8">
      <c r="B4" s="2" t="s">
        <v>50</v>
      </c>
      <c r="C4">
        <v>3</v>
      </c>
      <c r="F4" t="s">
        <v>46</v>
      </c>
      <c r="G4" t="s">
        <v>46</v>
      </c>
      <c r="H4" s="4" t="s">
        <v>155</v>
      </c>
    </row>
    <row r="5" spans="1:8">
      <c r="B5" s="2" t="s">
        <v>73</v>
      </c>
      <c r="C5">
        <v>6</v>
      </c>
      <c r="F5" t="s">
        <v>388</v>
      </c>
      <c r="G5" t="s">
        <v>46</v>
      </c>
      <c r="H5" s="4" t="s">
        <v>128</v>
      </c>
    </row>
    <row r="6" spans="1:8">
      <c r="B6" s="2" t="s">
        <v>25</v>
      </c>
      <c r="C6">
        <v>2</v>
      </c>
      <c r="F6" t="s">
        <v>109</v>
      </c>
      <c r="G6" t="s">
        <v>97</v>
      </c>
      <c r="H6" s="4" t="s">
        <v>389</v>
      </c>
    </row>
    <row r="7" spans="1:8">
      <c r="A7" t="s">
        <v>15</v>
      </c>
      <c r="B7" s="2" t="s">
        <v>14</v>
      </c>
      <c r="C7" s="6">
        <v>30</v>
      </c>
      <c r="F7" t="s">
        <v>45</v>
      </c>
      <c r="G7" t="s">
        <v>390</v>
      </c>
      <c r="H7" s="4" t="s">
        <v>391</v>
      </c>
    </row>
    <row r="8" spans="1:8">
      <c r="B8" s="2" t="s">
        <v>67</v>
      </c>
      <c r="C8">
        <v>4</v>
      </c>
      <c r="F8" t="s">
        <v>12</v>
      </c>
      <c r="G8" t="s">
        <v>388</v>
      </c>
      <c r="H8" s="4" t="s">
        <v>109</v>
      </c>
    </row>
    <row r="9" spans="1:8">
      <c r="A9" t="s">
        <v>140</v>
      </c>
      <c r="B9" s="2" t="s">
        <v>392</v>
      </c>
      <c r="C9" s="6">
        <v>8</v>
      </c>
      <c r="F9" t="s">
        <v>114</v>
      </c>
      <c r="G9" t="s">
        <v>109</v>
      </c>
      <c r="H9" s="4" t="s">
        <v>12</v>
      </c>
    </row>
    <row r="10" spans="1:8">
      <c r="A10" t="s">
        <v>41</v>
      </c>
      <c r="B10" s="2" t="s">
        <v>393</v>
      </c>
      <c r="C10" s="6">
        <v>10</v>
      </c>
      <c r="F10" t="s">
        <v>394</v>
      </c>
      <c r="G10" t="s">
        <v>12</v>
      </c>
      <c r="H10" s="4" t="s">
        <v>114</v>
      </c>
    </row>
    <row r="11" spans="1:8">
      <c r="B11" t="s">
        <v>40</v>
      </c>
      <c r="C11">
        <v>36</v>
      </c>
      <c r="F11" t="s">
        <v>19</v>
      </c>
      <c r="G11" t="s">
        <v>114</v>
      </c>
      <c r="H11" s="4" t="s">
        <v>19</v>
      </c>
    </row>
    <row r="12" spans="1:8">
      <c r="B12" s="2" t="s">
        <v>47</v>
      </c>
      <c r="C12" s="6">
        <v>3</v>
      </c>
      <c r="F12" t="s">
        <v>41</v>
      </c>
      <c r="G12" t="s">
        <v>19</v>
      </c>
      <c r="H12" s="4" t="s">
        <v>41</v>
      </c>
    </row>
    <row r="13" spans="1:8">
      <c r="A13" t="s">
        <v>24</v>
      </c>
      <c r="B13" s="2" t="s">
        <v>185</v>
      </c>
      <c r="C13" s="6">
        <v>3</v>
      </c>
      <c r="F13" t="s">
        <v>395</v>
      </c>
      <c r="G13" t="s">
        <v>41</v>
      </c>
      <c r="H13" s="4" t="s">
        <v>395</v>
      </c>
    </row>
    <row r="14" spans="1:8">
      <c r="B14" s="2" t="s">
        <v>23</v>
      </c>
      <c r="C14" s="6">
        <v>21</v>
      </c>
      <c r="F14" t="s">
        <v>15</v>
      </c>
      <c r="G14" t="s">
        <v>395</v>
      </c>
      <c r="H14" s="4" t="s">
        <v>123</v>
      </c>
    </row>
    <row r="15" spans="1:8">
      <c r="A15" t="s">
        <v>19</v>
      </c>
      <c r="B15" s="2" t="s">
        <v>30</v>
      </c>
      <c r="C15" s="6">
        <v>2</v>
      </c>
      <c r="F15" t="s">
        <v>53</v>
      </c>
      <c r="G15" t="s">
        <v>15</v>
      </c>
      <c r="H15" s="4" t="s">
        <v>143</v>
      </c>
    </row>
    <row r="16" spans="1:8">
      <c r="A16" t="s">
        <v>45</v>
      </c>
      <c r="B16" s="2" t="s">
        <v>396</v>
      </c>
      <c r="C16" s="6">
        <v>9</v>
      </c>
      <c r="F16" t="s">
        <v>253</v>
      </c>
      <c r="G16" t="s">
        <v>123</v>
      </c>
      <c r="H16" s="4" t="s">
        <v>93</v>
      </c>
    </row>
    <row r="17" spans="1:8">
      <c r="A17" t="s">
        <v>17</v>
      </c>
      <c r="B17" s="2" t="s">
        <v>16</v>
      </c>
      <c r="C17" s="6">
        <v>2</v>
      </c>
      <c r="F17" t="s">
        <v>397</v>
      </c>
      <c r="G17" t="s">
        <v>143</v>
      </c>
      <c r="H17" s="4" t="s">
        <v>24</v>
      </c>
    </row>
    <row r="18" spans="1:8">
      <c r="B18" s="2" t="s">
        <v>398</v>
      </c>
      <c r="C18">
        <v>10</v>
      </c>
      <c r="F18" t="s">
        <v>399</v>
      </c>
      <c r="G18" t="s">
        <v>253</v>
      </c>
      <c r="H18" s="4" t="s">
        <v>31</v>
      </c>
    </row>
    <row r="19" spans="1:8">
      <c r="A19" t="s">
        <v>72</v>
      </c>
      <c r="B19" s="2" t="s">
        <v>400</v>
      </c>
      <c r="C19" s="6">
        <v>29</v>
      </c>
      <c r="F19" t="s">
        <v>140</v>
      </c>
      <c r="G19" t="s">
        <v>401</v>
      </c>
      <c r="H19" s="4" t="s">
        <v>36</v>
      </c>
    </row>
    <row r="20" spans="1:8">
      <c r="B20" s="2" t="s">
        <v>402</v>
      </c>
      <c r="C20">
        <v>7</v>
      </c>
      <c r="F20" t="s">
        <v>24</v>
      </c>
      <c r="G20" t="s">
        <v>397</v>
      </c>
      <c r="H20" s="4"/>
    </row>
    <row r="21" spans="1:8">
      <c r="A21" t="s">
        <v>21</v>
      </c>
      <c r="B21" s="2" t="s">
        <v>20</v>
      </c>
      <c r="C21">
        <v>7</v>
      </c>
      <c r="F21" t="s">
        <v>17</v>
      </c>
      <c r="G21" t="s">
        <v>93</v>
      </c>
      <c r="H21" s="4"/>
    </row>
    <row r="22" spans="1:8">
      <c r="A22" t="s">
        <v>31</v>
      </c>
      <c r="B22" s="2" t="s">
        <v>403</v>
      </c>
      <c r="C22">
        <v>2</v>
      </c>
      <c r="F22" t="s">
        <v>31</v>
      </c>
      <c r="G22" t="s">
        <v>24</v>
      </c>
      <c r="H22" s="4"/>
    </row>
    <row r="23" spans="1:8">
      <c r="B23" s="2" t="s">
        <v>18</v>
      </c>
      <c r="C23">
        <v>1</v>
      </c>
      <c r="G23" t="s">
        <v>17</v>
      </c>
      <c r="H23" s="4"/>
    </row>
    <row r="24" spans="1:8">
      <c r="A24" t="s">
        <v>46</v>
      </c>
      <c r="B24" s="2" t="s">
        <v>27</v>
      </c>
      <c r="C24">
        <v>10</v>
      </c>
      <c r="G24" t="s">
        <v>31</v>
      </c>
      <c r="H24" s="4"/>
    </row>
    <row r="25" spans="1:8">
      <c r="B25" s="2" t="s">
        <v>75</v>
      </c>
      <c r="C25">
        <v>6</v>
      </c>
      <c r="G25" t="s">
        <v>36</v>
      </c>
      <c r="H25" s="4"/>
    </row>
    <row r="26" spans="1:8">
      <c r="A26" t="s">
        <v>394</v>
      </c>
      <c r="B26" s="2" t="s">
        <v>404</v>
      </c>
      <c r="C26" s="6">
        <v>2</v>
      </c>
      <c r="H26" s="4"/>
    </row>
    <row r="27" spans="1:8">
      <c r="A27" t="s">
        <v>114</v>
      </c>
      <c r="B27" s="2" t="s">
        <v>405</v>
      </c>
      <c r="C27" s="6">
        <v>4</v>
      </c>
    </row>
    <row r="28" spans="1:8">
      <c r="A28" t="s">
        <v>253</v>
      </c>
      <c r="B28" s="2" t="s">
        <v>163</v>
      </c>
      <c r="C28" s="6">
        <v>4</v>
      </c>
    </row>
    <row r="29" spans="1:8">
      <c r="B29" s="2" t="s">
        <v>197</v>
      </c>
      <c r="C29">
        <v>10</v>
      </c>
    </row>
    <row r="30" spans="1:8">
      <c r="A30" t="s">
        <v>397</v>
      </c>
      <c r="B30" s="2" t="s">
        <v>406</v>
      </c>
      <c r="C30" s="6">
        <v>10</v>
      </c>
    </row>
    <row r="31" spans="1:8">
      <c r="A31" t="s">
        <v>109</v>
      </c>
      <c r="B31" s="2" t="s">
        <v>188</v>
      </c>
      <c r="C31" s="6">
        <v>2</v>
      </c>
    </row>
    <row r="32" spans="1:8">
      <c r="A32" t="s">
        <v>388</v>
      </c>
      <c r="B32" s="2" t="s">
        <v>407</v>
      </c>
      <c r="C32">
        <v>1</v>
      </c>
    </row>
    <row r="33" spans="1:3">
      <c r="A33" t="s">
        <v>155</v>
      </c>
      <c r="B33" s="2" t="s">
        <v>150</v>
      </c>
      <c r="C33">
        <v>6</v>
      </c>
    </row>
    <row r="34" spans="1:3">
      <c r="B34" s="2" t="s">
        <v>408</v>
      </c>
      <c r="C34">
        <v>3</v>
      </c>
    </row>
    <row r="35" spans="1:3">
      <c r="A35" t="s">
        <v>399</v>
      </c>
      <c r="B35" s="2" t="s">
        <v>409</v>
      </c>
      <c r="C35">
        <v>2</v>
      </c>
    </row>
    <row r="36" spans="1:3">
      <c r="A36" t="s">
        <v>53</v>
      </c>
      <c r="B36" s="2" t="s">
        <v>145</v>
      </c>
      <c r="C36">
        <v>10</v>
      </c>
    </row>
    <row r="37" spans="1:3">
      <c r="A37" t="s">
        <v>395</v>
      </c>
      <c r="B37" s="2" t="s">
        <v>410</v>
      </c>
      <c r="C37">
        <v>6</v>
      </c>
    </row>
  </sheetData>
  <sortState ref="H1:H37">
    <sortCondition ref="H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6" workbookViewId="0">
      <selection activeCell="B15" sqref="B15"/>
    </sheetView>
  </sheetViews>
  <sheetFormatPr defaultColWidth="9.140625" defaultRowHeight="15"/>
  <cols>
    <col min="1" max="1" width="17.7109375" customWidth="1"/>
    <col min="2" max="2" width="26.85546875" customWidth="1"/>
    <col min="3" max="3" width="11" customWidth="1"/>
  </cols>
  <sheetData>
    <row r="1" spans="1:3">
      <c r="A1" s="3" t="s">
        <v>2</v>
      </c>
      <c r="B1" s="3" t="s">
        <v>1</v>
      </c>
      <c r="C1" s="3" t="s">
        <v>386</v>
      </c>
    </row>
    <row r="2" spans="1:3">
      <c r="A2" s="4" t="s">
        <v>387</v>
      </c>
      <c r="B2" s="5" t="s">
        <v>411</v>
      </c>
      <c r="C2" s="4">
        <v>60</v>
      </c>
    </row>
    <row r="3" spans="1:3">
      <c r="A3" s="4" t="s">
        <v>72</v>
      </c>
      <c r="B3" s="5" t="s">
        <v>412</v>
      </c>
      <c r="C3" s="4">
        <v>7</v>
      </c>
    </row>
    <row r="4" spans="1:3">
      <c r="A4" s="4" t="s">
        <v>21</v>
      </c>
      <c r="B4" s="5" t="s">
        <v>135</v>
      </c>
      <c r="C4" s="4">
        <v>48</v>
      </c>
    </row>
    <row r="5" spans="1:3">
      <c r="A5" s="4"/>
      <c r="B5" s="5" t="s">
        <v>20</v>
      </c>
      <c r="C5" s="4">
        <v>7</v>
      </c>
    </row>
    <row r="6" spans="1:3">
      <c r="A6" s="4" t="s">
        <v>155</v>
      </c>
      <c r="B6" s="5" t="s">
        <v>150</v>
      </c>
      <c r="C6" s="4">
        <v>26</v>
      </c>
    </row>
    <row r="7" spans="1:3">
      <c r="A7" s="4" t="s">
        <v>128</v>
      </c>
      <c r="B7" s="5" t="s">
        <v>127</v>
      </c>
      <c r="C7" s="4">
        <v>30</v>
      </c>
    </row>
    <row r="8" spans="1:3">
      <c r="A8" s="4" t="s">
        <v>389</v>
      </c>
      <c r="B8" s="4" t="s">
        <v>407</v>
      </c>
      <c r="C8" s="4">
        <v>5</v>
      </c>
    </row>
    <row r="9" spans="1:3">
      <c r="A9" s="4" t="s">
        <v>391</v>
      </c>
      <c r="B9" s="5" t="s">
        <v>413</v>
      </c>
      <c r="C9" s="4">
        <v>2</v>
      </c>
    </row>
    <row r="10" spans="1:3">
      <c r="A10" s="4" t="s">
        <v>109</v>
      </c>
      <c r="B10" s="5" t="s">
        <v>414</v>
      </c>
      <c r="C10" s="4">
        <v>2</v>
      </c>
    </row>
    <row r="11" spans="1:3">
      <c r="A11" s="4"/>
      <c r="B11" s="5" t="s">
        <v>110</v>
      </c>
      <c r="C11" s="4">
        <v>18</v>
      </c>
    </row>
    <row r="12" spans="1:3">
      <c r="A12" s="4" t="s">
        <v>12</v>
      </c>
      <c r="B12" s="5" t="s">
        <v>96</v>
      </c>
      <c r="C12" s="4">
        <v>5</v>
      </c>
    </row>
    <row r="13" spans="1:3">
      <c r="A13" s="4"/>
      <c r="B13" s="5" t="s">
        <v>94</v>
      </c>
      <c r="C13" s="4">
        <v>2</v>
      </c>
    </row>
    <row r="14" spans="1:3">
      <c r="A14" s="4" t="s">
        <v>114</v>
      </c>
      <c r="B14" s="5" t="s">
        <v>405</v>
      </c>
      <c r="C14" s="4">
        <v>20</v>
      </c>
    </row>
    <row r="15" spans="1:3">
      <c r="A15" s="4"/>
      <c r="B15" s="5" t="s">
        <v>415</v>
      </c>
      <c r="C15" s="4">
        <v>33</v>
      </c>
    </row>
    <row r="16" spans="1:3">
      <c r="A16" s="4" t="s">
        <v>19</v>
      </c>
      <c r="B16" s="5" t="s">
        <v>37</v>
      </c>
      <c r="C16" s="4">
        <v>7</v>
      </c>
    </row>
    <row r="17" spans="1:3">
      <c r="A17" s="4" t="s">
        <v>41</v>
      </c>
      <c r="B17" s="5" t="s">
        <v>416</v>
      </c>
      <c r="C17" s="4">
        <v>12</v>
      </c>
    </row>
    <row r="18" spans="1:3">
      <c r="A18" s="4" t="s">
        <v>395</v>
      </c>
      <c r="B18" s="5" t="s">
        <v>417</v>
      </c>
      <c r="C18" s="4">
        <v>11</v>
      </c>
    </row>
    <row r="19" spans="1:3">
      <c r="A19" s="4" t="s">
        <v>123</v>
      </c>
      <c r="B19" s="5" t="s">
        <v>153</v>
      </c>
      <c r="C19" s="4">
        <v>59</v>
      </c>
    </row>
    <row r="20" spans="1:3">
      <c r="A20" s="4" t="s">
        <v>143</v>
      </c>
      <c r="B20" s="5" t="s">
        <v>142</v>
      </c>
      <c r="C20" s="4">
        <v>18</v>
      </c>
    </row>
    <row r="21" spans="1:3">
      <c r="A21" s="4" t="s">
        <v>93</v>
      </c>
      <c r="B21" s="5" t="s">
        <v>418</v>
      </c>
      <c r="C21" s="4">
        <v>4</v>
      </c>
    </row>
    <row r="22" spans="1:3">
      <c r="A22" s="4"/>
      <c r="B22" s="5" t="s">
        <v>419</v>
      </c>
      <c r="C22" s="4">
        <v>24</v>
      </c>
    </row>
    <row r="23" spans="1:3">
      <c r="A23" s="4" t="s">
        <v>24</v>
      </c>
      <c r="B23" s="5" t="s">
        <v>185</v>
      </c>
      <c r="C23" s="4">
        <v>3</v>
      </c>
    </row>
    <row r="24" spans="1:3">
      <c r="A24" s="4" t="s">
        <v>31</v>
      </c>
      <c r="B24" s="5" t="s">
        <v>103</v>
      </c>
      <c r="C24" s="4">
        <v>47</v>
      </c>
    </row>
    <row r="25" spans="1:3">
      <c r="A25" s="4"/>
      <c r="B25" s="5" t="s">
        <v>120</v>
      </c>
      <c r="C25" s="4">
        <v>10</v>
      </c>
    </row>
    <row r="26" spans="1:3">
      <c r="A26" s="4"/>
      <c r="B26" s="5" t="s">
        <v>121</v>
      </c>
      <c r="C26" s="4">
        <v>2</v>
      </c>
    </row>
    <row r="27" spans="1:3">
      <c r="A27" s="4" t="s">
        <v>36</v>
      </c>
      <c r="B27" s="5" t="s">
        <v>35</v>
      </c>
      <c r="C27" s="4">
        <v>21</v>
      </c>
    </row>
    <row r="28" spans="1:3">
      <c r="A28" s="4"/>
      <c r="B28" s="5" t="s">
        <v>100</v>
      </c>
      <c r="C28" s="4">
        <v>33</v>
      </c>
    </row>
    <row r="29" spans="1:3">
      <c r="A29" s="4"/>
      <c r="B29" s="5" t="s">
        <v>420</v>
      </c>
      <c r="C29" s="4">
        <v>58</v>
      </c>
    </row>
    <row r="30" spans="1:3">
      <c r="B30" s="2"/>
    </row>
  </sheetData>
  <sortState ref="A3:C29">
    <sortCondition ref="A3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8" workbookViewId="0">
      <selection activeCell="B25" sqref="B25"/>
    </sheetView>
  </sheetViews>
  <sheetFormatPr defaultColWidth="9.140625" defaultRowHeight="15"/>
  <cols>
    <col min="1" max="1" width="17.7109375" customWidth="1"/>
    <col min="2" max="2" width="29" customWidth="1"/>
    <col min="3" max="3" width="11" customWidth="1"/>
  </cols>
  <sheetData>
    <row r="1" spans="1:3" s="1" customFormat="1">
      <c r="A1" s="1" t="s">
        <v>64</v>
      </c>
      <c r="B1" s="1" t="s">
        <v>1</v>
      </c>
      <c r="C1" s="1" t="s">
        <v>386</v>
      </c>
    </row>
    <row r="2" spans="1:3">
      <c r="A2" t="s">
        <v>24</v>
      </c>
      <c r="B2" s="2" t="s">
        <v>185</v>
      </c>
      <c r="C2">
        <v>6</v>
      </c>
    </row>
    <row r="3" spans="1:3">
      <c r="B3" s="2" t="s">
        <v>23</v>
      </c>
      <c r="C3">
        <v>10</v>
      </c>
    </row>
    <row r="4" spans="1:3">
      <c r="A4" t="s">
        <v>72</v>
      </c>
      <c r="B4" s="2" t="s">
        <v>400</v>
      </c>
      <c r="C4">
        <v>19</v>
      </c>
    </row>
    <row r="5" spans="1:3">
      <c r="A5" t="s">
        <v>21</v>
      </c>
      <c r="B5" s="2" t="s">
        <v>20</v>
      </c>
      <c r="C5">
        <v>6</v>
      </c>
    </row>
    <row r="6" spans="1:3">
      <c r="B6" s="2" t="s">
        <v>421</v>
      </c>
      <c r="C6">
        <v>2</v>
      </c>
    </row>
    <row r="7" spans="1:3">
      <c r="B7" s="2" t="s">
        <v>189</v>
      </c>
      <c r="C7">
        <v>1</v>
      </c>
    </row>
    <row r="8" spans="1:3">
      <c r="B8" s="2" t="s">
        <v>135</v>
      </c>
      <c r="C8">
        <v>7</v>
      </c>
    </row>
    <row r="9" spans="1:3">
      <c r="A9" t="s">
        <v>46</v>
      </c>
      <c r="B9" s="2" t="s">
        <v>27</v>
      </c>
      <c r="C9">
        <v>6</v>
      </c>
    </row>
    <row r="10" spans="1:3">
      <c r="A10" t="s">
        <v>123</v>
      </c>
      <c r="B10" s="2" t="s">
        <v>153</v>
      </c>
      <c r="C10">
        <v>4</v>
      </c>
    </row>
    <row r="11" spans="1:3">
      <c r="B11" s="2" t="s">
        <v>196</v>
      </c>
      <c r="C11">
        <v>7</v>
      </c>
    </row>
    <row r="12" spans="1:3">
      <c r="A12" t="s">
        <v>397</v>
      </c>
      <c r="B12" s="2" t="s">
        <v>406</v>
      </c>
      <c r="C12">
        <v>1</v>
      </c>
    </row>
    <row r="13" spans="1:3">
      <c r="A13" t="s">
        <v>401</v>
      </c>
      <c r="B13" s="2" t="s">
        <v>422</v>
      </c>
      <c r="C13">
        <v>5</v>
      </c>
    </row>
    <row r="14" spans="1:3">
      <c r="A14" t="s">
        <v>93</v>
      </c>
      <c r="B14" s="2" t="s">
        <v>248</v>
      </c>
      <c r="C14">
        <v>2</v>
      </c>
    </row>
    <row r="15" spans="1:3">
      <c r="A15" t="s">
        <v>97</v>
      </c>
      <c r="B15" s="2" t="s">
        <v>194</v>
      </c>
      <c r="C15">
        <v>2</v>
      </c>
    </row>
    <row r="16" spans="1:3">
      <c r="A16" t="s">
        <v>31</v>
      </c>
      <c r="B16" s="2" t="s">
        <v>30</v>
      </c>
      <c r="C16">
        <v>2</v>
      </c>
    </row>
    <row r="17" spans="1:3">
      <c r="B17" s="2" t="s">
        <v>37</v>
      </c>
      <c r="C17">
        <v>3</v>
      </c>
    </row>
    <row r="18" spans="1:3">
      <c r="B18" s="2" t="s">
        <v>187</v>
      </c>
      <c r="C18">
        <v>2</v>
      </c>
    </row>
    <row r="19" spans="1:3">
      <c r="B19" s="2" t="s">
        <v>170</v>
      </c>
      <c r="C19">
        <v>16</v>
      </c>
    </row>
    <row r="20" spans="1:3">
      <c r="B20" s="2" t="s">
        <v>62</v>
      </c>
      <c r="C20">
        <v>5</v>
      </c>
    </row>
    <row r="21" spans="1:3">
      <c r="B21" s="2" t="s">
        <v>121</v>
      </c>
      <c r="C21">
        <v>7</v>
      </c>
    </row>
    <row r="22" spans="1:3">
      <c r="A22" t="s">
        <v>395</v>
      </c>
      <c r="B22" s="2" t="s">
        <v>410</v>
      </c>
      <c r="C22">
        <v>22</v>
      </c>
    </row>
    <row r="23" spans="1:3">
      <c r="A23" t="s">
        <v>109</v>
      </c>
      <c r="B23" s="2" t="s">
        <v>188</v>
      </c>
      <c r="C23">
        <v>4</v>
      </c>
    </row>
    <row r="24" spans="1:3">
      <c r="B24" s="2" t="s">
        <v>110</v>
      </c>
      <c r="C24">
        <v>1</v>
      </c>
    </row>
    <row r="25" spans="1:3">
      <c r="A25" t="s">
        <v>12</v>
      </c>
      <c r="B25" s="2" t="s">
        <v>73</v>
      </c>
      <c r="C25">
        <v>11</v>
      </c>
    </row>
    <row r="26" spans="1:3">
      <c r="B26" s="2" t="s">
        <v>13</v>
      </c>
      <c r="C26">
        <v>2</v>
      </c>
    </row>
    <row r="27" spans="1:3">
      <c r="A27" t="s">
        <v>390</v>
      </c>
      <c r="B27" s="2" t="s">
        <v>423</v>
      </c>
      <c r="C27">
        <v>8</v>
      </c>
    </row>
    <row r="28" spans="1:3">
      <c r="A28" t="s">
        <v>253</v>
      </c>
      <c r="B28" s="2" t="s">
        <v>163</v>
      </c>
      <c r="C28">
        <v>9</v>
      </c>
    </row>
    <row r="29" spans="1:3">
      <c r="A29" t="s">
        <v>388</v>
      </c>
      <c r="B29" s="2" t="s">
        <v>407</v>
      </c>
      <c r="C29">
        <v>7</v>
      </c>
    </row>
    <row r="30" spans="1:3">
      <c r="A30" t="s">
        <v>114</v>
      </c>
      <c r="B30" s="2" t="s">
        <v>424</v>
      </c>
      <c r="C30">
        <v>7</v>
      </c>
    </row>
    <row r="31" spans="1:3">
      <c r="B31" s="2" t="s">
        <v>425</v>
      </c>
      <c r="C31">
        <v>1</v>
      </c>
    </row>
    <row r="32" spans="1:3">
      <c r="A32" t="s">
        <v>46</v>
      </c>
      <c r="B32" s="2" t="s">
        <v>426</v>
      </c>
      <c r="C32">
        <v>2</v>
      </c>
    </row>
    <row r="33" spans="1:3">
      <c r="A33" t="s">
        <v>36</v>
      </c>
      <c r="B33" s="2" t="s">
        <v>100</v>
      </c>
      <c r="C33">
        <v>2</v>
      </c>
    </row>
    <row r="34" spans="1:3">
      <c r="B34" s="2" t="s">
        <v>35</v>
      </c>
      <c r="C34">
        <v>5</v>
      </c>
    </row>
    <row r="35" spans="1:3">
      <c r="B35" s="2" t="s">
        <v>427</v>
      </c>
      <c r="C35">
        <v>5</v>
      </c>
    </row>
    <row r="36" spans="1:3">
      <c r="A36" t="s">
        <v>143</v>
      </c>
      <c r="B36" s="2" t="s">
        <v>142</v>
      </c>
      <c r="C36">
        <v>6</v>
      </c>
    </row>
    <row r="37" spans="1:3">
      <c r="A37" t="s">
        <v>15</v>
      </c>
      <c r="B37" s="2" t="s">
        <v>14</v>
      </c>
      <c r="C37">
        <v>3</v>
      </c>
    </row>
    <row r="38" spans="1:3">
      <c r="B38" s="2" t="s">
        <v>222</v>
      </c>
      <c r="C38">
        <v>2</v>
      </c>
    </row>
    <row r="39" spans="1:3">
      <c r="A39" t="s">
        <v>41</v>
      </c>
      <c r="B39" s="2" t="s">
        <v>428</v>
      </c>
      <c r="C39">
        <v>1</v>
      </c>
    </row>
    <row r="40" spans="1:3">
      <c r="A40" t="s">
        <v>155</v>
      </c>
      <c r="B40" s="2" t="s">
        <v>429</v>
      </c>
      <c r="C40">
        <v>2</v>
      </c>
    </row>
    <row r="41" spans="1:3">
      <c r="A41" t="s">
        <v>17</v>
      </c>
      <c r="B41" s="2" t="s">
        <v>430</v>
      </c>
      <c r="C41">
        <v>1</v>
      </c>
    </row>
    <row r="42" spans="1:3">
      <c r="A42" t="s">
        <v>19</v>
      </c>
      <c r="B42" s="2" t="s">
        <v>431</v>
      </c>
      <c r="C42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9"/>
  <sheetViews>
    <sheetView topLeftCell="A197" workbookViewId="0">
      <selection activeCell="H41" sqref="H41"/>
    </sheetView>
  </sheetViews>
  <sheetFormatPr defaultColWidth="9" defaultRowHeight="15"/>
  <cols>
    <col min="2" max="2" width="29.140625" customWidth="1"/>
    <col min="3" max="3" width="15.42578125" customWidth="1"/>
    <col min="4" max="4" width="11.42578125" customWidth="1"/>
    <col min="7" max="7" width="10.85546875" customWidth="1"/>
    <col min="8" max="9" width="12.85546875"/>
    <col min="10" max="11" width="14"/>
  </cols>
  <sheetData>
    <row r="3" spans="2:11">
      <c r="C3" s="1" t="s">
        <v>89</v>
      </c>
    </row>
    <row r="4" spans="2:11">
      <c r="B4" s="12" t="s">
        <v>90</v>
      </c>
      <c r="C4" s="12" t="s">
        <v>2</v>
      </c>
      <c r="D4" s="12" t="s">
        <v>43</v>
      </c>
      <c r="E4" s="12" t="s">
        <v>91</v>
      </c>
      <c r="F4" s="36" t="s">
        <v>5</v>
      </c>
      <c r="G4" s="36" t="s">
        <v>6</v>
      </c>
      <c r="H4" s="36" t="s">
        <v>7</v>
      </c>
      <c r="I4" s="36" t="s">
        <v>8</v>
      </c>
      <c r="J4" s="36" t="s">
        <v>9</v>
      </c>
      <c r="K4" s="36" t="s">
        <v>10</v>
      </c>
    </row>
    <row r="5" spans="2:11">
      <c r="B5" s="13" t="s">
        <v>92</v>
      </c>
      <c r="C5" s="10" t="s">
        <v>93</v>
      </c>
      <c r="D5">
        <v>1</v>
      </c>
      <c r="E5" s="10">
        <v>35</v>
      </c>
      <c r="F5">
        <f>E5/100</f>
        <v>0.35</v>
      </c>
      <c r="G5">
        <f>((3.142*(F5)^2/4))</f>
        <v>9.6223749999999983E-2</v>
      </c>
      <c r="H5">
        <f>(G5/21.29)*100</f>
        <v>0.45196688586190692</v>
      </c>
      <c r="I5">
        <f>D5/77</f>
        <v>1.2987012987012988E-2</v>
      </c>
      <c r="J5">
        <f>LN(I5)</f>
        <v>-4.3438054218536841</v>
      </c>
      <c r="K5">
        <f>I5*J5</f>
        <v>-5.6413057426671229E-2</v>
      </c>
    </row>
    <row r="6" spans="2:11">
      <c r="B6" s="13" t="s">
        <v>94</v>
      </c>
      <c r="C6" s="10" t="s">
        <v>12</v>
      </c>
      <c r="D6">
        <v>1</v>
      </c>
      <c r="E6" s="10">
        <v>21</v>
      </c>
      <c r="F6">
        <f t="shared" ref="F6:F32" si="0">E6/100</f>
        <v>0.21</v>
      </c>
      <c r="G6">
        <f t="shared" ref="G6:G32" si="1">((3.142*(F6)^2/4))</f>
        <v>3.4640549999999992E-2</v>
      </c>
      <c r="H6">
        <f t="shared" ref="H6:H32" si="2">(G6/21.29)*100</f>
        <v>0.16270807891028649</v>
      </c>
      <c r="I6">
        <f t="shared" ref="I6:I32" si="3">D6/77</f>
        <v>1.2987012987012988E-2</v>
      </c>
      <c r="J6">
        <f t="shared" ref="J6:J32" si="4">LN(I6)</f>
        <v>-4.3438054218536841</v>
      </c>
      <c r="K6">
        <f t="shared" ref="K6:K32" si="5">I6*J6</f>
        <v>-5.6413057426671229E-2</v>
      </c>
    </row>
    <row r="7" spans="2:11">
      <c r="B7" s="13" t="s">
        <v>95</v>
      </c>
      <c r="C7" s="10" t="s">
        <v>21</v>
      </c>
      <c r="D7">
        <v>2</v>
      </c>
      <c r="E7">
        <v>51</v>
      </c>
      <c r="F7">
        <f t="shared" si="0"/>
        <v>0.51</v>
      </c>
      <c r="G7">
        <f t="shared" si="1"/>
        <v>0.20430855000000001</v>
      </c>
      <c r="H7">
        <f t="shared" si="2"/>
        <v>0.95964560826679191</v>
      </c>
      <c r="I7">
        <f t="shared" si="3"/>
        <v>2.5974025974025976E-2</v>
      </c>
      <c r="J7">
        <f t="shared" si="4"/>
        <v>-3.6506582412937383</v>
      </c>
      <c r="K7">
        <f t="shared" si="5"/>
        <v>-9.4822291981655552E-2</v>
      </c>
    </row>
    <row r="8" spans="2:11">
      <c r="B8" s="13" t="s">
        <v>96</v>
      </c>
      <c r="C8" s="39" t="s">
        <v>97</v>
      </c>
      <c r="D8">
        <v>6</v>
      </c>
      <c r="E8">
        <v>87.5</v>
      </c>
      <c r="F8">
        <f t="shared" si="0"/>
        <v>0.875</v>
      </c>
      <c r="G8">
        <f t="shared" si="1"/>
        <v>0.60139843749999999</v>
      </c>
      <c r="H8">
        <f t="shared" si="2"/>
        <v>2.8247930366369189</v>
      </c>
      <c r="I8">
        <f t="shared" si="3"/>
        <v>7.792207792207792E-2</v>
      </c>
      <c r="J8">
        <f t="shared" si="4"/>
        <v>-2.5520459526256287</v>
      </c>
      <c r="K8">
        <f t="shared" si="5"/>
        <v>-0.19886072358121781</v>
      </c>
    </row>
    <row r="9" spans="2:11">
      <c r="B9" s="13" t="s">
        <v>98</v>
      </c>
      <c r="C9" s="10" t="s">
        <v>99</v>
      </c>
      <c r="D9">
        <v>1</v>
      </c>
      <c r="E9">
        <v>45</v>
      </c>
      <c r="F9">
        <f t="shared" si="0"/>
        <v>0.45</v>
      </c>
      <c r="G9">
        <f t="shared" si="1"/>
        <v>0.15906375</v>
      </c>
      <c r="H9">
        <f t="shared" si="2"/>
        <v>0.74712893377172385</v>
      </c>
      <c r="I9">
        <f t="shared" si="3"/>
        <v>1.2987012987012988E-2</v>
      </c>
      <c r="J9">
        <f t="shared" si="4"/>
        <v>-4.3438054218536841</v>
      </c>
      <c r="K9">
        <f t="shared" si="5"/>
        <v>-5.6413057426671229E-2</v>
      </c>
    </row>
    <row r="10" spans="2:11">
      <c r="B10" s="13" t="s">
        <v>100</v>
      </c>
      <c r="C10" s="10" t="s">
        <v>36</v>
      </c>
      <c r="D10">
        <v>2</v>
      </c>
      <c r="E10">
        <v>23</v>
      </c>
      <c r="F10">
        <f t="shared" si="0"/>
        <v>0.23</v>
      </c>
      <c r="G10">
        <f t="shared" si="1"/>
        <v>4.1552949999999998E-2</v>
      </c>
      <c r="H10">
        <f t="shared" si="2"/>
        <v>0.19517590418036637</v>
      </c>
      <c r="I10">
        <f t="shared" si="3"/>
        <v>2.5974025974025976E-2</v>
      </c>
      <c r="J10">
        <f t="shared" si="4"/>
        <v>-3.6506582412937383</v>
      </c>
      <c r="K10">
        <f t="shared" si="5"/>
        <v>-9.4822291981655552E-2</v>
      </c>
    </row>
    <row r="11" spans="2:11">
      <c r="B11" s="13" t="s">
        <v>101</v>
      </c>
      <c r="C11" s="10" t="s">
        <v>36</v>
      </c>
      <c r="D11">
        <v>1</v>
      </c>
      <c r="E11">
        <v>44</v>
      </c>
      <c r="F11">
        <f t="shared" si="0"/>
        <v>0.44</v>
      </c>
      <c r="G11">
        <f t="shared" si="1"/>
        <v>0.15207279999999998</v>
      </c>
      <c r="H11">
        <f t="shared" si="2"/>
        <v>0.71429215594175666</v>
      </c>
      <c r="I11">
        <f t="shared" si="3"/>
        <v>1.2987012987012988E-2</v>
      </c>
      <c r="J11">
        <f t="shared" si="4"/>
        <v>-4.3438054218536841</v>
      </c>
      <c r="K11">
        <f t="shared" si="5"/>
        <v>-5.6413057426671229E-2</v>
      </c>
    </row>
    <row r="12" spans="2:11">
      <c r="B12" s="13" t="s">
        <v>35</v>
      </c>
      <c r="C12" s="10" t="s">
        <v>36</v>
      </c>
      <c r="D12">
        <v>12</v>
      </c>
      <c r="E12">
        <v>247.5</v>
      </c>
      <c r="F12">
        <f t="shared" si="0"/>
        <v>2.4750000000000001</v>
      </c>
      <c r="G12">
        <f t="shared" si="1"/>
        <v>4.8116784375000003</v>
      </c>
      <c r="H12">
        <f t="shared" si="2"/>
        <v>22.600650246594647</v>
      </c>
      <c r="I12">
        <f t="shared" si="3"/>
        <v>0.15584415584415584</v>
      </c>
      <c r="J12">
        <f t="shared" si="4"/>
        <v>-1.8588987720656835</v>
      </c>
      <c r="K12">
        <f t="shared" si="5"/>
        <v>-0.28969850993231433</v>
      </c>
    </row>
    <row r="13" spans="2:11">
      <c r="B13" s="13" t="s">
        <v>102</v>
      </c>
      <c r="C13" s="10"/>
      <c r="D13">
        <v>1</v>
      </c>
      <c r="E13" s="10">
        <v>45</v>
      </c>
      <c r="F13">
        <f t="shared" si="0"/>
        <v>0.45</v>
      </c>
      <c r="G13">
        <f t="shared" si="1"/>
        <v>0.15906375</v>
      </c>
      <c r="H13">
        <f t="shared" si="2"/>
        <v>0.74712893377172385</v>
      </c>
      <c r="I13">
        <f t="shared" si="3"/>
        <v>1.2987012987012988E-2</v>
      </c>
      <c r="J13">
        <f t="shared" si="4"/>
        <v>-4.3438054218536841</v>
      </c>
      <c r="K13">
        <f t="shared" si="5"/>
        <v>-5.6413057426671229E-2</v>
      </c>
    </row>
    <row r="14" spans="2:11">
      <c r="B14" s="13" t="s">
        <v>37</v>
      </c>
      <c r="C14" s="10" t="s">
        <v>31</v>
      </c>
      <c r="D14">
        <v>1</v>
      </c>
      <c r="E14" s="10">
        <v>82.5</v>
      </c>
      <c r="F14">
        <f t="shared" si="0"/>
        <v>0.82499999999999996</v>
      </c>
      <c r="G14">
        <f t="shared" si="1"/>
        <v>0.5346309374999999</v>
      </c>
      <c r="H14">
        <f t="shared" si="2"/>
        <v>2.5111833607327378</v>
      </c>
      <c r="I14">
        <f t="shared" si="3"/>
        <v>1.2987012987012988E-2</v>
      </c>
      <c r="J14">
        <f t="shared" si="4"/>
        <v>-4.3438054218536841</v>
      </c>
      <c r="K14">
        <f t="shared" si="5"/>
        <v>-5.6413057426671229E-2</v>
      </c>
    </row>
    <row r="15" spans="2:11">
      <c r="B15" s="13" t="s">
        <v>103</v>
      </c>
      <c r="C15" s="10" t="s">
        <v>19</v>
      </c>
      <c r="D15">
        <v>5</v>
      </c>
      <c r="E15">
        <v>50</v>
      </c>
      <c r="F15">
        <f t="shared" si="0"/>
        <v>0.5</v>
      </c>
      <c r="G15">
        <f t="shared" si="1"/>
        <v>0.19637499999999999</v>
      </c>
      <c r="H15">
        <f t="shared" si="2"/>
        <v>0.92238139971817756</v>
      </c>
      <c r="I15">
        <f t="shared" si="3"/>
        <v>6.4935064935064929E-2</v>
      </c>
      <c r="J15">
        <f t="shared" si="4"/>
        <v>-2.7343675094195836</v>
      </c>
      <c r="K15">
        <f t="shared" si="5"/>
        <v>-0.17755633178049243</v>
      </c>
    </row>
    <row r="16" spans="2:11">
      <c r="B16" s="13" t="s">
        <v>104</v>
      </c>
      <c r="C16" s="10" t="s">
        <v>105</v>
      </c>
      <c r="D16">
        <v>9</v>
      </c>
      <c r="E16">
        <v>347</v>
      </c>
      <c r="F16">
        <f t="shared" si="0"/>
        <v>3.47</v>
      </c>
      <c r="G16">
        <f t="shared" si="1"/>
        <v>9.4581269500000005</v>
      </c>
      <c r="H16">
        <f t="shared" si="2"/>
        <v>44.425208783466417</v>
      </c>
      <c r="I16">
        <f t="shared" si="3"/>
        <v>0.11688311688311688</v>
      </c>
      <c r="J16">
        <f t="shared" si="4"/>
        <v>-2.1465808445174646</v>
      </c>
      <c r="K16">
        <f t="shared" si="5"/>
        <v>-0.25089905974879456</v>
      </c>
    </row>
    <row r="17" spans="2:11">
      <c r="B17" s="13" t="s">
        <v>106</v>
      </c>
      <c r="C17" s="10" t="s">
        <v>107</v>
      </c>
      <c r="D17">
        <v>3</v>
      </c>
      <c r="E17">
        <v>41</v>
      </c>
      <c r="F17">
        <f t="shared" si="0"/>
        <v>0.41</v>
      </c>
      <c r="G17">
        <f t="shared" si="1"/>
        <v>0.13204254999999998</v>
      </c>
      <c r="H17">
        <f t="shared" si="2"/>
        <v>0.62020925317050246</v>
      </c>
      <c r="I17">
        <f t="shared" si="3"/>
        <v>3.896103896103896E-2</v>
      </c>
      <c r="J17">
        <f t="shared" si="4"/>
        <v>-3.2451931331855741</v>
      </c>
      <c r="K17">
        <f t="shared" si="5"/>
        <v>-0.12643609609813924</v>
      </c>
    </row>
    <row r="18" spans="2:11">
      <c r="B18" s="13" t="s">
        <v>108</v>
      </c>
      <c r="C18" s="10" t="s">
        <v>109</v>
      </c>
      <c r="D18">
        <v>2</v>
      </c>
      <c r="E18">
        <v>61</v>
      </c>
      <c r="F18">
        <f t="shared" si="0"/>
        <v>0.61</v>
      </c>
      <c r="G18">
        <f t="shared" si="1"/>
        <v>0.29228454999999998</v>
      </c>
      <c r="H18">
        <f t="shared" si="2"/>
        <v>1.3728724753405355</v>
      </c>
      <c r="I18">
        <f t="shared" si="3"/>
        <v>2.5974025974025976E-2</v>
      </c>
      <c r="J18">
        <f t="shared" si="4"/>
        <v>-3.6506582412937383</v>
      </c>
      <c r="K18">
        <f t="shared" si="5"/>
        <v>-9.4822291981655552E-2</v>
      </c>
    </row>
    <row r="19" spans="2:11">
      <c r="B19" s="13" t="s">
        <v>110</v>
      </c>
      <c r="C19" s="10" t="s">
        <v>109</v>
      </c>
      <c r="D19">
        <v>2</v>
      </c>
      <c r="E19">
        <v>24.2</v>
      </c>
      <c r="F19">
        <f t="shared" si="0"/>
        <v>0.24199999999999999</v>
      </c>
      <c r="G19">
        <f t="shared" si="1"/>
        <v>4.6002021999999997E-2</v>
      </c>
      <c r="H19">
        <f t="shared" si="2"/>
        <v>0.2160733771723814</v>
      </c>
      <c r="I19">
        <f t="shared" si="3"/>
        <v>2.5974025974025976E-2</v>
      </c>
      <c r="J19">
        <f t="shared" si="4"/>
        <v>-3.6506582412937383</v>
      </c>
      <c r="K19">
        <f t="shared" si="5"/>
        <v>-9.4822291981655552E-2</v>
      </c>
    </row>
    <row r="20" spans="2:11">
      <c r="B20" s="13" t="s">
        <v>111</v>
      </c>
      <c r="C20" s="10" t="s">
        <v>15</v>
      </c>
      <c r="D20">
        <v>1</v>
      </c>
      <c r="E20">
        <v>32</v>
      </c>
      <c r="F20">
        <f t="shared" si="0"/>
        <v>0.32</v>
      </c>
      <c r="G20">
        <f t="shared" si="1"/>
        <v>8.0435199999999998E-2</v>
      </c>
      <c r="H20">
        <f t="shared" si="2"/>
        <v>0.37780742132456552</v>
      </c>
      <c r="I20">
        <f t="shared" si="3"/>
        <v>1.2987012987012988E-2</v>
      </c>
      <c r="J20">
        <f t="shared" si="4"/>
        <v>-4.3438054218536841</v>
      </c>
      <c r="K20">
        <f t="shared" si="5"/>
        <v>-5.6413057426671229E-2</v>
      </c>
    </row>
    <row r="21" spans="2:11">
      <c r="B21" s="13" t="s">
        <v>20</v>
      </c>
      <c r="C21" s="10" t="s">
        <v>21</v>
      </c>
      <c r="D21">
        <v>10</v>
      </c>
      <c r="E21">
        <v>153</v>
      </c>
      <c r="F21">
        <f t="shared" si="0"/>
        <v>1.53</v>
      </c>
      <c r="G21">
        <f t="shared" si="1"/>
        <v>1.83877695</v>
      </c>
      <c r="H21">
        <f t="shared" si="2"/>
        <v>8.6368104744011269</v>
      </c>
      <c r="I21">
        <f t="shared" si="3"/>
        <v>0.12987012987012986</v>
      </c>
      <c r="J21">
        <f t="shared" si="4"/>
        <v>-2.0412203288596382</v>
      </c>
      <c r="K21">
        <f t="shared" si="5"/>
        <v>-0.2650935492025504</v>
      </c>
    </row>
    <row r="22" spans="2:11">
      <c r="B22" s="13" t="s">
        <v>112</v>
      </c>
      <c r="C22" s="10" t="s">
        <v>77</v>
      </c>
      <c r="D22">
        <v>1</v>
      </c>
      <c r="E22" s="10">
        <v>17</v>
      </c>
      <c r="F22">
        <f t="shared" si="0"/>
        <v>0.17</v>
      </c>
      <c r="G22">
        <f t="shared" si="1"/>
        <v>2.2700950000000004E-2</v>
      </c>
      <c r="H22">
        <f t="shared" si="2"/>
        <v>0.10662728980742135</v>
      </c>
      <c r="I22">
        <f t="shared" si="3"/>
        <v>1.2987012987012988E-2</v>
      </c>
      <c r="J22">
        <f t="shared" si="4"/>
        <v>-4.3438054218536841</v>
      </c>
      <c r="K22">
        <f t="shared" si="5"/>
        <v>-5.6413057426671229E-2</v>
      </c>
    </row>
    <row r="23" spans="2:11">
      <c r="B23" s="13" t="s">
        <v>113</v>
      </c>
      <c r="C23" s="10" t="s">
        <v>114</v>
      </c>
      <c r="D23">
        <v>1</v>
      </c>
      <c r="E23" s="10">
        <v>20</v>
      </c>
      <c r="F23">
        <f t="shared" si="0"/>
        <v>0.2</v>
      </c>
      <c r="G23">
        <f t="shared" si="1"/>
        <v>3.1420000000000003E-2</v>
      </c>
      <c r="H23">
        <f t="shared" si="2"/>
        <v>0.14758102395490844</v>
      </c>
      <c r="I23">
        <f t="shared" si="3"/>
        <v>1.2987012987012988E-2</v>
      </c>
      <c r="J23">
        <f t="shared" si="4"/>
        <v>-4.3438054218536841</v>
      </c>
      <c r="K23">
        <f t="shared" si="5"/>
        <v>-5.6413057426671229E-2</v>
      </c>
    </row>
    <row r="24" spans="2:11">
      <c r="B24" s="13" t="s">
        <v>115</v>
      </c>
      <c r="C24" s="10" t="s">
        <v>114</v>
      </c>
      <c r="D24">
        <v>1</v>
      </c>
      <c r="E24" s="10">
        <v>14</v>
      </c>
      <c r="F24">
        <f t="shared" si="0"/>
        <v>0.14000000000000001</v>
      </c>
      <c r="G24">
        <f t="shared" si="1"/>
        <v>1.5395800000000001E-2</v>
      </c>
      <c r="H24">
        <f t="shared" si="2"/>
        <v>7.2314701737905121E-2</v>
      </c>
      <c r="I24">
        <f t="shared" si="3"/>
        <v>1.2987012987012988E-2</v>
      </c>
      <c r="J24">
        <f t="shared" si="4"/>
        <v>-4.3438054218536841</v>
      </c>
      <c r="K24">
        <f t="shared" si="5"/>
        <v>-5.6413057426671229E-2</v>
      </c>
    </row>
    <row r="25" spans="2:11">
      <c r="B25" s="13" t="s">
        <v>116</v>
      </c>
      <c r="C25" s="10" t="s">
        <v>93</v>
      </c>
      <c r="D25">
        <v>2</v>
      </c>
      <c r="E25">
        <v>83.5</v>
      </c>
      <c r="F25">
        <f t="shared" si="0"/>
        <v>0.83499999999999996</v>
      </c>
      <c r="G25">
        <f t="shared" si="1"/>
        <v>0.54767023749999999</v>
      </c>
      <c r="H25">
        <f t="shared" si="2"/>
        <v>2.5724294856740255</v>
      </c>
      <c r="I25">
        <f t="shared" si="3"/>
        <v>2.5974025974025976E-2</v>
      </c>
      <c r="J25">
        <f t="shared" si="4"/>
        <v>-3.6506582412937383</v>
      </c>
      <c r="K25">
        <f t="shared" si="5"/>
        <v>-9.4822291981655552E-2</v>
      </c>
    </row>
    <row r="26" spans="2:11">
      <c r="B26" s="13" t="s">
        <v>117</v>
      </c>
      <c r="C26" s="39" t="s">
        <v>118</v>
      </c>
      <c r="D26">
        <v>1</v>
      </c>
      <c r="E26" s="10">
        <v>24.5</v>
      </c>
      <c r="F26">
        <f t="shared" si="0"/>
        <v>0.245</v>
      </c>
      <c r="G26">
        <f t="shared" si="1"/>
        <v>4.7149637499999994E-2</v>
      </c>
      <c r="H26">
        <f t="shared" si="2"/>
        <v>0.22146377407233439</v>
      </c>
      <c r="I26">
        <f t="shared" si="3"/>
        <v>1.2987012987012988E-2</v>
      </c>
      <c r="J26">
        <f t="shared" si="4"/>
        <v>-4.3438054218536841</v>
      </c>
      <c r="K26">
        <f t="shared" si="5"/>
        <v>-5.6413057426671229E-2</v>
      </c>
    </row>
    <row r="27" spans="2:11">
      <c r="B27" s="13" t="s">
        <v>119</v>
      </c>
      <c r="C27" s="10" t="s">
        <v>45</v>
      </c>
      <c r="D27">
        <v>1</v>
      </c>
      <c r="E27" s="10">
        <v>34</v>
      </c>
      <c r="F27">
        <f t="shared" si="0"/>
        <v>0.34</v>
      </c>
      <c r="G27">
        <f t="shared" si="1"/>
        <v>9.0803800000000018E-2</v>
      </c>
      <c r="H27">
        <f t="shared" si="2"/>
        <v>0.42650915922968541</v>
      </c>
      <c r="I27">
        <f t="shared" si="3"/>
        <v>1.2987012987012988E-2</v>
      </c>
      <c r="J27">
        <f t="shared" si="4"/>
        <v>-4.3438054218536841</v>
      </c>
      <c r="K27">
        <f t="shared" si="5"/>
        <v>-5.6413057426671229E-2</v>
      </c>
    </row>
    <row r="28" spans="2:11">
      <c r="B28" s="13" t="s">
        <v>120</v>
      </c>
      <c r="C28" s="10" t="s">
        <v>31</v>
      </c>
      <c r="D28">
        <v>1</v>
      </c>
      <c r="E28" s="10">
        <v>36</v>
      </c>
      <c r="F28">
        <f t="shared" si="0"/>
        <v>0.36</v>
      </c>
      <c r="G28">
        <f t="shared" si="1"/>
        <v>0.1018008</v>
      </c>
      <c r="H28">
        <f t="shared" si="2"/>
        <v>0.47816251761390327</v>
      </c>
      <c r="I28">
        <f t="shared" si="3"/>
        <v>1.2987012987012988E-2</v>
      </c>
      <c r="J28">
        <f t="shared" si="4"/>
        <v>-4.3438054218536841</v>
      </c>
      <c r="K28">
        <f t="shared" si="5"/>
        <v>-5.6413057426671229E-2</v>
      </c>
    </row>
    <row r="29" spans="2:11">
      <c r="B29" s="13" t="s">
        <v>121</v>
      </c>
      <c r="C29" s="10" t="s">
        <v>31</v>
      </c>
      <c r="D29">
        <v>1</v>
      </c>
      <c r="E29" s="10">
        <v>30</v>
      </c>
      <c r="F29">
        <f t="shared" si="0"/>
        <v>0.3</v>
      </c>
      <c r="G29">
        <f t="shared" si="1"/>
        <v>7.0694999999999994E-2</v>
      </c>
      <c r="H29">
        <f t="shared" si="2"/>
        <v>0.33205730389854388</v>
      </c>
      <c r="I29">
        <f t="shared" si="3"/>
        <v>1.2987012987012988E-2</v>
      </c>
      <c r="J29">
        <f t="shared" si="4"/>
        <v>-4.3438054218536841</v>
      </c>
      <c r="K29">
        <f t="shared" si="5"/>
        <v>-5.6413057426671229E-2</v>
      </c>
    </row>
    <row r="30" spans="2:11">
      <c r="B30" s="13" t="s">
        <v>122</v>
      </c>
      <c r="C30" s="10" t="s">
        <v>123</v>
      </c>
      <c r="D30">
        <v>6</v>
      </c>
      <c r="E30">
        <v>131</v>
      </c>
      <c r="F30">
        <f t="shared" si="0"/>
        <v>1.31</v>
      </c>
      <c r="G30">
        <f t="shared" si="1"/>
        <v>1.3479965500000002</v>
      </c>
      <c r="H30">
        <f t="shared" si="2"/>
        <v>6.3315948802254596</v>
      </c>
      <c r="I30">
        <f t="shared" si="3"/>
        <v>7.792207792207792E-2</v>
      </c>
      <c r="J30">
        <f t="shared" si="4"/>
        <v>-2.5520459526256287</v>
      </c>
      <c r="K30">
        <f t="shared" si="5"/>
        <v>-0.19886072358121781</v>
      </c>
    </row>
    <row r="31" spans="2:11">
      <c r="B31" s="13" t="s">
        <v>124</v>
      </c>
      <c r="C31" s="10" t="s">
        <v>31</v>
      </c>
      <c r="D31">
        <v>1</v>
      </c>
      <c r="E31" s="10">
        <v>45</v>
      </c>
      <c r="F31">
        <f t="shared" si="0"/>
        <v>0.45</v>
      </c>
      <c r="G31">
        <f t="shared" si="1"/>
        <v>0.15906375</v>
      </c>
      <c r="H31">
        <f t="shared" si="2"/>
        <v>0.74712893377172385</v>
      </c>
      <c r="I31">
        <f t="shared" si="3"/>
        <v>1.2987012987012988E-2</v>
      </c>
      <c r="J31">
        <f t="shared" si="4"/>
        <v>-4.3438054218536841</v>
      </c>
      <c r="K31">
        <f t="shared" si="5"/>
        <v>-5.6413057426671229E-2</v>
      </c>
    </row>
    <row r="32" spans="2:11">
      <c r="B32" s="13" t="s">
        <v>125</v>
      </c>
      <c r="C32" s="10" t="s">
        <v>41</v>
      </c>
      <c r="D32">
        <v>1</v>
      </c>
      <c r="E32" s="10">
        <v>17</v>
      </c>
      <c r="F32">
        <f t="shared" si="0"/>
        <v>0.17</v>
      </c>
      <c r="G32">
        <f t="shared" si="1"/>
        <v>2.2700950000000004E-2</v>
      </c>
      <c r="H32">
        <f t="shared" si="2"/>
        <v>0.10662728980742135</v>
      </c>
      <c r="I32">
        <f t="shared" si="3"/>
        <v>1.2987012987012988E-2</v>
      </c>
      <c r="J32">
        <f t="shared" si="4"/>
        <v>-4.3438054218536841</v>
      </c>
      <c r="K32">
        <f t="shared" si="5"/>
        <v>-5.6413057426671229E-2</v>
      </c>
    </row>
    <row r="33" spans="2:11">
      <c r="B33" s="13"/>
      <c r="C33" s="10"/>
      <c r="D33">
        <v>77</v>
      </c>
      <c r="E33" s="10"/>
      <c r="G33">
        <v>21.29</v>
      </c>
      <c r="J33" t="s">
        <v>32</v>
      </c>
      <c r="K33">
        <v>2.88</v>
      </c>
    </row>
    <row r="34" spans="2:11">
      <c r="B34" s="13"/>
      <c r="C34" s="10"/>
      <c r="E34" s="10"/>
      <c r="J34" t="s">
        <v>33</v>
      </c>
      <c r="K34">
        <f>2.88/LN(77)</f>
        <v>0.66301312335739548</v>
      </c>
    </row>
    <row r="35" spans="2:11">
      <c r="B35" s="13"/>
      <c r="C35" s="10"/>
    </row>
    <row r="36" spans="2:11">
      <c r="B36" s="13"/>
      <c r="C36" s="12" t="s">
        <v>34</v>
      </c>
    </row>
    <row r="37" spans="2:11">
      <c r="B37" s="12" t="s">
        <v>90</v>
      </c>
      <c r="C37" s="12" t="s">
        <v>2</v>
      </c>
      <c r="D37" s="12" t="s">
        <v>43</v>
      </c>
      <c r="E37" s="12" t="s">
        <v>91</v>
      </c>
      <c r="F37" s="36" t="s">
        <v>5</v>
      </c>
      <c r="G37" s="36" t="s">
        <v>6</v>
      </c>
      <c r="H37" s="36" t="s">
        <v>7</v>
      </c>
      <c r="I37" s="36" t="s">
        <v>8</v>
      </c>
      <c r="J37" s="36" t="s">
        <v>9</v>
      </c>
      <c r="K37" s="36" t="s">
        <v>10</v>
      </c>
    </row>
    <row r="38" spans="2:11">
      <c r="B38" s="13" t="s">
        <v>126</v>
      </c>
      <c r="C38" s="10"/>
      <c r="D38">
        <v>1</v>
      </c>
      <c r="E38" s="10">
        <v>22</v>
      </c>
      <c r="F38">
        <f>E38/100</f>
        <v>0.22</v>
      </c>
      <c r="G38">
        <f>((3.142*(F38)^2/4))</f>
        <v>3.8018199999999995E-2</v>
      </c>
      <c r="H38">
        <f>(G38/15.73)*100</f>
        <v>0.24169230769230765</v>
      </c>
      <c r="I38">
        <f>D38/67</f>
        <v>1.4925373134328358E-2</v>
      </c>
      <c r="J38">
        <f>LN(I38)</f>
        <v>-4.2046926193909657</v>
      </c>
      <c r="K38">
        <f>I38*J38</f>
        <v>-6.2756606259566652E-2</v>
      </c>
    </row>
    <row r="39" spans="2:11">
      <c r="B39" s="13" t="s">
        <v>96</v>
      </c>
      <c r="C39" s="10" t="s">
        <v>97</v>
      </c>
      <c r="D39">
        <v>4</v>
      </c>
      <c r="E39">
        <v>62</v>
      </c>
      <c r="F39">
        <f t="shared" ref="F39:F62" si="6">E39/100</f>
        <v>0.62</v>
      </c>
      <c r="G39">
        <f t="shared" ref="G39:G62" si="7">((3.142*(F39)^2/4))</f>
        <v>0.3019462</v>
      </c>
      <c r="H39">
        <f t="shared" ref="H39:H62" si="8">(G39/15.73)*100</f>
        <v>1.9195562619198983</v>
      </c>
      <c r="I39">
        <f t="shared" ref="I39:I62" si="9">D39/67</f>
        <v>5.9701492537313432E-2</v>
      </c>
      <c r="J39">
        <f t="shared" ref="J39:J62" si="10">LN(I39)</f>
        <v>-2.8183982582710754</v>
      </c>
      <c r="K39">
        <f t="shared" ref="K39:K62" si="11">I39*J39</f>
        <v>-0.16826258258334778</v>
      </c>
    </row>
    <row r="40" spans="2:11">
      <c r="B40" s="13" t="s">
        <v>127</v>
      </c>
      <c r="C40" s="10" t="s">
        <v>128</v>
      </c>
      <c r="D40">
        <v>3</v>
      </c>
      <c r="E40">
        <v>47</v>
      </c>
      <c r="F40">
        <f t="shared" si="6"/>
        <v>0.47</v>
      </c>
      <c r="G40">
        <f t="shared" si="7"/>
        <v>0.17351694999999998</v>
      </c>
      <c r="H40">
        <f t="shared" si="8"/>
        <v>1.1030956770502223</v>
      </c>
      <c r="I40">
        <f t="shared" si="9"/>
        <v>4.4776119402985072E-2</v>
      </c>
      <c r="J40">
        <f t="shared" si="10"/>
        <v>-3.1060803307228566</v>
      </c>
      <c r="K40">
        <f t="shared" si="11"/>
        <v>-0.13907822376370998</v>
      </c>
    </row>
    <row r="41" spans="2:11">
      <c r="B41" s="13" t="s">
        <v>129</v>
      </c>
      <c r="C41" s="10" t="s">
        <v>99</v>
      </c>
      <c r="D41">
        <v>1</v>
      </c>
      <c r="E41">
        <v>30</v>
      </c>
      <c r="F41">
        <f t="shared" si="6"/>
        <v>0.3</v>
      </c>
      <c r="G41">
        <f t="shared" si="7"/>
        <v>7.0694999999999994E-2</v>
      </c>
      <c r="H41">
        <f t="shared" si="8"/>
        <v>0.44942784488239024</v>
      </c>
      <c r="I41">
        <f t="shared" si="9"/>
        <v>1.4925373134328358E-2</v>
      </c>
      <c r="J41">
        <f t="shared" si="10"/>
        <v>-4.2046926193909657</v>
      </c>
      <c r="K41">
        <f t="shared" si="11"/>
        <v>-6.2756606259566652E-2</v>
      </c>
    </row>
    <row r="42" spans="2:11">
      <c r="B42" s="13" t="s">
        <v>100</v>
      </c>
      <c r="C42" s="10" t="s">
        <v>36</v>
      </c>
      <c r="D42">
        <v>2</v>
      </c>
      <c r="E42">
        <v>27</v>
      </c>
      <c r="F42">
        <f t="shared" si="6"/>
        <v>0.27</v>
      </c>
      <c r="G42">
        <f t="shared" si="7"/>
        <v>5.726295E-2</v>
      </c>
      <c r="H42">
        <f t="shared" si="8"/>
        <v>0.36403655435473614</v>
      </c>
      <c r="I42">
        <f t="shared" si="9"/>
        <v>2.9850746268656716E-2</v>
      </c>
      <c r="J42">
        <f t="shared" si="10"/>
        <v>-3.5115454388310208</v>
      </c>
      <c r="K42">
        <f t="shared" si="11"/>
        <v>-0.1048222519054036</v>
      </c>
    </row>
    <row r="43" spans="2:11">
      <c r="B43" s="13" t="s">
        <v>35</v>
      </c>
      <c r="C43" s="10" t="s">
        <v>36</v>
      </c>
      <c r="D43">
        <v>12</v>
      </c>
      <c r="E43">
        <v>285</v>
      </c>
      <c r="F43">
        <f t="shared" si="6"/>
        <v>2.85</v>
      </c>
      <c r="G43">
        <f t="shared" si="7"/>
        <v>6.3802237499999999</v>
      </c>
      <c r="H43">
        <f t="shared" si="8"/>
        <v>40.560863000635727</v>
      </c>
      <c r="I43">
        <f t="shared" si="9"/>
        <v>0.17910447761194029</v>
      </c>
      <c r="J43">
        <f t="shared" si="10"/>
        <v>-1.7197859696029658</v>
      </c>
      <c r="K43">
        <f t="shared" si="11"/>
        <v>-0.30802136769008343</v>
      </c>
    </row>
    <row r="44" spans="2:11">
      <c r="B44" s="13" t="s">
        <v>102</v>
      </c>
      <c r="C44" s="10"/>
      <c r="D44">
        <v>1</v>
      </c>
      <c r="E44">
        <v>13</v>
      </c>
      <c r="F44">
        <f t="shared" si="6"/>
        <v>0.13</v>
      </c>
      <c r="G44">
        <f t="shared" si="7"/>
        <v>1.3274950000000001E-2</v>
      </c>
      <c r="H44">
        <f t="shared" si="8"/>
        <v>8.4392561983471073E-2</v>
      </c>
      <c r="I44">
        <f t="shared" si="9"/>
        <v>1.4925373134328358E-2</v>
      </c>
      <c r="J44">
        <f t="shared" si="10"/>
        <v>-4.2046926193909657</v>
      </c>
      <c r="K44">
        <f t="shared" si="11"/>
        <v>-6.2756606259566652E-2</v>
      </c>
    </row>
    <row r="45" spans="2:11">
      <c r="B45" s="13" t="s">
        <v>103</v>
      </c>
      <c r="C45" s="10" t="s">
        <v>19</v>
      </c>
      <c r="D45">
        <v>2</v>
      </c>
      <c r="E45">
        <v>20</v>
      </c>
      <c r="F45">
        <f t="shared" si="6"/>
        <v>0.2</v>
      </c>
      <c r="G45">
        <f t="shared" si="7"/>
        <v>3.1420000000000003E-2</v>
      </c>
      <c r="H45">
        <f t="shared" si="8"/>
        <v>0.19974570883661796</v>
      </c>
      <c r="I45">
        <f t="shared" si="9"/>
        <v>2.9850746268656716E-2</v>
      </c>
      <c r="J45">
        <f t="shared" si="10"/>
        <v>-3.5115454388310208</v>
      </c>
      <c r="K45">
        <f t="shared" si="11"/>
        <v>-0.1048222519054036</v>
      </c>
    </row>
    <row r="46" spans="2:11">
      <c r="B46" s="13" t="s">
        <v>130</v>
      </c>
      <c r="C46" s="10" t="s">
        <v>31</v>
      </c>
      <c r="D46">
        <v>1</v>
      </c>
      <c r="E46" s="10">
        <v>23</v>
      </c>
      <c r="F46">
        <f t="shared" si="6"/>
        <v>0.23</v>
      </c>
      <c r="G46">
        <f t="shared" si="7"/>
        <v>4.1552949999999998E-2</v>
      </c>
      <c r="H46">
        <f t="shared" si="8"/>
        <v>0.26416369993642719</v>
      </c>
      <c r="I46">
        <f t="shared" si="9"/>
        <v>1.4925373134328358E-2</v>
      </c>
      <c r="J46">
        <f t="shared" si="10"/>
        <v>-4.2046926193909657</v>
      </c>
      <c r="K46">
        <f t="shared" si="11"/>
        <v>-6.2756606259566652E-2</v>
      </c>
    </row>
    <row r="47" spans="2:11">
      <c r="B47" s="13" t="s">
        <v>104</v>
      </c>
      <c r="C47" s="10" t="s">
        <v>105</v>
      </c>
      <c r="D47">
        <v>1</v>
      </c>
      <c r="E47" s="10">
        <v>32</v>
      </c>
      <c r="F47">
        <f t="shared" si="6"/>
        <v>0.32</v>
      </c>
      <c r="G47">
        <f t="shared" si="7"/>
        <v>8.0435199999999998E-2</v>
      </c>
      <c r="H47">
        <f t="shared" si="8"/>
        <v>0.51134901462174187</v>
      </c>
      <c r="I47">
        <f t="shared" si="9"/>
        <v>1.4925373134328358E-2</v>
      </c>
      <c r="J47">
        <f t="shared" si="10"/>
        <v>-4.2046926193909657</v>
      </c>
      <c r="K47">
        <f t="shared" si="11"/>
        <v>-6.2756606259566652E-2</v>
      </c>
    </row>
    <row r="48" spans="2:11">
      <c r="B48" s="13" t="s">
        <v>106</v>
      </c>
      <c r="C48" s="10" t="s">
        <v>107</v>
      </c>
      <c r="D48">
        <v>1</v>
      </c>
      <c r="E48" s="10">
        <v>16</v>
      </c>
      <c r="F48">
        <f t="shared" si="6"/>
        <v>0.16</v>
      </c>
      <c r="G48">
        <f t="shared" si="7"/>
        <v>2.01088E-2</v>
      </c>
      <c r="H48">
        <f t="shared" si="8"/>
        <v>0.12783725365543547</v>
      </c>
      <c r="I48">
        <f t="shared" si="9"/>
        <v>1.4925373134328358E-2</v>
      </c>
      <c r="J48">
        <f t="shared" si="10"/>
        <v>-4.2046926193909657</v>
      </c>
      <c r="K48">
        <f t="shared" si="11"/>
        <v>-6.2756606259566652E-2</v>
      </c>
    </row>
    <row r="49" spans="2:11">
      <c r="B49" s="13" t="s">
        <v>73</v>
      </c>
      <c r="C49" s="10" t="s">
        <v>97</v>
      </c>
      <c r="D49">
        <v>1</v>
      </c>
      <c r="E49" s="10">
        <v>11</v>
      </c>
      <c r="F49">
        <f t="shared" si="6"/>
        <v>0.11</v>
      </c>
      <c r="G49">
        <f t="shared" si="7"/>
        <v>9.5045499999999988E-3</v>
      </c>
      <c r="H49">
        <f t="shared" si="8"/>
        <v>6.0423076923076913E-2</v>
      </c>
      <c r="I49">
        <f t="shared" si="9"/>
        <v>1.4925373134328358E-2</v>
      </c>
      <c r="J49">
        <f t="shared" si="10"/>
        <v>-4.2046926193909657</v>
      </c>
      <c r="K49">
        <f t="shared" si="11"/>
        <v>-6.2756606259566652E-2</v>
      </c>
    </row>
    <row r="50" spans="2:11">
      <c r="B50" s="13" t="s">
        <v>131</v>
      </c>
      <c r="C50" s="10" t="s">
        <v>109</v>
      </c>
      <c r="D50">
        <v>2</v>
      </c>
      <c r="E50">
        <v>22</v>
      </c>
      <c r="F50">
        <f t="shared" si="6"/>
        <v>0.22</v>
      </c>
      <c r="G50">
        <f t="shared" si="7"/>
        <v>3.8018199999999995E-2</v>
      </c>
      <c r="H50">
        <f t="shared" si="8"/>
        <v>0.24169230769230765</v>
      </c>
      <c r="I50">
        <f t="shared" si="9"/>
        <v>2.9850746268656716E-2</v>
      </c>
      <c r="J50">
        <f t="shared" si="10"/>
        <v>-3.5115454388310208</v>
      </c>
      <c r="K50">
        <f t="shared" si="11"/>
        <v>-0.1048222519054036</v>
      </c>
    </row>
    <row r="51" spans="2:11">
      <c r="B51" s="13" t="s">
        <v>132</v>
      </c>
      <c r="C51" s="10" t="s">
        <v>109</v>
      </c>
      <c r="D51">
        <v>1</v>
      </c>
      <c r="E51">
        <v>20</v>
      </c>
      <c r="F51">
        <f t="shared" si="6"/>
        <v>0.2</v>
      </c>
      <c r="G51">
        <f t="shared" si="7"/>
        <v>3.1420000000000003E-2</v>
      </c>
      <c r="H51">
        <f t="shared" si="8"/>
        <v>0.19974570883661796</v>
      </c>
      <c r="I51">
        <f t="shared" si="9"/>
        <v>1.4925373134328358E-2</v>
      </c>
      <c r="J51">
        <f t="shared" si="10"/>
        <v>-4.2046926193909657</v>
      </c>
      <c r="K51">
        <f t="shared" si="11"/>
        <v>-6.2756606259566652E-2</v>
      </c>
    </row>
    <row r="52" spans="2:11">
      <c r="B52" s="13" t="s">
        <v>20</v>
      </c>
      <c r="C52" s="10" t="s">
        <v>21</v>
      </c>
      <c r="D52">
        <v>9</v>
      </c>
      <c r="E52">
        <v>147.5</v>
      </c>
      <c r="F52">
        <f t="shared" si="6"/>
        <v>1.4750000000000001</v>
      </c>
      <c r="G52">
        <f t="shared" si="7"/>
        <v>1.7089534374999999</v>
      </c>
      <c r="H52">
        <f t="shared" si="8"/>
        <v>10.864293944691672</v>
      </c>
      <c r="I52">
        <f t="shared" si="9"/>
        <v>0.13432835820895522</v>
      </c>
      <c r="J52">
        <f t="shared" si="10"/>
        <v>-2.0074680420547466</v>
      </c>
      <c r="K52">
        <f t="shared" si="11"/>
        <v>-0.26965988624616</v>
      </c>
    </row>
    <row r="53" spans="2:11">
      <c r="B53" s="13" t="s">
        <v>133</v>
      </c>
      <c r="C53" s="10" t="s">
        <v>41</v>
      </c>
      <c r="D53">
        <v>1</v>
      </c>
      <c r="E53" s="10">
        <v>44</v>
      </c>
      <c r="F53">
        <f t="shared" si="6"/>
        <v>0.44</v>
      </c>
      <c r="G53">
        <f t="shared" si="7"/>
        <v>0.15207279999999998</v>
      </c>
      <c r="H53">
        <f t="shared" si="8"/>
        <v>0.9667692307692306</v>
      </c>
      <c r="I53">
        <f t="shared" si="9"/>
        <v>1.4925373134328358E-2</v>
      </c>
      <c r="J53">
        <f t="shared" si="10"/>
        <v>-4.2046926193909657</v>
      </c>
      <c r="K53">
        <f t="shared" si="11"/>
        <v>-6.2756606259566652E-2</v>
      </c>
    </row>
    <row r="54" spans="2:11">
      <c r="B54" s="13" t="s">
        <v>112</v>
      </c>
      <c r="C54" s="10" t="s">
        <v>77</v>
      </c>
      <c r="D54">
        <v>1</v>
      </c>
      <c r="E54" s="10">
        <v>45</v>
      </c>
      <c r="F54">
        <f t="shared" si="6"/>
        <v>0.45</v>
      </c>
      <c r="G54">
        <f t="shared" si="7"/>
        <v>0.15906375</v>
      </c>
      <c r="H54">
        <f t="shared" si="8"/>
        <v>1.0112126509853783</v>
      </c>
      <c r="I54">
        <f t="shared" si="9"/>
        <v>1.4925373134328358E-2</v>
      </c>
      <c r="J54">
        <f t="shared" si="10"/>
        <v>-4.2046926193909657</v>
      </c>
      <c r="K54">
        <f t="shared" si="11"/>
        <v>-6.2756606259566652E-2</v>
      </c>
    </row>
    <row r="55" spans="2:11">
      <c r="B55" s="13" t="s">
        <v>134</v>
      </c>
      <c r="C55" s="10" t="s">
        <v>114</v>
      </c>
      <c r="D55">
        <v>2</v>
      </c>
      <c r="E55">
        <v>20</v>
      </c>
      <c r="F55">
        <f t="shared" si="6"/>
        <v>0.2</v>
      </c>
      <c r="G55">
        <f t="shared" si="7"/>
        <v>3.1420000000000003E-2</v>
      </c>
      <c r="H55">
        <f t="shared" si="8"/>
        <v>0.19974570883661796</v>
      </c>
      <c r="I55">
        <f t="shared" si="9"/>
        <v>2.9850746268656716E-2</v>
      </c>
      <c r="J55">
        <f t="shared" si="10"/>
        <v>-3.5115454388310208</v>
      </c>
      <c r="K55">
        <f t="shared" si="11"/>
        <v>-0.1048222519054036</v>
      </c>
    </row>
    <row r="56" spans="2:11">
      <c r="B56" s="13" t="s">
        <v>135</v>
      </c>
      <c r="C56" s="10" t="s">
        <v>21</v>
      </c>
      <c r="D56">
        <v>3</v>
      </c>
      <c r="E56">
        <v>60</v>
      </c>
      <c r="F56">
        <f t="shared" si="6"/>
        <v>0.6</v>
      </c>
      <c r="G56">
        <f t="shared" si="7"/>
        <v>0.28277999999999998</v>
      </c>
      <c r="H56">
        <f t="shared" si="8"/>
        <v>1.7977113795295609</v>
      </c>
      <c r="I56">
        <f t="shared" si="9"/>
        <v>4.4776119402985072E-2</v>
      </c>
      <c r="J56">
        <f t="shared" si="10"/>
        <v>-3.1060803307228566</v>
      </c>
      <c r="K56">
        <f t="shared" si="11"/>
        <v>-0.13907822376370998</v>
      </c>
    </row>
    <row r="57" spans="2:11">
      <c r="B57" s="13" t="s">
        <v>119</v>
      </c>
      <c r="C57" s="10" t="s">
        <v>45</v>
      </c>
      <c r="D57">
        <v>2</v>
      </c>
      <c r="E57">
        <v>67</v>
      </c>
      <c r="F57">
        <f t="shared" si="6"/>
        <v>0.67</v>
      </c>
      <c r="G57">
        <f t="shared" si="7"/>
        <v>0.35261095000000003</v>
      </c>
      <c r="H57">
        <f t="shared" si="8"/>
        <v>2.2416462174189449</v>
      </c>
      <c r="I57">
        <f t="shared" si="9"/>
        <v>2.9850746268656716E-2</v>
      </c>
      <c r="J57">
        <f t="shared" si="10"/>
        <v>-3.5115454388310208</v>
      </c>
      <c r="K57">
        <f t="shared" si="11"/>
        <v>-0.1048222519054036</v>
      </c>
    </row>
    <row r="58" spans="2:11">
      <c r="B58" s="13" t="s">
        <v>120</v>
      </c>
      <c r="C58" s="10" t="s">
        <v>31</v>
      </c>
      <c r="D58">
        <v>2</v>
      </c>
      <c r="E58">
        <v>32</v>
      </c>
      <c r="F58">
        <f t="shared" si="6"/>
        <v>0.32</v>
      </c>
      <c r="G58">
        <f t="shared" si="7"/>
        <v>8.0435199999999998E-2</v>
      </c>
      <c r="H58">
        <f t="shared" si="8"/>
        <v>0.51134901462174187</v>
      </c>
      <c r="I58">
        <f t="shared" si="9"/>
        <v>2.9850746268656716E-2</v>
      </c>
      <c r="J58">
        <f t="shared" si="10"/>
        <v>-3.5115454388310208</v>
      </c>
      <c r="K58">
        <f t="shared" si="11"/>
        <v>-0.1048222519054036</v>
      </c>
    </row>
    <row r="59" spans="2:11">
      <c r="B59" s="13" t="s">
        <v>136</v>
      </c>
      <c r="C59" s="10" t="s">
        <v>123</v>
      </c>
      <c r="D59">
        <v>8</v>
      </c>
      <c r="E59">
        <v>255</v>
      </c>
      <c r="F59">
        <f t="shared" si="6"/>
        <v>2.5499999999999998</v>
      </c>
      <c r="G59">
        <f t="shared" si="7"/>
        <v>5.1077137499999994</v>
      </c>
      <c r="H59">
        <f t="shared" si="8"/>
        <v>32.471161792752696</v>
      </c>
      <c r="I59">
        <f t="shared" si="9"/>
        <v>0.11940298507462686</v>
      </c>
      <c r="J59">
        <f t="shared" si="10"/>
        <v>-2.12525107771113</v>
      </c>
      <c r="K59">
        <f t="shared" si="11"/>
        <v>-0.2537613227117767</v>
      </c>
    </row>
    <row r="60" spans="2:11">
      <c r="B60" s="13" t="s">
        <v>124</v>
      </c>
      <c r="C60" s="10" t="s">
        <v>137</v>
      </c>
      <c r="D60">
        <v>1</v>
      </c>
      <c r="E60">
        <v>66</v>
      </c>
      <c r="F60">
        <f t="shared" si="6"/>
        <v>0.66</v>
      </c>
      <c r="G60">
        <f t="shared" si="7"/>
        <v>0.34216380000000002</v>
      </c>
      <c r="H60">
        <f t="shared" si="8"/>
        <v>2.1752307692307693</v>
      </c>
      <c r="I60">
        <f t="shared" si="9"/>
        <v>1.4925373134328358E-2</v>
      </c>
      <c r="J60">
        <f t="shared" si="10"/>
        <v>-4.2046926193909657</v>
      </c>
      <c r="K60">
        <f t="shared" si="11"/>
        <v>-6.2756606259566652E-2</v>
      </c>
    </row>
    <row r="61" spans="2:11">
      <c r="B61" s="13" t="s">
        <v>138</v>
      </c>
      <c r="C61" s="10" t="s">
        <v>41</v>
      </c>
      <c r="D61">
        <v>4</v>
      </c>
      <c r="E61">
        <v>51</v>
      </c>
      <c r="F61">
        <f t="shared" si="6"/>
        <v>0.51</v>
      </c>
      <c r="G61">
        <f t="shared" si="7"/>
        <v>0.20430855000000001</v>
      </c>
      <c r="H61">
        <f t="shared" si="8"/>
        <v>1.2988464717101083</v>
      </c>
      <c r="I61">
        <f t="shared" si="9"/>
        <v>5.9701492537313432E-2</v>
      </c>
      <c r="J61">
        <f t="shared" si="10"/>
        <v>-2.8183982582710754</v>
      </c>
      <c r="K61">
        <f t="shared" si="11"/>
        <v>-0.16826258258334778</v>
      </c>
    </row>
    <row r="62" spans="2:11">
      <c r="B62" s="13" t="s">
        <v>139</v>
      </c>
      <c r="C62" s="10" t="s">
        <v>140</v>
      </c>
      <c r="D62">
        <v>1</v>
      </c>
      <c r="E62">
        <v>16</v>
      </c>
      <c r="F62">
        <f t="shared" si="6"/>
        <v>0.16</v>
      </c>
      <c r="G62">
        <f t="shared" si="7"/>
        <v>2.01088E-2</v>
      </c>
      <c r="H62">
        <f t="shared" si="8"/>
        <v>0.12783725365543547</v>
      </c>
      <c r="I62">
        <f t="shared" si="9"/>
        <v>1.4925373134328358E-2</v>
      </c>
      <c r="J62">
        <f t="shared" si="10"/>
        <v>-4.2046926193909657</v>
      </c>
      <c r="K62">
        <f t="shared" si="11"/>
        <v>-6.2756606259566652E-2</v>
      </c>
    </row>
    <row r="63" spans="2:11">
      <c r="B63" s="13"/>
      <c r="C63" s="10"/>
      <c r="D63">
        <v>67</v>
      </c>
      <c r="G63">
        <v>15.73</v>
      </c>
      <c r="J63" t="s">
        <v>32</v>
      </c>
      <c r="K63">
        <v>2.83</v>
      </c>
    </row>
    <row r="64" spans="2:11">
      <c r="B64" s="13"/>
      <c r="C64" s="10"/>
      <c r="J64" t="s">
        <v>33</v>
      </c>
      <c r="K64">
        <f>2.83/LN(67)</f>
        <v>0.67305752314658263</v>
      </c>
    </row>
    <row r="65" spans="2:11">
      <c r="B65" s="13"/>
      <c r="C65" s="12" t="s">
        <v>42</v>
      </c>
    </row>
    <row r="66" spans="2:11">
      <c r="B66" s="12" t="s">
        <v>1</v>
      </c>
      <c r="C66" s="12" t="s">
        <v>2</v>
      </c>
      <c r="D66" s="12" t="s">
        <v>43</v>
      </c>
      <c r="E66" s="12" t="s">
        <v>91</v>
      </c>
      <c r="F66" s="36" t="s">
        <v>5</v>
      </c>
      <c r="G66" s="36" t="s">
        <v>6</v>
      </c>
      <c r="H66" s="36" t="s">
        <v>7</v>
      </c>
      <c r="I66" s="36" t="s">
        <v>8</v>
      </c>
      <c r="J66" s="36" t="s">
        <v>9</v>
      </c>
      <c r="K66" s="36" t="s">
        <v>10</v>
      </c>
    </row>
    <row r="67" spans="2:11">
      <c r="B67" s="13" t="s">
        <v>94</v>
      </c>
      <c r="C67" s="10" t="s">
        <v>12</v>
      </c>
      <c r="D67">
        <v>2</v>
      </c>
      <c r="E67">
        <v>47</v>
      </c>
      <c r="F67">
        <f>E67/100</f>
        <v>0.47</v>
      </c>
      <c r="G67">
        <f>((3.142*(F67)^2/4))</f>
        <v>0.17351694999999998</v>
      </c>
      <c r="H67">
        <f>(G67/10.64)*100</f>
        <v>1.6307984022556388</v>
      </c>
      <c r="I67">
        <f>D67/61</f>
        <v>3.2786885245901641E-2</v>
      </c>
      <c r="J67">
        <f>LN(I67)</f>
        <v>-3.417726683613366</v>
      </c>
      <c r="K67">
        <f>I67*J67</f>
        <v>-0.11205661257748742</v>
      </c>
    </row>
    <row r="68" spans="2:11">
      <c r="B68" s="13" t="s">
        <v>95</v>
      </c>
      <c r="C68" s="10" t="s">
        <v>21</v>
      </c>
      <c r="D68">
        <v>2</v>
      </c>
      <c r="E68">
        <v>34</v>
      </c>
      <c r="F68">
        <f t="shared" ref="F68:F87" si="12">E68/100</f>
        <v>0.34</v>
      </c>
      <c r="G68">
        <f t="shared" ref="G68:G87" si="13">((3.142*(F68)^2/4))</f>
        <v>9.0803800000000018E-2</v>
      </c>
      <c r="H68">
        <f t="shared" ref="H68:H87" si="14">(G68/10.64)*100</f>
        <v>0.85341917293233105</v>
      </c>
      <c r="I68">
        <f t="shared" ref="I68:I87" si="15">D68/61</f>
        <v>3.2786885245901641E-2</v>
      </c>
      <c r="J68">
        <f t="shared" ref="J68:J87" si="16">LN(I68)</f>
        <v>-3.417726683613366</v>
      </c>
      <c r="K68">
        <f t="shared" ref="K68:K87" si="17">I68*J68</f>
        <v>-0.11205661257748742</v>
      </c>
    </row>
    <row r="69" spans="2:11">
      <c r="B69" s="13" t="s">
        <v>126</v>
      </c>
      <c r="C69" s="10"/>
      <c r="D69">
        <v>1</v>
      </c>
      <c r="E69">
        <v>22</v>
      </c>
      <c r="F69">
        <f t="shared" si="12"/>
        <v>0.22</v>
      </c>
      <c r="G69">
        <f t="shared" si="13"/>
        <v>3.8018199999999995E-2</v>
      </c>
      <c r="H69">
        <f t="shared" si="14"/>
        <v>0.357313909774436</v>
      </c>
      <c r="I69">
        <f t="shared" si="15"/>
        <v>1.6393442622950821E-2</v>
      </c>
      <c r="J69">
        <f t="shared" si="16"/>
        <v>-4.1108738641733114</v>
      </c>
      <c r="K69">
        <f t="shared" si="17"/>
        <v>-6.7391374822513297E-2</v>
      </c>
    </row>
    <row r="70" spans="2:11">
      <c r="B70" s="13" t="s">
        <v>96</v>
      </c>
      <c r="C70" s="39" t="s">
        <v>97</v>
      </c>
      <c r="D70">
        <v>3</v>
      </c>
      <c r="E70">
        <v>56</v>
      </c>
      <c r="F70">
        <f t="shared" si="12"/>
        <v>0.56000000000000005</v>
      </c>
      <c r="G70">
        <f t="shared" si="13"/>
        <v>0.24633280000000002</v>
      </c>
      <c r="H70">
        <f t="shared" si="14"/>
        <v>2.3151578947368421</v>
      </c>
      <c r="I70">
        <f t="shared" si="15"/>
        <v>4.9180327868852458E-2</v>
      </c>
      <c r="J70">
        <f t="shared" si="16"/>
        <v>-3.0122615755052018</v>
      </c>
      <c r="K70">
        <f t="shared" si="17"/>
        <v>-0.14814401191009188</v>
      </c>
    </row>
    <row r="71" spans="2:11">
      <c r="B71" s="13" t="s">
        <v>14</v>
      </c>
      <c r="C71" s="10" t="s">
        <v>15</v>
      </c>
      <c r="D71">
        <v>2</v>
      </c>
      <c r="E71">
        <v>25</v>
      </c>
      <c r="F71">
        <f t="shared" si="12"/>
        <v>0.25</v>
      </c>
      <c r="G71">
        <f t="shared" si="13"/>
        <v>4.9093749999999999E-2</v>
      </c>
      <c r="H71">
        <f t="shared" si="14"/>
        <v>0.46140742481203006</v>
      </c>
      <c r="I71">
        <f t="shared" si="15"/>
        <v>3.2786885245901641E-2</v>
      </c>
      <c r="J71">
        <f t="shared" si="16"/>
        <v>-3.417726683613366</v>
      </c>
      <c r="K71">
        <f t="shared" si="17"/>
        <v>-0.11205661257748742</v>
      </c>
    </row>
    <row r="72" spans="2:11">
      <c r="B72" s="13" t="s">
        <v>129</v>
      </c>
      <c r="C72" s="10" t="s">
        <v>99</v>
      </c>
      <c r="D72">
        <v>1</v>
      </c>
      <c r="E72">
        <v>156</v>
      </c>
      <c r="F72">
        <f t="shared" si="12"/>
        <v>1.56</v>
      </c>
      <c r="G72">
        <f t="shared" si="13"/>
        <v>1.9115928000000002</v>
      </c>
      <c r="H72">
        <f t="shared" si="14"/>
        <v>17.966097744360905</v>
      </c>
      <c r="I72">
        <f t="shared" si="15"/>
        <v>1.6393442622950821E-2</v>
      </c>
      <c r="J72">
        <f t="shared" si="16"/>
        <v>-4.1108738641733114</v>
      </c>
      <c r="K72">
        <f t="shared" si="17"/>
        <v>-6.7391374822513297E-2</v>
      </c>
    </row>
    <row r="73" spans="2:11">
      <c r="B73" s="13" t="s">
        <v>35</v>
      </c>
      <c r="C73" s="10" t="s">
        <v>36</v>
      </c>
      <c r="D73">
        <v>4</v>
      </c>
      <c r="E73">
        <v>90</v>
      </c>
      <c r="F73">
        <f t="shared" si="12"/>
        <v>0.9</v>
      </c>
      <c r="G73">
        <f t="shared" si="13"/>
        <v>0.63625500000000001</v>
      </c>
      <c r="H73">
        <f t="shared" si="14"/>
        <v>5.9798402255639092</v>
      </c>
      <c r="I73">
        <f t="shared" si="15"/>
        <v>6.5573770491803282E-2</v>
      </c>
      <c r="J73">
        <f t="shared" si="16"/>
        <v>-2.7245795030534206</v>
      </c>
      <c r="K73">
        <f t="shared" si="17"/>
        <v>-0.17866095101989643</v>
      </c>
    </row>
    <row r="74" spans="2:11">
      <c r="B74" s="13" t="s">
        <v>103</v>
      </c>
      <c r="C74" s="10" t="s">
        <v>31</v>
      </c>
      <c r="D74">
        <v>3</v>
      </c>
      <c r="E74">
        <v>32</v>
      </c>
      <c r="F74">
        <f t="shared" si="12"/>
        <v>0.32</v>
      </c>
      <c r="G74">
        <f t="shared" si="13"/>
        <v>8.0435199999999998E-2</v>
      </c>
      <c r="H74">
        <f t="shared" si="14"/>
        <v>0.75596992481202996</v>
      </c>
      <c r="I74">
        <f t="shared" si="15"/>
        <v>4.9180327868852458E-2</v>
      </c>
      <c r="J74">
        <f t="shared" si="16"/>
        <v>-3.0122615755052018</v>
      </c>
      <c r="K74">
        <f t="shared" si="17"/>
        <v>-0.14814401191009188</v>
      </c>
    </row>
    <row r="75" spans="2:11">
      <c r="B75" s="13" t="s">
        <v>141</v>
      </c>
      <c r="C75" s="10" t="s">
        <v>31</v>
      </c>
      <c r="D75">
        <v>5</v>
      </c>
      <c r="E75">
        <v>74</v>
      </c>
      <c r="F75">
        <f t="shared" si="12"/>
        <v>0.74</v>
      </c>
      <c r="G75">
        <f t="shared" si="13"/>
        <v>0.43013979999999996</v>
      </c>
      <c r="H75">
        <f t="shared" si="14"/>
        <v>4.042667293233082</v>
      </c>
      <c r="I75">
        <f t="shared" si="15"/>
        <v>8.1967213114754092E-2</v>
      </c>
      <c r="J75">
        <f t="shared" si="16"/>
        <v>-2.5014359517392109</v>
      </c>
      <c r="K75">
        <f t="shared" si="17"/>
        <v>-0.20503573374911563</v>
      </c>
    </row>
    <row r="76" spans="2:11">
      <c r="B76" s="13" t="s">
        <v>132</v>
      </c>
      <c r="C76" s="10" t="s">
        <v>109</v>
      </c>
      <c r="D76">
        <v>6</v>
      </c>
      <c r="E76">
        <v>96</v>
      </c>
      <c r="F76">
        <f t="shared" si="12"/>
        <v>0.96</v>
      </c>
      <c r="G76">
        <f t="shared" si="13"/>
        <v>0.72391679999999992</v>
      </c>
      <c r="H76">
        <f t="shared" si="14"/>
        <v>6.8037293233082687</v>
      </c>
      <c r="I76">
        <f t="shared" si="15"/>
        <v>9.8360655737704916E-2</v>
      </c>
      <c r="J76">
        <f t="shared" si="16"/>
        <v>-2.3191143949452564</v>
      </c>
      <c r="K76">
        <f t="shared" si="17"/>
        <v>-0.22810961261756621</v>
      </c>
    </row>
    <row r="77" spans="2:11">
      <c r="B77" s="13" t="s">
        <v>110</v>
      </c>
      <c r="C77" s="10" t="s">
        <v>109</v>
      </c>
      <c r="D77">
        <v>2</v>
      </c>
      <c r="E77">
        <v>27</v>
      </c>
      <c r="F77">
        <f t="shared" si="12"/>
        <v>0.27</v>
      </c>
      <c r="G77">
        <f t="shared" si="13"/>
        <v>5.726295E-2</v>
      </c>
      <c r="H77">
        <f t="shared" si="14"/>
        <v>0.5381856203007519</v>
      </c>
      <c r="I77">
        <f t="shared" si="15"/>
        <v>3.2786885245901641E-2</v>
      </c>
      <c r="J77">
        <f t="shared" si="16"/>
        <v>-3.417726683613366</v>
      </c>
      <c r="K77">
        <f t="shared" si="17"/>
        <v>-0.11205661257748742</v>
      </c>
    </row>
    <row r="78" spans="2:11">
      <c r="B78" s="13" t="s">
        <v>142</v>
      </c>
      <c r="C78" s="10" t="s">
        <v>143</v>
      </c>
      <c r="D78">
        <v>2</v>
      </c>
      <c r="E78">
        <v>24</v>
      </c>
      <c r="F78">
        <f t="shared" si="12"/>
        <v>0.24</v>
      </c>
      <c r="G78">
        <f t="shared" si="13"/>
        <v>4.5244799999999995E-2</v>
      </c>
      <c r="H78">
        <f t="shared" si="14"/>
        <v>0.4252330827067668</v>
      </c>
      <c r="I78">
        <f t="shared" si="15"/>
        <v>3.2786885245901641E-2</v>
      </c>
      <c r="J78">
        <f t="shared" si="16"/>
        <v>-3.417726683613366</v>
      </c>
      <c r="K78">
        <f t="shared" si="17"/>
        <v>-0.11205661257748742</v>
      </c>
    </row>
    <row r="79" spans="2:11">
      <c r="B79" s="13" t="s">
        <v>112</v>
      </c>
      <c r="C79" s="10" t="s">
        <v>77</v>
      </c>
      <c r="D79">
        <v>1</v>
      </c>
      <c r="E79">
        <v>32</v>
      </c>
      <c r="F79">
        <f t="shared" si="12"/>
        <v>0.32</v>
      </c>
      <c r="G79">
        <f t="shared" si="13"/>
        <v>8.0435199999999998E-2</v>
      </c>
      <c r="H79">
        <f t="shared" si="14"/>
        <v>0.75596992481202996</v>
      </c>
      <c r="I79">
        <f t="shared" si="15"/>
        <v>1.6393442622950821E-2</v>
      </c>
      <c r="J79">
        <f t="shared" si="16"/>
        <v>-4.1108738641733114</v>
      </c>
      <c r="K79">
        <f t="shared" si="17"/>
        <v>-6.7391374822513297E-2</v>
      </c>
    </row>
    <row r="80" spans="2:11">
      <c r="B80" s="13" t="s">
        <v>144</v>
      </c>
      <c r="C80" s="10" t="s">
        <v>114</v>
      </c>
      <c r="D80">
        <v>2</v>
      </c>
      <c r="E80">
        <v>22</v>
      </c>
      <c r="F80">
        <f t="shared" si="12"/>
        <v>0.22</v>
      </c>
      <c r="G80">
        <f t="shared" si="13"/>
        <v>3.8018199999999995E-2</v>
      </c>
      <c r="H80">
        <f t="shared" si="14"/>
        <v>0.357313909774436</v>
      </c>
      <c r="I80">
        <f t="shared" si="15"/>
        <v>3.2786885245901641E-2</v>
      </c>
      <c r="J80">
        <f t="shared" si="16"/>
        <v>-3.417726683613366</v>
      </c>
      <c r="K80">
        <f t="shared" si="17"/>
        <v>-0.11205661257748742</v>
      </c>
    </row>
    <row r="81" spans="2:11">
      <c r="B81" s="13" t="s">
        <v>135</v>
      </c>
      <c r="C81" s="10" t="s">
        <v>21</v>
      </c>
      <c r="D81">
        <v>9</v>
      </c>
      <c r="E81">
        <v>143</v>
      </c>
      <c r="F81">
        <f t="shared" si="12"/>
        <v>1.43</v>
      </c>
      <c r="G81">
        <f t="shared" si="13"/>
        <v>1.6062689499999998</v>
      </c>
      <c r="H81">
        <f t="shared" si="14"/>
        <v>15.096512687969923</v>
      </c>
      <c r="I81">
        <f t="shared" si="15"/>
        <v>0.14754098360655737</v>
      </c>
      <c r="J81">
        <f t="shared" si="16"/>
        <v>-1.9136492868370918</v>
      </c>
      <c r="K81">
        <f t="shared" si="17"/>
        <v>-0.28234169805793158</v>
      </c>
    </row>
    <row r="82" spans="2:11">
      <c r="B82" s="13" t="s">
        <v>145</v>
      </c>
      <c r="C82" s="10" t="s">
        <v>53</v>
      </c>
      <c r="D82">
        <v>1</v>
      </c>
      <c r="E82" s="10">
        <v>60</v>
      </c>
      <c r="F82">
        <f t="shared" si="12"/>
        <v>0.6</v>
      </c>
      <c r="G82">
        <f t="shared" si="13"/>
        <v>0.28277999999999998</v>
      </c>
      <c r="H82">
        <f t="shared" si="14"/>
        <v>2.6577067669172929</v>
      </c>
      <c r="I82">
        <f t="shared" si="15"/>
        <v>1.6393442622950821E-2</v>
      </c>
      <c r="J82">
        <f t="shared" si="16"/>
        <v>-4.1108738641733114</v>
      </c>
      <c r="K82">
        <f t="shared" si="17"/>
        <v>-6.7391374822513297E-2</v>
      </c>
    </row>
    <row r="83" spans="2:11">
      <c r="B83" s="13" t="s">
        <v>119</v>
      </c>
      <c r="C83" s="10" t="s">
        <v>45</v>
      </c>
      <c r="D83">
        <v>1</v>
      </c>
      <c r="E83" s="10">
        <v>19</v>
      </c>
      <c r="F83">
        <f t="shared" si="12"/>
        <v>0.19</v>
      </c>
      <c r="G83">
        <f t="shared" si="13"/>
        <v>2.8356549999999998E-2</v>
      </c>
      <c r="H83">
        <f t="shared" si="14"/>
        <v>0.26650892857142855</v>
      </c>
      <c r="I83">
        <f t="shared" si="15"/>
        <v>1.6393442622950821E-2</v>
      </c>
      <c r="J83">
        <f t="shared" si="16"/>
        <v>-4.1108738641733114</v>
      </c>
      <c r="K83">
        <f t="shared" si="17"/>
        <v>-6.7391374822513297E-2</v>
      </c>
    </row>
    <row r="84" spans="2:11">
      <c r="B84" s="13" t="s">
        <v>136</v>
      </c>
      <c r="C84" s="10" t="s">
        <v>123</v>
      </c>
      <c r="D84">
        <v>8</v>
      </c>
      <c r="E84">
        <v>224</v>
      </c>
      <c r="F84">
        <f t="shared" si="12"/>
        <v>2.2400000000000002</v>
      </c>
      <c r="G84">
        <f t="shared" si="13"/>
        <v>3.9413248000000003</v>
      </c>
      <c r="H84">
        <f t="shared" si="14"/>
        <v>37.042526315789473</v>
      </c>
      <c r="I84">
        <f t="shared" si="15"/>
        <v>0.13114754098360656</v>
      </c>
      <c r="J84">
        <f t="shared" si="16"/>
        <v>-2.0314323224934752</v>
      </c>
      <c r="K84">
        <f t="shared" si="17"/>
        <v>-0.2664173537696361</v>
      </c>
    </row>
    <row r="85" spans="2:11">
      <c r="B85" s="13" t="s">
        <v>124</v>
      </c>
      <c r="C85" s="10" t="s">
        <v>31</v>
      </c>
      <c r="D85">
        <v>1</v>
      </c>
      <c r="E85">
        <v>11</v>
      </c>
      <c r="F85">
        <f t="shared" si="12"/>
        <v>0.11</v>
      </c>
      <c r="G85">
        <f t="shared" si="13"/>
        <v>9.5045499999999988E-3</v>
      </c>
      <c r="H85">
        <f t="shared" si="14"/>
        <v>8.9328477443609E-2</v>
      </c>
      <c r="I85">
        <f t="shared" si="15"/>
        <v>1.6393442622950821E-2</v>
      </c>
      <c r="J85">
        <f t="shared" si="16"/>
        <v>-4.1108738641733114</v>
      </c>
      <c r="K85">
        <f t="shared" si="17"/>
        <v>-6.7391374822513297E-2</v>
      </c>
    </row>
    <row r="86" spans="2:11">
      <c r="B86" s="13" t="s">
        <v>146</v>
      </c>
      <c r="C86" s="10" t="s">
        <v>31</v>
      </c>
      <c r="D86">
        <v>2</v>
      </c>
      <c r="E86">
        <v>27.3</v>
      </c>
      <c r="F86">
        <f t="shared" si="12"/>
        <v>0.27300000000000002</v>
      </c>
      <c r="G86">
        <f t="shared" si="13"/>
        <v>5.854252950000001E-2</v>
      </c>
      <c r="H86">
        <f t="shared" si="14"/>
        <v>0.55021174342105272</v>
      </c>
      <c r="I86">
        <f t="shared" si="15"/>
        <v>3.2786885245901641E-2</v>
      </c>
      <c r="J86">
        <f t="shared" si="16"/>
        <v>-3.417726683613366</v>
      </c>
      <c r="K86">
        <f t="shared" si="17"/>
        <v>-0.11205661257748742</v>
      </c>
    </row>
    <row r="87" spans="2:11">
      <c r="B87" s="13" t="s">
        <v>138</v>
      </c>
      <c r="C87" s="10" t="s">
        <v>41</v>
      </c>
      <c r="D87">
        <v>3</v>
      </c>
      <c r="E87">
        <v>37</v>
      </c>
      <c r="F87">
        <f t="shared" si="12"/>
        <v>0.37</v>
      </c>
      <c r="G87">
        <f t="shared" si="13"/>
        <v>0.10753494999999999</v>
      </c>
      <c r="H87">
        <f t="shared" si="14"/>
        <v>1.0106668233082705</v>
      </c>
      <c r="I87">
        <f t="shared" si="15"/>
        <v>4.9180327868852458E-2</v>
      </c>
      <c r="J87">
        <f t="shared" si="16"/>
        <v>-3.0122615755052018</v>
      </c>
      <c r="K87">
        <f t="shared" si="17"/>
        <v>-0.14814401191009188</v>
      </c>
    </row>
    <row r="88" spans="2:11">
      <c r="B88" s="13"/>
      <c r="C88" s="10"/>
      <c r="D88">
        <v>61</v>
      </c>
      <c r="G88">
        <v>10.64</v>
      </c>
      <c r="J88" t="s">
        <v>32</v>
      </c>
      <c r="K88">
        <v>2.79</v>
      </c>
    </row>
    <row r="89" spans="2:11">
      <c r="B89" s="13"/>
      <c r="C89" s="10"/>
      <c r="J89" t="s">
        <v>33</v>
      </c>
      <c r="K89">
        <f>2.79/LN(61)</f>
        <v>0.67868781485005825</v>
      </c>
    </row>
    <row r="90" spans="2:11">
      <c r="C90" s="1" t="s">
        <v>48</v>
      </c>
    </row>
    <row r="91" spans="2:11">
      <c r="B91" s="12" t="s">
        <v>90</v>
      </c>
      <c r="C91" s="12" t="s">
        <v>2</v>
      </c>
      <c r="D91" s="12" t="s">
        <v>43</v>
      </c>
      <c r="E91" s="12" t="s">
        <v>91</v>
      </c>
      <c r="F91" s="36" t="s">
        <v>5</v>
      </c>
      <c r="G91" s="36" t="s">
        <v>6</v>
      </c>
      <c r="H91" s="36" t="s">
        <v>7</v>
      </c>
      <c r="I91" s="36" t="s">
        <v>8</v>
      </c>
      <c r="J91" s="36" t="s">
        <v>9</v>
      </c>
      <c r="K91" s="36" t="s">
        <v>10</v>
      </c>
    </row>
    <row r="92" spans="2:11">
      <c r="B92" s="13" t="s">
        <v>94</v>
      </c>
      <c r="C92" s="10" t="s">
        <v>12</v>
      </c>
      <c r="D92">
        <v>2</v>
      </c>
      <c r="E92">
        <v>73</v>
      </c>
      <c r="F92">
        <f>E92/100</f>
        <v>0.73</v>
      </c>
      <c r="G92">
        <f>((3.142*(F92)^2/4))</f>
        <v>0.41859294999999991</v>
      </c>
      <c r="H92">
        <f>(G92/17.55)*100</f>
        <v>2.3851450142450137</v>
      </c>
      <c r="I92">
        <f>D92/62</f>
        <v>3.2258064516129031E-2</v>
      </c>
      <c r="J92">
        <f>LN(I92)</f>
        <v>-3.4339872044851463</v>
      </c>
      <c r="K92">
        <f>I92*J92</f>
        <v>-0.11077378078984343</v>
      </c>
    </row>
    <row r="93" spans="2:11">
      <c r="B93" s="13" t="s">
        <v>95</v>
      </c>
      <c r="C93" s="10" t="s">
        <v>21</v>
      </c>
      <c r="D93">
        <v>1</v>
      </c>
      <c r="E93" s="10">
        <v>42</v>
      </c>
      <c r="F93">
        <f t="shared" ref="F93:F110" si="18">E93/100</f>
        <v>0.42</v>
      </c>
      <c r="G93">
        <f t="shared" ref="G93:G110" si="19">((3.142*(F93)^2/4))</f>
        <v>0.13856219999999997</v>
      </c>
      <c r="H93">
        <f t="shared" ref="H93:H110" si="20">(G93/17.55)*100</f>
        <v>0.78952820512820499</v>
      </c>
      <c r="I93">
        <f t="shared" ref="I93:I110" si="21">D93/62</f>
        <v>1.6129032258064516E-2</v>
      </c>
      <c r="J93">
        <f t="shared" ref="J93:J110" si="22">LN(I93)</f>
        <v>-4.1271343850450917</v>
      </c>
      <c r="K93">
        <f t="shared" ref="K93:K110" si="23">I93*J93</f>
        <v>-6.6566683629759538E-2</v>
      </c>
    </row>
    <row r="94" spans="2:11">
      <c r="B94" s="13" t="s">
        <v>96</v>
      </c>
      <c r="C94" s="10" t="s">
        <v>97</v>
      </c>
      <c r="D94">
        <v>2</v>
      </c>
      <c r="E94">
        <v>35</v>
      </c>
      <c r="F94">
        <f t="shared" si="18"/>
        <v>0.35</v>
      </c>
      <c r="G94">
        <f t="shared" si="19"/>
        <v>9.6223749999999983E-2</v>
      </c>
      <c r="H94">
        <f t="shared" si="20"/>
        <v>0.54828347578347569</v>
      </c>
      <c r="I94">
        <f t="shared" si="21"/>
        <v>3.2258064516129031E-2</v>
      </c>
      <c r="J94">
        <f t="shared" si="22"/>
        <v>-3.4339872044851463</v>
      </c>
      <c r="K94">
        <f t="shared" si="23"/>
        <v>-0.11077378078984343</v>
      </c>
    </row>
    <row r="95" spans="2:11">
      <c r="B95" s="13" t="s">
        <v>147</v>
      </c>
      <c r="C95" s="10"/>
      <c r="D95">
        <v>1</v>
      </c>
      <c r="E95" s="10">
        <v>31</v>
      </c>
      <c r="F95">
        <f t="shared" si="18"/>
        <v>0.31</v>
      </c>
      <c r="G95">
        <f t="shared" si="19"/>
        <v>7.5486549999999999E-2</v>
      </c>
      <c r="H95">
        <f t="shared" si="20"/>
        <v>0.43012279202279202</v>
      </c>
      <c r="I95">
        <f t="shared" si="21"/>
        <v>1.6129032258064516E-2</v>
      </c>
      <c r="J95">
        <f t="shared" si="22"/>
        <v>-4.1271343850450917</v>
      </c>
      <c r="K95">
        <f t="shared" si="23"/>
        <v>-6.6566683629759538E-2</v>
      </c>
    </row>
    <row r="96" spans="2:11">
      <c r="B96" s="13" t="s">
        <v>35</v>
      </c>
      <c r="C96" s="10" t="s">
        <v>36</v>
      </c>
      <c r="D96">
        <v>6</v>
      </c>
      <c r="E96">
        <v>271</v>
      </c>
      <c r="F96">
        <f t="shared" si="18"/>
        <v>2.71</v>
      </c>
      <c r="G96">
        <f t="shared" si="19"/>
        <v>5.7687905500000003</v>
      </c>
      <c r="H96">
        <f t="shared" si="20"/>
        <v>32.870601424501423</v>
      </c>
      <c r="I96">
        <f t="shared" si="21"/>
        <v>9.6774193548387094E-2</v>
      </c>
      <c r="J96">
        <f t="shared" si="22"/>
        <v>-2.3353749158170367</v>
      </c>
      <c r="K96">
        <f t="shared" si="23"/>
        <v>-0.22600402411132614</v>
      </c>
    </row>
    <row r="97" spans="2:11">
      <c r="B97" s="13" t="s">
        <v>103</v>
      </c>
      <c r="C97" s="10" t="s">
        <v>31</v>
      </c>
      <c r="D97">
        <v>2</v>
      </c>
      <c r="E97">
        <v>21</v>
      </c>
      <c r="F97">
        <f t="shared" si="18"/>
        <v>0.21</v>
      </c>
      <c r="G97">
        <f t="shared" si="19"/>
        <v>3.4640549999999992E-2</v>
      </c>
      <c r="H97">
        <f t="shared" si="20"/>
        <v>0.19738205128205125</v>
      </c>
      <c r="I97">
        <f t="shared" si="21"/>
        <v>3.2258064516129031E-2</v>
      </c>
      <c r="J97">
        <f t="shared" si="22"/>
        <v>-3.4339872044851463</v>
      </c>
      <c r="K97">
        <f t="shared" si="23"/>
        <v>-0.11077378078984343</v>
      </c>
    </row>
    <row r="98" spans="2:11">
      <c r="B98" s="13" t="s">
        <v>148</v>
      </c>
      <c r="C98" s="10" t="s">
        <v>31</v>
      </c>
      <c r="D98">
        <v>3</v>
      </c>
      <c r="E98">
        <v>36</v>
      </c>
      <c r="F98">
        <f t="shared" si="18"/>
        <v>0.36</v>
      </c>
      <c r="G98">
        <f t="shared" si="19"/>
        <v>0.1018008</v>
      </c>
      <c r="H98">
        <f t="shared" si="20"/>
        <v>0.58006153846153841</v>
      </c>
      <c r="I98">
        <f t="shared" si="21"/>
        <v>4.8387096774193547E-2</v>
      </c>
      <c r="J98">
        <f t="shared" si="22"/>
        <v>-3.0285220963769821</v>
      </c>
      <c r="K98">
        <f t="shared" si="23"/>
        <v>-0.14654139176017655</v>
      </c>
    </row>
    <row r="99" spans="2:11">
      <c r="B99" s="13" t="s">
        <v>104</v>
      </c>
      <c r="C99" s="10" t="s">
        <v>105</v>
      </c>
      <c r="D99">
        <v>6</v>
      </c>
      <c r="E99">
        <v>235</v>
      </c>
      <c r="F99">
        <f t="shared" si="18"/>
        <v>2.35</v>
      </c>
      <c r="G99">
        <f t="shared" si="19"/>
        <v>4.3379237500000007</v>
      </c>
      <c r="H99">
        <f t="shared" si="20"/>
        <v>24.71751424501425</v>
      </c>
      <c r="I99">
        <f t="shared" si="21"/>
        <v>9.6774193548387094E-2</v>
      </c>
      <c r="J99">
        <f t="shared" si="22"/>
        <v>-2.3353749158170367</v>
      </c>
      <c r="K99">
        <f t="shared" si="23"/>
        <v>-0.22600402411132614</v>
      </c>
    </row>
    <row r="100" spans="2:11">
      <c r="B100" s="13" t="s">
        <v>149</v>
      </c>
      <c r="C100" s="10" t="s">
        <v>109</v>
      </c>
      <c r="D100">
        <v>1</v>
      </c>
      <c r="E100" s="10">
        <v>51</v>
      </c>
      <c r="F100">
        <f t="shared" si="18"/>
        <v>0.51</v>
      </c>
      <c r="G100">
        <f t="shared" si="19"/>
        <v>0.20430855000000001</v>
      </c>
      <c r="H100">
        <f t="shared" si="20"/>
        <v>1.164151282051282</v>
      </c>
      <c r="I100">
        <f t="shared" si="21"/>
        <v>1.6129032258064516E-2</v>
      </c>
      <c r="J100">
        <f t="shared" si="22"/>
        <v>-4.1271343850450917</v>
      </c>
      <c r="K100">
        <f t="shared" si="23"/>
        <v>-6.6566683629759538E-2</v>
      </c>
    </row>
    <row r="101" spans="2:11">
      <c r="B101" s="13" t="s">
        <v>110</v>
      </c>
      <c r="C101" s="10" t="s">
        <v>109</v>
      </c>
      <c r="D101">
        <v>5</v>
      </c>
      <c r="E101">
        <v>82</v>
      </c>
      <c r="F101">
        <f t="shared" si="18"/>
        <v>0.82</v>
      </c>
      <c r="G101">
        <f t="shared" si="19"/>
        <v>0.52817019999999992</v>
      </c>
      <c r="H101">
        <f t="shared" si="20"/>
        <v>3.0095168091168087</v>
      </c>
      <c r="I101">
        <f t="shared" si="21"/>
        <v>8.0645161290322578E-2</v>
      </c>
      <c r="J101">
        <f t="shared" si="22"/>
        <v>-2.5176964726109912</v>
      </c>
      <c r="K101">
        <f t="shared" si="23"/>
        <v>-0.20304003811378959</v>
      </c>
    </row>
    <row r="102" spans="2:11">
      <c r="B102" s="13" t="s">
        <v>150</v>
      </c>
      <c r="C102" s="39" t="s">
        <v>151</v>
      </c>
      <c r="D102">
        <v>4</v>
      </c>
      <c r="E102">
        <v>81</v>
      </c>
      <c r="F102">
        <f t="shared" si="18"/>
        <v>0.81</v>
      </c>
      <c r="G102">
        <f t="shared" si="19"/>
        <v>0.51536655000000009</v>
      </c>
      <c r="H102">
        <f t="shared" si="20"/>
        <v>2.9365615384615391</v>
      </c>
      <c r="I102">
        <f t="shared" si="21"/>
        <v>6.4516129032258063E-2</v>
      </c>
      <c r="J102">
        <f t="shared" si="22"/>
        <v>-2.7408400239252009</v>
      </c>
      <c r="K102">
        <f t="shared" si="23"/>
        <v>-0.17682838864033554</v>
      </c>
    </row>
    <row r="103" spans="2:11">
      <c r="B103" s="13" t="s">
        <v>20</v>
      </c>
      <c r="C103" s="10" t="s">
        <v>21</v>
      </c>
      <c r="D103">
        <v>3</v>
      </c>
      <c r="E103">
        <v>49</v>
      </c>
      <c r="F103">
        <f t="shared" si="18"/>
        <v>0.49</v>
      </c>
      <c r="G103">
        <f t="shared" si="19"/>
        <v>0.18859854999999998</v>
      </c>
      <c r="H103">
        <f t="shared" si="20"/>
        <v>1.0746356125356122</v>
      </c>
      <c r="I103">
        <f t="shared" si="21"/>
        <v>4.8387096774193547E-2</v>
      </c>
      <c r="J103">
        <f t="shared" si="22"/>
        <v>-3.0285220963769821</v>
      </c>
      <c r="K103">
        <f t="shared" si="23"/>
        <v>-0.14654139176017655</v>
      </c>
    </row>
    <row r="104" spans="2:11">
      <c r="B104" s="13" t="s">
        <v>112</v>
      </c>
      <c r="C104" s="10" t="s">
        <v>77</v>
      </c>
      <c r="D104">
        <v>1</v>
      </c>
      <c r="E104" s="10">
        <v>32</v>
      </c>
      <c r="F104">
        <f t="shared" si="18"/>
        <v>0.32</v>
      </c>
      <c r="G104">
        <f t="shared" si="19"/>
        <v>8.0435199999999998E-2</v>
      </c>
      <c r="H104">
        <f t="shared" si="20"/>
        <v>0.45832022792022792</v>
      </c>
      <c r="I104">
        <f t="shared" si="21"/>
        <v>1.6129032258064516E-2</v>
      </c>
      <c r="J104">
        <f t="shared" si="22"/>
        <v>-4.1271343850450917</v>
      </c>
      <c r="K104">
        <f t="shared" si="23"/>
        <v>-6.6566683629759538E-2</v>
      </c>
    </row>
    <row r="105" spans="2:11">
      <c r="B105" s="13" t="s">
        <v>152</v>
      </c>
      <c r="C105" s="10" t="s">
        <v>114</v>
      </c>
      <c r="D105">
        <v>3</v>
      </c>
      <c r="E105">
        <v>40</v>
      </c>
      <c r="F105">
        <f t="shared" si="18"/>
        <v>0.4</v>
      </c>
      <c r="G105">
        <f t="shared" si="19"/>
        <v>0.12568000000000001</v>
      </c>
      <c r="H105">
        <f t="shared" si="20"/>
        <v>0.71612535612535622</v>
      </c>
      <c r="I105">
        <f t="shared" si="21"/>
        <v>4.8387096774193547E-2</v>
      </c>
      <c r="J105">
        <f t="shared" si="22"/>
        <v>-3.0285220963769821</v>
      </c>
      <c r="K105">
        <f t="shared" si="23"/>
        <v>-0.14654139176017655</v>
      </c>
    </row>
    <row r="106" spans="2:11">
      <c r="B106" s="13" t="s">
        <v>27</v>
      </c>
      <c r="C106" s="10" t="s">
        <v>46</v>
      </c>
      <c r="D106">
        <v>1</v>
      </c>
      <c r="E106" s="10">
        <v>14</v>
      </c>
      <c r="F106">
        <f t="shared" si="18"/>
        <v>0.14000000000000001</v>
      </c>
      <c r="G106">
        <f t="shared" si="19"/>
        <v>1.5395800000000001E-2</v>
      </c>
      <c r="H106">
        <f t="shared" si="20"/>
        <v>8.7725356125356119E-2</v>
      </c>
      <c r="I106">
        <f t="shared" si="21"/>
        <v>1.6129032258064516E-2</v>
      </c>
      <c r="J106">
        <f t="shared" si="22"/>
        <v>-4.1271343850450917</v>
      </c>
      <c r="K106">
        <f t="shared" si="23"/>
        <v>-6.6566683629759538E-2</v>
      </c>
    </row>
    <row r="107" spans="2:11">
      <c r="B107" s="13" t="s">
        <v>135</v>
      </c>
      <c r="C107" s="10" t="s">
        <v>21</v>
      </c>
      <c r="D107">
        <v>8</v>
      </c>
      <c r="E107">
        <v>130</v>
      </c>
      <c r="F107">
        <f t="shared" si="18"/>
        <v>1.3</v>
      </c>
      <c r="G107">
        <f t="shared" si="19"/>
        <v>1.3274950000000001</v>
      </c>
      <c r="H107">
        <f t="shared" si="20"/>
        <v>7.5640740740740746</v>
      </c>
      <c r="I107">
        <f t="shared" si="21"/>
        <v>0.12903225806451613</v>
      </c>
      <c r="J107">
        <f t="shared" si="22"/>
        <v>-2.0476928433652555</v>
      </c>
      <c r="K107">
        <f t="shared" si="23"/>
        <v>-0.26421843140196843</v>
      </c>
    </row>
    <row r="108" spans="2:11">
      <c r="B108" s="13" t="s">
        <v>120</v>
      </c>
      <c r="C108" s="10" t="s">
        <v>31</v>
      </c>
      <c r="D108">
        <v>2</v>
      </c>
      <c r="E108">
        <v>71</v>
      </c>
      <c r="F108">
        <f t="shared" si="18"/>
        <v>0.71</v>
      </c>
      <c r="G108">
        <f t="shared" si="19"/>
        <v>0.39597054999999998</v>
      </c>
      <c r="H108">
        <f t="shared" si="20"/>
        <v>2.2562424501424498</v>
      </c>
      <c r="I108">
        <f t="shared" si="21"/>
        <v>3.2258064516129031E-2</v>
      </c>
      <c r="J108">
        <f t="shared" si="22"/>
        <v>-3.4339872044851463</v>
      </c>
      <c r="K108">
        <f t="shared" si="23"/>
        <v>-0.11077378078984343</v>
      </c>
    </row>
    <row r="109" spans="2:11">
      <c r="B109" s="13" t="s">
        <v>153</v>
      </c>
      <c r="C109" s="10" t="s">
        <v>123</v>
      </c>
      <c r="D109">
        <v>10</v>
      </c>
      <c r="E109">
        <v>201</v>
      </c>
      <c r="F109">
        <f t="shared" si="18"/>
        <v>2.0099999999999998</v>
      </c>
      <c r="G109">
        <f t="shared" si="19"/>
        <v>3.1734985499999993</v>
      </c>
      <c r="H109">
        <f t="shared" si="20"/>
        <v>18.082612820512818</v>
      </c>
      <c r="I109">
        <f t="shared" si="21"/>
        <v>0.16129032258064516</v>
      </c>
      <c r="J109">
        <f t="shared" si="22"/>
        <v>-1.824549292051046</v>
      </c>
      <c r="K109">
        <f t="shared" si="23"/>
        <v>-0.29428214387920093</v>
      </c>
    </row>
    <row r="110" spans="2:11">
      <c r="B110" s="13" t="s">
        <v>125</v>
      </c>
      <c r="C110" s="10" t="s">
        <v>41</v>
      </c>
      <c r="D110">
        <v>1</v>
      </c>
      <c r="E110" s="10">
        <v>16</v>
      </c>
      <c r="F110">
        <f t="shared" si="18"/>
        <v>0.16</v>
      </c>
      <c r="G110">
        <f t="shared" si="19"/>
        <v>2.01088E-2</v>
      </c>
      <c r="H110">
        <f t="shared" si="20"/>
        <v>0.11458005698005698</v>
      </c>
      <c r="I110">
        <f t="shared" si="21"/>
        <v>1.6129032258064516E-2</v>
      </c>
      <c r="J110">
        <f t="shared" si="22"/>
        <v>-4.1271343850450917</v>
      </c>
      <c r="K110">
        <f t="shared" si="23"/>
        <v>-6.6566683629759538E-2</v>
      </c>
    </row>
    <row r="111" spans="2:11">
      <c r="B111" s="13"/>
      <c r="C111" s="10"/>
      <c r="D111">
        <v>62</v>
      </c>
      <c r="G111">
        <v>17.55</v>
      </c>
      <c r="J111" t="s">
        <v>32</v>
      </c>
      <c r="K111">
        <v>2.67</v>
      </c>
    </row>
    <row r="112" spans="2:11">
      <c r="B112" s="13"/>
      <c r="C112" s="10"/>
      <c r="J112" t="s">
        <v>33</v>
      </c>
      <c r="K112">
        <f>2.67/LN(62)</f>
        <v>0.64693798430089855</v>
      </c>
    </row>
    <row r="113" spans="2:11">
      <c r="B113" s="13"/>
      <c r="C113" s="12" t="s">
        <v>55</v>
      </c>
    </row>
    <row r="114" spans="2:11">
      <c r="B114" s="12" t="s">
        <v>90</v>
      </c>
      <c r="C114" s="12" t="s">
        <v>2</v>
      </c>
      <c r="D114" s="12" t="s">
        <v>43</v>
      </c>
      <c r="E114" s="12" t="s">
        <v>91</v>
      </c>
      <c r="F114" s="36" t="s">
        <v>5</v>
      </c>
      <c r="G114" s="36" t="s">
        <v>6</v>
      </c>
      <c r="H114" s="36" t="s">
        <v>7</v>
      </c>
      <c r="I114" s="36" t="s">
        <v>8</v>
      </c>
      <c r="J114" s="36" t="s">
        <v>9</v>
      </c>
      <c r="K114" s="36" t="s">
        <v>10</v>
      </c>
    </row>
    <row r="115" spans="2:11">
      <c r="B115" s="13" t="s">
        <v>126</v>
      </c>
      <c r="C115" s="10" t="s">
        <v>72</v>
      </c>
      <c r="D115">
        <v>1</v>
      </c>
      <c r="E115">
        <v>13</v>
      </c>
      <c r="F115">
        <f>E115/100</f>
        <v>0.13</v>
      </c>
      <c r="G115">
        <f>((3.142*(F115)^2/4))</f>
        <v>1.3274950000000001E-2</v>
      </c>
      <c r="H115">
        <f>(G115/6.57)*100</f>
        <v>0.20205403348554032</v>
      </c>
      <c r="I115">
        <f>D115/36</f>
        <v>2.7777777777777776E-2</v>
      </c>
      <c r="J115">
        <f>LN(I115)</f>
        <v>-3.5835189384561099</v>
      </c>
      <c r="K115">
        <f>I115*J115</f>
        <v>-9.9542192734891941E-2</v>
      </c>
    </row>
    <row r="116" spans="2:11">
      <c r="B116" s="13" t="s">
        <v>96</v>
      </c>
      <c r="C116" s="10" t="s">
        <v>97</v>
      </c>
      <c r="D116">
        <v>7</v>
      </c>
      <c r="E116">
        <v>94</v>
      </c>
      <c r="F116">
        <f t="shared" ref="F116:F131" si="24">E116/100</f>
        <v>0.94</v>
      </c>
      <c r="G116">
        <f t="shared" ref="G116:G131" si="25">((3.142*(F116)^2/4))</f>
        <v>0.6940677999999999</v>
      </c>
      <c r="H116">
        <f t="shared" ref="H116:H131" si="26">(G116/6.57)*100</f>
        <v>10.564197869101976</v>
      </c>
      <c r="I116">
        <f t="shared" ref="I116:I131" si="27">D116/36</f>
        <v>0.19444444444444445</v>
      </c>
      <c r="J116">
        <f t="shared" ref="J116:J131" si="28">LN(I116)</f>
        <v>-1.6376087894007967</v>
      </c>
      <c r="K116">
        <f t="shared" ref="K116:K131" si="29">I116*J116</f>
        <v>-0.31842393127237711</v>
      </c>
    </row>
    <row r="117" spans="2:11">
      <c r="B117" s="13" t="s">
        <v>154</v>
      </c>
      <c r="C117" s="10" t="s">
        <v>97</v>
      </c>
      <c r="D117">
        <v>1</v>
      </c>
      <c r="E117">
        <v>97</v>
      </c>
      <c r="F117">
        <f t="shared" si="24"/>
        <v>0.97</v>
      </c>
      <c r="G117">
        <f t="shared" si="25"/>
        <v>0.73907694999999995</v>
      </c>
      <c r="H117">
        <f t="shared" si="26"/>
        <v>11.249268645357684</v>
      </c>
      <c r="I117">
        <f t="shared" si="27"/>
        <v>2.7777777777777776E-2</v>
      </c>
      <c r="J117">
        <f t="shared" si="28"/>
        <v>-3.5835189384561099</v>
      </c>
      <c r="K117">
        <f t="shared" si="29"/>
        <v>-9.9542192734891941E-2</v>
      </c>
    </row>
    <row r="118" spans="2:11">
      <c r="B118" s="13" t="s">
        <v>100</v>
      </c>
      <c r="C118" s="10" t="s">
        <v>36</v>
      </c>
      <c r="D118">
        <v>2</v>
      </c>
      <c r="E118">
        <v>40</v>
      </c>
      <c r="F118">
        <f t="shared" si="24"/>
        <v>0.4</v>
      </c>
      <c r="G118">
        <f t="shared" si="25"/>
        <v>0.12568000000000001</v>
      </c>
      <c r="H118">
        <f t="shared" si="26"/>
        <v>1.9129375951293759</v>
      </c>
      <c r="I118">
        <f t="shared" si="27"/>
        <v>5.5555555555555552E-2</v>
      </c>
      <c r="J118">
        <f t="shared" si="28"/>
        <v>-2.890371757896165</v>
      </c>
      <c r="K118">
        <f t="shared" si="29"/>
        <v>-0.16057620877200915</v>
      </c>
    </row>
    <row r="119" spans="2:11">
      <c r="B119" s="13" t="s">
        <v>35</v>
      </c>
      <c r="C119" s="10" t="s">
        <v>36</v>
      </c>
      <c r="D119">
        <v>3</v>
      </c>
      <c r="E119">
        <v>94</v>
      </c>
      <c r="F119">
        <f t="shared" si="24"/>
        <v>0.94</v>
      </c>
      <c r="G119">
        <f t="shared" si="25"/>
        <v>0.6940677999999999</v>
      </c>
      <c r="H119">
        <f t="shared" si="26"/>
        <v>10.564197869101976</v>
      </c>
      <c r="I119">
        <f t="shared" si="27"/>
        <v>8.3333333333333329E-2</v>
      </c>
      <c r="J119">
        <f t="shared" si="28"/>
        <v>-2.4849066497880004</v>
      </c>
      <c r="K119">
        <f t="shared" si="29"/>
        <v>-0.20707555414900003</v>
      </c>
    </row>
    <row r="120" spans="2:11">
      <c r="B120" s="13" t="s">
        <v>102</v>
      </c>
      <c r="C120" s="10" t="s">
        <v>72</v>
      </c>
      <c r="D120">
        <v>2</v>
      </c>
      <c r="E120">
        <v>156</v>
      </c>
      <c r="F120">
        <f t="shared" si="24"/>
        <v>1.56</v>
      </c>
      <c r="G120">
        <f t="shared" si="25"/>
        <v>1.9115928000000002</v>
      </c>
      <c r="H120">
        <f t="shared" si="26"/>
        <v>29.09578082191781</v>
      </c>
      <c r="I120">
        <f t="shared" si="27"/>
        <v>5.5555555555555552E-2</v>
      </c>
      <c r="J120">
        <f t="shared" si="28"/>
        <v>-2.890371757896165</v>
      </c>
      <c r="K120">
        <f t="shared" si="29"/>
        <v>-0.16057620877200915</v>
      </c>
    </row>
    <row r="121" spans="2:11">
      <c r="B121" s="13" t="s">
        <v>37</v>
      </c>
      <c r="C121" s="10" t="s">
        <v>31</v>
      </c>
      <c r="D121">
        <v>1</v>
      </c>
      <c r="E121" s="10">
        <v>115</v>
      </c>
      <c r="F121">
        <f t="shared" si="24"/>
        <v>1.1499999999999999</v>
      </c>
      <c r="G121">
        <f t="shared" si="25"/>
        <v>1.0388237499999997</v>
      </c>
      <c r="H121">
        <f t="shared" si="26"/>
        <v>15.811624809741243</v>
      </c>
      <c r="I121">
        <f t="shared" si="27"/>
        <v>2.7777777777777776E-2</v>
      </c>
      <c r="J121">
        <f t="shared" si="28"/>
        <v>-3.5835189384561099</v>
      </c>
      <c r="K121">
        <f t="shared" si="29"/>
        <v>-9.9542192734891941E-2</v>
      </c>
    </row>
    <row r="122" spans="2:11">
      <c r="B122" s="13" t="s">
        <v>103</v>
      </c>
      <c r="C122" s="10" t="s">
        <v>31</v>
      </c>
      <c r="D122">
        <v>1</v>
      </c>
      <c r="E122" s="10">
        <v>10</v>
      </c>
      <c r="F122">
        <f t="shared" si="24"/>
        <v>0.1</v>
      </c>
      <c r="G122">
        <f t="shared" si="25"/>
        <v>7.8550000000000009E-3</v>
      </c>
      <c r="H122">
        <f t="shared" si="26"/>
        <v>0.11955859969558599</v>
      </c>
      <c r="I122">
        <f t="shared" si="27"/>
        <v>2.7777777777777776E-2</v>
      </c>
      <c r="J122">
        <f t="shared" si="28"/>
        <v>-3.5835189384561099</v>
      </c>
      <c r="K122">
        <f t="shared" si="29"/>
        <v>-9.9542192734891941E-2</v>
      </c>
    </row>
    <row r="123" spans="2:11">
      <c r="B123" s="13" t="s">
        <v>148</v>
      </c>
      <c r="C123" s="10" t="s">
        <v>31</v>
      </c>
      <c r="D123">
        <v>1</v>
      </c>
      <c r="E123" s="10">
        <v>14</v>
      </c>
      <c r="F123">
        <f t="shared" si="24"/>
        <v>0.14000000000000001</v>
      </c>
      <c r="G123">
        <f t="shared" si="25"/>
        <v>1.5395800000000001E-2</v>
      </c>
      <c r="H123">
        <f t="shared" si="26"/>
        <v>0.23433485540334856</v>
      </c>
      <c r="I123">
        <f t="shared" si="27"/>
        <v>2.7777777777777776E-2</v>
      </c>
      <c r="J123">
        <f t="shared" si="28"/>
        <v>-3.5835189384561099</v>
      </c>
      <c r="K123">
        <f t="shared" si="29"/>
        <v>-9.9542192734891941E-2</v>
      </c>
    </row>
    <row r="124" spans="2:11">
      <c r="B124" s="13" t="s">
        <v>110</v>
      </c>
      <c r="C124" s="10" t="s">
        <v>109</v>
      </c>
      <c r="D124">
        <v>3</v>
      </c>
      <c r="E124">
        <v>42</v>
      </c>
      <c r="F124">
        <f t="shared" si="24"/>
        <v>0.42</v>
      </c>
      <c r="G124">
        <f t="shared" si="25"/>
        <v>0.13856219999999997</v>
      </c>
      <c r="H124">
        <f t="shared" si="26"/>
        <v>2.1090136986301364</v>
      </c>
      <c r="I124">
        <f t="shared" si="27"/>
        <v>8.3333333333333329E-2</v>
      </c>
      <c r="J124">
        <f t="shared" si="28"/>
        <v>-2.4849066497880004</v>
      </c>
      <c r="K124">
        <f t="shared" si="29"/>
        <v>-0.20707555414900003</v>
      </c>
    </row>
    <row r="125" spans="2:11">
      <c r="B125" s="13" t="s">
        <v>150</v>
      </c>
      <c r="C125" s="10" t="s">
        <v>155</v>
      </c>
      <c r="D125">
        <v>2</v>
      </c>
      <c r="E125">
        <v>42</v>
      </c>
      <c r="F125">
        <f t="shared" si="24"/>
        <v>0.42</v>
      </c>
      <c r="G125">
        <f t="shared" si="25"/>
        <v>0.13856219999999997</v>
      </c>
      <c r="H125">
        <f t="shared" si="26"/>
        <v>2.1090136986301364</v>
      </c>
      <c r="I125">
        <f t="shared" si="27"/>
        <v>5.5555555555555552E-2</v>
      </c>
      <c r="J125">
        <f t="shared" si="28"/>
        <v>-2.890371757896165</v>
      </c>
      <c r="K125">
        <f t="shared" si="29"/>
        <v>-0.16057620877200915</v>
      </c>
    </row>
    <row r="126" spans="2:11">
      <c r="B126" s="13" t="s">
        <v>20</v>
      </c>
      <c r="C126" s="10" t="s">
        <v>21</v>
      </c>
      <c r="D126">
        <v>1</v>
      </c>
      <c r="E126" s="10">
        <v>18</v>
      </c>
      <c r="F126">
        <f t="shared" si="24"/>
        <v>0.18</v>
      </c>
      <c r="G126">
        <f t="shared" si="25"/>
        <v>2.5450199999999999E-2</v>
      </c>
      <c r="H126">
        <f t="shared" si="26"/>
        <v>0.38736986301369858</v>
      </c>
      <c r="I126">
        <f t="shared" si="27"/>
        <v>2.7777777777777776E-2</v>
      </c>
      <c r="J126">
        <f t="shared" si="28"/>
        <v>-3.5835189384561099</v>
      </c>
      <c r="K126">
        <f t="shared" si="29"/>
        <v>-9.9542192734891941E-2</v>
      </c>
    </row>
    <row r="127" spans="2:11">
      <c r="B127" s="13" t="s">
        <v>26</v>
      </c>
      <c r="C127" s="10" t="s">
        <v>15</v>
      </c>
      <c r="D127">
        <v>1</v>
      </c>
      <c r="E127" s="10">
        <v>13</v>
      </c>
      <c r="F127">
        <f t="shared" si="24"/>
        <v>0.13</v>
      </c>
      <c r="G127">
        <f t="shared" si="25"/>
        <v>1.3274950000000001E-2</v>
      </c>
      <c r="H127">
        <f t="shared" si="26"/>
        <v>0.20205403348554032</v>
      </c>
      <c r="I127">
        <f t="shared" si="27"/>
        <v>2.7777777777777776E-2</v>
      </c>
      <c r="J127">
        <f t="shared" si="28"/>
        <v>-3.5835189384561099</v>
      </c>
      <c r="K127">
        <f t="shared" si="29"/>
        <v>-9.9542192734891941E-2</v>
      </c>
    </row>
    <row r="128" spans="2:11">
      <c r="B128" s="13" t="s">
        <v>152</v>
      </c>
      <c r="C128" s="10" t="s">
        <v>114</v>
      </c>
      <c r="D128">
        <v>1</v>
      </c>
      <c r="E128" s="10">
        <v>13</v>
      </c>
      <c r="F128">
        <f t="shared" si="24"/>
        <v>0.13</v>
      </c>
      <c r="G128">
        <f t="shared" si="25"/>
        <v>1.3274950000000001E-2</v>
      </c>
      <c r="H128">
        <f t="shared" si="26"/>
        <v>0.20205403348554032</v>
      </c>
      <c r="I128">
        <f t="shared" si="27"/>
        <v>2.7777777777777776E-2</v>
      </c>
      <c r="J128">
        <f t="shared" si="28"/>
        <v>-3.5835189384561099</v>
      </c>
      <c r="K128">
        <f t="shared" si="29"/>
        <v>-9.9542192734891941E-2</v>
      </c>
    </row>
    <row r="129" spans="2:11">
      <c r="B129" s="13" t="s">
        <v>135</v>
      </c>
      <c r="C129" s="10" t="s">
        <v>21</v>
      </c>
      <c r="D129">
        <v>3</v>
      </c>
      <c r="E129">
        <v>50</v>
      </c>
      <c r="F129">
        <f t="shared" si="24"/>
        <v>0.5</v>
      </c>
      <c r="G129">
        <f t="shared" si="25"/>
        <v>0.19637499999999999</v>
      </c>
      <c r="H129">
        <f t="shared" si="26"/>
        <v>2.9889649923896497</v>
      </c>
      <c r="I129">
        <f t="shared" si="27"/>
        <v>8.3333333333333329E-2</v>
      </c>
      <c r="J129">
        <f t="shared" si="28"/>
        <v>-2.4849066497880004</v>
      </c>
      <c r="K129">
        <f t="shared" si="29"/>
        <v>-0.20707555414900003</v>
      </c>
    </row>
    <row r="130" spans="2:11">
      <c r="B130" s="13" t="s">
        <v>153</v>
      </c>
      <c r="C130" s="10" t="s">
        <v>123</v>
      </c>
      <c r="D130">
        <v>4</v>
      </c>
      <c r="E130">
        <v>91</v>
      </c>
      <c r="F130">
        <f t="shared" si="24"/>
        <v>0.91</v>
      </c>
      <c r="G130">
        <f t="shared" si="25"/>
        <v>0.65047255000000004</v>
      </c>
      <c r="H130">
        <f t="shared" si="26"/>
        <v>9.9006476407914761</v>
      </c>
      <c r="I130">
        <f t="shared" si="27"/>
        <v>0.1111111111111111</v>
      </c>
      <c r="J130">
        <f t="shared" si="28"/>
        <v>-2.1972245773362196</v>
      </c>
      <c r="K130">
        <f t="shared" si="29"/>
        <v>-0.24413606414846883</v>
      </c>
    </row>
    <row r="131" spans="2:11">
      <c r="B131" s="13" t="s">
        <v>156</v>
      </c>
      <c r="C131" s="10" t="s">
        <v>137</v>
      </c>
      <c r="D131">
        <v>2</v>
      </c>
      <c r="E131">
        <v>44</v>
      </c>
      <c r="F131">
        <f t="shared" si="24"/>
        <v>0.44</v>
      </c>
      <c r="G131">
        <f t="shared" si="25"/>
        <v>0.15207279999999998</v>
      </c>
      <c r="H131">
        <f t="shared" si="26"/>
        <v>2.3146544901065447</v>
      </c>
      <c r="I131">
        <f t="shared" si="27"/>
        <v>5.5555555555555552E-2</v>
      </c>
      <c r="J131">
        <f t="shared" si="28"/>
        <v>-2.890371757896165</v>
      </c>
      <c r="K131">
        <f t="shared" si="29"/>
        <v>-0.16057620877200915</v>
      </c>
    </row>
    <row r="132" spans="2:11">
      <c r="B132" s="13"/>
      <c r="C132" s="10"/>
      <c r="D132">
        <v>36</v>
      </c>
      <c r="G132">
        <v>6.57</v>
      </c>
      <c r="J132" t="s">
        <v>32</v>
      </c>
      <c r="K132">
        <v>2.62</v>
      </c>
    </row>
    <row r="133" spans="2:11">
      <c r="B133" s="13"/>
      <c r="C133" s="10"/>
      <c r="J133" t="s">
        <v>33</v>
      </c>
      <c r="K133">
        <f>2.62/LN(36)</f>
        <v>0.73112492078213398</v>
      </c>
    </row>
    <row r="134" spans="2:11">
      <c r="B134" s="13"/>
      <c r="C134" s="10"/>
    </row>
    <row r="135" spans="2:11">
      <c r="B135" s="13"/>
      <c r="C135" s="12" t="s">
        <v>63</v>
      </c>
    </row>
    <row r="136" spans="2:11">
      <c r="B136" s="40" t="s">
        <v>90</v>
      </c>
      <c r="C136" s="12" t="s">
        <v>64</v>
      </c>
      <c r="D136" s="1" t="s">
        <v>43</v>
      </c>
      <c r="E136" s="1" t="s">
        <v>49</v>
      </c>
      <c r="F136" s="36" t="s">
        <v>5</v>
      </c>
      <c r="G136" s="36" t="s">
        <v>6</v>
      </c>
      <c r="H136" s="36" t="s">
        <v>7</v>
      </c>
      <c r="I136" s="36" t="s">
        <v>8</v>
      </c>
      <c r="J136" s="36" t="s">
        <v>9</v>
      </c>
      <c r="K136" s="36" t="s">
        <v>10</v>
      </c>
    </row>
    <row r="137" spans="2:11">
      <c r="B137" s="13" t="s">
        <v>92</v>
      </c>
      <c r="C137" s="10" t="s">
        <v>93</v>
      </c>
      <c r="D137">
        <v>1</v>
      </c>
      <c r="E137" s="10">
        <v>42</v>
      </c>
      <c r="F137">
        <f>E137/100</f>
        <v>0.42</v>
      </c>
      <c r="G137">
        <f>((3.142*(F137)^2/4))</f>
        <v>0.13856219999999997</v>
      </c>
      <c r="H137">
        <f>(G137/3.85)*100</f>
        <v>3.599018181818181</v>
      </c>
      <c r="I137">
        <f>D137/35</f>
        <v>2.8571428571428571E-2</v>
      </c>
      <c r="J137">
        <f>LN(35)</f>
        <v>3.5553480614894135</v>
      </c>
      <c r="K137">
        <f>I137*J137</f>
        <v>0.10158137318541181</v>
      </c>
    </row>
    <row r="138" spans="2:11">
      <c r="B138" s="13" t="s">
        <v>92</v>
      </c>
      <c r="C138" s="10" t="s">
        <v>93</v>
      </c>
      <c r="D138">
        <v>1</v>
      </c>
      <c r="E138" s="10">
        <v>39</v>
      </c>
      <c r="F138">
        <f t="shared" ref="F138:F152" si="30">E138/100</f>
        <v>0.39</v>
      </c>
      <c r="G138">
        <f t="shared" ref="G138:G152" si="31">((3.142*(F138)^2/4))</f>
        <v>0.11947455000000001</v>
      </c>
      <c r="H138">
        <f t="shared" ref="H138:H152" si="32">(G138/3.85)*100</f>
        <v>3.1032350649350655</v>
      </c>
      <c r="I138">
        <f t="shared" ref="I138:I152" si="33">D138/35</f>
        <v>2.8571428571428571E-2</v>
      </c>
      <c r="J138">
        <f t="shared" ref="J138:J152" si="34">LN(35)</f>
        <v>3.5553480614894135</v>
      </c>
      <c r="K138">
        <f t="shared" ref="K138:K152" si="35">I138*J138</f>
        <v>0.10158137318541181</v>
      </c>
    </row>
    <row r="139" spans="2:11">
      <c r="B139" s="13" t="s">
        <v>96</v>
      </c>
      <c r="C139" s="10" t="s">
        <v>97</v>
      </c>
      <c r="D139">
        <v>5</v>
      </c>
      <c r="E139">
        <v>67</v>
      </c>
      <c r="F139">
        <f t="shared" si="30"/>
        <v>0.67</v>
      </c>
      <c r="G139">
        <f t="shared" si="31"/>
        <v>0.35261095000000003</v>
      </c>
      <c r="H139">
        <f t="shared" si="32"/>
        <v>9.158725974025975</v>
      </c>
      <c r="I139">
        <f t="shared" si="33"/>
        <v>0.14285714285714285</v>
      </c>
      <c r="J139">
        <f t="shared" si="34"/>
        <v>3.5553480614894135</v>
      </c>
      <c r="K139">
        <f t="shared" si="35"/>
        <v>0.50790686592705903</v>
      </c>
    </row>
    <row r="140" spans="2:11">
      <c r="B140" s="13" t="s">
        <v>100</v>
      </c>
      <c r="C140" s="10" t="s">
        <v>36</v>
      </c>
      <c r="D140">
        <v>1</v>
      </c>
      <c r="E140">
        <v>10</v>
      </c>
      <c r="F140">
        <f t="shared" si="30"/>
        <v>0.1</v>
      </c>
      <c r="G140">
        <f t="shared" si="31"/>
        <v>7.8550000000000009E-3</v>
      </c>
      <c r="H140">
        <f t="shared" si="32"/>
        <v>0.20402597402597406</v>
      </c>
      <c r="I140">
        <f t="shared" si="33"/>
        <v>2.8571428571428571E-2</v>
      </c>
      <c r="J140">
        <f t="shared" si="34"/>
        <v>3.5553480614894135</v>
      </c>
      <c r="K140">
        <f t="shared" si="35"/>
        <v>0.10158137318541181</v>
      </c>
    </row>
    <row r="141" spans="2:11">
      <c r="B141" s="13" t="s">
        <v>35</v>
      </c>
      <c r="C141" s="10" t="s">
        <v>36</v>
      </c>
      <c r="D141">
        <v>6</v>
      </c>
      <c r="E141">
        <v>148</v>
      </c>
      <c r="F141">
        <f t="shared" si="30"/>
        <v>1.48</v>
      </c>
      <c r="G141">
        <f t="shared" si="31"/>
        <v>1.7205591999999998</v>
      </c>
      <c r="H141">
        <f t="shared" si="32"/>
        <v>44.689849350649347</v>
      </c>
      <c r="I141">
        <f t="shared" si="33"/>
        <v>0.17142857142857143</v>
      </c>
      <c r="J141">
        <f t="shared" si="34"/>
        <v>3.5553480614894135</v>
      </c>
      <c r="K141">
        <f t="shared" si="35"/>
        <v>0.60948823911247085</v>
      </c>
    </row>
    <row r="142" spans="2:11">
      <c r="B142" s="13" t="s">
        <v>103</v>
      </c>
      <c r="C142" s="10" t="s">
        <v>31</v>
      </c>
      <c r="D142">
        <v>1</v>
      </c>
      <c r="E142" s="10">
        <v>13</v>
      </c>
      <c r="F142">
        <f t="shared" si="30"/>
        <v>0.13</v>
      </c>
      <c r="G142">
        <f t="shared" si="31"/>
        <v>1.3274950000000001E-2</v>
      </c>
      <c r="H142">
        <f t="shared" si="32"/>
        <v>0.34480389610389611</v>
      </c>
      <c r="I142">
        <f t="shared" si="33"/>
        <v>2.8571428571428571E-2</v>
      </c>
      <c r="J142">
        <f t="shared" si="34"/>
        <v>3.5553480614894135</v>
      </c>
      <c r="K142">
        <f t="shared" si="35"/>
        <v>0.10158137318541181</v>
      </c>
    </row>
    <row r="143" spans="2:11">
      <c r="B143" s="13" t="s">
        <v>148</v>
      </c>
      <c r="C143" s="10" t="s">
        <v>31</v>
      </c>
      <c r="D143">
        <v>1</v>
      </c>
      <c r="E143" s="10">
        <v>11</v>
      </c>
      <c r="F143">
        <f t="shared" si="30"/>
        <v>0.11</v>
      </c>
      <c r="G143">
        <f t="shared" si="31"/>
        <v>9.5045499999999988E-3</v>
      </c>
      <c r="H143">
        <f t="shared" si="32"/>
        <v>0.24687142857142855</v>
      </c>
      <c r="I143">
        <f t="shared" si="33"/>
        <v>2.8571428571428571E-2</v>
      </c>
      <c r="J143">
        <f t="shared" si="34"/>
        <v>3.5553480614894135</v>
      </c>
      <c r="K143">
        <f t="shared" si="35"/>
        <v>0.10158137318541181</v>
      </c>
    </row>
    <row r="144" spans="2:11">
      <c r="B144" s="13" t="s">
        <v>110</v>
      </c>
      <c r="C144" s="10" t="s">
        <v>109</v>
      </c>
      <c r="D144">
        <v>3</v>
      </c>
      <c r="E144">
        <v>44</v>
      </c>
      <c r="F144">
        <f t="shared" si="30"/>
        <v>0.44</v>
      </c>
      <c r="G144">
        <f t="shared" si="31"/>
        <v>0.15207279999999998</v>
      </c>
      <c r="H144">
        <f t="shared" si="32"/>
        <v>3.9499428571428568</v>
      </c>
      <c r="I144">
        <f t="shared" si="33"/>
        <v>8.5714285714285715E-2</v>
      </c>
      <c r="J144">
        <f t="shared" si="34"/>
        <v>3.5553480614894135</v>
      </c>
      <c r="K144">
        <f t="shared" si="35"/>
        <v>0.30474411955623543</v>
      </c>
    </row>
    <row r="145" spans="2:11">
      <c r="B145" s="13" t="s">
        <v>20</v>
      </c>
      <c r="C145" s="10" t="s">
        <v>21</v>
      </c>
      <c r="D145">
        <v>1</v>
      </c>
      <c r="E145">
        <v>15</v>
      </c>
      <c r="F145">
        <f t="shared" si="30"/>
        <v>0.15</v>
      </c>
      <c r="G145">
        <f t="shared" si="31"/>
        <v>1.7673749999999998E-2</v>
      </c>
      <c r="H145">
        <f t="shared" si="32"/>
        <v>0.4590584415584415</v>
      </c>
      <c r="I145">
        <f t="shared" si="33"/>
        <v>2.8571428571428571E-2</v>
      </c>
      <c r="J145">
        <f t="shared" si="34"/>
        <v>3.5553480614894135</v>
      </c>
      <c r="K145">
        <f t="shared" si="35"/>
        <v>0.10158137318541181</v>
      </c>
    </row>
    <row r="146" spans="2:11">
      <c r="B146" s="13" t="s">
        <v>134</v>
      </c>
      <c r="C146" s="10" t="s">
        <v>114</v>
      </c>
      <c r="D146">
        <v>2</v>
      </c>
      <c r="E146">
        <v>27</v>
      </c>
      <c r="F146">
        <f t="shared" si="30"/>
        <v>0.27</v>
      </c>
      <c r="G146">
        <f t="shared" si="31"/>
        <v>5.726295E-2</v>
      </c>
      <c r="H146">
        <f t="shared" si="32"/>
        <v>1.4873493506493507</v>
      </c>
      <c r="I146">
        <f t="shared" si="33"/>
        <v>5.7142857142857141E-2</v>
      </c>
      <c r="J146">
        <f t="shared" si="34"/>
        <v>3.5553480614894135</v>
      </c>
      <c r="K146">
        <f t="shared" si="35"/>
        <v>0.20316274637082363</v>
      </c>
    </row>
    <row r="147" spans="2:11">
      <c r="B147" s="13" t="s">
        <v>135</v>
      </c>
      <c r="C147" s="10" t="s">
        <v>21</v>
      </c>
      <c r="D147">
        <v>4</v>
      </c>
      <c r="E147">
        <v>80</v>
      </c>
      <c r="F147">
        <f t="shared" si="30"/>
        <v>0.8</v>
      </c>
      <c r="G147">
        <f t="shared" si="31"/>
        <v>0.50272000000000006</v>
      </c>
      <c r="H147">
        <f t="shared" si="32"/>
        <v>13.05766233766234</v>
      </c>
      <c r="I147">
        <f t="shared" si="33"/>
        <v>0.11428571428571428</v>
      </c>
      <c r="J147">
        <f t="shared" si="34"/>
        <v>3.5553480614894135</v>
      </c>
      <c r="K147">
        <f t="shared" si="35"/>
        <v>0.40632549274164725</v>
      </c>
    </row>
    <row r="148" spans="2:11">
      <c r="B148" s="13" t="s">
        <v>52</v>
      </c>
      <c r="C148" s="10" t="s">
        <v>53</v>
      </c>
      <c r="D148">
        <v>1</v>
      </c>
      <c r="E148">
        <v>40</v>
      </c>
      <c r="F148">
        <f t="shared" si="30"/>
        <v>0.4</v>
      </c>
      <c r="G148">
        <f t="shared" si="31"/>
        <v>0.12568000000000001</v>
      </c>
      <c r="H148">
        <f t="shared" si="32"/>
        <v>3.2644155844155849</v>
      </c>
      <c r="I148">
        <f t="shared" si="33"/>
        <v>2.8571428571428571E-2</v>
      </c>
      <c r="J148">
        <f t="shared" si="34"/>
        <v>3.5553480614894135</v>
      </c>
      <c r="K148">
        <f t="shared" si="35"/>
        <v>0.10158137318541181</v>
      </c>
    </row>
    <row r="149" spans="2:11">
      <c r="B149" s="13" t="s">
        <v>153</v>
      </c>
      <c r="C149" s="10" t="s">
        <v>123</v>
      </c>
      <c r="D149">
        <v>5</v>
      </c>
      <c r="E149">
        <v>80</v>
      </c>
      <c r="F149">
        <f t="shared" si="30"/>
        <v>0.8</v>
      </c>
      <c r="G149">
        <f t="shared" si="31"/>
        <v>0.50272000000000006</v>
      </c>
      <c r="H149">
        <f t="shared" si="32"/>
        <v>13.05766233766234</v>
      </c>
      <c r="I149">
        <f t="shared" si="33"/>
        <v>0.14285714285714285</v>
      </c>
      <c r="J149">
        <f t="shared" si="34"/>
        <v>3.5553480614894135</v>
      </c>
      <c r="K149">
        <f t="shared" si="35"/>
        <v>0.50790686592705903</v>
      </c>
    </row>
    <row r="150" spans="2:11">
      <c r="B150" s="13" t="s">
        <v>138</v>
      </c>
      <c r="C150" s="10" t="s">
        <v>41</v>
      </c>
      <c r="D150">
        <v>1</v>
      </c>
      <c r="E150" s="10">
        <v>26</v>
      </c>
      <c r="F150">
        <f t="shared" si="30"/>
        <v>0.26</v>
      </c>
      <c r="G150">
        <f t="shared" si="31"/>
        <v>5.3099800000000003E-2</v>
      </c>
      <c r="H150">
        <f t="shared" si="32"/>
        <v>1.3792155844155845</v>
      </c>
      <c r="I150">
        <f t="shared" si="33"/>
        <v>2.8571428571428571E-2</v>
      </c>
      <c r="J150">
        <f t="shared" si="34"/>
        <v>3.5553480614894135</v>
      </c>
      <c r="K150">
        <f t="shared" si="35"/>
        <v>0.10158137318541181</v>
      </c>
    </row>
    <row r="151" spans="2:11">
      <c r="B151" s="13" t="s">
        <v>40</v>
      </c>
      <c r="C151" s="10" t="s">
        <v>41</v>
      </c>
      <c r="D151">
        <v>1</v>
      </c>
      <c r="E151" s="10">
        <v>17</v>
      </c>
      <c r="F151">
        <f t="shared" si="30"/>
        <v>0.17</v>
      </c>
      <c r="G151">
        <f t="shared" si="31"/>
        <v>2.2700950000000004E-2</v>
      </c>
      <c r="H151">
        <f t="shared" si="32"/>
        <v>0.58963506493506501</v>
      </c>
      <c r="I151">
        <f t="shared" si="33"/>
        <v>2.8571428571428571E-2</v>
      </c>
      <c r="J151">
        <f t="shared" si="34"/>
        <v>3.5553480614894135</v>
      </c>
      <c r="K151">
        <f t="shared" si="35"/>
        <v>0.10158137318541181</v>
      </c>
    </row>
    <row r="152" spans="2:11">
      <c r="B152" s="13" t="s">
        <v>157</v>
      </c>
      <c r="C152" s="10" t="s">
        <v>140</v>
      </c>
      <c r="D152">
        <v>1</v>
      </c>
      <c r="E152" s="10">
        <v>27</v>
      </c>
      <c r="F152">
        <f t="shared" si="30"/>
        <v>0.27</v>
      </c>
      <c r="G152">
        <f t="shared" si="31"/>
        <v>5.726295E-2</v>
      </c>
      <c r="H152">
        <f t="shared" si="32"/>
        <v>1.4873493506493507</v>
      </c>
      <c r="I152">
        <f t="shared" si="33"/>
        <v>2.8571428571428571E-2</v>
      </c>
      <c r="J152">
        <f t="shared" si="34"/>
        <v>3.5553480614894135</v>
      </c>
      <c r="K152">
        <f t="shared" si="35"/>
        <v>0.10158137318541181</v>
      </c>
    </row>
    <row r="153" spans="2:11">
      <c r="B153" s="13"/>
      <c r="C153" s="10"/>
      <c r="D153">
        <v>35</v>
      </c>
      <c r="G153">
        <v>3.85</v>
      </c>
      <c r="J153" t="s">
        <v>32</v>
      </c>
      <c r="K153">
        <v>3.55</v>
      </c>
    </row>
    <row r="154" spans="2:11">
      <c r="B154" s="13"/>
      <c r="C154" s="10"/>
      <c r="J154" t="s">
        <v>33</v>
      </c>
      <c r="K154">
        <f>3.55/LN(35)</f>
        <v>0.99849576992268563</v>
      </c>
    </row>
    <row r="155" spans="2:11">
      <c r="B155" s="13"/>
      <c r="C155" s="10"/>
    </row>
    <row r="156" spans="2:11">
      <c r="B156" s="13"/>
      <c r="C156" s="10"/>
    </row>
    <row r="157" spans="2:11">
      <c r="B157" s="13"/>
      <c r="C157" s="12" t="s">
        <v>68</v>
      </c>
    </row>
    <row r="158" spans="2:11">
      <c r="B158" s="40" t="s">
        <v>90</v>
      </c>
      <c r="C158" s="12" t="s">
        <v>64</v>
      </c>
      <c r="D158" s="1" t="s">
        <v>43</v>
      </c>
      <c r="E158" s="1" t="s">
        <v>49</v>
      </c>
      <c r="F158" s="36" t="s">
        <v>5</v>
      </c>
      <c r="G158" s="36" t="s">
        <v>6</v>
      </c>
      <c r="H158" s="36" t="s">
        <v>7</v>
      </c>
      <c r="I158" s="36" t="s">
        <v>8</v>
      </c>
      <c r="J158" s="36" t="s">
        <v>9</v>
      </c>
      <c r="K158" s="36" t="s">
        <v>10</v>
      </c>
    </row>
    <row r="159" spans="2:11">
      <c r="B159" s="13" t="s">
        <v>92</v>
      </c>
      <c r="C159" s="10"/>
      <c r="D159">
        <v>1</v>
      </c>
      <c r="E159" s="10">
        <v>17</v>
      </c>
      <c r="F159">
        <f>E159/100</f>
        <v>0.17</v>
      </c>
      <c r="G159">
        <f>((3.142*(F159)^2/4))</f>
        <v>2.2700950000000004E-2</v>
      </c>
      <c r="H159">
        <f>(G159/9.88)*100</f>
        <v>0.22976670040485833</v>
      </c>
      <c r="I159">
        <f>D159/54</f>
        <v>1.8518518518518517E-2</v>
      </c>
      <c r="J159">
        <f>LN(I159)</f>
        <v>-3.9889840465642745</v>
      </c>
      <c r="K159">
        <f>I159*J159</f>
        <v>-7.3870074936375443E-2</v>
      </c>
    </row>
    <row r="160" spans="2:11">
      <c r="B160" s="13" t="s">
        <v>95</v>
      </c>
      <c r="C160" s="10" t="s">
        <v>21</v>
      </c>
      <c r="D160">
        <v>1</v>
      </c>
      <c r="E160" s="10">
        <v>37</v>
      </c>
      <c r="F160">
        <f t="shared" ref="F160:F184" si="36">E160/100</f>
        <v>0.37</v>
      </c>
      <c r="G160">
        <f t="shared" ref="G160:G184" si="37">((3.142*(F160)^2/4))</f>
        <v>0.10753494999999999</v>
      </c>
      <c r="H160">
        <f t="shared" ref="H160:H184" si="38">(G160/9.88)*100</f>
        <v>1.0884104251012143</v>
      </c>
      <c r="I160">
        <f t="shared" ref="I160:I184" si="39">D160/54</f>
        <v>1.8518518518518517E-2</v>
      </c>
      <c r="J160">
        <f t="shared" ref="J160:J184" si="40">LN(I160)</f>
        <v>-3.9889840465642745</v>
      </c>
      <c r="K160">
        <f t="shared" ref="K160:K184" si="41">I160*J160</f>
        <v>-7.3870074936375443E-2</v>
      </c>
    </row>
    <row r="161" spans="2:11">
      <c r="B161" s="13" t="s">
        <v>96</v>
      </c>
      <c r="C161" s="10" t="s">
        <v>97</v>
      </c>
      <c r="D161">
        <v>4</v>
      </c>
      <c r="E161">
        <v>62</v>
      </c>
      <c r="F161">
        <f t="shared" si="36"/>
        <v>0.62</v>
      </c>
      <c r="G161">
        <f t="shared" si="37"/>
        <v>0.3019462</v>
      </c>
      <c r="H161">
        <f t="shared" si="38"/>
        <v>3.0561356275303644</v>
      </c>
      <c r="I161">
        <f t="shared" si="39"/>
        <v>7.407407407407407E-2</v>
      </c>
      <c r="J161">
        <f t="shared" si="40"/>
        <v>-2.6026896854443837</v>
      </c>
      <c r="K161">
        <f t="shared" si="41"/>
        <v>-0.19279182855143581</v>
      </c>
    </row>
    <row r="162" spans="2:11">
      <c r="B162" s="13" t="s">
        <v>158</v>
      </c>
      <c r="C162" s="10" t="s">
        <v>159</v>
      </c>
      <c r="D162">
        <v>1</v>
      </c>
      <c r="E162" s="10">
        <v>10</v>
      </c>
      <c r="F162">
        <f t="shared" si="36"/>
        <v>0.1</v>
      </c>
      <c r="G162">
        <f t="shared" si="37"/>
        <v>7.8550000000000009E-3</v>
      </c>
      <c r="H162">
        <f t="shared" si="38"/>
        <v>7.9504048582995951E-2</v>
      </c>
      <c r="I162">
        <f t="shared" si="39"/>
        <v>1.8518518518518517E-2</v>
      </c>
      <c r="J162">
        <f t="shared" si="40"/>
        <v>-3.9889840465642745</v>
      </c>
      <c r="K162">
        <f t="shared" si="41"/>
        <v>-7.3870074936375443E-2</v>
      </c>
    </row>
    <row r="163" spans="2:11">
      <c r="B163" s="13" t="s">
        <v>129</v>
      </c>
      <c r="C163" s="10" t="s">
        <v>99</v>
      </c>
      <c r="D163">
        <v>1</v>
      </c>
      <c r="E163" s="10">
        <v>160</v>
      </c>
      <c r="F163">
        <f t="shared" si="36"/>
        <v>1.6</v>
      </c>
      <c r="G163">
        <f t="shared" si="37"/>
        <v>2.0108800000000002</v>
      </c>
      <c r="H163">
        <f t="shared" si="38"/>
        <v>20.353036437246963</v>
      </c>
      <c r="I163">
        <f t="shared" si="39"/>
        <v>1.8518518518518517E-2</v>
      </c>
      <c r="J163">
        <f t="shared" si="40"/>
        <v>-3.9889840465642745</v>
      </c>
      <c r="K163">
        <f t="shared" si="41"/>
        <v>-7.3870074936375443E-2</v>
      </c>
    </row>
    <row r="164" spans="2:11">
      <c r="B164" s="13" t="s">
        <v>100</v>
      </c>
      <c r="C164" s="10" t="s">
        <v>36</v>
      </c>
      <c r="D164">
        <v>2</v>
      </c>
      <c r="E164">
        <v>41</v>
      </c>
      <c r="F164">
        <f t="shared" si="36"/>
        <v>0.41</v>
      </c>
      <c r="G164">
        <f t="shared" si="37"/>
        <v>0.13204254999999998</v>
      </c>
      <c r="H164">
        <f t="shared" si="38"/>
        <v>1.3364630566801616</v>
      </c>
      <c r="I164">
        <f t="shared" si="39"/>
        <v>3.7037037037037035E-2</v>
      </c>
      <c r="J164">
        <f t="shared" si="40"/>
        <v>-3.2958368660043291</v>
      </c>
      <c r="K164">
        <f t="shared" si="41"/>
        <v>-0.1220680320742344</v>
      </c>
    </row>
    <row r="165" spans="2:11">
      <c r="B165" s="13" t="s">
        <v>35</v>
      </c>
      <c r="C165" s="10" t="s">
        <v>36</v>
      </c>
      <c r="D165">
        <v>6</v>
      </c>
      <c r="E165">
        <v>126</v>
      </c>
      <c r="F165">
        <f t="shared" si="36"/>
        <v>1.26</v>
      </c>
      <c r="G165">
        <f t="shared" si="37"/>
        <v>1.2470598000000002</v>
      </c>
      <c r="H165">
        <f t="shared" si="38"/>
        <v>12.622062753036436</v>
      </c>
      <c r="I165">
        <f t="shared" si="39"/>
        <v>0.1111111111111111</v>
      </c>
      <c r="J165">
        <f t="shared" si="40"/>
        <v>-2.1972245773362196</v>
      </c>
      <c r="K165">
        <f t="shared" si="41"/>
        <v>-0.24413606414846883</v>
      </c>
    </row>
    <row r="166" spans="2:11">
      <c r="B166" s="13" t="s">
        <v>102</v>
      </c>
      <c r="C166" s="10"/>
      <c r="D166">
        <v>1</v>
      </c>
      <c r="E166" s="10">
        <v>72</v>
      </c>
      <c r="F166">
        <f t="shared" si="36"/>
        <v>0.72</v>
      </c>
      <c r="G166">
        <f t="shared" si="37"/>
        <v>0.40720319999999999</v>
      </c>
      <c r="H166">
        <f t="shared" si="38"/>
        <v>4.1214898785425103</v>
      </c>
      <c r="I166">
        <f t="shared" si="39"/>
        <v>1.8518518518518517E-2</v>
      </c>
      <c r="J166">
        <f t="shared" si="40"/>
        <v>-3.9889840465642745</v>
      </c>
      <c r="K166">
        <f t="shared" si="41"/>
        <v>-7.3870074936375443E-2</v>
      </c>
    </row>
    <row r="167" spans="2:11">
      <c r="B167" s="13" t="s">
        <v>103</v>
      </c>
      <c r="C167" s="10" t="s">
        <v>31</v>
      </c>
      <c r="D167">
        <v>1</v>
      </c>
      <c r="E167" s="10">
        <v>13</v>
      </c>
      <c r="F167">
        <f t="shared" si="36"/>
        <v>0.13</v>
      </c>
      <c r="G167">
        <f t="shared" si="37"/>
        <v>1.3274950000000001E-2</v>
      </c>
      <c r="H167">
        <f t="shared" si="38"/>
        <v>0.13436184210526314</v>
      </c>
      <c r="I167">
        <f t="shared" si="39"/>
        <v>1.8518518518518517E-2</v>
      </c>
      <c r="J167">
        <f t="shared" si="40"/>
        <v>-3.9889840465642745</v>
      </c>
      <c r="K167">
        <f t="shared" si="41"/>
        <v>-7.3870074936375443E-2</v>
      </c>
    </row>
    <row r="168" spans="2:11">
      <c r="B168" s="13" t="s">
        <v>104</v>
      </c>
      <c r="C168" s="10" t="s">
        <v>105</v>
      </c>
      <c r="D168">
        <v>2</v>
      </c>
      <c r="E168">
        <v>76</v>
      </c>
      <c r="F168">
        <f t="shared" si="36"/>
        <v>0.76</v>
      </c>
      <c r="G168">
        <f t="shared" si="37"/>
        <v>0.45370479999999996</v>
      </c>
      <c r="H168">
        <f t="shared" si="38"/>
        <v>4.5921538461538454</v>
      </c>
      <c r="I168">
        <f t="shared" si="39"/>
        <v>3.7037037037037035E-2</v>
      </c>
      <c r="J168">
        <f t="shared" si="40"/>
        <v>-3.2958368660043291</v>
      </c>
      <c r="K168">
        <f t="shared" si="41"/>
        <v>-0.1220680320742344</v>
      </c>
    </row>
    <row r="169" spans="2:11">
      <c r="B169" s="13" t="s">
        <v>110</v>
      </c>
      <c r="C169" s="10" t="s">
        <v>109</v>
      </c>
      <c r="D169">
        <v>3</v>
      </c>
      <c r="E169">
        <v>54</v>
      </c>
      <c r="F169">
        <f t="shared" si="36"/>
        <v>0.54</v>
      </c>
      <c r="G169">
        <f t="shared" si="37"/>
        <v>0.2290518</v>
      </c>
      <c r="H169">
        <f t="shared" si="38"/>
        <v>2.3183380566801617</v>
      </c>
      <c r="I169">
        <f t="shared" si="39"/>
        <v>5.5555555555555552E-2</v>
      </c>
      <c r="J169">
        <f t="shared" si="40"/>
        <v>-2.890371757896165</v>
      </c>
      <c r="K169">
        <f t="shared" si="41"/>
        <v>-0.16057620877200915</v>
      </c>
    </row>
    <row r="170" spans="2:11">
      <c r="B170" s="13" t="s">
        <v>160</v>
      </c>
      <c r="C170" s="10" t="s">
        <v>41</v>
      </c>
      <c r="D170">
        <v>1</v>
      </c>
      <c r="E170" s="10">
        <v>17</v>
      </c>
      <c r="F170">
        <f t="shared" si="36"/>
        <v>0.17</v>
      </c>
      <c r="G170">
        <f t="shared" si="37"/>
        <v>2.2700950000000004E-2</v>
      </c>
      <c r="H170">
        <f t="shared" si="38"/>
        <v>0.22976670040485833</v>
      </c>
      <c r="I170">
        <f t="shared" si="39"/>
        <v>1.8518518518518517E-2</v>
      </c>
      <c r="J170">
        <f t="shared" si="40"/>
        <v>-3.9889840465642745</v>
      </c>
      <c r="K170">
        <f t="shared" si="41"/>
        <v>-7.3870074936375443E-2</v>
      </c>
    </row>
    <row r="171" spans="2:11">
      <c r="B171" s="13" t="s">
        <v>83</v>
      </c>
      <c r="C171" s="10"/>
      <c r="D171">
        <v>2</v>
      </c>
      <c r="E171">
        <v>60</v>
      </c>
      <c r="F171">
        <f t="shared" si="36"/>
        <v>0.6</v>
      </c>
      <c r="G171">
        <f t="shared" si="37"/>
        <v>0.28277999999999998</v>
      </c>
      <c r="H171">
        <f t="shared" si="38"/>
        <v>2.8621457489878535</v>
      </c>
      <c r="I171">
        <f t="shared" si="39"/>
        <v>3.7037037037037035E-2</v>
      </c>
      <c r="J171">
        <f t="shared" si="40"/>
        <v>-3.2958368660043291</v>
      </c>
      <c r="K171">
        <f t="shared" si="41"/>
        <v>-0.1220680320742344</v>
      </c>
    </row>
    <row r="172" spans="2:11">
      <c r="B172" s="13" t="s">
        <v>20</v>
      </c>
      <c r="C172" s="10" t="s">
        <v>21</v>
      </c>
      <c r="D172">
        <v>2</v>
      </c>
      <c r="E172">
        <v>20</v>
      </c>
      <c r="F172">
        <f t="shared" si="36"/>
        <v>0.2</v>
      </c>
      <c r="G172">
        <f t="shared" si="37"/>
        <v>3.1420000000000003E-2</v>
      </c>
      <c r="H172">
        <f t="shared" si="38"/>
        <v>0.3180161943319838</v>
      </c>
      <c r="I172">
        <f t="shared" si="39"/>
        <v>3.7037037037037035E-2</v>
      </c>
      <c r="J172">
        <f t="shared" si="40"/>
        <v>-3.2958368660043291</v>
      </c>
      <c r="K172">
        <f t="shared" si="41"/>
        <v>-0.1220680320742344</v>
      </c>
    </row>
    <row r="173" spans="2:11">
      <c r="B173" s="13" t="s">
        <v>133</v>
      </c>
      <c r="C173" s="10"/>
      <c r="D173">
        <v>1</v>
      </c>
      <c r="E173" s="10">
        <v>69</v>
      </c>
      <c r="F173">
        <f t="shared" si="36"/>
        <v>0.69</v>
      </c>
      <c r="G173">
        <f t="shared" si="37"/>
        <v>0.37397654999999991</v>
      </c>
      <c r="H173">
        <f t="shared" si="38"/>
        <v>3.7851877530364364</v>
      </c>
      <c r="I173">
        <f t="shared" si="39"/>
        <v>1.8518518518518517E-2</v>
      </c>
      <c r="J173">
        <f t="shared" si="40"/>
        <v>-3.9889840465642745</v>
      </c>
      <c r="K173">
        <f t="shared" si="41"/>
        <v>-7.3870074936375443E-2</v>
      </c>
    </row>
    <row r="174" spans="2:11">
      <c r="B174" s="13" t="s">
        <v>26</v>
      </c>
      <c r="C174" s="10"/>
      <c r="D174">
        <v>1</v>
      </c>
      <c r="E174" s="10">
        <v>75</v>
      </c>
      <c r="F174">
        <f t="shared" si="36"/>
        <v>0.75</v>
      </c>
      <c r="G174">
        <f t="shared" si="37"/>
        <v>0.44184374999999998</v>
      </c>
      <c r="H174">
        <f t="shared" si="38"/>
        <v>4.4721027327935214</v>
      </c>
      <c r="I174">
        <f t="shared" si="39"/>
        <v>1.8518518518518517E-2</v>
      </c>
      <c r="J174">
        <f t="shared" si="40"/>
        <v>-3.9889840465642745</v>
      </c>
      <c r="K174">
        <f t="shared" si="41"/>
        <v>-7.3870074936375443E-2</v>
      </c>
    </row>
    <row r="175" spans="2:11">
      <c r="B175" s="13" t="s">
        <v>144</v>
      </c>
      <c r="C175" s="10" t="s">
        <v>114</v>
      </c>
      <c r="D175">
        <v>3</v>
      </c>
      <c r="E175">
        <v>45</v>
      </c>
      <c r="F175">
        <f t="shared" si="36"/>
        <v>0.45</v>
      </c>
      <c r="G175">
        <f t="shared" si="37"/>
        <v>0.15906375</v>
      </c>
      <c r="H175">
        <f t="shared" si="38"/>
        <v>1.609956983805668</v>
      </c>
      <c r="I175">
        <f t="shared" si="39"/>
        <v>5.5555555555555552E-2</v>
      </c>
      <c r="J175">
        <f t="shared" si="40"/>
        <v>-2.890371757896165</v>
      </c>
      <c r="K175">
        <f t="shared" si="41"/>
        <v>-0.16057620877200915</v>
      </c>
    </row>
    <row r="176" spans="2:11">
      <c r="B176" s="13" t="s">
        <v>116</v>
      </c>
      <c r="C176" s="10" t="s">
        <v>93</v>
      </c>
      <c r="D176">
        <v>1</v>
      </c>
      <c r="E176" s="10">
        <v>51</v>
      </c>
      <c r="F176">
        <f t="shared" si="36"/>
        <v>0.51</v>
      </c>
      <c r="G176">
        <f t="shared" si="37"/>
        <v>0.20430855000000001</v>
      </c>
      <c r="H176">
        <f t="shared" si="38"/>
        <v>2.0679003036437247</v>
      </c>
      <c r="I176">
        <f t="shared" si="39"/>
        <v>1.8518518518518517E-2</v>
      </c>
      <c r="J176">
        <f t="shared" si="40"/>
        <v>-3.9889840465642745</v>
      </c>
      <c r="K176">
        <f t="shared" si="41"/>
        <v>-7.3870074936375443E-2</v>
      </c>
    </row>
    <row r="177" spans="2:11">
      <c r="B177" s="13" t="s">
        <v>135</v>
      </c>
      <c r="C177" s="10" t="s">
        <v>21</v>
      </c>
      <c r="D177">
        <v>7</v>
      </c>
      <c r="E177">
        <v>166</v>
      </c>
      <c r="F177">
        <f t="shared" si="36"/>
        <v>1.66</v>
      </c>
      <c r="G177">
        <f t="shared" si="37"/>
        <v>2.1645238</v>
      </c>
      <c r="H177">
        <f t="shared" si="38"/>
        <v>21.908135627530363</v>
      </c>
      <c r="I177">
        <f t="shared" si="39"/>
        <v>0.12962962962962962</v>
      </c>
      <c r="J177">
        <f t="shared" si="40"/>
        <v>-2.0430738975089611</v>
      </c>
      <c r="K177">
        <f t="shared" si="41"/>
        <v>-0.2648429126400505</v>
      </c>
    </row>
    <row r="178" spans="2:11">
      <c r="B178" s="13" t="s">
        <v>161</v>
      </c>
      <c r="C178" s="10" t="s">
        <v>118</v>
      </c>
      <c r="D178">
        <v>1</v>
      </c>
      <c r="E178" s="10">
        <v>20</v>
      </c>
      <c r="F178">
        <f t="shared" si="36"/>
        <v>0.2</v>
      </c>
      <c r="G178">
        <f t="shared" si="37"/>
        <v>3.1420000000000003E-2</v>
      </c>
      <c r="H178">
        <f t="shared" si="38"/>
        <v>0.3180161943319838</v>
      </c>
      <c r="I178">
        <f t="shared" si="39"/>
        <v>1.8518518518518517E-2</v>
      </c>
      <c r="J178">
        <f t="shared" si="40"/>
        <v>-3.9889840465642745</v>
      </c>
      <c r="K178">
        <f t="shared" si="41"/>
        <v>-7.3870074936375443E-2</v>
      </c>
    </row>
    <row r="179" spans="2:11">
      <c r="B179" s="13" t="s">
        <v>119</v>
      </c>
      <c r="C179" s="10" t="s">
        <v>45</v>
      </c>
      <c r="D179">
        <v>1</v>
      </c>
      <c r="E179" s="10">
        <v>17</v>
      </c>
      <c r="F179">
        <f t="shared" si="36"/>
        <v>0.17</v>
      </c>
      <c r="G179">
        <f t="shared" si="37"/>
        <v>2.2700950000000004E-2</v>
      </c>
      <c r="H179">
        <f t="shared" si="38"/>
        <v>0.22976670040485833</v>
      </c>
      <c r="I179">
        <f t="shared" si="39"/>
        <v>1.8518518518518517E-2</v>
      </c>
      <c r="J179">
        <f t="shared" si="40"/>
        <v>-3.9889840465642745</v>
      </c>
      <c r="K179">
        <f t="shared" si="41"/>
        <v>-7.3870074936375443E-2</v>
      </c>
    </row>
    <row r="180" spans="2:11">
      <c r="B180" s="13" t="s">
        <v>162</v>
      </c>
      <c r="C180" s="10" t="s">
        <v>93</v>
      </c>
      <c r="D180">
        <v>1</v>
      </c>
      <c r="E180" s="10">
        <v>10</v>
      </c>
      <c r="F180">
        <f t="shared" si="36"/>
        <v>0.1</v>
      </c>
      <c r="G180">
        <f t="shared" si="37"/>
        <v>7.8550000000000009E-3</v>
      </c>
      <c r="H180">
        <f t="shared" si="38"/>
        <v>7.9504048582995951E-2</v>
      </c>
      <c r="I180">
        <f t="shared" si="39"/>
        <v>1.8518518518518517E-2</v>
      </c>
      <c r="J180">
        <f t="shared" si="40"/>
        <v>-3.9889840465642745</v>
      </c>
      <c r="K180">
        <f t="shared" si="41"/>
        <v>-7.3870074936375443E-2</v>
      </c>
    </row>
    <row r="181" spans="2:11">
      <c r="B181" s="13" t="s">
        <v>120</v>
      </c>
      <c r="C181" s="10" t="s">
        <v>31</v>
      </c>
      <c r="D181">
        <v>3</v>
      </c>
      <c r="E181">
        <v>50</v>
      </c>
      <c r="F181">
        <f t="shared" si="36"/>
        <v>0.5</v>
      </c>
      <c r="G181">
        <f t="shared" si="37"/>
        <v>0.19637499999999999</v>
      </c>
      <c r="H181">
        <f t="shared" si="38"/>
        <v>1.9876012145748985</v>
      </c>
      <c r="I181">
        <f t="shared" si="39"/>
        <v>5.5555555555555552E-2</v>
      </c>
      <c r="J181">
        <f t="shared" si="40"/>
        <v>-2.890371757896165</v>
      </c>
      <c r="K181">
        <f t="shared" si="41"/>
        <v>-0.16057620877200915</v>
      </c>
    </row>
    <row r="182" spans="2:11">
      <c r="B182" s="13" t="s">
        <v>121</v>
      </c>
      <c r="C182" s="10" t="s">
        <v>31</v>
      </c>
      <c r="D182">
        <v>1</v>
      </c>
      <c r="E182" s="10">
        <v>10</v>
      </c>
      <c r="F182">
        <f t="shared" si="36"/>
        <v>0.1</v>
      </c>
      <c r="G182">
        <f t="shared" si="37"/>
        <v>7.8550000000000009E-3</v>
      </c>
      <c r="H182">
        <f t="shared" si="38"/>
        <v>7.9504048582995951E-2</v>
      </c>
      <c r="I182">
        <f t="shared" si="39"/>
        <v>1.8518518518518517E-2</v>
      </c>
      <c r="J182">
        <f t="shared" si="40"/>
        <v>-3.9889840465642745</v>
      </c>
      <c r="K182">
        <f t="shared" si="41"/>
        <v>-7.3870074936375443E-2</v>
      </c>
    </row>
    <row r="183" spans="2:11">
      <c r="B183" s="13" t="s">
        <v>153</v>
      </c>
      <c r="C183" s="10" t="s">
        <v>123</v>
      </c>
      <c r="D183">
        <v>4</v>
      </c>
      <c r="E183">
        <v>109</v>
      </c>
      <c r="F183">
        <f t="shared" si="36"/>
        <v>1.0900000000000001</v>
      </c>
      <c r="G183">
        <f t="shared" si="37"/>
        <v>0.93325255000000007</v>
      </c>
      <c r="H183">
        <f t="shared" si="38"/>
        <v>9.4458760121457495</v>
      </c>
      <c r="I183">
        <f t="shared" si="39"/>
        <v>7.407407407407407E-2</v>
      </c>
      <c r="J183">
        <f t="shared" si="40"/>
        <v>-2.6026896854443837</v>
      </c>
      <c r="K183">
        <f t="shared" si="41"/>
        <v>-0.19279182855143581</v>
      </c>
    </row>
    <row r="184" spans="2:11">
      <c r="B184" s="13" t="s">
        <v>138</v>
      </c>
      <c r="C184" s="10" t="s">
        <v>41</v>
      </c>
      <c r="D184">
        <v>2</v>
      </c>
      <c r="E184">
        <v>29</v>
      </c>
      <c r="F184">
        <f t="shared" si="36"/>
        <v>0.28999999999999998</v>
      </c>
      <c r="G184">
        <f t="shared" si="37"/>
        <v>6.6060549999999996E-2</v>
      </c>
      <c r="H184">
        <f t="shared" si="38"/>
        <v>0.66862904858299588</v>
      </c>
      <c r="I184">
        <f t="shared" si="39"/>
        <v>3.7037037037037035E-2</v>
      </c>
      <c r="J184">
        <f t="shared" si="40"/>
        <v>-3.2958368660043291</v>
      </c>
      <c r="K184">
        <f t="shared" si="41"/>
        <v>-0.1220680320742344</v>
      </c>
    </row>
    <row r="185" spans="2:11">
      <c r="B185" s="13"/>
      <c r="C185" s="10"/>
      <c r="D185">
        <v>54</v>
      </c>
      <c r="G185">
        <v>9.8800000000000008</v>
      </c>
      <c r="J185" t="s">
        <v>32</v>
      </c>
      <c r="K185">
        <v>3.02</v>
      </c>
    </row>
    <row r="186" spans="2:11">
      <c r="B186" s="13"/>
      <c r="C186" s="10"/>
      <c r="J186" t="s">
        <v>33</v>
      </c>
      <c r="K186">
        <f>3.02/LN(54)</f>
        <v>0.75708500328577055</v>
      </c>
    </row>
    <row r="187" spans="2:11">
      <c r="B187" s="13"/>
      <c r="C187" s="10"/>
    </row>
    <row r="188" spans="2:11">
      <c r="B188" s="13"/>
      <c r="C188" s="10"/>
    </row>
    <row r="189" spans="2:11">
      <c r="B189" s="40"/>
      <c r="C189" s="12" t="s">
        <v>79</v>
      </c>
    </row>
    <row r="190" spans="2:11">
      <c r="B190" s="40" t="s">
        <v>90</v>
      </c>
      <c r="C190" s="12" t="s">
        <v>64</v>
      </c>
      <c r="D190" s="1" t="s">
        <v>43</v>
      </c>
      <c r="E190" s="1" t="s">
        <v>49</v>
      </c>
      <c r="F190" s="36" t="s">
        <v>5</v>
      </c>
      <c r="G190" s="36" t="s">
        <v>6</v>
      </c>
      <c r="H190" s="36" t="s">
        <v>7</v>
      </c>
      <c r="I190" s="36" t="s">
        <v>8</v>
      </c>
      <c r="J190" s="36" t="s">
        <v>9</v>
      </c>
      <c r="K190" s="36" t="s">
        <v>10</v>
      </c>
    </row>
    <row r="191" spans="2:11">
      <c r="B191" s="13" t="s">
        <v>13</v>
      </c>
      <c r="C191" s="10" t="s">
        <v>12</v>
      </c>
      <c r="D191">
        <v>1</v>
      </c>
      <c r="E191" s="10">
        <v>54.7</v>
      </c>
      <c r="F191">
        <f>E191/100</f>
        <v>0.54700000000000004</v>
      </c>
      <c r="G191">
        <f>((3.142*(F191)^2/4))</f>
        <v>0.23502866950000004</v>
      </c>
      <c r="H191">
        <f>(G191/17.72)*100</f>
        <v>1.326346893340858</v>
      </c>
      <c r="I191">
        <f>D191/75</f>
        <v>1.3333333333333334E-2</v>
      </c>
      <c r="J191">
        <f>LN(I191)</f>
        <v>-4.3174881135363101</v>
      </c>
      <c r="K191">
        <f>I191*J191</f>
        <v>-5.7566508180484137E-2</v>
      </c>
    </row>
    <row r="192" spans="2:11">
      <c r="B192" s="13" t="s">
        <v>96</v>
      </c>
      <c r="C192" s="10" t="s">
        <v>97</v>
      </c>
      <c r="D192">
        <v>1</v>
      </c>
      <c r="E192" s="10">
        <v>20</v>
      </c>
      <c r="F192">
        <f t="shared" ref="F192:F217" si="42">E192/100</f>
        <v>0.2</v>
      </c>
      <c r="G192">
        <f t="shared" ref="G192:G217" si="43">((3.142*(F192)^2/4))</f>
        <v>3.1420000000000003E-2</v>
      </c>
      <c r="H192">
        <f t="shared" ref="H192:H217" si="44">(G192/17.72)*100</f>
        <v>0.17731376975169305</v>
      </c>
      <c r="I192">
        <f t="shared" ref="I192:I217" si="45">D192/75</f>
        <v>1.3333333333333334E-2</v>
      </c>
      <c r="J192">
        <f t="shared" ref="J192:J217" si="46">LN(I192)</f>
        <v>-4.3174881135363101</v>
      </c>
      <c r="K192">
        <f t="shared" ref="K192:K217" si="47">I192*J192</f>
        <v>-5.7566508180484137E-2</v>
      </c>
    </row>
    <row r="193" spans="2:11">
      <c r="B193" s="13" t="s">
        <v>163</v>
      </c>
      <c r="C193" s="10"/>
      <c r="D193">
        <v>1</v>
      </c>
      <c r="E193" s="10">
        <v>10</v>
      </c>
      <c r="F193">
        <f t="shared" si="42"/>
        <v>0.1</v>
      </c>
      <c r="G193">
        <f t="shared" si="43"/>
        <v>7.8550000000000009E-3</v>
      </c>
      <c r="H193">
        <f t="shared" si="44"/>
        <v>4.4328442437923263E-2</v>
      </c>
      <c r="I193">
        <f t="shared" si="45"/>
        <v>1.3333333333333334E-2</v>
      </c>
      <c r="J193">
        <f t="shared" si="46"/>
        <v>-4.3174881135363101</v>
      </c>
      <c r="K193">
        <f t="shared" si="47"/>
        <v>-5.7566508180484137E-2</v>
      </c>
    </row>
    <row r="194" spans="2:11">
      <c r="B194" s="13" t="s">
        <v>164</v>
      </c>
      <c r="C194" s="10" t="s">
        <v>99</v>
      </c>
      <c r="D194">
        <v>4</v>
      </c>
      <c r="E194">
        <v>151.4</v>
      </c>
      <c r="F194">
        <f t="shared" si="42"/>
        <v>1.514</v>
      </c>
      <c r="G194">
        <f t="shared" si="43"/>
        <v>1.800519958</v>
      </c>
      <c r="H194">
        <f t="shared" si="44"/>
        <v>10.160947844243791</v>
      </c>
      <c r="I194">
        <f t="shared" si="45"/>
        <v>5.3333333333333337E-2</v>
      </c>
      <c r="J194">
        <f t="shared" si="46"/>
        <v>-2.9311937524164198</v>
      </c>
      <c r="K194">
        <f t="shared" si="47"/>
        <v>-0.15633033346220906</v>
      </c>
    </row>
    <row r="195" spans="2:11">
      <c r="B195" s="13" t="s">
        <v>165</v>
      </c>
      <c r="C195" s="10" t="s">
        <v>36</v>
      </c>
      <c r="D195">
        <v>1</v>
      </c>
      <c r="E195" s="10">
        <v>11.6</v>
      </c>
      <c r="F195">
        <f t="shared" si="42"/>
        <v>0.11599999999999999</v>
      </c>
      <c r="G195">
        <f t="shared" si="43"/>
        <v>1.0569687999999997E-2</v>
      </c>
      <c r="H195">
        <f t="shared" si="44"/>
        <v>5.9648352144469514E-2</v>
      </c>
      <c r="I195">
        <f t="shared" si="45"/>
        <v>1.3333333333333334E-2</v>
      </c>
      <c r="J195">
        <f t="shared" si="46"/>
        <v>-4.3174881135363101</v>
      </c>
      <c r="K195">
        <f t="shared" si="47"/>
        <v>-5.7566508180484137E-2</v>
      </c>
    </row>
    <row r="196" spans="2:11">
      <c r="B196" s="13" t="s">
        <v>100</v>
      </c>
      <c r="C196" s="10" t="s">
        <v>36</v>
      </c>
      <c r="D196">
        <v>6</v>
      </c>
      <c r="E196">
        <v>84.7</v>
      </c>
      <c r="F196">
        <f t="shared" si="42"/>
        <v>0.84699999999999998</v>
      </c>
      <c r="G196">
        <f t="shared" si="43"/>
        <v>0.56352476949999997</v>
      </c>
      <c r="H196">
        <f t="shared" si="44"/>
        <v>3.180162356094808</v>
      </c>
      <c r="I196">
        <f t="shared" si="45"/>
        <v>0.08</v>
      </c>
      <c r="J196">
        <f t="shared" si="46"/>
        <v>-2.5257286443082556</v>
      </c>
      <c r="K196">
        <f t="shared" si="47"/>
        <v>-0.20205829154466046</v>
      </c>
    </row>
    <row r="197" spans="2:11">
      <c r="B197" s="13" t="s">
        <v>35</v>
      </c>
      <c r="C197" s="10" t="s">
        <v>36</v>
      </c>
      <c r="D197">
        <v>11</v>
      </c>
      <c r="E197">
        <v>341</v>
      </c>
      <c r="F197">
        <f t="shared" si="42"/>
        <v>3.41</v>
      </c>
      <c r="G197">
        <f t="shared" si="43"/>
        <v>9.1338725500000013</v>
      </c>
      <c r="H197">
        <f t="shared" si="44"/>
        <v>51.545556151241541</v>
      </c>
      <c r="I197">
        <f t="shared" si="45"/>
        <v>0.14666666666666667</v>
      </c>
      <c r="J197">
        <f t="shared" si="46"/>
        <v>-1.9195928407379399</v>
      </c>
      <c r="K197">
        <f t="shared" si="47"/>
        <v>-0.28154028330823117</v>
      </c>
    </row>
    <row r="198" spans="2:11">
      <c r="B198" s="13" t="s">
        <v>102</v>
      </c>
      <c r="C198" s="10"/>
      <c r="D198">
        <v>1</v>
      </c>
      <c r="E198" s="10">
        <v>30</v>
      </c>
      <c r="F198">
        <f t="shared" si="42"/>
        <v>0.3</v>
      </c>
      <c r="G198">
        <f t="shared" si="43"/>
        <v>7.0694999999999994E-2</v>
      </c>
      <c r="H198">
        <f t="shared" si="44"/>
        <v>0.39895598194130921</v>
      </c>
      <c r="I198">
        <f t="shared" si="45"/>
        <v>1.3333333333333334E-2</v>
      </c>
      <c r="J198">
        <f t="shared" si="46"/>
        <v>-4.3174881135363101</v>
      </c>
      <c r="K198">
        <f t="shared" si="47"/>
        <v>-5.7566508180484137E-2</v>
      </c>
    </row>
    <row r="199" spans="2:11">
      <c r="B199" s="13" t="s">
        <v>37</v>
      </c>
      <c r="C199" s="10" t="s">
        <v>31</v>
      </c>
      <c r="D199">
        <v>10</v>
      </c>
      <c r="E199">
        <v>106.3</v>
      </c>
      <c r="F199">
        <f t="shared" si="42"/>
        <v>1.0629999999999999</v>
      </c>
      <c r="G199">
        <f t="shared" si="43"/>
        <v>0.88759064949999977</v>
      </c>
      <c r="H199">
        <f t="shared" si="44"/>
        <v>5.0089765773137689</v>
      </c>
      <c r="I199">
        <f t="shared" si="45"/>
        <v>0.13333333333333333</v>
      </c>
      <c r="J199">
        <f t="shared" si="46"/>
        <v>-2.0149030205422647</v>
      </c>
      <c r="K199">
        <f t="shared" si="47"/>
        <v>-0.26865373607230197</v>
      </c>
    </row>
    <row r="200" spans="2:11">
      <c r="B200" s="13" t="s">
        <v>166</v>
      </c>
      <c r="C200" s="10"/>
      <c r="D200">
        <v>1</v>
      </c>
      <c r="E200" s="10">
        <v>27.3</v>
      </c>
      <c r="F200">
        <f t="shared" si="42"/>
        <v>0.27300000000000002</v>
      </c>
      <c r="G200">
        <f t="shared" si="43"/>
        <v>5.854252950000001E-2</v>
      </c>
      <c r="H200">
        <f t="shared" si="44"/>
        <v>0.33037544864559826</v>
      </c>
      <c r="I200">
        <f t="shared" si="45"/>
        <v>1.3333333333333334E-2</v>
      </c>
      <c r="J200">
        <f t="shared" si="46"/>
        <v>-4.3174881135363101</v>
      </c>
      <c r="K200">
        <f t="shared" si="47"/>
        <v>-5.7566508180484137E-2</v>
      </c>
    </row>
    <row r="201" spans="2:11">
      <c r="B201" s="13" t="s">
        <v>167</v>
      </c>
      <c r="C201" s="10" t="s">
        <v>109</v>
      </c>
      <c r="D201">
        <v>1</v>
      </c>
      <c r="E201" s="10">
        <v>21</v>
      </c>
      <c r="F201">
        <f t="shared" si="42"/>
        <v>0.21</v>
      </c>
      <c r="G201">
        <f t="shared" si="43"/>
        <v>3.4640549999999992E-2</v>
      </c>
      <c r="H201">
        <f t="shared" si="44"/>
        <v>0.19548843115124148</v>
      </c>
      <c r="I201">
        <f t="shared" si="45"/>
        <v>1.3333333333333334E-2</v>
      </c>
      <c r="J201">
        <f t="shared" si="46"/>
        <v>-4.3174881135363101</v>
      </c>
      <c r="K201">
        <f t="shared" si="47"/>
        <v>-5.7566508180484137E-2</v>
      </c>
    </row>
    <row r="202" spans="2:11">
      <c r="B202" s="13" t="s">
        <v>20</v>
      </c>
      <c r="C202" s="10" t="s">
        <v>21</v>
      </c>
      <c r="D202">
        <v>1</v>
      </c>
      <c r="E202" s="10">
        <v>11.3</v>
      </c>
      <c r="F202">
        <f t="shared" si="42"/>
        <v>0.113</v>
      </c>
      <c r="G202">
        <f t="shared" si="43"/>
        <v>1.0030049500000001E-2</v>
      </c>
      <c r="H202">
        <f t="shared" si="44"/>
        <v>5.6602988148984207E-2</v>
      </c>
      <c r="I202">
        <f t="shared" si="45"/>
        <v>1.3333333333333334E-2</v>
      </c>
      <c r="J202">
        <f t="shared" si="46"/>
        <v>-4.3174881135363101</v>
      </c>
      <c r="K202">
        <f t="shared" si="47"/>
        <v>-5.7566508180484137E-2</v>
      </c>
    </row>
    <row r="203" spans="2:11">
      <c r="B203" s="13" t="s">
        <v>168</v>
      </c>
      <c r="C203" s="10"/>
      <c r="D203">
        <v>1</v>
      </c>
      <c r="E203" s="10">
        <v>12.8</v>
      </c>
      <c r="F203">
        <f t="shared" si="42"/>
        <v>0.128</v>
      </c>
      <c r="G203">
        <f t="shared" si="43"/>
        <v>1.2869631999999999E-2</v>
      </c>
      <c r="H203">
        <f t="shared" si="44"/>
        <v>7.2627720090293446E-2</v>
      </c>
      <c r="I203">
        <f t="shared" si="45"/>
        <v>1.3333333333333334E-2</v>
      </c>
      <c r="J203">
        <f t="shared" si="46"/>
        <v>-4.3174881135363101</v>
      </c>
      <c r="K203">
        <f t="shared" si="47"/>
        <v>-5.7566508180484137E-2</v>
      </c>
    </row>
    <row r="204" spans="2:11">
      <c r="B204" s="13" t="s">
        <v>26</v>
      </c>
      <c r="C204" s="10"/>
      <c r="D204">
        <v>2</v>
      </c>
      <c r="E204">
        <v>70</v>
      </c>
      <c r="F204">
        <f t="shared" si="42"/>
        <v>0.7</v>
      </c>
      <c r="G204">
        <f t="shared" si="43"/>
        <v>0.38489499999999993</v>
      </c>
      <c r="H204">
        <f t="shared" si="44"/>
        <v>2.1720936794582388</v>
      </c>
      <c r="I204">
        <f t="shared" si="45"/>
        <v>2.6666666666666668E-2</v>
      </c>
      <c r="J204">
        <f t="shared" si="46"/>
        <v>-3.6243409329763652</v>
      </c>
      <c r="K204">
        <f t="shared" si="47"/>
        <v>-9.6649091546036417E-2</v>
      </c>
    </row>
    <row r="205" spans="2:11">
      <c r="B205" s="13" t="s">
        <v>144</v>
      </c>
      <c r="C205" s="10" t="s">
        <v>114</v>
      </c>
      <c r="D205">
        <v>3</v>
      </c>
      <c r="E205">
        <v>33.6</v>
      </c>
      <c r="F205">
        <f t="shared" si="42"/>
        <v>0.33600000000000002</v>
      </c>
      <c r="G205">
        <f t="shared" si="43"/>
        <v>8.8679807999999999E-2</v>
      </c>
      <c r="H205">
        <f t="shared" si="44"/>
        <v>0.50045038374717832</v>
      </c>
      <c r="I205">
        <f t="shared" si="45"/>
        <v>0.04</v>
      </c>
      <c r="J205">
        <f t="shared" si="46"/>
        <v>-3.2188758248682006</v>
      </c>
      <c r="K205">
        <f t="shared" si="47"/>
        <v>-0.12875503299472801</v>
      </c>
    </row>
    <row r="206" spans="2:11">
      <c r="B206" s="13" t="s">
        <v>27</v>
      </c>
      <c r="C206" s="10" t="s">
        <v>46</v>
      </c>
      <c r="D206">
        <v>1</v>
      </c>
      <c r="E206">
        <v>10.199999999999999</v>
      </c>
      <c r="F206">
        <f t="shared" si="42"/>
        <v>0.10199999999999999</v>
      </c>
      <c r="G206">
        <f t="shared" si="43"/>
        <v>8.1723419999999991E-3</v>
      </c>
      <c r="H206">
        <f t="shared" si="44"/>
        <v>4.6119311512415349E-2</v>
      </c>
      <c r="I206">
        <f t="shared" si="45"/>
        <v>1.3333333333333334E-2</v>
      </c>
      <c r="J206">
        <f t="shared" si="46"/>
        <v>-4.3174881135363101</v>
      </c>
      <c r="K206">
        <f t="shared" si="47"/>
        <v>-5.7566508180484137E-2</v>
      </c>
    </row>
    <row r="207" spans="2:11">
      <c r="B207" s="13" t="s">
        <v>135</v>
      </c>
      <c r="C207" s="10" t="s">
        <v>21</v>
      </c>
      <c r="D207">
        <v>7</v>
      </c>
      <c r="E207">
        <v>142</v>
      </c>
      <c r="F207">
        <f t="shared" si="42"/>
        <v>1.42</v>
      </c>
      <c r="G207">
        <f t="shared" si="43"/>
        <v>1.5838821999999999</v>
      </c>
      <c r="H207">
        <f t="shared" si="44"/>
        <v>8.9383871331828448</v>
      </c>
      <c r="I207">
        <f t="shared" si="45"/>
        <v>9.3333333333333338E-2</v>
      </c>
      <c r="J207">
        <f t="shared" si="46"/>
        <v>-2.3715779644809971</v>
      </c>
      <c r="K207">
        <f t="shared" si="47"/>
        <v>-0.22134727668489307</v>
      </c>
    </row>
    <row r="208" spans="2:11">
      <c r="B208" s="13" t="s">
        <v>169</v>
      </c>
      <c r="C208" s="10" t="s">
        <v>31</v>
      </c>
      <c r="D208">
        <v>2</v>
      </c>
      <c r="E208">
        <v>22.7</v>
      </c>
      <c r="F208">
        <f t="shared" si="42"/>
        <v>0.22699999999999998</v>
      </c>
      <c r="G208">
        <f t="shared" si="43"/>
        <v>4.047602949999999E-2</v>
      </c>
      <c r="H208">
        <f t="shared" si="44"/>
        <v>0.22842003103837466</v>
      </c>
      <c r="I208">
        <f t="shared" si="45"/>
        <v>2.6666666666666668E-2</v>
      </c>
      <c r="J208">
        <f t="shared" si="46"/>
        <v>-3.6243409329763652</v>
      </c>
      <c r="K208">
        <f t="shared" si="47"/>
        <v>-9.6649091546036417E-2</v>
      </c>
    </row>
    <row r="209" spans="2:11">
      <c r="B209" s="13" t="s">
        <v>170</v>
      </c>
      <c r="C209" s="10" t="s">
        <v>31</v>
      </c>
      <c r="D209">
        <v>6</v>
      </c>
      <c r="E209">
        <v>68.599999999999994</v>
      </c>
      <c r="F209">
        <f t="shared" si="42"/>
        <v>0.68599999999999994</v>
      </c>
      <c r="G209">
        <f t="shared" si="43"/>
        <v>0.36965315799999993</v>
      </c>
      <c r="H209">
        <f t="shared" si="44"/>
        <v>2.0860787697516927</v>
      </c>
      <c r="I209">
        <f t="shared" si="45"/>
        <v>0.08</v>
      </c>
      <c r="J209">
        <f t="shared" si="46"/>
        <v>-2.5257286443082556</v>
      </c>
      <c r="K209">
        <f t="shared" si="47"/>
        <v>-0.20205829154466046</v>
      </c>
    </row>
    <row r="210" spans="2:11">
      <c r="B210" s="13" t="s">
        <v>171</v>
      </c>
      <c r="C210" s="10" t="s">
        <v>53</v>
      </c>
      <c r="D210">
        <v>1</v>
      </c>
      <c r="E210">
        <v>42</v>
      </c>
      <c r="F210">
        <f t="shared" si="42"/>
        <v>0.42</v>
      </c>
      <c r="G210">
        <f t="shared" si="43"/>
        <v>0.13856219999999997</v>
      </c>
      <c r="H210">
        <f t="shared" si="44"/>
        <v>0.78195372460496593</v>
      </c>
      <c r="I210">
        <f t="shared" si="45"/>
        <v>1.3333333333333334E-2</v>
      </c>
      <c r="J210">
        <f t="shared" si="46"/>
        <v>-4.3174881135363101</v>
      </c>
      <c r="K210">
        <f t="shared" si="47"/>
        <v>-5.7566508180484137E-2</v>
      </c>
    </row>
    <row r="211" spans="2:11">
      <c r="B211" s="13" t="s">
        <v>119</v>
      </c>
      <c r="C211" s="10" t="s">
        <v>45</v>
      </c>
      <c r="D211">
        <v>3</v>
      </c>
      <c r="E211">
        <v>145.6</v>
      </c>
      <c r="F211">
        <f t="shared" si="42"/>
        <v>1.456</v>
      </c>
      <c r="G211">
        <f t="shared" si="43"/>
        <v>1.665209728</v>
      </c>
      <c r="H211">
        <f t="shared" si="44"/>
        <v>9.3973460948081282</v>
      </c>
      <c r="I211">
        <f t="shared" si="45"/>
        <v>0.04</v>
      </c>
      <c r="J211">
        <f t="shared" si="46"/>
        <v>-3.2188758248682006</v>
      </c>
      <c r="K211">
        <f t="shared" si="47"/>
        <v>-0.12875503299472801</v>
      </c>
    </row>
    <row r="212" spans="2:11">
      <c r="B212" s="13" t="s">
        <v>172</v>
      </c>
      <c r="C212" s="10"/>
      <c r="D212">
        <v>1</v>
      </c>
      <c r="E212">
        <v>10.1</v>
      </c>
      <c r="F212">
        <f t="shared" si="42"/>
        <v>0.10099999999999999</v>
      </c>
      <c r="G212">
        <f t="shared" si="43"/>
        <v>8.0128854999999988E-3</v>
      </c>
      <c r="H212">
        <f t="shared" si="44"/>
        <v>4.5219444130925504E-2</v>
      </c>
      <c r="I212">
        <f t="shared" si="45"/>
        <v>1.3333333333333334E-2</v>
      </c>
      <c r="J212">
        <f t="shared" si="46"/>
        <v>-4.3174881135363101</v>
      </c>
      <c r="K212">
        <f t="shared" si="47"/>
        <v>-5.7566508180484137E-2</v>
      </c>
    </row>
    <row r="213" spans="2:11">
      <c r="B213" s="13" t="s">
        <v>62</v>
      </c>
      <c r="C213" s="10" t="s">
        <v>31</v>
      </c>
      <c r="D213">
        <v>2</v>
      </c>
      <c r="E213">
        <v>29.6</v>
      </c>
      <c r="F213">
        <f t="shared" si="42"/>
        <v>0.29600000000000004</v>
      </c>
      <c r="G213">
        <f t="shared" si="43"/>
        <v>6.8822368000000023E-2</v>
      </c>
      <c r="H213">
        <f t="shared" si="44"/>
        <v>0.38838808126410851</v>
      </c>
      <c r="I213">
        <f t="shared" si="45"/>
        <v>2.6666666666666668E-2</v>
      </c>
      <c r="J213">
        <f t="shared" si="46"/>
        <v>-3.6243409329763652</v>
      </c>
      <c r="K213">
        <f t="shared" si="47"/>
        <v>-9.6649091546036417E-2</v>
      </c>
    </row>
    <row r="214" spans="2:11">
      <c r="B214" s="13" t="s">
        <v>153</v>
      </c>
      <c r="C214" s="10" t="s">
        <v>123</v>
      </c>
      <c r="D214">
        <v>2</v>
      </c>
      <c r="E214">
        <v>38</v>
      </c>
      <c r="F214">
        <f t="shared" si="42"/>
        <v>0.38</v>
      </c>
      <c r="G214">
        <f t="shared" si="43"/>
        <v>0.11342619999999999</v>
      </c>
      <c r="H214">
        <f t="shared" si="44"/>
        <v>0.64010270880361175</v>
      </c>
      <c r="I214">
        <f t="shared" si="45"/>
        <v>2.6666666666666668E-2</v>
      </c>
      <c r="J214">
        <f t="shared" si="46"/>
        <v>-3.6243409329763652</v>
      </c>
      <c r="K214">
        <f t="shared" si="47"/>
        <v>-9.6649091546036417E-2</v>
      </c>
    </row>
    <row r="215" spans="2:11">
      <c r="B215" s="13" t="s">
        <v>138</v>
      </c>
      <c r="C215" s="10" t="s">
        <v>41</v>
      </c>
      <c r="D215">
        <v>3</v>
      </c>
      <c r="E215">
        <v>64.7</v>
      </c>
      <c r="F215">
        <f t="shared" si="42"/>
        <v>0.64700000000000002</v>
      </c>
      <c r="G215">
        <f t="shared" si="43"/>
        <v>0.32881736950000001</v>
      </c>
      <c r="H215">
        <f t="shared" si="44"/>
        <v>1.8556284960496616</v>
      </c>
      <c r="I215">
        <f t="shared" si="45"/>
        <v>0.04</v>
      </c>
      <c r="J215">
        <f t="shared" si="46"/>
        <v>-3.2188758248682006</v>
      </c>
      <c r="K215">
        <f t="shared" si="47"/>
        <v>-0.12875503299472801</v>
      </c>
    </row>
    <row r="216" spans="2:11">
      <c r="B216" s="13" t="s">
        <v>157</v>
      </c>
      <c r="C216" s="10"/>
      <c r="D216">
        <v>1</v>
      </c>
      <c r="E216" s="10">
        <v>16</v>
      </c>
      <c r="F216">
        <f t="shared" si="42"/>
        <v>0.16</v>
      </c>
      <c r="G216">
        <f t="shared" si="43"/>
        <v>2.01088E-2</v>
      </c>
      <c r="H216">
        <f t="shared" si="44"/>
        <v>0.11348081264108353</v>
      </c>
      <c r="I216">
        <f t="shared" si="45"/>
        <v>1.3333333333333334E-2</v>
      </c>
      <c r="J216">
        <f t="shared" si="46"/>
        <v>-4.3174881135363101</v>
      </c>
      <c r="K216">
        <f t="shared" si="47"/>
        <v>-5.7566508180484137E-2</v>
      </c>
    </row>
    <row r="217" spans="2:11">
      <c r="B217" s="13" t="s">
        <v>173</v>
      </c>
      <c r="C217" s="10"/>
      <c r="D217">
        <v>1</v>
      </c>
      <c r="E217" s="10">
        <v>24</v>
      </c>
      <c r="F217">
        <f t="shared" si="42"/>
        <v>0.24</v>
      </c>
      <c r="G217">
        <f t="shared" si="43"/>
        <v>4.5244799999999995E-2</v>
      </c>
      <c r="H217">
        <f t="shared" si="44"/>
        <v>0.2553318284424379</v>
      </c>
      <c r="I217">
        <f t="shared" si="45"/>
        <v>1.3333333333333334E-2</v>
      </c>
      <c r="J217">
        <f t="shared" si="46"/>
        <v>-4.3174881135363101</v>
      </c>
      <c r="K217">
        <f t="shared" si="47"/>
        <v>-5.7566508180484137E-2</v>
      </c>
    </row>
    <row r="218" spans="2:11">
      <c r="D218">
        <v>75</v>
      </c>
      <c r="G218">
        <v>17.72</v>
      </c>
      <c r="J218" t="s">
        <v>32</v>
      </c>
      <c r="K218">
        <v>2.91</v>
      </c>
    </row>
    <row r="219" spans="2:11">
      <c r="J219" t="s">
        <v>33</v>
      </c>
      <c r="K219">
        <f>2.91/LN(75)</f>
        <v>0.67400301366817583</v>
      </c>
    </row>
  </sheetData>
  <sortState ref="B247:E325">
    <sortCondition ref="B247:B325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5"/>
  <sheetViews>
    <sheetView topLeftCell="C23" workbookViewId="0">
      <selection activeCell="F44" sqref="F44"/>
    </sheetView>
  </sheetViews>
  <sheetFormatPr defaultColWidth="9" defaultRowHeight="15"/>
  <cols>
    <col min="2" max="2" width="17" customWidth="1"/>
    <col min="3" max="3" width="29" customWidth="1"/>
    <col min="4" max="4" width="5.5703125" customWidth="1"/>
    <col min="5" max="5" width="13.85546875" customWidth="1"/>
    <col min="6" max="6" width="20.140625" customWidth="1"/>
    <col min="9" max="11" width="12.85546875"/>
    <col min="12" max="13" width="14"/>
    <col min="14" max="15" width="12.85546875"/>
  </cols>
  <sheetData>
    <row r="3" spans="2:15">
      <c r="B3" s="1" t="s">
        <v>2</v>
      </c>
      <c r="C3" s="1" t="s">
        <v>1</v>
      </c>
      <c r="D3" s="1" t="s">
        <v>174</v>
      </c>
      <c r="E3" s="1" t="s">
        <v>175</v>
      </c>
      <c r="F3" s="1" t="s">
        <v>176</v>
      </c>
      <c r="G3" s="1" t="s">
        <v>49</v>
      </c>
      <c r="H3" s="1" t="s">
        <v>5</v>
      </c>
      <c r="I3" s="1" t="s">
        <v>6</v>
      </c>
      <c r="J3" s="1" t="s">
        <v>7</v>
      </c>
      <c r="K3" s="34" t="s">
        <v>8</v>
      </c>
      <c r="L3" s="34" t="s">
        <v>9</v>
      </c>
      <c r="M3" s="34" t="s">
        <v>10</v>
      </c>
      <c r="N3" t="s">
        <v>177</v>
      </c>
      <c r="O3" t="s">
        <v>178</v>
      </c>
    </row>
    <row r="4" spans="2:15">
      <c r="B4" t="s">
        <v>12</v>
      </c>
      <c r="C4" s="2" t="s">
        <v>66</v>
      </c>
      <c r="D4">
        <v>6</v>
      </c>
      <c r="E4">
        <v>2</v>
      </c>
      <c r="F4" t="s">
        <v>179</v>
      </c>
      <c r="G4">
        <v>43.5</v>
      </c>
      <c r="H4">
        <f>G4/100</f>
        <v>0.435</v>
      </c>
      <c r="I4">
        <f>((3.142*(H4)^2/4))</f>
        <v>0.14863623749999999</v>
      </c>
      <c r="J4">
        <f>(I4/149.77)*100</f>
        <v>9.9242997596314345E-2</v>
      </c>
      <c r="K4">
        <f>E4/260</f>
        <v>7.6923076923076927E-3</v>
      </c>
      <c r="L4">
        <f>LN(K4)</f>
        <v>-4.8675344504555822</v>
      </c>
      <c r="M4">
        <f>K4*L4</f>
        <v>-3.7442572695812172E-2</v>
      </c>
      <c r="N4">
        <f>E4/260*100</f>
        <v>0.76923076923076927</v>
      </c>
      <c r="O4">
        <f>J4/2</f>
        <v>4.9621498798157172E-2</v>
      </c>
    </row>
    <row r="5" spans="2:15">
      <c r="B5" t="s">
        <v>12</v>
      </c>
      <c r="C5" s="2" t="s">
        <v>80</v>
      </c>
      <c r="D5">
        <v>8</v>
      </c>
      <c r="E5">
        <v>1</v>
      </c>
      <c r="F5" t="s">
        <v>180</v>
      </c>
      <c r="G5">
        <v>19.2</v>
      </c>
      <c r="H5">
        <f t="shared" ref="H5:H43" si="0">G5/100</f>
        <v>0.192</v>
      </c>
      <c r="I5">
        <f t="shared" ref="I5:I43" si="1">((3.142*(H5)^2/4))</f>
        <v>2.8956671999999999E-2</v>
      </c>
      <c r="J5">
        <f t="shared" ref="J5:J43" si="2">(I5/149.77)*100</f>
        <v>1.9334093610202309E-2</v>
      </c>
      <c r="K5">
        <f t="shared" ref="K5:K43" si="3">E5/260</f>
        <v>3.8461538461538464E-3</v>
      </c>
      <c r="L5">
        <f t="shared" ref="L5:L43" si="4">LN(K5)</f>
        <v>-5.5606816310155276</v>
      </c>
      <c r="M5">
        <f t="shared" ref="M5:M43" si="5">K5*L5</f>
        <v>-2.1387237042367415E-2</v>
      </c>
      <c r="N5">
        <f t="shared" ref="N5:N43" si="6">E5/260*100</f>
        <v>0.38461538461538464</v>
      </c>
      <c r="O5">
        <f t="shared" ref="O5:O43" si="7">J5/2</f>
        <v>9.6670468051011545E-3</v>
      </c>
    </row>
    <row r="6" spans="2:15">
      <c r="B6" s="10" t="s">
        <v>12</v>
      </c>
      <c r="C6" s="2" t="s">
        <v>11</v>
      </c>
      <c r="D6">
        <v>1</v>
      </c>
      <c r="E6">
        <v>5</v>
      </c>
      <c r="F6" t="s">
        <v>179</v>
      </c>
      <c r="G6">
        <v>199.2</v>
      </c>
      <c r="H6">
        <f t="shared" si="0"/>
        <v>1.992</v>
      </c>
      <c r="I6">
        <f t="shared" si="1"/>
        <v>3.1169142719999998</v>
      </c>
      <c r="J6">
        <f t="shared" si="2"/>
        <v>2.0811339200106826</v>
      </c>
      <c r="K6">
        <f t="shared" si="3"/>
        <v>1.9230769230769232E-2</v>
      </c>
      <c r="L6">
        <f t="shared" si="4"/>
        <v>-3.9512437185814271</v>
      </c>
      <c r="M6">
        <f t="shared" si="5"/>
        <v>-7.5985456126565903E-2</v>
      </c>
      <c r="N6">
        <f t="shared" si="6"/>
        <v>1.9230769230769231</v>
      </c>
      <c r="O6">
        <f t="shared" si="7"/>
        <v>1.0405669600053413</v>
      </c>
    </row>
    <row r="7" spans="2:15">
      <c r="B7" t="s">
        <v>12</v>
      </c>
      <c r="C7" s="2" t="s">
        <v>81</v>
      </c>
      <c r="D7">
        <v>8</v>
      </c>
      <c r="E7">
        <v>1</v>
      </c>
      <c r="F7" t="s">
        <v>180</v>
      </c>
      <c r="G7">
        <v>20.399999999999999</v>
      </c>
      <c r="H7">
        <f t="shared" si="0"/>
        <v>0.20399999999999999</v>
      </c>
      <c r="I7">
        <f t="shared" si="1"/>
        <v>3.2689367999999996E-2</v>
      </c>
      <c r="J7">
        <f t="shared" si="2"/>
        <v>2.1826379114642448E-2</v>
      </c>
      <c r="K7">
        <f t="shared" si="3"/>
        <v>3.8461538461538464E-3</v>
      </c>
      <c r="L7">
        <f t="shared" si="4"/>
        <v>-5.5606816310155276</v>
      </c>
      <c r="M7">
        <f t="shared" si="5"/>
        <v>-2.1387237042367415E-2</v>
      </c>
      <c r="N7">
        <f t="shared" si="6"/>
        <v>0.38461538461538464</v>
      </c>
      <c r="O7">
        <f t="shared" si="7"/>
        <v>1.0913189557321224E-2</v>
      </c>
    </row>
    <row r="8" spans="2:15">
      <c r="B8" s="10" t="s">
        <v>12</v>
      </c>
      <c r="C8" s="2" t="s">
        <v>13</v>
      </c>
      <c r="D8">
        <v>1</v>
      </c>
      <c r="E8">
        <v>8</v>
      </c>
      <c r="F8" t="s">
        <v>180</v>
      </c>
      <c r="G8">
        <v>195.8</v>
      </c>
      <c r="H8">
        <f t="shared" si="0"/>
        <v>1.9580000000000002</v>
      </c>
      <c r="I8">
        <f t="shared" si="1"/>
        <v>3.0114216220000007</v>
      </c>
      <c r="J8">
        <f t="shared" si="2"/>
        <v>2.0106974841423519</v>
      </c>
      <c r="K8">
        <f t="shared" si="3"/>
        <v>3.0769230769230771E-2</v>
      </c>
      <c r="L8">
        <f t="shared" si="4"/>
        <v>-3.4812400893356918</v>
      </c>
      <c r="M8">
        <f t="shared" si="5"/>
        <v>-0.10711507967186745</v>
      </c>
      <c r="N8">
        <f t="shared" si="6"/>
        <v>3.0769230769230771</v>
      </c>
      <c r="O8">
        <f t="shared" si="7"/>
        <v>1.005348742071176</v>
      </c>
    </row>
    <row r="9" spans="2:15">
      <c r="B9" t="s">
        <v>21</v>
      </c>
      <c r="C9" s="2" t="s">
        <v>70</v>
      </c>
      <c r="D9">
        <v>7</v>
      </c>
      <c r="E9">
        <v>2</v>
      </c>
      <c r="F9" t="s">
        <v>180</v>
      </c>
      <c r="G9">
        <v>35.1</v>
      </c>
      <c r="H9">
        <f t="shared" si="0"/>
        <v>0.35100000000000003</v>
      </c>
      <c r="I9">
        <f t="shared" si="1"/>
        <v>9.6774385500000018E-2</v>
      </c>
      <c r="J9">
        <f t="shared" si="2"/>
        <v>6.4615333845229356E-2</v>
      </c>
      <c r="K9">
        <f t="shared" si="3"/>
        <v>7.6923076923076927E-3</v>
      </c>
      <c r="L9">
        <f t="shared" si="4"/>
        <v>-4.8675344504555822</v>
      </c>
      <c r="M9">
        <f t="shared" si="5"/>
        <v>-3.7442572695812172E-2</v>
      </c>
      <c r="N9">
        <f t="shared" si="6"/>
        <v>0.76923076923076927</v>
      </c>
      <c r="O9">
        <f t="shared" si="7"/>
        <v>3.2307666922614678E-2</v>
      </c>
    </row>
    <row r="10" spans="2:15">
      <c r="B10" t="s">
        <v>15</v>
      </c>
      <c r="C10" s="2" t="s">
        <v>14</v>
      </c>
      <c r="D10">
        <v>1</v>
      </c>
      <c r="E10">
        <v>27</v>
      </c>
      <c r="F10" t="s">
        <v>179</v>
      </c>
      <c r="G10">
        <v>526.29999999999995</v>
      </c>
      <c r="H10">
        <f t="shared" si="0"/>
        <v>5.2629999999999999</v>
      </c>
      <c r="I10">
        <f t="shared" si="1"/>
        <v>21.757697249499998</v>
      </c>
      <c r="J10">
        <f t="shared" si="2"/>
        <v>14.527406856847163</v>
      </c>
      <c r="K10">
        <f t="shared" si="3"/>
        <v>0.10384615384615385</v>
      </c>
      <c r="L10">
        <f t="shared" si="4"/>
        <v>-2.2648447650111985</v>
      </c>
      <c r="M10">
        <f t="shared" si="5"/>
        <v>-0.23519541790500909</v>
      </c>
      <c r="N10">
        <f t="shared" si="6"/>
        <v>10.384615384615385</v>
      </c>
      <c r="O10">
        <f t="shared" si="7"/>
        <v>7.2637034284235815</v>
      </c>
    </row>
    <row r="11" spans="2:15">
      <c r="B11" t="s">
        <v>36</v>
      </c>
      <c r="C11" s="2" t="s">
        <v>35</v>
      </c>
      <c r="D11">
        <v>2</v>
      </c>
      <c r="E11">
        <v>13</v>
      </c>
      <c r="F11" t="s">
        <v>180</v>
      </c>
      <c r="G11">
        <v>249.3</v>
      </c>
      <c r="H11">
        <f t="shared" si="0"/>
        <v>2.4930000000000003</v>
      </c>
      <c r="I11">
        <f t="shared" si="1"/>
        <v>4.8819209895000011</v>
      </c>
      <c r="J11">
        <f t="shared" si="2"/>
        <v>3.2596120648327438</v>
      </c>
      <c r="K11">
        <f t="shared" si="3"/>
        <v>0.05</v>
      </c>
      <c r="L11">
        <f t="shared" si="4"/>
        <v>-2.9957322735539909</v>
      </c>
      <c r="M11">
        <f t="shared" si="5"/>
        <v>-0.14978661367769955</v>
      </c>
      <c r="N11">
        <f t="shared" si="6"/>
        <v>5</v>
      </c>
      <c r="O11">
        <f t="shared" si="7"/>
        <v>1.6298060324163719</v>
      </c>
    </row>
    <row r="12" spans="2:15">
      <c r="B12" t="s">
        <v>17</v>
      </c>
      <c r="C12" s="2" t="s">
        <v>16</v>
      </c>
      <c r="D12">
        <v>1</v>
      </c>
      <c r="E12">
        <v>3</v>
      </c>
      <c r="F12" t="s">
        <v>181</v>
      </c>
      <c r="G12">
        <v>46.2</v>
      </c>
      <c r="H12">
        <f t="shared" si="0"/>
        <v>0.46200000000000002</v>
      </c>
      <c r="I12">
        <f t="shared" si="1"/>
        <v>0.167660262</v>
      </c>
      <c r="J12">
        <f t="shared" si="2"/>
        <v>0.11194515724110303</v>
      </c>
      <c r="K12">
        <f t="shared" si="3"/>
        <v>1.1538461538461539E-2</v>
      </c>
      <c r="L12">
        <f t="shared" si="4"/>
        <v>-4.4620693423474176</v>
      </c>
      <c r="M12">
        <f t="shared" si="5"/>
        <v>-5.1485415488624051E-2</v>
      </c>
      <c r="N12">
        <f t="shared" si="6"/>
        <v>1.153846153846154</v>
      </c>
      <c r="O12">
        <f t="shared" si="7"/>
        <v>5.5972578620551515E-2</v>
      </c>
    </row>
    <row r="13" spans="2:15">
      <c r="B13" t="s">
        <v>72</v>
      </c>
      <c r="C13" s="2" t="s">
        <v>71</v>
      </c>
      <c r="D13">
        <v>7</v>
      </c>
      <c r="E13">
        <v>10</v>
      </c>
      <c r="F13" t="s">
        <v>180</v>
      </c>
      <c r="G13">
        <v>542.20000000000005</v>
      </c>
      <c r="H13">
        <f t="shared" si="0"/>
        <v>5.4220000000000006</v>
      </c>
      <c r="I13">
        <f t="shared" si="1"/>
        <v>23.092194982000006</v>
      </c>
      <c r="J13">
        <f t="shared" si="2"/>
        <v>15.418438259998668</v>
      </c>
      <c r="K13">
        <f t="shared" si="3"/>
        <v>3.8461538461538464E-2</v>
      </c>
      <c r="L13">
        <f t="shared" si="4"/>
        <v>-3.2580965380214821</v>
      </c>
      <c r="M13">
        <f t="shared" si="5"/>
        <v>-0.12531140530851856</v>
      </c>
      <c r="N13">
        <f t="shared" si="6"/>
        <v>3.8461538461538463</v>
      </c>
      <c r="O13">
        <f t="shared" si="7"/>
        <v>7.709219129999334</v>
      </c>
    </row>
    <row r="14" spans="2:15">
      <c r="B14" t="s">
        <v>31</v>
      </c>
      <c r="C14" s="2" t="s">
        <v>82</v>
      </c>
      <c r="D14">
        <v>8</v>
      </c>
      <c r="E14">
        <v>1</v>
      </c>
      <c r="F14" t="s">
        <v>180</v>
      </c>
      <c r="G14">
        <v>13.2</v>
      </c>
      <c r="H14">
        <f t="shared" si="0"/>
        <v>0.13200000000000001</v>
      </c>
      <c r="I14">
        <f t="shared" si="1"/>
        <v>1.3686552000000001E-2</v>
      </c>
      <c r="J14">
        <f t="shared" si="2"/>
        <v>9.1383801829471849E-3</v>
      </c>
      <c r="K14">
        <f t="shared" si="3"/>
        <v>3.8461538461538464E-3</v>
      </c>
      <c r="L14">
        <f t="shared" si="4"/>
        <v>-5.5606816310155276</v>
      </c>
      <c r="M14">
        <f t="shared" si="5"/>
        <v>-2.1387237042367415E-2</v>
      </c>
      <c r="N14">
        <f t="shared" si="6"/>
        <v>0.38461538461538464</v>
      </c>
      <c r="O14">
        <f t="shared" si="7"/>
        <v>4.5691900914735925E-3</v>
      </c>
    </row>
    <row r="15" spans="2:15">
      <c r="B15" t="s">
        <v>31</v>
      </c>
      <c r="C15" s="2" t="s">
        <v>37</v>
      </c>
      <c r="D15">
        <v>2</v>
      </c>
      <c r="E15">
        <v>3</v>
      </c>
      <c r="F15" t="s">
        <v>180</v>
      </c>
      <c r="G15">
        <v>54.1</v>
      </c>
      <c r="H15">
        <f t="shared" si="0"/>
        <v>0.54100000000000004</v>
      </c>
      <c r="I15">
        <f t="shared" si="1"/>
        <v>0.22990092550000002</v>
      </c>
      <c r="J15">
        <f t="shared" si="2"/>
        <v>0.15350265440341859</v>
      </c>
      <c r="K15">
        <f t="shared" si="3"/>
        <v>1.1538461538461539E-2</v>
      </c>
      <c r="L15">
        <f t="shared" si="4"/>
        <v>-4.4620693423474176</v>
      </c>
      <c r="M15">
        <f t="shared" si="5"/>
        <v>-5.1485415488624051E-2</v>
      </c>
      <c r="N15">
        <f t="shared" si="6"/>
        <v>1.153846153846154</v>
      </c>
      <c r="O15">
        <f t="shared" si="7"/>
        <v>7.6751327201709296E-2</v>
      </c>
    </row>
    <row r="16" spans="2:15">
      <c r="B16" t="s">
        <v>19</v>
      </c>
      <c r="C16" s="2" t="s">
        <v>18</v>
      </c>
      <c r="D16">
        <v>1</v>
      </c>
      <c r="E16">
        <v>3</v>
      </c>
      <c r="F16" t="s">
        <v>180</v>
      </c>
      <c r="G16">
        <v>72.400000000000006</v>
      </c>
      <c r="H16">
        <f t="shared" si="0"/>
        <v>0.72400000000000009</v>
      </c>
      <c r="I16">
        <f t="shared" si="1"/>
        <v>0.41174024800000003</v>
      </c>
      <c r="J16">
        <f t="shared" si="2"/>
        <v>0.27491503505374909</v>
      </c>
      <c r="K16">
        <f t="shared" si="3"/>
        <v>1.1538461538461539E-2</v>
      </c>
      <c r="L16">
        <f t="shared" si="4"/>
        <v>-4.4620693423474176</v>
      </c>
      <c r="M16">
        <f t="shared" si="5"/>
        <v>-5.1485415488624051E-2</v>
      </c>
      <c r="N16">
        <f t="shared" si="6"/>
        <v>1.153846153846154</v>
      </c>
      <c r="O16">
        <f t="shared" si="7"/>
        <v>0.13745751752687455</v>
      </c>
    </row>
    <row r="17" spans="2:15">
      <c r="B17" s="17" t="s">
        <v>51</v>
      </c>
      <c r="C17" s="2" t="s">
        <v>50</v>
      </c>
      <c r="D17">
        <v>4</v>
      </c>
      <c r="E17">
        <v>8</v>
      </c>
      <c r="F17" t="s">
        <v>182</v>
      </c>
      <c r="G17">
        <v>282.3</v>
      </c>
      <c r="H17">
        <f t="shared" si="0"/>
        <v>2.823</v>
      </c>
      <c r="I17">
        <f t="shared" si="1"/>
        <v>6.2599079294999997</v>
      </c>
      <c r="J17">
        <f t="shared" si="2"/>
        <v>4.1796807968885625</v>
      </c>
      <c r="K17">
        <f t="shared" si="3"/>
        <v>3.0769230769230771E-2</v>
      </c>
      <c r="L17">
        <f t="shared" si="4"/>
        <v>-3.4812400893356918</v>
      </c>
      <c r="M17">
        <f t="shared" si="5"/>
        <v>-0.10711507967186745</v>
      </c>
      <c r="N17">
        <f t="shared" si="6"/>
        <v>3.0769230769230771</v>
      </c>
      <c r="O17">
        <f t="shared" si="7"/>
        <v>2.0898403984442813</v>
      </c>
    </row>
    <row r="18" spans="2:15">
      <c r="B18" t="s">
        <v>12</v>
      </c>
      <c r="C18" s="2" t="s">
        <v>73</v>
      </c>
      <c r="D18">
        <v>7</v>
      </c>
      <c r="E18">
        <v>4</v>
      </c>
      <c r="G18">
        <v>105.4</v>
      </c>
      <c r="H18">
        <f t="shared" si="0"/>
        <v>1.054</v>
      </c>
      <c r="I18">
        <f t="shared" si="1"/>
        <v>0.87262451799999996</v>
      </c>
      <c r="J18">
        <f t="shared" si="2"/>
        <v>0.58264306469920546</v>
      </c>
      <c r="K18">
        <f t="shared" si="3"/>
        <v>1.5384615384615385E-2</v>
      </c>
      <c r="L18">
        <f t="shared" si="4"/>
        <v>-4.1743872698956368</v>
      </c>
      <c r="M18">
        <f t="shared" si="5"/>
        <v>-6.4221342613779028E-2</v>
      </c>
      <c r="N18">
        <f t="shared" si="6"/>
        <v>1.5384615384615385</v>
      </c>
      <c r="O18">
        <f t="shared" si="7"/>
        <v>0.29132153234960273</v>
      </c>
    </row>
    <row r="19" spans="2:15">
      <c r="B19" s="10" t="s">
        <v>41</v>
      </c>
      <c r="C19" s="2" t="s">
        <v>74</v>
      </c>
      <c r="D19">
        <v>7</v>
      </c>
      <c r="E19">
        <v>2</v>
      </c>
      <c r="F19" t="s">
        <v>181</v>
      </c>
      <c r="G19">
        <v>43.6</v>
      </c>
      <c r="H19">
        <f t="shared" si="0"/>
        <v>0.436</v>
      </c>
      <c r="I19">
        <f t="shared" si="1"/>
        <v>0.14932040799999999</v>
      </c>
      <c r="J19">
        <f t="shared" si="2"/>
        <v>9.9699811711290623E-2</v>
      </c>
      <c r="K19">
        <f t="shared" si="3"/>
        <v>7.6923076923076927E-3</v>
      </c>
      <c r="L19">
        <f t="shared" si="4"/>
        <v>-4.8675344504555822</v>
      </c>
      <c r="M19">
        <f t="shared" si="5"/>
        <v>-3.7442572695812172E-2</v>
      </c>
      <c r="N19">
        <f t="shared" si="6"/>
        <v>0.76923076923076927</v>
      </c>
      <c r="O19">
        <f t="shared" si="7"/>
        <v>4.9849905855645311E-2</v>
      </c>
    </row>
    <row r="20" spans="2:15">
      <c r="B20" t="s">
        <v>15</v>
      </c>
      <c r="C20" s="2" t="s">
        <v>83</v>
      </c>
      <c r="D20">
        <v>8</v>
      </c>
      <c r="E20">
        <v>1</v>
      </c>
      <c r="F20" t="s">
        <v>180</v>
      </c>
      <c r="G20">
        <v>12.2</v>
      </c>
      <c r="H20">
        <f t="shared" si="0"/>
        <v>0.122</v>
      </c>
      <c r="I20">
        <f t="shared" si="1"/>
        <v>1.1691382E-2</v>
      </c>
      <c r="J20">
        <f t="shared" si="2"/>
        <v>7.8062242104560316E-3</v>
      </c>
      <c r="K20">
        <f t="shared" si="3"/>
        <v>3.8461538461538464E-3</v>
      </c>
      <c r="L20">
        <f t="shared" si="4"/>
        <v>-5.5606816310155276</v>
      </c>
      <c r="M20">
        <f t="shared" si="5"/>
        <v>-2.1387237042367415E-2</v>
      </c>
      <c r="N20">
        <f t="shared" si="6"/>
        <v>0.38461538461538464</v>
      </c>
      <c r="O20">
        <f t="shared" si="7"/>
        <v>3.9031121052280158E-3</v>
      </c>
    </row>
    <row r="21" spans="2:15">
      <c r="B21" t="s">
        <v>15</v>
      </c>
      <c r="C21" s="2" t="s">
        <v>84</v>
      </c>
      <c r="D21">
        <v>8</v>
      </c>
      <c r="E21">
        <v>1</v>
      </c>
      <c r="G21">
        <v>12.3</v>
      </c>
      <c r="H21">
        <f t="shared" si="0"/>
        <v>0.12300000000000001</v>
      </c>
      <c r="I21">
        <f t="shared" si="1"/>
        <v>1.1883829500000002E-2</v>
      </c>
      <c r="J21">
        <f t="shared" si="2"/>
        <v>7.9347195700073449E-3</v>
      </c>
      <c r="K21">
        <f t="shared" si="3"/>
        <v>3.8461538461538464E-3</v>
      </c>
      <c r="L21">
        <f t="shared" si="4"/>
        <v>-5.5606816310155276</v>
      </c>
      <c r="M21">
        <f t="shared" si="5"/>
        <v>-2.1387237042367415E-2</v>
      </c>
      <c r="N21">
        <f t="shared" si="6"/>
        <v>0.38461538461538464</v>
      </c>
      <c r="O21">
        <f t="shared" si="7"/>
        <v>3.9673597850036725E-3</v>
      </c>
    </row>
    <row r="22" spans="2:15">
      <c r="B22" t="s">
        <v>15</v>
      </c>
      <c r="C22" s="2" t="s">
        <v>85</v>
      </c>
      <c r="D22">
        <v>8</v>
      </c>
      <c r="E22">
        <v>1</v>
      </c>
      <c r="G22">
        <v>30.1</v>
      </c>
      <c r="H22">
        <f t="shared" si="0"/>
        <v>0.30099999999999999</v>
      </c>
      <c r="I22">
        <f t="shared" si="1"/>
        <v>7.1167085499999991E-2</v>
      </c>
      <c r="J22">
        <f t="shared" si="2"/>
        <v>4.7517583962075172E-2</v>
      </c>
      <c r="K22">
        <f t="shared" si="3"/>
        <v>3.8461538461538464E-3</v>
      </c>
      <c r="L22">
        <f t="shared" si="4"/>
        <v>-5.5606816310155276</v>
      </c>
      <c r="M22">
        <f t="shared" si="5"/>
        <v>-2.1387237042367415E-2</v>
      </c>
      <c r="N22">
        <f t="shared" si="6"/>
        <v>0.38461538461538464</v>
      </c>
      <c r="O22">
        <f t="shared" si="7"/>
        <v>2.3758791981037586E-2</v>
      </c>
    </row>
    <row r="23" spans="2:15">
      <c r="B23" t="s">
        <v>21</v>
      </c>
      <c r="C23" s="2" t="s">
        <v>20</v>
      </c>
      <c r="D23">
        <v>1</v>
      </c>
      <c r="E23">
        <v>38</v>
      </c>
      <c r="F23" t="s">
        <v>180</v>
      </c>
      <c r="G23">
        <v>577.4</v>
      </c>
      <c r="H23">
        <f t="shared" si="0"/>
        <v>5.774</v>
      </c>
      <c r="I23">
        <f t="shared" si="1"/>
        <v>26.187844197999997</v>
      </c>
      <c r="J23">
        <f t="shared" si="2"/>
        <v>17.48537370501435</v>
      </c>
      <c r="K23">
        <f t="shared" si="3"/>
        <v>0.14615384615384616</v>
      </c>
      <c r="L23">
        <f t="shared" si="4"/>
        <v>-1.9230954712891419</v>
      </c>
      <c r="M23">
        <f t="shared" si="5"/>
        <v>-0.28106779964995154</v>
      </c>
      <c r="N23">
        <f t="shared" si="6"/>
        <v>14.615384615384617</v>
      </c>
      <c r="O23">
        <f t="shared" si="7"/>
        <v>8.742686852507175</v>
      </c>
    </row>
    <row r="24" spans="2:15">
      <c r="B24" t="s">
        <v>21</v>
      </c>
      <c r="C24" s="2" t="s">
        <v>22</v>
      </c>
      <c r="D24">
        <v>1</v>
      </c>
      <c r="E24">
        <v>6</v>
      </c>
      <c r="F24" t="s">
        <v>180</v>
      </c>
      <c r="G24">
        <v>162.4</v>
      </c>
      <c r="H24">
        <f t="shared" si="0"/>
        <v>1.6240000000000001</v>
      </c>
      <c r="I24">
        <f t="shared" si="1"/>
        <v>2.0716588480000002</v>
      </c>
      <c r="J24">
        <f t="shared" si="2"/>
        <v>1.3832268464979636</v>
      </c>
      <c r="K24">
        <f t="shared" si="3"/>
        <v>2.3076923076923078E-2</v>
      </c>
      <c r="L24">
        <f t="shared" si="4"/>
        <v>-3.7689221617874726</v>
      </c>
      <c r="M24">
        <f t="shared" si="5"/>
        <v>-8.6975126810480141E-2</v>
      </c>
      <c r="N24">
        <f t="shared" si="6"/>
        <v>2.3076923076923079</v>
      </c>
      <c r="O24">
        <f t="shared" si="7"/>
        <v>0.69161342324898178</v>
      </c>
    </row>
    <row r="25" spans="2:15">
      <c r="B25" t="s">
        <v>88</v>
      </c>
      <c r="C25" s="2" t="s">
        <v>87</v>
      </c>
      <c r="D25">
        <v>8</v>
      </c>
      <c r="E25">
        <v>1</v>
      </c>
      <c r="F25" t="s">
        <v>181</v>
      </c>
      <c r="G25">
        <v>32.4</v>
      </c>
      <c r="H25">
        <f t="shared" si="0"/>
        <v>0.32400000000000001</v>
      </c>
      <c r="I25">
        <f t="shared" si="1"/>
        <v>8.2458647999999996E-2</v>
      </c>
      <c r="J25">
        <f t="shared" si="2"/>
        <v>5.5056852507177664E-2</v>
      </c>
      <c r="K25">
        <f t="shared" si="3"/>
        <v>3.8461538461538464E-3</v>
      </c>
      <c r="L25">
        <f t="shared" si="4"/>
        <v>-5.5606816310155276</v>
      </c>
      <c r="M25">
        <f t="shared" si="5"/>
        <v>-2.1387237042367415E-2</v>
      </c>
      <c r="N25">
        <f t="shared" si="6"/>
        <v>0.38461538461538464</v>
      </c>
      <c r="O25">
        <f t="shared" si="7"/>
        <v>2.7528426253588832E-2</v>
      </c>
    </row>
    <row r="26" spans="2:15">
      <c r="B26" t="s">
        <v>46</v>
      </c>
      <c r="C26" s="2" t="s">
        <v>75</v>
      </c>
      <c r="D26">
        <v>7</v>
      </c>
      <c r="E26">
        <v>1</v>
      </c>
      <c r="F26" t="s">
        <v>180</v>
      </c>
      <c r="G26">
        <v>15.6</v>
      </c>
      <c r="H26">
        <f t="shared" si="0"/>
        <v>0.156</v>
      </c>
      <c r="I26">
        <f t="shared" si="1"/>
        <v>1.9115928000000001E-2</v>
      </c>
      <c r="J26">
        <f t="shared" si="2"/>
        <v>1.2763522734860117E-2</v>
      </c>
      <c r="K26">
        <f t="shared" si="3"/>
        <v>3.8461538461538464E-3</v>
      </c>
      <c r="L26">
        <f t="shared" si="4"/>
        <v>-5.5606816310155276</v>
      </c>
      <c r="M26">
        <f t="shared" si="5"/>
        <v>-2.1387237042367415E-2</v>
      </c>
      <c r="N26">
        <f t="shared" si="6"/>
        <v>0.38461538461538464</v>
      </c>
      <c r="O26">
        <f t="shared" si="7"/>
        <v>6.3817613674300583E-3</v>
      </c>
    </row>
    <row r="27" spans="2:15">
      <c r="B27" t="s">
        <v>24</v>
      </c>
      <c r="C27" s="2" t="s">
        <v>23</v>
      </c>
      <c r="D27">
        <v>1</v>
      </c>
      <c r="E27">
        <v>20</v>
      </c>
      <c r="F27" t="s">
        <v>180</v>
      </c>
      <c r="G27">
        <v>319.10000000000002</v>
      </c>
      <c r="H27">
        <f t="shared" si="0"/>
        <v>3.1910000000000003</v>
      </c>
      <c r="I27">
        <f t="shared" si="1"/>
        <v>7.9983388255000003</v>
      </c>
      <c r="J27">
        <f t="shared" si="2"/>
        <v>5.34041451926287</v>
      </c>
      <c r="K27">
        <f t="shared" si="3"/>
        <v>7.6923076923076927E-2</v>
      </c>
      <c r="L27">
        <f t="shared" si="4"/>
        <v>-2.5649493574615367</v>
      </c>
      <c r="M27">
        <f t="shared" si="5"/>
        <v>-0.19730379672781054</v>
      </c>
      <c r="N27">
        <f t="shared" si="6"/>
        <v>7.6923076923076925</v>
      </c>
      <c r="O27">
        <f t="shared" si="7"/>
        <v>2.670207259631435</v>
      </c>
    </row>
    <row r="28" spans="2:15">
      <c r="B28" t="s">
        <v>12</v>
      </c>
      <c r="C28" s="2" t="s">
        <v>25</v>
      </c>
      <c r="D28">
        <v>1</v>
      </c>
      <c r="E28">
        <v>13</v>
      </c>
      <c r="F28" t="s">
        <v>180</v>
      </c>
      <c r="G28">
        <v>370.3</v>
      </c>
      <c r="H28">
        <f t="shared" si="0"/>
        <v>3.7030000000000003</v>
      </c>
      <c r="I28">
        <f t="shared" si="1"/>
        <v>10.770940169500001</v>
      </c>
      <c r="J28">
        <f t="shared" si="2"/>
        <v>7.1916539824397416</v>
      </c>
      <c r="K28">
        <f t="shared" si="3"/>
        <v>0.05</v>
      </c>
      <c r="L28">
        <f t="shared" si="4"/>
        <v>-2.9957322735539909</v>
      </c>
      <c r="M28">
        <f t="shared" si="5"/>
        <v>-0.14978661367769955</v>
      </c>
      <c r="N28">
        <f t="shared" si="6"/>
        <v>5</v>
      </c>
      <c r="O28">
        <f t="shared" si="7"/>
        <v>3.5958269912198708</v>
      </c>
    </row>
    <row r="29" spans="2:15">
      <c r="B29" t="s">
        <v>59</v>
      </c>
      <c r="C29" t="s">
        <v>58</v>
      </c>
      <c r="D29">
        <v>5</v>
      </c>
      <c r="E29">
        <v>1</v>
      </c>
      <c r="F29" t="s">
        <v>180</v>
      </c>
      <c r="G29">
        <v>22.1</v>
      </c>
      <c r="H29">
        <f t="shared" si="0"/>
        <v>0.221</v>
      </c>
      <c r="I29">
        <f t="shared" si="1"/>
        <v>3.8364605500000003E-2</v>
      </c>
      <c r="J29">
        <f t="shared" si="2"/>
        <v>2.5615681044267879E-2</v>
      </c>
      <c r="K29">
        <f t="shared" si="3"/>
        <v>3.8461538461538464E-3</v>
      </c>
      <c r="L29">
        <f t="shared" si="4"/>
        <v>-5.5606816310155276</v>
      </c>
      <c r="M29">
        <f t="shared" si="5"/>
        <v>-2.1387237042367415E-2</v>
      </c>
      <c r="N29">
        <f t="shared" si="6"/>
        <v>0.38461538461538464</v>
      </c>
      <c r="O29">
        <f t="shared" si="7"/>
        <v>1.2807840522133939E-2</v>
      </c>
    </row>
    <row r="30" spans="2:15">
      <c r="B30" t="s">
        <v>15</v>
      </c>
      <c r="C30" s="2" t="s">
        <v>26</v>
      </c>
      <c r="D30">
        <v>1</v>
      </c>
      <c r="E30">
        <v>2</v>
      </c>
      <c r="F30" t="s">
        <v>181</v>
      </c>
      <c r="G30">
        <v>136.5</v>
      </c>
      <c r="H30">
        <f t="shared" si="0"/>
        <v>1.365</v>
      </c>
      <c r="I30">
        <f t="shared" si="1"/>
        <v>1.4635632374999998</v>
      </c>
      <c r="J30">
        <f t="shared" si="2"/>
        <v>0.97720720938772776</v>
      </c>
      <c r="K30">
        <f t="shared" si="3"/>
        <v>7.6923076923076927E-3</v>
      </c>
      <c r="L30">
        <f t="shared" si="4"/>
        <v>-4.8675344504555822</v>
      </c>
      <c r="M30">
        <f t="shared" si="5"/>
        <v>-3.7442572695812172E-2</v>
      </c>
      <c r="N30">
        <f t="shared" si="6"/>
        <v>0.76923076923076927</v>
      </c>
      <c r="O30">
        <f t="shared" si="7"/>
        <v>0.48860360469386388</v>
      </c>
    </row>
    <row r="31" spans="2:15">
      <c r="B31" t="s">
        <v>15</v>
      </c>
      <c r="C31" s="2" t="s">
        <v>67</v>
      </c>
      <c r="D31">
        <v>6</v>
      </c>
      <c r="E31">
        <v>1</v>
      </c>
      <c r="G31">
        <v>12.3</v>
      </c>
      <c r="H31">
        <f t="shared" si="0"/>
        <v>0.12300000000000001</v>
      </c>
      <c r="I31">
        <f t="shared" si="1"/>
        <v>1.1883829500000002E-2</v>
      </c>
      <c r="J31">
        <f t="shared" si="2"/>
        <v>7.9347195700073449E-3</v>
      </c>
      <c r="K31">
        <f t="shared" si="3"/>
        <v>3.8461538461538464E-3</v>
      </c>
      <c r="L31">
        <f t="shared" si="4"/>
        <v>-5.5606816310155276</v>
      </c>
      <c r="M31">
        <f t="shared" si="5"/>
        <v>-2.1387237042367415E-2</v>
      </c>
      <c r="N31">
        <f t="shared" si="6"/>
        <v>0.38461538461538464</v>
      </c>
      <c r="O31">
        <f t="shared" si="7"/>
        <v>3.9673597850036725E-3</v>
      </c>
    </row>
    <row r="32" spans="2:15">
      <c r="B32" t="s">
        <v>77</v>
      </c>
      <c r="C32" s="2" t="s">
        <v>76</v>
      </c>
      <c r="D32">
        <v>7</v>
      </c>
      <c r="E32">
        <v>2</v>
      </c>
      <c r="F32" t="s">
        <v>180</v>
      </c>
      <c r="G32">
        <v>25.6</v>
      </c>
      <c r="H32">
        <f t="shared" si="0"/>
        <v>0.25600000000000001</v>
      </c>
      <c r="I32">
        <f t="shared" si="1"/>
        <v>5.1478527999999996E-2</v>
      </c>
      <c r="J32">
        <f t="shared" si="2"/>
        <v>3.4371721973692988E-2</v>
      </c>
      <c r="K32">
        <f t="shared" si="3"/>
        <v>7.6923076923076927E-3</v>
      </c>
      <c r="L32">
        <f t="shared" si="4"/>
        <v>-4.8675344504555822</v>
      </c>
      <c r="M32">
        <f t="shared" si="5"/>
        <v>-3.7442572695812172E-2</v>
      </c>
      <c r="N32">
        <f t="shared" si="6"/>
        <v>0.76923076923076927</v>
      </c>
      <c r="O32">
        <f t="shared" si="7"/>
        <v>1.7185860986846494E-2</v>
      </c>
    </row>
    <row r="33" spans="2:15">
      <c r="B33" t="s">
        <v>28</v>
      </c>
      <c r="C33" s="2" t="s">
        <v>27</v>
      </c>
      <c r="D33">
        <v>1</v>
      </c>
      <c r="E33">
        <v>5</v>
      </c>
      <c r="F33" t="s">
        <v>180</v>
      </c>
      <c r="G33">
        <v>76.400000000000006</v>
      </c>
      <c r="H33">
        <f t="shared" si="0"/>
        <v>0.76400000000000001</v>
      </c>
      <c r="I33">
        <f t="shared" si="1"/>
        <v>0.45849320799999999</v>
      </c>
      <c r="J33">
        <f t="shared" si="2"/>
        <v>0.30613154036188822</v>
      </c>
      <c r="K33">
        <f t="shared" si="3"/>
        <v>1.9230769230769232E-2</v>
      </c>
      <c r="L33">
        <f t="shared" si="4"/>
        <v>-3.9512437185814271</v>
      </c>
      <c r="M33">
        <f t="shared" si="5"/>
        <v>-7.5985456126565903E-2</v>
      </c>
      <c r="N33">
        <f t="shared" si="6"/>
        <v>1.9230769230769231</v>
      </c>
      <c r="O33">
        <f t="shared" si="7"/>
        <v>0.15306577018094411</v>
      </c>
    </row>
    <row r="34" spans="2:15">
      <c r="B34" t="s">
        <v>17</v>
      </c>
      <c r="C34" s="2" t="s">
        <v>60</v>
      </c>
      <c r="D34">
        <v>5</v>
      </c>
      <c r="E34">
        <v>1</v>
      </c>
      <c r="F34" t="s">
        <v>180</v>
      </c>
      <c r="G34">
        <v>14.2</v>
      </c>
      <c r="H34">
        <f t="shared" si="0"/>
        <v>0.14199999999999999</v>
      </c>
      <c r="I34">
        <f t="shared" si="1"/>
        <v>1.5838821999999999E-2</v>
      </c>
      <c r="J34">
        <f t="shared" si="2"/>
        <v>1.0575430326500634E-2</v>
      </c>
      <c r="K34">
        <f t="shared" si="3"/>
        <v>3.8461538461538464E-3</v>
      </c>
      <c r="L34">
        <f t="shared" si="4"/>
        <v>-5.5606816310155276</v>
      </c>
      <c r="M34">
        <f t="shared" si="5"/>
        <v>-2.1387237042367415E-2</v>
      </c>
      <c r="N34">
        <f t="shared" si="6"/>
        <v>0.38461538461538464</v>
      </c>
      <c r="O34">
        <f t="shared" si="7"/>
        <v>5.287715163250317E-3</v>
      </c>
    </row>
    <row r="35" spans="2:15">
      <c r="B35" t="s">
        <v>53</v>
      </c>
      <c r="C35" s="2" t="s">
        <v>52</v>
      </c>
      <c r="D35">
        <v>4</v>
      </c>
      <c r="E35">
        <v>2</v>
      </c>
      <c r="F35" t="s">
        <v>180</v>
      </c>
      <c r="G35">
        <v>45.4</v>
      </c>
      <c r="H35">
        <f t="shared" si="0"/>
        <v>0.45399999999999996</v>
      </c>
      <c r="I35">
        <f t="shared" si="1"/>
        <v>0.16190411799999996</v>
      </c>
      <c r="J35">
        <f t="shared" si="2"/>
        <v>0.10810183481338048</v>
      </c>
      <c r="K35">
        <f t="shared" si="3"/>
        <v>7.6923076923076927E-3</v>
      </c>
      <c r="L35">
        <f t="shared" si="4"/>
        <v>-4.8675344504555822</v>
      </c>
      <c r="M35">
        <f t="shared" si="5"/>
        <v>-3.7442572695812172E-2</v>
      </c>
      <c r="N35">
        <f t="shared" si="6"/>
        <v>0.76923076923076927</v>
      </c>
      <c r="O35">
        <f t="shared" si="7"/>
        <v>5.4050917406690241E-2</v>
      </c>
    </row>
    <row r="36" spans="2:15">
      <c r="B36" t="s">
        <v>45</v>
      </c>
      <c r="C36" s="2" t="s">
        <v>44</v>
      </c>
      <c r="D36">
        <v>3</v>
      </c>
      <c r="E36">
        <v>1</v>
      </c>
      <c r="F36" t="s">
        <v>179</v>
      </c>
      <c r="G36">
        <v>42.3</v>
      </c>
      <c r="H36">
        <f t="shared" si="0"/>
        <v>0.42299999999999999</v>
      </c>
      <c r="I36">
        <f t="shared" si="1"/>
        <v>0.14054872949999997</v>
      </c>
      <c r="J36">
        <f t="shared" si="2"/>
        <v>9.3843045670027353E-2</v>
      </c>
      <c r="K36">
        <f t="shared" si="3"/>
        <v>3.8461538461538464E-3</v>
      </c>
      <c r="L36">
        <f t="shared" si="4"/>
        <v>-5.5606816310155276</v>
      </c>
      <c r="M36">
        <f t="shared" si="5"/>
        <v>-2.1387237042367415E-2</v>
      </c>
      <c r="N36">
        <f t="shared" si="6"/>
        <v>0.38461538461538464</v>
      </c>
      <c r="O36">
        <f t="shared" si="7"/>
        <v>4.6921522835013676E-2</v>
      </c>
    </row>
    <row r="37" spans="2:15">
      <c r="B37" t="s">
        <v>39</v>
      </c>
      <c r="C37" s="2" t="s">
        <v>38</v>
      </c>
      <c r="D37">
        <v>2</v>
      </c>
      <c r="E37">
        <v>15</v>
      </c>
      <c r="F37" t="s">
        <v>180</v>
      </c>
      <c r="G37">
        <v>288.3</v>
      </c>
      <c r="H37">
        <f t="shared" si="0"/>
        <v>2.883</v>
      </c>
      <c r="I37">
        <f t="shared" si="1"/>
        <v>6.5288317094999995</v>
      </c>
      <c r="J37">
        <f t="shared" si="2"/>
        <v>4.3592386389129993</v>
      </c>
      <c r="K37">
        <f t="shared" si="3"/>
        <v>5.7692307692307696E-2</v>
      </c>
      <c r="L37">
        <f t="shared" si="4"/>
        <v>-2.8526314299133175</v>
      </c>
      <c r="M37">
        <f t="shared" si="5"/>
        <v>-0.16457489018730678</v>
      </c>
      <c r="N37">
        <f t="shared" si="6"/>
        <v>5.7692307692307692</v>
      </c>
      <c r="O37">
        <f t="shared" si="7"/>
        <v>2.1796193194564997</v>
      </c>
    </row>
    <row r="38" spans="2:15">
      <c r="B38" t="s">
        <v>31</v>
      </c>
      <c r="C38" s="2" t="s">
        <v>62</v>
      </c>
      <c r="D38">
        <v>5</v>
      </c>
      <c r="E38">
        <v>11</v>
      </c>
      <c r="G38">
        <v>201.8</v>
      </c>
      <c r="H38">
        <f t="shared" si="0"/>
        <v>2.0180000000000002</v>
      </c>
      <c r="I38">
        <f t="shared" si="1"/>
        <v>3.1988105020000006</v>
      </c>
      <c r="J38">
        <f t="shared" si="2"/>
        <v>2.1358152513854578</v>
      </c>
      <c r="K38">
        <f t="shared" si="3"/>
        <v>4.230769230769231E-2</v>
      </c>
      <c r="L38">
        <f t="shared" si="4"/>
        <v>-3.1627863582171569</v>
      </c>
      <c r="M38">
        <f t="shared" si="5"/>
        <v>-0.13381019207841818</v>
      </c>
      <c r="N38">
        <f t="shared" si="6"/>
        <v>4.2307692307692308</v>
      </c>
      <c r="O38">
        <f t="shared" si="7"/>
        <v>1.0679076256927289</v>
      </c>
    </row>
    <row r="39" spans="2:15">
      <c r="B39" t="s">
        <v>12</v>
      </c>
      <c r="C39" s="2" t="s">
        <v>54</v>
      </c>
      <c r="D39">
        <v>4</v>
      </c>
      <c r="E39">
        <v>1</v>
      </c>
      <c r="F39" t="s">
        <v>180</v>
      </c>
      <c r="G39">
        <v>18.2</v>
      </c>
      <c r="H39">
        <f t="shared" si="0"/>
        <v>0.182</v>
      </c>
      <c r="I39">
        <f t="shared" si="1"/>
        <v>2.6018902E-2</v>
      </c>
      <c r="J39">
        <f t="shared" si="2"/>
        <v>1.7372572611337383E-2</v>
      </c>
      <c r="K39">
        <f t="shared" si="3"/>
        <v>3.8461538461538464E-3</v>
      </c>
      <c r="L39">
        <f t="shared" si="4"/>
        <v>-5.5606816310155276</v>
      </c>
      <c r="M39">
        <f t="shared" si="5"/>
        <v>-2.1387237042367415E-2</v>
      </c>
      <c r="N39">
        <f t="shared" si="6"/>
        <v>0.38461538461538464</v>
      </c>
      <c r="O39">
        <f t="shared" si="7"/>
        <v>8.6862863056686914E-3</v>
      </c>
    </row>
    <row r="40" spans="2:15">
      <c r="B40" t="s">
        <v>41</v>
      </c>
      <c r="C40" s="2" t="s">
        <v>47</v>
      </c>
      <c r="D40">
        <v>7</v>
      </c>
      <c r="E40">
        <v>5</v>
      </c>
      <c r="F40" t="s">
        <v>180</v>
      </c>
      <c r="G40">
        <v>77.900000000000006</v>
      </c>
      <c r="H40">
        <f t="shared" si="0"/>
        <v>0.77900000000000003</v>
      </c>
      <c r="I40">
        <f t="shared" si="1"/>
        <v>0.47667360550000004</v>
      </c>
      <c r="J40">
        <f t="shared" si="2"/>
        <v>0.3182704183080724</v>
      </c>
      <c r="K40">
        <f t="shared" si="3"/>
        <v>1.9230769230769232E-2</v>
      </c>
      <c r="L40">
        <f t="shared" si="4"/>
        <v>-3.9512437185814271</v>
      </c>
      <c r="M40">
        <f t="shared" si="5"/>
        <v>-7.5985456126565903E-2</v>
      </c>
      <c r="N40">
        <f t="shared" si="6"/>
        <v>1.9230769230769231</v>
      </c>
      <c r="O40">
        <f t="shared" si="7"/>
        <v>0.1591352091540362</v>
      </c>
    </row>
    <row r="41" spans="2:15">
      <c r="B41" t="s">
        <v>41</v>
      </c>
      <c r="C41" s="2" t="s">
        <v>40</v>
      </c>
      <c r="D41">
        <v>2</v>
      </c>
      <c r="E41">
        <v>24</v>
      </c>
      <c r="F41" t="s">
        <v>180</v>
      </c>
      <c r="G41">
        <v>391.8</v>
      </c>
      <c r="H41">
        <f t="shared" si="0"/>
        <v>3.9180000000000001</v>
      </c>
      <c r="I41">
        <f t="shared" si="1"/>
        <v>12.057993702000001</v>
      </c>
      <c r="J41">
        <f t="shared" si="2"/>
        <v>8.0510073459304259</v>
      </c>
      <c r="K41">
        <f t="shared" si="3"/>
        <v>9.2307692307692313E-2</v>
      </c>
      <c r="L41">
        <f t="shared" si="4"/>
        <v>-2.3826278006675818</v>
      </c>
      <c r="M41">
        <f t="shared" si="5"/>
        <v>-0.2199348739077768</v>
      </c>
      <c r="N41">
        <f t="shared" si="6"/>
        <v>9.2307692307692317</v>
      </c>
      <c r="O41">
        <f t="shared" si="7"/>
        <v>4.0255036729652129</v>
      </c>
    </row>
    <row r="42" spans="2:15">
      <c r="B42" t="s">
        <v>15</v>
      </c>
      <c r="C42" s="2" t="s">
        <v>29</v>
      </c>
      <c r="D42">
        <v>1</v>
      </c>
      <c r="E42">
        <v>10</v>
      </c>
      <c r="G42">
        <v>338.3</v>
      </c>
      <c r="H42">
        <f t="shared" si="0"/>
        <v>3.383</v>
      </c>
      <c r="I42">
        <f t="shared" si="1"/>
        <v>8.9898032094999998</v>
      </c>
      <c r="J42">
        <f t="shared" si="2"/>
        <v>6.0024058286038589</v>
      </c>
      <c r="K42">
        <f t="shared" si="3"/>
        <v>3.8461538461538464E-2</v>
      </c>
      <c r="L42">
        <f t="shared" si="4"/>
        <v>-3.2580965380214821</v>
      </c>
      <c r="M42">
        <f t="shared" si="5"/>
        <v>-0.12531140530851856</v>
      </c>
      <c r="N42">
        <f t="shared" si="6"/>
        <v>3.8461538461538463</v>
      </c>
      <c r="O42">
        <f t="shared" si="7"/>
        <v>3.0012029143019294</v>
      </c>
    </row>
    <row r="43" spans="2:15">
      <c r="B43" t="s">
        <v>31</v>
      </c>
      <c r="C43" s="2" t="s">
        <v>30</v>
      </c>
      <c r="D43">
        <v>1</v>
      </c>
      <c r="E43">
        <v>4</v>
      </c>
      <c r="F43" t="s">
        <v>180</v>
      </c>
      <c r="G43">
        <v>243.5</v>
      </c>
      <c r="H43">
        <f t="shared" si="0"/>
        <v>2.4350000000000001</v>
      </c>
      <c r="I43">
        <f t="shared" si="1"/>
        <v>4.6574062375</v>
      </c>
      <c r="J43">
        <f t="shared" si="2"/>
        <v>3.1097057070841956</v>
      </c>
      <c r="K43">
        <f t="shared" si="3"/>
        <v>1.5384615384615385E-2</v>
      </c>
      <c r="L43">
        <f t="shared" si="4"/>
        <v>-4.1743872698956368</v>
      </c>
      <c r="M43">
        <f t="shared" si="5"/>
        <v>-6.4221342613779028E-2</v>
      </c>
      <c r="N43">
        <f t="shared" si="6"/>
        <v>1.5384615384615385</v>
      </c>
      <c r="O43">
        <f t="shared" si="7"/>
        <v>1.5548528535420978</v>
      </c>
    </row>
    <row r="44" spans="2:15">
      <c r="E44">
        <v>260</v>
      </c>
      <c r="I44">
        <v>149.77000000000001</v>
      </c>
      <c r="L44" t="s">
        <v>32</v>
      </c>
      <c r="M44">
        <v>3.1</v>
      </c>
    </row>
    <row r="45" spans="2:15">
      <c r="L45" t="s">
        <v>33</v>
      </c>
      <c r="M45">
        <f>3.1/LN(260)</f>
        <v>0.55748561160367283</v>
      </c>
    </row>
  </sheetData>
  <sortState ref="C4:F263">
    <sortCondition ref="C4:C2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31"/>
  <sheetViews>
    <sheetView workbookViewId="0">
      <selection activeCell="G18" sqref="G18"/>
    </sheetView>
  </sheetViews>
  <sheetFormatPr defaultColWidth="9" defaultRowHeight="15"/>
  <cols>
    <col min="1" max="1" width="29.5703125" customWidth="1"/>
    <col min="2" max="2" width="16.5703125" customWidth="1"/>
    <col min="3" max="3" width="14.85546875" customWidth="1"/>
    <col min="4" max="4" width="6.5703125" customWidth="1"/>
    <col min="5" max="5" width="9" customWidth="1"/>
    <col min="6" max="8" width="12.85546875" customWidth="1"/>
    <col min="9" max="10" width="14" customWidth="1"/>
  </cols>
  <sheetData>
    <row r="4" spans="1:10">
      <c r="A4" s="35"/>
      <c r="B4" s="35" t="s">
        <v>183</v>
      </c>
      <c r="C4" s="35"/>
      <c r="D4" s="35"/>
      <c r="E4" s="35"/>
      <c r="F4" s="35"/>
      <c r="G4" s="35"/>
      <c r="H4" s="35"/>
      <c r="I4" s="35"/>
      <c r="J4" s="35"/>
    </row>
    <row r="5" spans="1:10">
      <c r="A5" s="12" t="s">
        <v>1</v>
      </c>
      <c r="B5" s="12" t="s">
        <v>2</v>
      </c>
      <c r="C5" s="36" t="s">
        <v>3</v>
      </c>
      <c r="D5" s="36" t="s">
        <v>49</v>
      </c>
      <c r="E5" s="36" t="s">
        <v>5</v>
      </c>
      <c r="F5" s="36" t="s">
        <v>6</v>
      </c>
      <c r="G5" s="36" t="s">
        <v>7</v>
      </c>
      <c r="H5" s="36" t="s">
        <v>8</v>
      </c>
      <c r="I5" s="36" t="s">
        <v>9</v>
      </c>
      <c r="J5" s="36" t="s">
        <v>10</v>
      </c>
    </row>
    <row r="6" spans="1:10">
      <c r="A6" s="13" t="s">
        <v>184</v>
      </c>
      <c r="B6" s="10" t="s">
        <v>12</v>
      </c>
      <c r="C6" s="35">
        <v>1</v>
      </c>
      <c r="D6" s="10">
        <v>12.6</v>
      </c>
      <c r="E6" s="35">
        <f t="shared" ref="E6:E27" si="0">D6/100</f>
        <v>0.126</v>
      </c>
      <c r="F6" s="35">
        <f t="shared" ref="F6:F27" si="1">((3.142*(E6)^2/4))</f>
        <v>1.2470598000000001E-2</v>
      </c>
      <c r="G6" s="35">
        <f t="shared" ref="G6:G27" si="2">(F6/7.43)*100</f>
        <v>0.16784115746971739</v>
      </c>
      <c r="H6" s="35">
        <f t="shared" ref="H6:H27" si="3">C6/60</f>
        <v>1.6666666666666666E-2</v>
      </c>
      <c r="I6" s="35">
        <f t="shared" ref="I6:I27" si="4">LN(H6)</f>
        <v>-4.0943445622221004</v>
      </c>
      <c r="J6" s="35">
        <f t="shared" ref="J6:J27" si="5">H6*I6</f>
        <v>-6.823907603703501E-2</v>
      </c>
    </row>
    <row r="7" spans="1:10">
      <c r="A7" s="13" t="s">
        <v>13</v>
      </c>
      <c r="B7" s="10" t="s">
        <v>12</v>
      </c>
      <c r="C7" s="35">
        <v>3</v>
      </c>
      <c r="D7" s="35">
        <v>39.4</v>
      </c>
      <c r="E7" s="35">
        <f t="shared" si="0"/>
        <v>0.39399999999999996</v>
      </c>
      <c r="F7" s="35">
        <f t="shared" si="1"/>
        <v>0.12193787799999996</v>
      </c>
      <c r="G7" s="35">
        <f t="shared" si="2"/>
        <v>1.6411558277254368</v>
      </c>
      <c r="H7" s="35">
        <f t="shared" si="3"/>
        <v>0.05</v>
      </c>
      <c r="I7" s="35">
        <f t="shared" si="4"/>
        <v>-2.9957322735539909</v>
      </c>
      <c r="J7" s="35">
        <f t="shared" si="5"/>
        <v>-0.14978661367769955</v>
      </c>
    </row>
    <row r="8" spans="1:10">
      <c r="A8" s="13" t="s">
        <v>14</v>
      </c>
      <c r="B8" s="10" t="s">
        <v>15</v>
      </c>
      <c r="C8" s="35">
        <v>2</v>
      </c>
      <c r="D8" s="35">
        <v>25.5</v>
      </c>
      <c r="E8" s="35">
        <f t="shared" si="0"/>
        <v>0.255</v>
      </c>
      <c r="F8" s="35">
        <f t="shared" si="1"/>
        <v>5.1077137500000001E-2</v>
      </c>
      <c r="G8" s="35">
        <f t="shared" si="2"/>
        <v>0.68744465006729483</v>
      </c>
      <c r="H8" s="35">
        <f t="shared" si="3"/>
        <v>3.3333333333333333E-2</v>
      </c>
      <c r="I8" s="35">
        <f t="shared" si="4"/>
        <v>-3.4011973816621555</v>
      </c>
      <c r="J8" s="35">
        <f t="shared" si="5"/>
        <v>-0.11337324605540518</v>
      </c>
    </row>
    <row r="9" spans="1:10">
      <c r="A9" s="13" t="s">
        <v>185</v>
      </c>
      <c r="B9" s="10" t="s">
        <v>24</v>
      </c>
      <c r="C9" s="35">
        <v>1</v>
      </c>
      <c r="D9" s="10">
        <v>14.7</v>
      </c>
      <c r="E9" s="35">
        <f t="shared" si="0"/>
        <v>0.14699999999999999</v>
      </c>
      <c r="F9" s="35">
        <f t="shared" si="1"/>
        <v>1.6973869499999995E-2</v>
      </c>
      <c r="G9" s="35">
        <f t="shared" si="2"/>
        <v>0.22845046433378188</v>
      </c>
      <c r="H9" s="35">
        <f t="shared" si="3"/>
        <v>1.6666666666666666E-2</v>
      </c>
      <c r="I9" s="35">
        <f t="shared" si="4"/>
        <v>-4.0943445622221004</v>
      </c>
      <c r="J9" s="35">
        <f t="shared" si="5"/>
        <v>-6.823907603703501E-2</v>
      </c>
    </row>
    <row r="10" spans="1:10">
      <c r="A10" s="13" t="s">
        <v>186</v>
      </c>
      <c r="B10" s="10" t="s">
        <v>24</v>
      </c>
      <c r="C10" s="35">
        <v>1</v>
      </c>
      <c r="D10" s="35">
        <v>13</v>
      </c>
      <c r="E10" s="35">
        <f t="shared" si="0"/>
        <v>0.13</v>
      </c>
      <c r="F10" s="35">
        <f t="shared" si="1"/>
        <v>1.3274950000000001E-2</v>
      </c>
      <c r="G10" s="35">
        <f t="shared" si="2"/>
        <v>0.17866689098250338</v>
      </c>
      <c r="H10" s="35">
        <f t="shared" si="3"/>
        <v>1.6666666666666666E-2</v>
      </c>
      <c r="I10" s="35">
        <f t="shared" si="4"/>
        <v>-4.0943445622221004</v>
      </c>
      <c r="J10" s="35">
        <f t="shared" si="5"/>
        <v>-6.823907603703501E-2</v>
      </c>
    </row>
    <row r="11" spans="1:10">
      <c r="A11" s="13" t="s">
        <v>100</v>
      </c>
      <c r="B11" s="10" t="s">
        <v>36</v>
      </c>
      <c r="C11" s="35">
        <v>2</v>
      </c>
      <c r="D11" s="35">
        <v>15.8</v>
      </c>
      <c r="E11" s="35">
        <f t="shared" si="0"/>
        <v>0.158</v>
      </c>
      <c r="F11" s="35">
        <f t="shared" si="1"/>
        <v>1.9609221999999999E-2</v>
      </c>
      <c r="G11" s="35">
        <f t="shared" si="2"/>
        <v>0.2639195423956931</v>
      </c>
      <c r="H11" s="35">
        <f t="shared" si="3"/>
        <v>3.3333333333333333E-2</v>
      </c>
      <c r="I11" s="35">
        <f t="shared" si="4"/>
        <v>-3.4011973816621555</v>
      </c>
      <c r="J11" s="35">
        <f t="shared" si="5"/>
        <v>-0.11337324605540518</v>
      </c>
    </row>
    <row r="12" spans="1:10">
      <c r="A12" s="13" t="s">
        <v>35</v>
      </c>
      <c r="B12" s="10" t="s">
        <v>36</v>
      </c>
      <c r="C12" s="35">
        <v>4</v>
      </c>
      <c r="D12" s="35">
        <v>75.400000000000006</v>
      </c>
      <c r="E12" s="35">
        <f t="shared" si="0"/>
        <v>0.754</v>
      </c>
      <c r="F12" s="35">
        <f t="shared" si="1"/>
        <v>0.44656931799999999</v>
      </c>
      <c r="G12" s="35">
        <f t="shared" si="2"/>
        <v>6.0103542126514133</v>
      </c>
      <c r="H12" s="35">
        <f t="shared" si="3"/>
        <v>6.6666666666666666E-2</v>
      </c>
      <c r="I12" s="35">
        <f t="shared" si="4"/>
        <v>-2.7080502011022101</v>
      </c>
      <c r="J12" s="35">
        <f t="shared" si="5"/>
        <v>-0.18053668007348067</v>
      </c>
    </row>
    <row r="13" spans="1:10">
      <c r="A13" s="13" t="s">
        <v>82</v>
      </c>
      <c r="B13" s="10" t="s">
        <v>31</v>
      </c>
      <c r="C13" s="35">
        <v>3</v>
      </c>
      <c r="D13" s="35">
        <v>55.2</v>
      </c>
      <c r="E13" s="35">
        <f t="shared" si="0"/>
        <v>0.55200000000000005</v>
      </c>
      <c r="F13" s="35">
        <f t="shared" si="1"/>
        <v>0.23934499200000001</v>
      </c>
      <c r="G13" s="35">
        <f t="shared" si="2"/>
        <v>3.2213323283983852</v>
      </c>
      <c r="H13" s="35">
        <f t="shared" si="3"/>
        <v>0.05</v>
      </c>
      <c r="I13" s="35">
        <f t="shared" si="4"/>
        <v>-2.9957322735539909</v>
      </c>
      <c r="J13" s="35">
        <f t="shared" si="5"/>
        <v>-0.14978661367769955</v>
      </c>
    </row>
    <row r="14" spans="1:10">
      <c r="A14" s="13" t="s">
        <v>37</v>
      </c>
      <c r="B14" s="10" t="s">
        <v>31</v>
      </c>
      <c r="C14" s="35">
        <v>5</v>
      </c>
      <c r="D14" s="35">
        <v>64.599999999999994</v>
      </c>
      <c r="E14" s="35">
        <f t="shared" si="0"/>
        <v>0.64599999999999991</v>
      </c>
      <c r="F14" s="35">
        <f t="shared" si="1"/>
        <v>0.32780171799999985</v>
      </c>
      <c r="G14" s="35">
        <f t="shared" si="2"/>
        <v>4.4118669986541033</v>
      </c>
      <c r="H14" s="35">
        <f t="shared" si="3"/>
        <v>8.3333333333333329E-2</v>
      </c>
      <c r="I14" s="35">
        <f t="shared" si="4"/>
        <v>-2.4849066497880004</v>
      </c>
      <c r="J14" s="35">
        <f t="shared" si="5"/>
        <v>-0.20707555414900003</v>
      </c>
    </row>
    <row r="15" spans="1:10">
      <c r="A15" s="13" t="s">
        <v>187</v>
      </c>
      <c r="B15" s="10" t="s">
        <v>31</v>
      </c>
      <c r="C15" s="35">
        <v>4</v>
      </c>
      <c r="D15" s="35">
        <v>90.2</v>
      </c>
      <c r="E15" s="35">
        <f t="shared" si="0"/>
        <v>0.90200000000000002</v>
      </c>
      <c r="F15" s="35">
        <f t="shared" si="1"/>
        <v>0.63908594200000002</v>
      </c>
      <c r="G15" s="35">
        <f t="shared" si="2"/>
        <v>8.6014258681022895</v>
      </c>
      <c r="H15" s="35">
        <f t="shared" si="3"/>
        <v>6.6666666666666666E-2</v>
      </c>
      <c r="I15" s="35">
        <f t="shared" si="4"/>
        <v>-2.7080502011022101</v>
      </c>
      <c r="J15" s="35">
        <f t="shared" si="5"/>
        <v>-0.18053668007348067</v>
      </c>
    </row>
    <row r="16" spans="1:10">
      <c r="A16" s="13" t="s">
        <v>188</v>
      </c>
      <c r="B16" s="10" t="s">
        <v>109</v>
      </c>
      <c r="C16" s="35">
        <v>5</v>
      </c>
      <c r="D16" s="35">
        <v>58.2</v>
      </c>
      <c r="E16" s="35">
        <f t="shared" si="0"/>
        <v>0.58200000000000007</v>
      </c>
      <c r="F16" s="35">
        <f t="shared" si="1"/>
        <v>0.26606770200000007</v>
      </c>
      <c r="G16" s="35">
        <f t="shared" si="2"/>
        <v>3.5809919515477802</v>
      </c>
      <c r="H16" s="35">
        <f t="shared" si="3"/>
        <v>8.3333333333333329E-2</v>
      </c>
      <c r="I16" s="35">
        <f t="shared" si="4"/>
        <v>-2.4849066497880004</v>
      </c>
      <c r="J16" s="35">
        <f t="shared" si="5"/>
        <v>-0.20707555414900003</v>
      </c>
    </row>
    <row r="17" spans="1:10">
      <c r="A17" s="13" t="s">
        <v>83</v>
      </c>
      <c r="B17" s="10" t="s">
        <v>15</v>
      </c>
      <c r="C17" s="35">
        <v>9</v>
      </c>
      <c r="D17" s="35">
        <v>163.4</v>
      </c>
      <c r="E17" s="35">
        <f t="shared" si="0"/>
        <v>1.6340000000000001</v>
      </c>
      <c r="F17" s="35">
        <f t="shared" si="1"/>
        <v>2.0972504380000001</v>
      </c>
      <c r="G17" s="35">
        <f t="shared" si="2"/>
        <v>28.226789205921943</v>
      </c>
      <c r="H17" s="35">
        <f t="shared" si="3"/>
        <v>0.15</v>
      </c>
      <c r="I17" s="35">
        <f t="shared" si="4"/>
        <v>-1.8971199848858813</v>
      </c>
      <c r="J17" s="35">
        <f t="shared" si="5"/>
        <v>-0.28456799773288216</v>
      </c>
    </row>
    <row r="18" spans="1:10">
      <c r="A18" s="13" t="s">
        <v>20</v>
      </c>
      <c r="B18" s="10" t="s">
        <v>21</v>
      </c>
      <c r="C18" s="35">
        <v>2</v>
      </c>
      <c r="D18" s="35">
        <v>21</v>
      </c>
      <c r="E18" s="35">
        <f t="shared" si="0"/>
        <v>0.21</v>
      </c>
      <c r="F18" s="35">
        <f t="shared" si="1"/>
        <v>3.4640549999999992E-2</v>
      </c>
      <c r="G18" s="35">
        <f t="shared" si="2"/>
        <v>0.46622543741588146</v>
      </c>
      <c r="H18" s="35">
        <f t="shared" si="3"/>
        <v>3.3333333333333333E-2</v>
      </c>
      <c r="I18" s="35">
        <f t="shared" si="4"/>
        <v>-3.4011973816621555</v>
      </c>
      <c r="J18" s="35">
        <f t="shared" si="5"/>
        <v>-0.11337324605540518</v>
      </c>
    </row>
    <row r="19" spans="1:10">
      <c r="A19" s="13" t="s">
        <v>189</v>
      </c>
      <c r="B19" s="10" t="s">
        <v>21</v>
      </c>
      <c r="C19" s="35">
        <v>1</v>
      </c>
      <c r="D19" s="35">
        <v>42.2</v>
      </c>
      <c r="E19" s="35">
        <f t="shared" si="0"/>
        <v>0.42200000000000004</v>
      </c>
      <c r="F19" s="35">
        <f t="shared" si="1"/>
        <v>0.13988498200000005</v>
      </c>
      <c r="G19" s="35">
        <f t="shared" si="2"/>
        <v>1.8827050067294757</v>
      </c>
      <c r="H19" s="35">
        <f t="shared" si="3"/>
        <v>1.6666666666666666E-2</v>
      </c>
      <c r="I19" s="35">
        <f t="shared" si="4"/>
        <v>-4.0943445622221004</v>
      </c>
      <c r="J19" s="35">
        <f t="shared" si="5"/>
        <v>-6.823907603703501E-2</v>
      </c>
    </row>
    <row r="20" spans="1:10">
      <c r="A20" s="13" t="s">
        <v>190</v>
      </c>
      <c r="B20" s="10" t="s">
        <v>12</v>
      </c>
      <c r="C20" s="35">
        <v>1</v>
      </c>
      <c r="D20" s="35">
        <v>10</v>
      </c>
      <c r="E20" s="35">
        <f t="shared" si="0"/>
        <v>0.1</v>
      </c>
      <c r="F20" s="35">
        <f t="shared" si="1"/>
        <v>7.8550000000000009E-3</v>
      </c>
      <c r="G20" s="35">
        <f t="shared" si="2"/>
        <v>0.10572005383580083</v>
      </c>
      <c r="H20" s="35">
        <f t="shared" si="3"/>
        <v>1.6666666666666666E-2</v>
      </c>
      <c r="I20" s="35">
        <f t="shared" si="4"/>
        <v>-4.0943445622221004</v>
      </c>
      <c r="J20" s="35">
        <f t="shared" si="5"/>
        <v>-6.823907603703501E-2</v>
      </c>
    </row>
    <row r="21" spans="1:10">
      <c r="A21" s="13" t="s">
        <v>27</v>
      </c>
      <c r="B21" s="10" t="s">
        <v>46</v>
      </c>
      <c r="C21" s="35">
        <v>1</v>
      </c>
      <c r="D21" s="35">
        <v>12.3</v>
      </c>
      <c r="E21" s="35">
        <f t="shared" si="0"/>
        <v>0.12300000000000001</v>
      </c>
      <c r="F21" s="35">
        <f t="shared" si="1"/>
        <v>1.1883829500000002E-2</v>
      </c>
      <c r="G21" s="35">
        <f t="shared" si="2"/>
        <v>0.15994386944818306</v>
      </c>
      <c r="H21" s="35">
        <f t="shared" si="3"/>
        <v>1.6666666666666666E-2</v>
      </c>
      <c r="I21" s="35">
        <f t="shared" si="4"/>
        <v>-4.0943445622221004</v>
      </c>
      <c r="J21" s="35">
        <f t="shared" si="5"/>
        <v>-6.823907603703501E-2</v>
      </c>
    </row>
    <row r="22" spans="1:10">
      <c r="A22" s="13" t="s">
        <v>170</v>
      </c>
      <c r="B22" s="10" t="s">
        <v>31</v>
      </c>
      <c r="C22" s="35">
        <v>4</v>
      </c>
      <c r="D22" s="35">
        <v>133.4</v>
      </c>
      <c r="E22" s="35">
        <f t="shared" si="0"/>
        <v>1.3340000000000001</v>
      </c>
      <c r="F22" s="35">
        <f t="shared" si="1"/>
        <v>1.397841238</v>
      </c>
      <c r="G22" s="35">
        <f t="shared" si="2"/>
        <v>18.813475612382234</v>
      </c>
      <c r="H22" s="35">
        <f t="shared" si="3"/>
        <v>6.6666666666666666E-2</v>
      </c>
      <c r="I22" s="35">
        <f t="shared" si="4"/>
        <v>-2.7080502011022101</v>
      </c>
      <c r="J22" s="35">
        <f t="shared" si="5"/>
        <v>-0.18053668007348067</v>
      </c>
    </row>
    <row r="23" spans="1:10">
      <c r="A23" s="13" t="s">
        <v>44</v>
      </c>
      <c r="B23" s="10" t="s">
        <v>45</v>
      </c>
      <c r="C23" s="35">
        <v>5</v>
      </c>
      <c r="D23" s="35">
        <v>112.4</v>
      </c>
      <c r="E23" s="35">
        <f t="shared" si="0"/>
        <v>1.1240000000000001</v>
      </c>
      <c r="F23" s="35">
        <f t="shared" si="1"/>
        <v>0.99238184800000018</v>
      </c>
      <c r="G23" s="35">
        <f t="shared" si="2"/>
        <v>13.356417873485871</v>
      </c>
      <c r="H23" s="35">
        <f t="shared" si="3"/>
        <v>8.3333333333333329E-2</v>
      </c>
      <c r="I23" s="35">
        <f t="shared" si="4"/>
        <v>-2.4849066497880004</v>
      </c>
      <c r="J23" s="35">
        <f t="shared" si="5"/>
        <v>-0.20707555414900003</v>
      </c>
    </row>
    <row r="24" spans="1:10">
      <c r="A24" s="13" t="s">
        <v>121</v>
      </c>
      <c r="B24" s="10" t="s">
        <v>31</v>
      </c>
      <c r="C24" s="35">
        <v>1</v>
      </c>
      <c r="D24" s="35">
        <v>10.199999999999999</v>
      </c>
      <c r="E24" s="35">
        <f t="shared" si="0"/>
        <v>0.10199999999999999</v>
      </c>
      <c r="F24" s="35">
        <f t="shared" si="1"/>
        <v>8.1723419999999991E-3</v>
      </c>
      <c r="G24" s="35">
        <f t="shared" si="2"/>
        <v>0.10999114401076715</v>
      </c>
      <c r="H24" s="35">
        <f t="shared" si="3"/>
        <v>1.6666666666666666E-2</v>
      </c>
      <c r="I24" s="35">
        <f t="shared" si="4"/>
        <v>-4.0943445622221004</v>
      </c>
      <c r="J24" s="35">
        <f t="shared" si="5"/>
        <v>-6.823907603703501E-2</v>
      </c>
    </row>
    <row r="25" spans="1:10">
      <c r="A25" s="13" t="s">
        <v>62</v>
      </c>
      <c r="B25" s="10" t="s">
        <v>31</v>
      </c>
      <c r="C25" s="35">
        <v>3</v>
      </c>
      <c r="D25" s="35">
        <v>47.7</v>
      </c>
      <c r="E25" s="35">
        <f t="shared" si="0"/>
        <v>0.47700000000000004</v>
      </c>
      <c r="F25" s="35">
        <f t="shared" si="1"/>
        <v>0.17872402950000002</v>
      </c>
      <c r="G25" s="35">
        <f t="shared" si="2"/>
        <v>2.4054378129205927</v>
      </c>
      <c r="H25" s="35">
        <f t="shared" si="3"/>
        <v>0.05</v>
      </c>
      <c r="I25" s="35">
        <f t="shared" si="4"/>
        <v>-2.9957322735539909</v>
      </c>
      <c r="J25" s="35">
        <f t="shared" si="5"/>
        <v>-0.14978661367769955</v>
      </c>
    </row>
    <row r="26" spans="1:10">
      <c r="A26" s="13" t="s">
        <v>191</v>
      </c>
      <c r="B26" s="10" t="s">
        <v>41</v>
      </c>
      <c r="C26" s="35">
        <v>1</v>
      </c>
      <c r="D26" s="35">
        <v>10</v>
      </c>
      <c r="E26" s="35">
        <f t="shared" si="0"/>
        <v>0.1</v>
      </c>
      <c r="F26" s="35">
        <f t="shared" si="1"/>
        <v>7.8550000000000009E-3</v>
      </c>
      <c r="G26" s="35">
        <f t="shared" si="2"/>
        <v>0.10572005383580083</v>
      </c>
      <c r="H26" s="35">
        <f t="shared" si="3"/>
        <v>1.6666666666666666E-2</v>
      </c>
      <c r="I26" s="35">
        <f t="shared" si="4"/>
        <v>-4.0943445622221004</v>
      </c>
      <c r="J26" s="35">
        <f t="shared" si="5"/>
        <v>-6.823907603703501E-2</v>
      </c>
    </row>
    <row r="27" spans="1:10">
      <c r="A27" s="13" t="s">
        <v>192</v>
      </c>
      <c r="B27" s="10" t="s">
        <v>31</v>
      </c>
      <c r="C27" s="35">
        <v>1</v>
      </c>
      <c r="D27" s="10">
        <v>71.7</v>
      </c>
      <c r="E27" s="35">
        <f t="shared" si="0"/>
        <v>0.71700000000000008</v>
      </c>
      <c r="F27" s="35">
        <f t="shared" si="1"/>
        <v>0.4038169095000001</v>
      </c>
      <c r="G27" s="35">
        <f t="shared" si="2"/>
        <v>5.4349516756393017</v>
      </c>
      <c r="H27" s="35">
        <f t="shared" si="3"/>
        <v>1.6666666666666666E-2</v>
      </c>
      <c r="I27" s="35">
        <f t="shared" si="4"/>
        <v>-4.0943445622221004</v>
      </c>
      <c r="J27" s="35">
        <f t="shared" si="5"/>
        <v>-6.823907603703501E-2</v>
      </c>
    </row>
    <row r="28" spans="1:10">
      <c r="A28" s="13"/>
      <c r="B28" s="10"/>
      <c r="C28" s="35">
        <v>60</v>
      </c>
      <c r="D28" s="10"/>
      <c r="E28" s="35"/>
      <c r="F28" s="35">
        <v>7.43</v>
      </c>
      <c r="G28" s="35"/>
      <c r="H28" s="35"/>
      <c r="I28" s="35" t="s">
        <v>32</v>
      </c>
      <c r="J28" s="35">
        <v>2.85</v>
      </c>
    </row>
    <row r="29" spans="1:10">
      <c r="A29" s="13"/>
      <c r="B29" s="35"/>
      <c r="C29" s="35"/>
      <c r="D29" s="35"/>
      <c r="E29" s="35"/>
      <c r="F29" s="35"/>
      <c r="G29" s="35"/>
      <c r="H29" s="35"/>
      <c r="I29" s="35" t="s">
        <v>33</v>
      </c>
      <c r="J29" s="35">
        <f>2.85/LN(60)</f>
        <v>0.69608210952652105</v>
      </c>
    </row>
    <row r="30" spans="1:10">
      <c r="A30" s="13"/>
      <c r="B30" s="10"/>
      <c r="C30" s="35"/>
      <c r="D30" s="35"/>
      <c r="E30" s="35"/>
      <c r="F30" s="35"/>
      <c r="G30" s="35"/>
      <c r="H30" s="35"/>
      <c r="I30" s="35"/>
      <c r="J30" s="35"/>
    </row>
    <row r="31" spans="1:10">
      <c r="A31" s="13"/>
      <c r="B31" s="10"/>
      <c r="C31" s="35"/>
      <c r="D31" s="35"/>
      <c r="E31" s="35"/>
      <c r="F31" s="35"/>
      <c r="G31" s="35"/>
      <c r="H31" s="35"/>
      <c r="I31" s="35"/>
      <c r="J31" s="35"/>
    </row>
    <row r="32" spans="1:10">
      <c r="A32" s="13"/>
      <c r="B32" s="10"/>
      <c r="C32" s="10" t="s">
        <v>193</v>
      </c>
      <c r="D32" s="35"/>
      <c r="E32" s="35"/>
      <c r="F32" s="35"/>
      <c r="G32" s="35"/>
      <c r="H32" s="35"/>
      <c r="I32" s="35"/>
      <c r="J32" s="35"/>
    </row>
    <row r="33" spans="1:10">
      <c r="A33" s="12" t="s">
        <v>1</v>
      </c>
      <c r="B33" s="12" t="s">
        <v>2</v>
      </c>
      <c r="C33" s="36" t="s">
        <v>3</v>
      </c>
      <c r="D33" s="36" t="s">
        <v>49</v>
      </c>
      <c r="E33" s="36" t="s">
        <v>5</v>
      </c>
      <c r="F33" s="36" t="s">
        <v>6</v>
      </c>
      <c r="G33" s="36" t="s">
        <v>7</v>
      </c>
      <c r="H33" s="36" t="s">
        <v>8</v>
      </c>
      <c r="I33" s="36" t="s">
        <v>9</v>
      </c>
      <c r="J33" s="36" t="s">
        <v>10</v>
      </c>
    </row>
    <row r="34" spans="1:10">
      <c r="A34" s="13" t="s">
        <v>14</v>
      </c>
      <c r="B34" s="10" t="s">
        <v>15</v>
      </c>
      <c r="C34" s="35">
        <v>1</v>
      </c>
      <c r="D34" s="35">
        <v>10.4</v>
      </c>
      <c r="E34" s="35">
        <f t="shared" ref="E34:E54" si="6">D34/100</f>
        <v>0.10400000000000001</v>
      </c>
      <c r="F34" s="35">
        <f t="shared" ref="F34:F54" si="7">((3.142*(E34)^2/4))</f>
        <v>8.4959680000000013E-3</v>
      </c>
      <c r="G34" s="35">
        <f t="shared" ref="G34:G54" si="8">(F34/4.8494)*100</f>
        <v>0.17519627170371593</v>
      </c>
      <c r="H34" s="35">
        <f t="shared" ref="H34:H54" si="9">C34/40</f>
        <v>2.5000000000000001E-2</v>
      </c>
      <c r="I34" s="35">
        <f t="shared" ref="I34:I54" si="10">LN(H34)</f>
        <v>-3.6888794541139363</v>
      </c>
      <c r="J34" s="35">
        <f t="shared" ref="J34:J54" si="11">H34*I34</f>
        <v>-9.2221986352848409E-2</v>
      </c>
    </row>
    <row r="35" spans="1:10">
      <c r="A35" s="13" t="s">
        <v>163</v>
      </c>
      <c r="B35" s="10" t="s">
        <v>12</v>
      </c>
      <c r="C35" s="35">
        <v>1</v>
      </c>
      <c r="D35" s="35">
        <v>10.199999999999999</v>
      </c>
      <c r="E35" s="35">
        <f t="shared" si="6"/>
        <v>0.10199999999999999</v>
      </c>
      <c r="F35" s="35">
        <f t="shared" si="7"/>
        <v>8.1723419999999991E-3</v>
      </c>
      <c r="G35" s="35">
        <f t="shared" si="8"/>
        <v>0.16852274508186577</v>
      </c>
      <c r="H35" s="35">
        <f t="shared" si="9"/>
        <v>2.5000000000000001E-2</v>
      </c>
      <c r="I35" s="35">
        <f t="shared" si="10"/>
        <v>-3.6888794541139363</v>
      </c>
      <c r="J35" s="35">
        <f t="shared" si="11"/>
        <v>-9.2221986352848409E-2</v>
      </c>
    </row>
    <row r="36" spans="1:10">
      <c r="A36" s="13" t="s">
        <v>194</v>
      </c>
      <c r="B36" s="14" t="s">
        <v>159</v>
      </c>
      <c r="C36" s="35">
        <v>1</v>
      </c>
      <c r="D36" s="35">
        <v>104.5</v>
      </c>
      <c r="E36" s="35">
        <f t="shared" si="6"/>
        <v>1.0449999999999999</v>
      </c>
      <c r="F36" s="35">
        <f t="shared" si="7"/>
        <v>0.85778563749999981</v>
      </c>
      <c r="G36" s="35">
        <f t="shared" si="8"/>
        <v>17.688490070936606</v>
      </c>
      <c r="H36" s="35">
        <f t="shared" si="9"/>
        <v>2.5000000000000001E-2</v>
      </c>
      <c r="I36" s="35">
        <f t="shared" si="10"/>
        <v>-3.6888794541139363</v>
      </c>
      <c r="J36" s="35">
        <f t="shared" si="11"/>
        <v>-9.2221986352848409E-2</v>
      </c>
    </row>
    <row r="37" spans="1:10">
      <c r="A37" s="13" t="s">
        <v>195</v>
      </c>
      <c r="B37" s="10" t="s">
        <v>12</v>
      </c>
      <c r="C37" s="35">
        <v>1</v>
      </c>
      <c r="D37" s="35">
        <v>13</v>
      </c>
      <c r="E37" s="35">
        <f t="shared" si="6"/>
        <v>0.13</v>
      </c>
      <c r="F37" s="35">
        <f t="shared" si="7"/>
        <v>1.3274950000000001E-2</v>
      </c>
      <c r="G37" s="35">
        <f t="shared" si="8"/>
        <v>0.27374417453705613</v>
      </c>
      <c r="H37" s="35">
        <f t="shared" si="9"/>
        <v>2.5000000000000001E-2</v>
      </c>
      <c r="I37" s="35">
        <f t="shared" si="10"/>
        <v>-3.6888794541139363</v>
      </c>
      <c r="J37" s="35">
        <f t="shared" si="11"/>
        <v>-9.2221986352848409E-2</v>
      </c>
    </row>
    <row r="38" spans="1:10">
      <c r="A38" s="13" t="s">
        <v>164</v>
      </c>
      <c r="B38" s="10" t="s">
        <v>99</v>
      </c>
      <c r="C38" s="35">
        <v>1</v>
      </c>
      <c r="D38" s="35">
        <v>41</v>
      </c>
      <c r="E38" s="35">
        <f t="shared" si="6"/>
        <v>0.41</v>
      </c>
      <c r="F38" s="35">
        <f t="shared" si="7"/>
        <v>0.13204254999999998</v>
      </c>
      <c r="G38" s="35">
        <f t="shared" si="8"/>
        <v>2.7228636532354513</v>
      </c>
      <c r="H38" s="35">
        <f t="shared" si="9"/>
        <v>2.5000000000000001E-2</v>
      </c>
      <c r="I38" s="35">
        <f t="shared" si="10"/>
        <v>-3.6888794541139363</v>
      </c>
      <c r="J38" s="35">
        <f t="shared" si="11"/>
        <v>-9.2221986352848409E-2</v>
      </c>
    </row>
    <row r="39" spans="1:10">
      <c r="A39" s="13" t="s">
        <v>100</v>
      </c>
      <c r="B39" s="10" t="s">
        <v>36</v>
      </c>
      <c r="C39" s="35">
        <v>3</v>
      </c>
      <c r="D39" s="35">
        <v>57.2</v>
      </c>
      <c r="E39" s="35">
        <f t="shared" si="6"/>
        <v>0.57200000000000006</v>
      </c>
      <c r="F39" s="35">
        <f t="shared" si="7"/>
        <v>0.25700303200000008</v>
      </c>
      <c r="G39" s="35">
        <f t="shared" si="8"/>
        <v>5.2996872190374074</v>
      </c>
      <c r="H39" s="35">
        <f t="shared" si="9"/>
        <v>7.4999999999999997E-2</v>
      </c>
      <c r="I39" s="35">
        <f t="shared" si="10"/>
        <v>-2.5902671654458267</v>
      </c>
      <c r="J39" s="35">
        <f t="shared" si="11"/>
        <v>-0.19427003740843699</v>
      </c>
    </row>
    <row r="40" spans="1:10">
      <c r="A40" s="13" t="s">
        <v>35</v>
      </c>
      <c r="B40" s="10" t="s">
        <v>36</v>
      </c>
      <c r="C40" s="35">
        <v>4</v>
      </c>
      <c r="D40" s="35">
        <v>90.4</v>
      </c>
      <c r="E40" s="35">
        <f t="shared" si="6"/>
        <v>0.90400000000000003</v>
      </c>
      <c r="F40" s="35">
        <f t="shared" si="7"/>
        <v>0.64192316800000004</v>
      </c>
      <c r="G40" s="35">
        <f t="shared" si="8"/>
        <v>13.237166824761825</v>
      </c>
      <c r="H40" s="35">
        <f t="shared" si="9"/>
        <v>0.1</v>
      </c>
      <c r="I40" s="35">
        <f t="shared" si="10"/>
        <v>-2.3025850929940455</v>
      </c>
      <c r="J40" s="35">
        <f t="shared" si="11"/>
        <v>-0.23025850929940456</v>
      </c>
    </row>
    <row r="41" spans="1:10">
      <c r="A41" s="13" t="s">
        <v>37</v>
      </c>
      <c r="B41" s="10" t="s">
        <v>31</v>
      </c>
      <c r="C41" s="35">
        <v>1</v>
      </c>
      <c r="D41" s="35">
        <v>10</v>
      </c>
      <c r="E41" s="35">
        <f t="shared" si="6"/>
        <v>0.1</v>
      </c>
      <c r="F41" s="35">
        <f t="shared" si="7"/>
        <v>7.8550000000000009E-3</v>
      </c>
      <c r="G41" s="35">
        <f t="shared" si="8"/>
        <v>0.16197880150121666</v>
      </c>
      <c r="H41" s="35">
        <f t="shared" si="9"/>
        <v>2.5000000000000001E-2</v>
      </c>
      <c r="I41" s="35">
        <f t="shared" si="10"/>
        <v>-3.6888794541139363</v>
      </c>
      <c r="J41" s="35">
        <f t="shared" si="11"/>
        <v>-9.2221986352848409E-2</v>
      </c>
    </row>
    <row r="42" spans="1:10">
      <c r="A42" s="13" t="s">
        <v>187</v>
      </c>
      <c r="B42" s="10" t="s">
        <v>31</v>
      </c>
      <c r="C42" s="35">
        <v>3</v>
      </c>
      <c r="D42" s="35">
        <v>30.3</v>
      </c>
      <c r="E42" s="35">
        <f t="shared" si="6"/>
        <v>0.30299999999999999</v>
      </c>
      <c r="F42" s="35">
        <f t="shared" si="7"/>
        <v>7.2115969500000002E-2</v>
      </c>
      <c r="G42" s="35">
        <f t="shared" si="8"/>
        <v>1.48711117870252</v>
      </c>
      <c r="H42" s="35">
        <f t="shared" si="9"/>
        <v>7.4999999999999997E-2</v>
      </c>
      <c r="I42" s="35">
        <f t="shared" si="10"/>
        <v>-2.5902671654458267</v>
      </c>
      <c r="J42" s="35">
        <f t="shared" si="11"/>
        <v>-0.19427003740843699</v>
      </c>
    </row>
    <row r="43" spans="1:10">
      <c r="A43" s="13" t="s">
        <v>73</v>
      </c>
      <c r="B43" s="10" t="s">
        <v>12</v>
      </c>
      <c r="C43" s="35">
        <v>2</v>
      </c>
      <c r="D43" s="35">
        <v>24.8</v>
      </c>
      <c r="E43" s="35">
        <f t="shared" si="6"/>
        <v>0.248</v>
      </c>
      <c r="F43" s="35">
        <f t="shared" si="7"/>
        <v>4.8311391999999995E-2</v>
      </c>
      <c r="G43" s="35">
        <f t="shared" si="8"/>
        <v>0.99623442075308277</v>
      </c>
      <c r="H43" s="35">
        <f t="shared" si="9"/>
        <v>0.05</v>
      </c>
      <c r="I43" s="35">
        <f t="shared" si="10"/>
        <v>-2.9957322735539909</v>
      </c>
      <c r="J43" s="35">
        <f t="shared" si="11"/>
        <v>-0.14978661367769955</v>
      </c>
    </row>
    <row r="44" spans="1:10">
      <c r="A44" s="13" t="s">
        <v>188</v>
      </c>
      <c r="B44" s="10" t="s">
        <v>109</v>
      </c>
      <c r="C44" s="35">
        <v>1</v>
      </c>
      <c r="D44" s="35">
        <v>10.4</v>
      </c>
      <c r="E44" s="35">
        <f t="shared" si="6"/>
        <v>0.10400000000000001</v>
      </c>
      <c r="F44" s="35">
        <f t="shared" si="7"/>
        <v>8.4959680000000013E-3</v>
      </c>
      <c r="G44" s="35">
        <f t="shared" si="8"/>
        <v>0.17519627170371593</v>
      </c>
      <c r="H44" s="35">
        <f t="shared" si="9"/>
        <v>2.5000000000000001E-2</v>
      </c>
      <c r="I44" s="35">
        <f t="shared" si="10"/>
        <v>-3.6888794541139363</v>
      </c>
      <c r="J44" s="35">
        <f t="shared" si="11"/>
        <v>-9.2221986352848409E-2</v>
      </c>
    </row>
    <row r="45" spans="1:10">
      <c r="A45" s="13" t="s">
        <v>83</v>
      </c>
      <c r="B45" s="10" t="s">
        <v>15</v>
      </c>
      <c r="C45" s="35">
        <v>5</v>
      </c>
      <c r="D45" s="35">
        <v>136.6</v>
      </c>
      <c r="E45" s="35">
        <f t="shared" si="6"/>
        <v>1.3659999999999999</v>
      </c>
      <c r="F45" s="35">
        <f t="shared" si="7"/>
        <v>1.4657084379999998</v>
      </c>
      <c r="G45" s="35">
        <f t="shared" si="8"/>
        <v>30.224531653400415</v>
      </c>
      <c r="H45" s="35">
        <f t="shared" si="9"/>
        <v>0.125</v>
      </c>
      <c r="I45" s="35">
        <f t="shared" si="10"/>
        <v>-2.0794415416798357</v>
      </c>
      <c r="J45" s="35">
        <f t="shared" si="11"/>
        <v>-0.25993019270997947</v>
      </c>
    </row>
    <row r="46" spans="1:10">
      <c r="A46" s="13" t="s">
        <v>168</v>
      </c>
      <c r="B46" s="10" t="s">
        <v>24</v>
      </c>
      <c r="C46" s="35">
        <v>2</v>
      </c>
      <c r="D46" s="35">
        <v>28.2</v>
      </c>
      <c r="E46" s="35">
        <f t="shared" si="6"/>
        <v>0.28199999999999997</v>
      </c>
      <c r="F46" s="35">
        <f t="shared" si="7"/>
        <v>6.2466101999999989E-2</v>
      </c>
      <c r="G46" s="35">
        <f t="shared" si="8"/>
        <v>1.288120221058275</v>
      </c>
      <c r="H46" s="35">
        <f t="shared" si="9"/>
        <v>0.05</v>
      </c>
      <c r="I46" s="35">
        <f t="shared" si="10"/>
        <v>-2.9957322735539909</v>
      </c>
      <c r="J46" s="35">
        <f t="shared" si="11"/>
        <v>-0.14978661367769955</v>
      </c>
    </row>
    <row r="47" spans="1:10">
      <c r="A47" s="13" t="s">
        <v>196</v>
      </c>
      <c r="B47" s="10" t="s">
        <v>123</v>
      </c>
      <c r="C47" s="35">
        <v>2</v>
      </c>
      <c r="D47" s="35">
        <v>20.2</v>
      </c>
      <c r="E47" s="35">
        <f t="shared" si="6"/>
        <v>0.20199999999999999</v>
      </c>
      <c r="F47" s="35">
        <f t="shared" si="7"/>
        <v>3.2051541999999995E-2</v>
      </c>
      <c r="G47" s="35">
        <f t="shared" si="8"/>
        <v>0.66093830164556433</v>
      </c>
      <c r="H47" s="35">
        <f t="shared" si="9"/>
        <v>0.05</v>
      </c>
      <c r="I47" s="35">
        <f t="shared" si="10"/>
        <v>-2.9957322735539909</v>
      </c>
      <c r="J47" s="35">
        <f t="shared" si="11"/>
        <v>-0.14978661367769955</v>
      </c>
    </row>
    <row r="48" spans="1:10">
      <c r="A48" s="13" t="s">
        <v>135</v>
      </c>
      <c r="B48" s="10" t="s">
        <v>21</v>
      </c>
      <c r="C48" s="35">
        <v>1</v>
      </c>
      <c r="D48" s="35">
        <v>12.4</v>
      </c>
      <c r="E48" s="35">
        <f t="shared" si="6"/>
        <v>0.124</v>
      </c>
      <c r="F48" s="35">
        <f t="shared" si="7"/>
        <v>1.2077847999999999E-2</v>
      </c>
      <c r="G48" s="35">
        <f t="shared" si="8"/>
        <v>0.24905860518827069</v>
      </c>
      <c r="H48" s="35">
        <f t="shared" si="9"/>
        <v>2.5000000000000001E-2</v>
      </c>
      <c r="I48" s="35">
        <f t="shared" si="10"/>
        <v>-3.6888794541139363</v>
      </c>
      <c r="J48" s="35">
        <f t="shared" si="11"/>
        <v>-9.2221986352848409E-2</v>
      </c>
    </row>
    <row r="49" spans="1:10">
      <c r="A49" s="13" t="s">
        <v>60</v>
      </c>
      <c r="B49" s="10" t="s">
        <v>17</v>
      </c>
      <c r="C49" s="35">
        <v>1</v>
      </c>
      <c r="D49" s="35">
        <v>11.7</v>
      </c>
      <c r="E49" s="35">
        <f t="shared" si="6"/>
        <v>0.11699999999999999</v>
      </c>
      <c r="F49" s="35">
        <f t="shared" si="7"/>
        <v>1.0752709499999999E-2</v>
      </c>
      <c r="G49" s="35">
        <f t="shared" si="8"/>
        <v>0.22173278137501543</v>
      </c>
      <c r="H49" s="35">
        <f t="shared" si="9"/>
        <v>2.5000000000000001E-2</v>
      </c>
      <c r="I49" s="35">
        <f t="shared" si="10"/>
        <v>-3.6888794541139363</v>
      </c>
      <c r="J49" s="35">
        <f t="shared" si="11"/>
        <v>-9.2221986352848409E-2</v>
      </c>
    </row>
    <row r="50" spans="1:10">
      <c r="A50" s="13" t="s">
        <v>197</v>
      </c>
      <c r="B50" s="10" t="s">
        <v>159</v>
      </c>
      <c r="C50" s="35">
        <v>1</v>
      </c>
      <c r="D50" s="35">
        <v>12.3</v>
      </c>
      <c r="E50" s="35">
        <f t="shared" si="6"/>
        <v>0.12300000000000001</v>
      </c>
      <c r="F50" s="35">
        <f t="shared" si="7"/>
        <v>1.1883829500000002E-2</v>
      </c>
      <c r="G50" s="35">
        <f t="shared" si="8"/>
        <v>0.24505772879119067</v>
      </c>
      <c r="H50" s="35">
        <f t="shared" si="9"/>
        <v>2.5000000000000001E-2</v>
      </c>
      <c r="I50" s="35">
        <f t="shared" si="10"/>
        <v>-3.6888794541139363</v>
      </c>
      <c r="J50" s="35">
        <f t="shared" si="11"/>
        <v>-9.2221986352848409E-2</v>
      </c>
    </row>
    <row r="51" spans="1:10">
      <c r="A51" s="13" t="s">
        <v>198</v>
      </c>
      <c r="B51" s="10" t="s">
        <v>31</v>
      </c>
      <c r="C51" s="35">
        <v>4</v>
      </c>
      <c r="D51" s="35">
        <v>107.2</v>
      </c>
      <c r="E51" s="35">
        <f t="shared" si="6"/>
        <v>1.0720000000000001</v>
      </c>
      <c r="F51" s="35">
        <f t="shared" si="7"/>
        <v>0.90268403200000014</v>
      </c>
      <c r="G51" s="35">
        <f t="shared" si="8"/>
        <v>18.614344702437418</v>
      </c>
      <c r="H51" s="35">
        <f t="shared" si="9"/>
        <v>0.1</v>
      </c>
      <c r="I51" s="35">
        <f t="shared" si="10"/>
        <v>-2.3025850929940455</v>
      </c>
      <c r="J51" s="35">
        <f t="shared" si="11"/>
        <v>-0.23025850929940456</v>
      </c>
    </row>
    <row r="52" spans="1:10">
      <c r="A52" s="13" t="s">
        <v>44</v>
      </c>
      <c r="B52" s="10" t="s">
        <v>45</v>
      </c>
      <c r="C52" s="35">
        <v>3</v>
      </c>
      <c r="D52" s="35">
        <v>59.7</v>
      </c>
      <c r="E52" s="35">
        <f t="shared" si="6"/>
        <v>0.59699999999999998</v>
      </c>
      <c r="F52" s="35">
        <f t="shared" si="7"/>
        <v>0.2799592695</v>
      </c>
      <c r="G52" s="35">
        <f t="shared" si="8"/>
        <v>5.7730702664247113</v>
      </c>
      <c r="H52" s="35">
        <f t="shared" si="9"/>
        <v>7.4999999999999997E-2</v>
      </c>
      <c r="I52" s="35">
        <f t="shared" si="10"/>
        <v>-2.5902671654458267</v>
      </c>
      <c r="J52" s="35">
        <f t="shared" si="11"/>
        <v>-0.19427003740843699</v>
      </c>
    </row>
    <row r="53" spans="1:10">
      <c r="A53" s="13" t="s">
        <v>121</v>
      </c>
      <c r="B53" s="10" t="s">
        <v>31</v>
      </c>
      <c r="C53" s="35">
        <v>1</v>
      </c>
      <c r="D53" s="35">
        <v>10</v>
      </c>
      <c r="E53" s="35">
        <f t="shared" si="6"/>
        <v>0.1</v>
      </c>
      <c r="F53" s="35">
        <f t="shared" si="7"/>
        <v>7.8550000000000009E-3</v>
      </c>
      <c r="G53" s="35">
        <f t="shared" si="8"/>
        <v>0.16197880150121666</v>
      </c>
      <c r="H53" s="35">
        <f t="shared" si="9"/>
        <v>2.5000000000000001E-2</v>
      </c>
      <c r="I53" s="35">
        <f t="shared" si="10"/>
        <v>-3.6888794541139363</v>
      </c>
      <c r="J53" s="35">
        <f t="shared" si="11"/>
        <v>-9.2221986352848409E-2</v>
      </c>
    </row>
    <row r="54" spans="1:10">
      <c r="A54" s="13" t="s">
        <v>153</v>
      </c>
      <c r="B54" s="10" t="s">
        <v>123</v>
      </c>
      <c r="C54" s="35">
        <v>1</v>
      </c>
      <c r="D54" s="35">
        <v>10.4</v>
      </c>
      <c r="E54" s="35">
        <f t="shared" si="6"/>
        <v>0.10400000000000001</v>
      </c>
      <c r="F54" s="35">
        <f t="shared" si="7"/>
        <v>8.4959680000000013E-3</v>
      </c>
      <c r="G54" s="35">
        <f t="shared" si="8"/>
        <v>0.17519627170371593</v>
      </c>
      <c r="H54" s="35">
        <f t="shared" si="9"/>
        <v>2.5000000000000001E-2</v>
      </c>
      <c r="I54" s="35">
        <f t="shared" si="10"/>
        <v>-3.6888794541139363</v>
      </c>
      <c r="J54" s="35">
        <f t="shared" si="11"/>
        <v>-9.2221986352848409E-2</v>
      </c>
    </row>
    <row r="55" spans="1:10">
      <c r="A55" s="13"/>
      <c r="B55" s="10"/>
      <c r="C55" s="35">
        <v>40</v>
      </c>
      <c r="D55" s="35"/>
      <c r="E55" s="35"/>
      <c r="F55" s="35"/>
      <c r="G55" s="35"/>
      <c r="H55" s="35"/>
      <c r="I55" s="35" t="s">
        <v>32</v>
      </c>
      <c r="J55" s="35">
        <v>2.86</v>
      </c>
    </row>
    <row r="56" spans="1:10">
      <c r="A56" s="13"/>
      <c r="B56" s="10" t="s">
        <v>199</v>
      </c>
      <c r="C56" s="35"/>
      <c r="D56" s="35"/>
      <c r="E56" s="35"/>
      <c r="F56" s="35"/>
      <c r="G56" s="35"/>
      <c r="H56" s="35"/>
      <c r="I56" s="35" t="s">
        <v>33</v>
      </c>
      <c r="J56" s="35">
        <f>2.86/LN(40)</f>
        <v>0.77530318774999596</v>
      </c>
    </row>
    <row r="57" spans="1:10">
      <c r="A57" s="12" t="s">
        <v>1</v>
      </c>
      <c r="B57" s="12" t="s">
        <v>2</v>
      </c>
      <c r="C57" s="36" t="s">
        <v>3</v>
      </c>
      <c r="D57" s="36" t="s">
        <v>49</v>
      </c>
      <c r="E57" s="36" t="s">
        <v>5</v>
      </c>
      <c r="F57" s="36" t="s">
        <v>6</v>
      </c>
      <c r="G57" s="36" t="s">
        <v>7</v>
      </c>
      <c r="H57" s="36" t="s">
        <v>8</v>
      </c>
      <c r="I57" s="36" t="s">
        <v>9</v>
      </c>
      <c r="J57" s="36" t="s">
        <v>10</v>
      </c>
    </row>
    <row r="58" spans="1:10">
      <c r="A58" s="13" t="s">
        <v>66</v>
      </c>
      <c r="B58" s="10" t="s">
        <v>159</v>
      </c>
      <c r="C58" s="35">
        <v>1</v>
      </c>
      <c r="D58" s="35">
        <v>12.8</v>
      </c>
      <c r="E58" s="35">
        <f t="shared" ref="E58:E80" si="12">D58/100</f>
        <v>0.128</v>
      </c>
      <c r="F58" s="35">
        <f t="shared" ref="F58:F80" si="13">((3.142*(E58)^2/4))</f>
        <v>1.2869631999999999E-2</v>
      </c>
      <c r="G58" s="35">
        <f t="shared" ref="G58:G80" si="14">(F58/6.33)*100</f>
        <v>0.20331172195892575</v>
      </c>
      <c r="H58" s="35">
        <f t="shared" ref="H58:H80" si="15">C58/58</f>
        <v>1.7241379310344827E-2</v>
      </c>
      <c r="I58" s="35">
        <f t="shared" ref="I58:I80" si="16">LN(H58)</f>
        <v>-4.0604430105464191</v>
      </c>
      <c r="J58" s="35">
        <f t="shared" ref="J58:J80" si="17">H58*I58</f>
        <v>-7.0007638112869294E-2</v>
      </c>
    </row>
    <row r="59" spans="1:10">
      <c r="A59" s="13" t="s">
        <v>200</v>
      </c>
      <c r="B59" s="10" t="s">
        <v>12</v>
      </c>
      <c r="C59" s="35">
        <v>1</v>
      </c>
      <c r="D59" s="35">
        <v>45.6</v>
      </c>
      <c r="E59" s="35">
        <f t="shared" si="12"/>
        <v>0.45600000000000002</v>
      </c>
      <c r="F59" s="35">
        <f t="shared" si="13"/>
        <v>0.16333372800000001</v>
      </c>
      <c r="G59" s="35">
        <f t="shared" si="14"/>
        <v>2.5803116587677728</v>
      </c>
      <c r="H59" s="35">
        <f t="shared" si="15"/>
        <v>1.7241379310344827E-2</v>
      </c>
      <c r="I59" s="35">
        <f t="shared" si="16"/>
        <v>-4.0604430105464191</v>
      </c>
      <c r="J59" s="35">
        <f t="shared" si="17"/>
        <v>-7.0007638112869294E-2</v>
      </c>
    </row>
    <row r="60" spans="1:10">
      <c r="A60" s="13" t="s">
        <v>13</v>
      </c>
      <c r="B60" s="10" t="s">
        <v>12</v>
      </c>
      <c r="C60" s="35">
        <v>1</v>
      </c>
      <c r="D60" s="35">
        <v>12.4</v>
      </c>
      <c r="E60" s="35">
        <f t="shared" si="12"/>
        <v>0.124</v>
      </c>
      <c r="F60" s="35">
        <f t="shared" si="13"/>
        <v>1.2077847999999999E-2</v>
      </c>
      <c r="G60" s="35">
        <f t="shared" si="14"/>
        <v>0.19080328593996837</v>
      </c>
      <c r="H60" s="35">
        <f t="shared" si="15"/>
        <v>1.7241379310344827E-2</v>
      </c>
      <c r="I60" s="35">
        <f t="shared" si="16"/>
        <v>-4.0604430105464191</v>
      </c>
      <c r="J60" s="35">
        <f t="shared" si="17"/>
        <v>-7.0007638112869294E-2</v>
      </c>
    </row>
    <row r="61" spans="1:10">
      <c r="A61" s="13" t="s">
        <v>163</v>
      </c>
      <c r="B61" s="10" t="s">
        <v>12</v>
      </c>
      <c r="C61" s="35">
        <v>1</v>
      </c>
      <c r="D61" s="35">
        <v>10.4</v>
      </c>
      <c r="E61" s="35">
        <f t="shared" si="12"/>
        <v>0.10400000000000001</v>
      </c>
      <c r="F61" s="35">
        <f t="shared" si="13"/>
        <v>8.4959680000000013E-3</v>
      </c>
      <c r="G61" s="35">
        <f t="shared" si="14"/>
        <v>0.13421750394944709</v>
      </c>
      <c r="H61" s="35">
        <f t="shared" si="15"/>
        <v>1.7241379310344827E-2</v>
      </c>
      <c r="I61" s="35">
        <f t="shared" si="16"/>
        <v>-4.0604430105464191</v>
      </c>
      <c r="J61" s="35">
        <f t="shared" si="17"/>
        <v>-7.0007638112869294E-2</v>
      </c>
    </row>
    <row r="62" spans="1:10">
      <c r="A62" s="13" t="s">
        <v>185</v>
      </c>
      <c r="B62" s="10" t="s">
        <v>24</v>
      </c>
      <c r="C62" s="35">
        <v>1</v>
      </c>
      <c r="D62" s="35">
        <v>57.8</v>
      </c>
      <c r="E62" s="35">
        <f t="shared" si="12"/>
        <v>0.57799999999999996</v>
      </c>
      <c r="F62" s="35">
        <f t="shared" si="13"/>
        <v>0.26242298199999992</v>
      </c>
      <c r="G62" s="35">
        <f t="shared" si="14"/>
        <v>4.1457027172195877</v>
      </c>
      <c r="H62" s="35">
        <f t="shared" si="15"/>
        <v>1.7241379310344827E-2</v>
      </c>
      <c r="I62" s="35">
        <f t="shared" si="16"/>
        <v>-4.0604430105464191</v>
      </c>
      <c r="J62" s="35">
        <f t="shared" si="17"/>
        <v>-7.0007638112869294E-2</v>
      </c>
    </row>
    <row r="63" spans="1:10">
      <c r="A63" s="13" t="s">
        <v>201</v>
      </c>
      <c r="B63" s="10" t="s">
        <v>99</v>
      </c>
      <c r="C63" s="35">
        <v>1</v>
      </c>
      <c r="D63" s="35">
        <v>16.399999999999999</v>
      </c>
      <c r="E63" s="35">
        <f t="shared" si="12"/>
        <v>0.16399999999999998</v>
      </c>
      <c r="F63" s="35">
        <f t="shared" si="13"/>
        <v>2.1126807999999993E-2</v>
      </c>
      <c r="G63" s="35">
        <f t="shared" si="14"/>
        <v>0.333756840442338</v>
      </c>
      <c r="H63" s="35">
        <f t="shared" si="15"/>
        <v>1.7241379310344827E-2</v>
      </c>
      <c r="I63" s="35">
        <f t="shared" si="16"/>
        <v>-4.0604430105464191</v>
      </c>
      <c r="J63" s="35">
        <f t="shared" si="17"/>
        <v>-7.0007638112869294E-2</v>
      </c>
    </row>
    <row r="64" spans="1:10">
      <c r="A64" s="13" t="s">
        <v>129</v>
      </c>
      <c r="B64" s="10" t="s">
        <v>99</v>
      </c>
      <c r="C64" s="35">
        <v>2</v>
      </c>
      <c r="D64" s="35">
        <v>25.1</v>
      </c>
      <c r="E64" s="35">
        <f t="shared" si="12"/>
        <v>0.251</v>
      </c>
      <c r="F64" s="35">
        <f t="shared" si="13"/>
        <v>4.9487285499999999E-2</v>
      </c>
      <c r="G64" s="35">
        <f t="shared" si="14"/>
        <v>0.78178966034755137</v>
      </c>
      <c r="H64" s="35">
        <f t="shared" si="15"/>
        <v>3.4482758620689655E-2</v>
      </c>
      <c r="I64" s="35">
        <f t="shared" si="16"/>
        <v>-3.3672958299864741</v>
      </c>
      <c r="J64" s="35">
        <f t="shared" si="17"/>
        <v>-0.11611364930987841</v>
      </c>
    </row>
    <row r="65" spans="1:10">
      <c r="A65" s="13" t="s">
        <v>100</v>
      </c>
      <c r="B65" s="10" t="s">
        <v>36</v>
      </c>
      <c r="C65" s="35">
        <v>2</v>
      </c>
      <c r="D65" s="35">
        <v>20.399999999999999</v>
      </c>
      <c r="E65" s="35">
        <f t="shared" si="12"/>
        <v>0.20399999999999999</v>
      </c>
      <c r="F65" s="35">
        <f t="shared" si="13"/>
        <v>3.2689367999999996E-2</v>
      </c>
      <c r="G65" s="35">
        <f t="shared" si="14"/>
        <v>0.51641971563981037</v>
      </c>
      <c r="H65" s="35">
        <f t="shared" si="15"/>
        <v>3.4482758620689655E-2</v>
      </c>
      <c r="I65" s="35">
        <f t="shared" si="16"/>
        <v>-3.3672958299864741</v>
      </c>
      <c r="J65" s="35">
        <f t="shared" si="17"/>
        <v>-0.11611364930987841</v>
      </c>
    </row>
    <row r="66" spans="1:10">
      <c r="A66" s="13" t="s">
        <v>35</v>
      </c>
      <c r="B66" s="10" t="s">
        <v>36</v>
      </c>
      <c r="C66" s="35">
        <v>2</v>
      </c>
      <c r="D66" s="35">
        <v>22.3</v>
      </c>
      <c r="E66" s="35">
        <f t="shared" si="12"/>
        <v>0.223</v>
      </c>
      <c r="F66" s="35">
        <f t="shared" si="13"/>
        <v>3.9062129500000001E-2</v>
      </c>
      <c r="G66" s="35">
        <f t="shared" si="14"/>
        <v>0.61709525276461297</v>
      </c>
      <c r="H66" s="35">
        <f t="shared" si="15"/>
        <v>3.4482758620689655E-2</v>
      </c>
      <c r="I66" s="35">
        <f t="shared" si="16"/>
        <v>-3.3672958299864741</v>
      </c>
      <c r="J66" s="35">
        <f t="shared" si="17"/>
        <v>-0.11611364930987841</v>
      </c>
    </row>
    <row r="67" spans="1:10">
      <c r="A67" s="13" t="s">
        <v>37</v>
      </c>
      <c r="B67" s="10" t="s">
        <v>31</v>
      </c>
      <c r="C67" s="35">
        <v>9</v>
      </c>
      <c r="D67" s="35">
        <v>134.80000000000001</v>
      </c>
      <c r="E67" s="35">
        <f t="shared" si="12"/>
        <v>1.3480000000000001</v>
      </c>
      <c r="F67" s="35">
        <f t="shared" si="13"/>
        <v>1.4273351920000001</v>
      </c>
      <c r="G67" s="35">
        <f t="shared" si="14"/>
        <v>22.548739210110586</v>
      </c>
      <c r="H67" s="35">
        <f t="shared" si="15"/>
        <v>0.15517241379310345</v>
      </c>
      <c r="I67" s="35">
        <f t="shared" si="16"/>
        <v>-1.8632184332102</v>
      </c>
      <c r="J67" s="35">
        <f t="shared" si="17"/>
        <v>-0.28912010170503105</v>
      </c>
    </row>
    <row r="68" spans="1:10">
      <c r="A68" s="13" t="s">
        <v>187</v>
      </c>
      <c r="B68" s="10" t="s">
        <v>31</v>
      </c>
      <c r="C68" s="35">
        <v>6</v>
      </c>
      <c r="D68" s="35">
        <v>85.1</v>
      </c>
      <c r="E68" s="35">
        <f t="shared" si="12"/>
        <v>0.85099999999999998</v>
      </c>
      <c r="F68" s="35">
        <f t="shared" si="13"/>
        <v>0.5688598855</v>
      </c>
      <c r="G68" s="35">
        <f t="shared" si="14"/>
        <v>8.9867280489731431</v>
      </c>
      <c r="H68" s="35">
        <f t="shared" si="15"/>
        <v>0.10344827586206896</v>
      </c>
      <c r="I68" s="35">
        <f t="shared" si="16"/>
        <v>-2.2686835413183641</v>
      </c>
      <c r="J68" s="35">
        <f t="shared" si="17"/>
        <v>-0.23469140082603768</v>
      </c>
    </row>
    <row r="69" spans="1:10">
      <c r="A69" s="13" t="s">
        <v>73</v>
      </c>
      <c r="B69" s="10" t="s">
        <v>159</v>
      </c>
      <c r="C69" s="35">
        <v>1</v>
      </c>
      <c r="D69" s="35">
        <v>10.6</v>
      </c>
      <c r="E69" s="35">
        <f t="shared" si="12"/>
        <v>0.106</v>
      </c>
      <c r="F69" s="35">
        <f t="shared" si="13"/>
        <v>8.8258779999999988E-3</v>
      </c>
      <c r="G69" s="35">
        <f t="shared" si="14"/>
        <v>0.13942935229067926</v>
      </c>
      <c r="H69" s="35">
        <f t="shared" si="15"/>
        <v>1.7241379310344827E-2</v>
      </c>
      <c r="I69" s="35">
        <f t="shared" si="16"/>
        <v>-4.0604430105464191</v>
      </c>
      <c r="J69" s="35">
        <f t="shared" si="17"/>
        <v>-7.0007638112869294E-2</v>
      </c>
    </row>
    <row r="70" spans="1:10">
      <c r="A70" s="13" t="s">
        <v>83</v>
      </c>
      <c r="B70" s="10" t="s">
        <v>31</v>
      </c>
      <c r="C70" s="35">
        <v>4</v>
      </c>
      <c r="D70" s="35">
        <v>125.3</v>
      </c>
      <c r="E70" s="35">
        <f t="shared" si="12"/>
        <v>1.2529999999999999</v>
      </c>
      <c r="F70" s="35">
        <f t="shared" si="13"/>
        <v>1.2332420694999997</v>
      </c>
      <c r="G70" s="35">
        <f t="shared" si="14"/>
        <v>19.482497148499206</v>
      </c>
      <c r="H70" s="35">
        <f t="shared" si="15"/>
        <v>6.8965517241379309E-2</v>
      </c>
      <c r="I70" s="35">
        <f t="shared" si="16"/>
        <v>-2.6741486494265287</v>
      </c>
      <c r="J70" s="35">
        <f t="shared" si="17"/>
        <v>-0.18442404478803645</v>
      </c>
    </row>
    <row r="71" spans="1:10">
      <c r="A71" s="13" t="s">
        <v>20</v>
      </c>
      <c r="B71" s="10" t="s">
        <v>21</v>
      </c>
      <c r="C71" s="35">
        <v>3</v>
      </c>
      <c r="D71" s="35">
        <v>47.9</v>
      </c>
      <c r="E71" s="35">
        <f t="shared" si="12"/>
        <v>0.47899999999999998</v>
      </c>
      <c r="F71" s="35">
        <f t="shared" si="13"/>
        <v>0.18022590549999998</v>
      </c>
      <c r="G71" s="35">
        <f t="shared" si="14"/>
        <v>2.8471707030015794</v>
      </c>
      <c r="H71" s="35">
        <f t="shared" si="15"/>
        <v>5.1724137931034482E-2</v>
      </c>
      <c r="I71" s="35">
        <f t="shared" si="16"/>
        <v>-2.9618307218783095</v>
      </c>
      <c r="J71" s="35">
        <f t="shared" si="17"/>
        <v>-0.1531981407868091</v>
      </c>
    </row>
    <row r="72" spans="1:10">
      <c r="A72" s="13" t="s">
        <v>202</v>
      </c>
      <c r="B72" s="10"/>
      <c r="C72" s="35">
        <v>1</v>
      </c>
      <c r="D72" s="35">
        <v>21.7</v>
      </c>
      <c r="E72" s="35">
        <f t="shared" si="12"/>
        <v>0.217</v>
      </c>
      <c r="F72" s="35">
        <f t="shared" si="13"/>
        <v>3.69884095E-2</v>
      </c>
      <c r="G72" s="35">
        <f t="shared" si="14"/>
        <v>0.58433506319115325</v>
      </c>
      <c r="H72" s="35">
        <f t="shared" si="15"/>
        <v>1.7241379310344827E-2</v>
      </c>
      <c r="I72" s="35">
        <f t="shared" si="16"/>
        <v>-4.0604430105464191</v>
      </c>
      <c r="J72" s="35">
        <f t="shared" si="17"/>
        <v>-7.0007638112869294E-2</v>
      </c>
    </row>
    <row r="73" spans="1:10">
      <c r="A73" s="13" t="s">
        <v>168</v>
      </c>
      <c r="B73" s="10" t="s">
        <v>24</v>
      </c>
      <c r="C73" s="35">
        <v>3</v>
      </c>
      <c r="D73" s="35">
        <v>50.8</v>
      </c>
      <c r="E73" s="35">
        <f t="shared" si="12"/>
        <v>0.50800000000000001</v>
      </c>
      <c r="F73" s="35">
        <f t="shared" si="13"/>
        <v>0.202709272</v>
      </c>
      <c r="G73" s="35">
        <f t="shared" si="14"/>
        <v>3.202358167456556</v>
      </c>
      <c r="H73" s="35">
        <f t="shared" si="15"/>
        <v>5.1724137931034482E-2</v>
      </c>
      <c r="I73" s="35">
        <f t="shared" si="16"/>
        <v>-2.9618307218783095</v>
      </c>
      <c r="J73" s="35">
        <f t="shared" si="17"/>
        <v>-0.1531981407868091</v>
      </c>
    </row>
    <row r="74" spans="1:10">
      <c r="A74" s="13" t="s">
        <v>27</v>
      </c>
      <c r="B74" s="10" t="s">
        <v>46</v>
      </c>
      <c r="C74" s="35">
        <v>6</v>
      </c>
      <c r="D74" s="35">
        <v>76.099999999999994</v>
      </c>
      <c r="E74" s="35">
        <f t="shared" si="12"/>
        <v>0.7609999999999999</v>
      </c>
      <c r="F74" s="35">
        <f t="shared" si="13"/>
        <v>0.45489954549999989</v>
      </c>
      <c r="G74" s="35">
        <f t="shared" si="14"/>
        <v>7.1864067219589236</v>
      </c>
      <c r="H74" s="35">
        <f t="shared" si="15"/>
        <v>0.10344827586206896</v>
      </c>
      <c r="I74" s="35">
        <f t="shared" si="16"/>
        <v>-2.2686835413183641</v>
      </c>
      <c r="J74" s="35">
        <f t="shared" si="17"/>
        <v>-0.23469140082603768</v>
      </c>
    </row>
    <row r="75" spans="1:10">
      <c r="A75" s="13" t="s">
        <v>203</v>
      </c>
      <c r="B75" s="10" t="s">
        <v>123</v>
      </c>
      <c r="C75" s="35">
        <v>1</v>
      </c>
      <c r="D75" s="35">
        <v>11.2</v>
      </c>
      <c r="E75" s="35">
        <f t="shared" si="12"/>
        <v>0.11199999999999999</v>
      </c>
      <c r="F75" s="35">
        <f t="shared" si="13"/>
        <v>9.8533119999999978E-3</v>
      </c>
      <c r="G75" s="35">
        <f t="shared" si="14"/>
        <v>0.15566053712480249</v>
      </c>
      <c r="H75" s="35">
        <f t="shared" si="15"/>
        <v>1.7241379310344827E-2</v>
      </c>
      <c r="I75" s="35">
        <f t="shared" si="16"/>
        <v>-4.0604430105464191</v>
      </c>
      <c r="J75" s="35">
        <f t="shared" si="17"/>
        <v>-7.0007638112869294E-2</v>
      </c>
    </row>
    <row r="76" spans="1:10">
      <c r="A76" s="13" t="s">
        <v>198</v>
      </c>
      <c r="B76" s="10" t="s">
        <v>31</v>
      </c>
      <c r="C76" s="35">
        <v>5</v>
      </c>
      <c r="D76" s="35">
        <v>69.3</v>
      </c>
      <c r="E76" s="35">
        <f t="shared" si="12"/>
        <v>0.69299999999999995</v>
      </c>
      <c r="F76" s="35">
        <f t="shared" si="13"/>
        <v>0.37723558949999991</v>
      </c>
      <c r="G76" s="35">
        <f t="shared" si="14"/>
        <v>5.9594879857819887</v>
      </c>
      <c r="H76" s="35">
        <f t="shared" si="15"/>
        <v>8.6206896551724144E-2</v>
      </c>
      <c r="I76" s="35">
        <f t="shared" si="16"/>
        <v>-2.451005098112319</v>
      </c>
      <c r="J76" s="35">
        <f t="shared" si="17"/>
        <v>-0.21129354294071717</v>
      </c>
    </row>
    <row r="77" spans="1:10">
      <c r="A77" s="13" t="s">
        <v>44</v>
      </c>
      <c r="B77" s="10" t="s">
        <v>45</v>
      </c>
      <c r="C77" s="35">
        <v>4</v>
      </c>
      <c r="D77" s="35">
        <v>121.8</v>
      </c>
      <c r="E77" s="35">
        <f t="shared" si="12"/>
        <v>1.218</v>
      </c>
      <c r="F77" s="35">
        <f t="shared" si="13"/>
        <v>1.1653081019999998</v>
      </c>
      <c r="G77" s="35">
        <f t="shared" si="14"/>
        <v>18.409290710900468</v>
      </c>
      <c r="H77" s="35">
        <f t="shared" si="15"/>
        <v>6.8965517241379309E-2</v>
      </c>
      <c r="I77" s="35">
        <f t="shared" si="16"/>
        <v>-2.6741486494265287</v>
      </c>
      <c r="J77" s="35">
        <f t="shared" si="17"/>
        <v>-0.18442404478803645</v>
      </c>
    </row>
    <row r="78" spans="1:10">
      <c r="A78" s="13" t="s">
        <v>204</v>
      </c>
      <c r="B78" s="10"/>
      <c r="C78" s="35">
        <v>1</v>
      </c>
      <c r="D78" s="35">
        <v>10.199999999999999</v>
      </c>
      <c r="E78" s="35">
        <f t="shared" si="12"/>
        <v>0.10199999999999999</v>
      </c>
      <c r="F78" s="35">
        <f t="shared" si="13"/>
        <v>8.1723419999999991E-3</v>
      </c>
      <c r="G78" s="35">
        <f t="shared" si="14"/>
        <v>0.12910492890995259</v>
      </c>
      <c r="H78" s="35">
        <f t="shared" si="15"/>
        <v>1.7241379310344827E-2</v>
      </c>
      <c r="I78" s="35">
        <f t="shared" si="16"/>
        <v>-4.0604430105464191</v>
      </c>
      <c r="J78" s="35">
        <f t="shared" si="17"/>
        <v>-7.0007638112869294E-2</v>
      </c>
    </row>
    <row r="79" spans="1:10">
      <c r="A79" s="13" t="s">
        <v>62</v>
      </c>
      <c r="B79" s="10" t="s">
        <v>31</v>
      </c>
      <c r="C79" s="35">
        <v>1</v>
      </c>
      <c r="D79" s="35">
        <v>24.8</v>
      </c>
      <c r="E79" s="35">
        <f t="shared" si="12"/>
        <v>0.248</v>
      </c>
      <c r="F79" s="35">
        <f t="shared" si="13"/>
        <v>4.8311391999999995E-2</v>
      </c>
      <c r="G79" s="35">
        <f t="shared" si="14"/>
        <v>0.76321314375987348</v>
      </c>
      <c r="H79" s="35">
        <f t="shared" si="15"/>
        <v>1.7241379310344827E-2</v>
      </c>
      <c r="I79" s="35">
        <f t="shared" si="16"/>
        <v>-4.0604430105464191</v>
      </c>
      <c r="J79" s="35">
        <f t="shared" si="17"/>
        <v>-7.0007638112869294E-2</v>
      </c>
    </row>
    <row r="80" spans="1:10">
      <c r="A80" s="13" t="s">
        <v>205</v>
      </c>
      <c r="B80" s="10" t="s">
        <v>41</v>
      </c>
      <c r="C80" s="35">
        <v>1</v>
      </c>
      <c r="D80" s="35">
        <v>11.9</v>
      </c>
      <c r="E80" s="35">
        <f t="shared" si="12"/>
        <v>0.11900000000000001</v>
      </c>
      <c r="F80" s="35">
        <f t="shared" si="13"/>
        <v>1.1123465500000001E-2</v>
      </c>
      <c r="G80" s="35">
        <f t="shared" si="14"/>
        <v>0.17572615323854662</v>
      </c>
      <c r="H80" s="35">
        <f t="shared" si="15"/>
        <v>1.7241379310344827E-2</v>
      </c>
      <c r="I80" s="35">
        <f t="shared" si="16"/>
        <v>-4.0604430105464191</v>
      </c>
      <c r="J80" s="35">
        <f t="shared" si="17"/>
        <v>-7.0007638112869294E-2</v>
      </c>
    </row>
    <row r="81" spans="1:10">
      <c r="A81" s="13"/>
      <c r="B81" s="10"/>
      <c r="C81" s="35">
        <v>58</v>
      </c>
      <c r="D81" s="35"/>
      <c r="E81" s="35"/>
      <c r="F81" s="35">
        <v>6.33</v>
      </c>
      <c r="G81" s="35"/>
      <c r="H81" s="35"/>
      <c r="I81" s="35" t="s">
        <v>32</v>
      </c>
      <c r="J81" s="35">
        <v>2.83</v>
      </c>
    </row>
    <row r="82" spans="1:10">
      <c r="A82" s="13"/>
      <c r="B82" s="10" t="s">
        <v>206</v>
      </c>
      <c r="C82" s="35"/>
      <c r="D82" s="35"/>
      <c r="E82" s="35"/>
      <c r="F82" s="35"/>
      <c r="G82" s="35"/>
      <c r="H82" s="35"/>
      <c r="I82" s="35" t="s">
        <v>33</v>
      </c>
      <c r="J82" s="35">
        <f>2.83/LN(58)</f>
        <v>0.69696828465501925</v>
      </c>
    </row>
    <row r="83" spans="1:10">
      <c r="A83" s="12" t="s">
        <v>1</v>
      </c>
      <c r="B83" s="12" t="s">
        <v>2</v>
      </c>
      <c r="C83" s="36" t="s">
        <v>3</v>
      </c>
      <c r="D83" s="36" t="s">
        <v>49</v>
      </c>
      <c r="E83" s="36" t="s">
        <v>5</v>
      </c>
      <c r="F83" s="36" t="s">
        <v>6</v>
      </c>
      <c r="G83" s="36" t="s">
        <v>7</v>
      </c>
      <c r="H83" s="36" t="s">
        <v>8</v>
      </c>
      <c r="I83" s="36" t="s">
        <v>9</v>
      </c>
      <c r="J83" s="36" t="s">
        <v>10</v>
      </c>
    </row>
    <row r="84" spans="1:10">
      <c r="A84" s="13" t="s">
        <v>207</v>
      </c>
      <c r="B84" s="10" t="s">
        <v>12</v>
      </c>
      <c r="C84" s="35">
        <v>3</v>
      </c>
      <c r="D84" s="35">
        <v>83.8</v>
      </c>
      <c r="E84" s="35">
        <f t="shared" ref="E84:E103" si="18">D84/100</f>
        <v>0.83799999999999997</v>
      </c>
      <c r="F84" s="35">
        <f t="shared" ref="F84:F103" si="19">((3.142*(E84)^2/4))</f>
        <v>0.55161266199999992</v>
      </c>
      <c r="G84" s="35">
        <f t="shared" ref="G84:G103" si="20">(F84/3.68)*100</f>
        <v>14.989474510869563</v>
      </c>
      <c r="H84" s="35">
        <f t="shared" ref="H84:H103" si="21">C84/39</f>
        <v>7.6923076923076927E-2</v>
      </c>
      <c r="I84" s="35">
        <f t="shared" ref="I84:I103" si="22">LN(H84)</f>
        <v>-2.5649493574615367</v>
      </c>
      <c r="J84" s="35">
        <f t="shared" ref="J84:J103" si="23">H84*I84</f>
        <v>-0.19730379672781054</v>
      </c>
    </row>
    <row r="85" spans="1:10">
      <c r="A85" s="13" t="s">
        <v>200</v>
      </c>
      <c r="B85" s="10" t="s">
        <v>12</v>
      </c>
      <c r="C85" s="35">
        <v>2</v>
      </c>
      <c r="D85" s="35">
        <v>51.3</v>
      </c>
      <c r="E85" s="35">
        <f t="shared" si="18"/>
        <v>0.51300000000000001</v>
      </c>
      <c r="F85" s="35">
        <f t="shared" si="19"/>
        <v>0.20671924949999998</v>
      </c>
      <c r="G85" s="35">
        <f t="shared" si="20"/>
        <v>5.6173709103260858</v>
      </c>
      <c r="H85" s="35">
        <f t="shared" si="21"/>
        <v>5.128205128205128E-2</v>
      </c>
      <c r="I85" s="35">
        <f t="shared" si="22"/>
        <v>-2.9704144655697013</v>
      </c>
      <c r="J85" s="35">
        <f t="shared" si="23"/>
        <v>-0.15232894695229238</v>
      </c>
    </row>
    <row r="86" spans="1:10">
      <c r="A86" s="13" t="s">
        <v>14</v>
      </c>
      <c r="B86" s="10" t="s">
        <v>15</v>
      </c>
      <c r="C86" s="35">
        <v>2</v>
      </c>
      <c r="D86" s="35">
        <v>90.5</v>
      </c>
      <c r="E86" s="35">
        <f t="shared" si="18"/>
        <v>0.90500000000000003</v>
      </c>
      <c r="F86" s="35">
        <f t="shared" si="19"/>
        <v>0.64334413749999997</v>
      </c>
      <c r="G86" s="35">
        <f t="shared" si="20"/>
        <v>17.482177649456521</v>
      </c>
      <c r="H86" s="35">
        <f t="shared" si="21"/>
        <v>5.128205128205128E-2</v>
      </c>
      <c r="I86" s="35">
        <f t="shared" si="22"/>
        <v>-2.9704144655697013</v>
      </c>
      <c r="J86" s="35">
        <f t="shared" si="23"/>
        <v>-0.15232894695229238</v>
      </c>
    </row>
    <row r="87" spans="1:10">
      <c r="A87" s="13" t="s">
        <v>185</v>
      </c>
      <c r="B87" s="10" t="s">
        <v>24</v>
      </c>
      <c r="C87" s="35">
        <v>1</v>
      </c>
      <c r="D87" s="35">
        <v>15.3</v>
      </c>
      <c r="E87" s="35">
        <f t="shared" si="18"/>
        <v>0.153</v>
      </c>
      <c r="F87" s="35">
        <f t="shared" si="19"/>
        <v>1.8387769499999998E-2</v>
      </c>
      <c r="G87" s="35">
        <f t="shared" si="20"/>
        <v>0.49966764945652165</v>
      </c>
      <c r="H87" s="35">
        <f t="shared" si="21"/>
        <v>2.564102564102564E-2</v>
      </c>
      <c r="I87" s="35">
        <f t="shared" si="22"/>
        <v>-3.6635616461296463</v>
      </c>
      <c r="J87" s="35">
        <f t="shared" si="23"/>
        <v>-9.3937478105888358E-2</v>
      </c>
    </row>
    <row r="88" spans="1:10">
      <c r="A88" s="13" t="s">
        <v>129</v>
      </c>
      <c r="B88" s="10" t="s">
        <v>99</v>
      </c>
      <c r="C88" s="35">
        <v>1</v>
      </c>
      <c r="D88" s="35">
        <v>13.3</v>
      </c>
      <c r="E88" s="35">
        <f t="shared" si="18"/>
        <v>0.13300000000000001</v>
      </c>
      <c r="F88" s="35">
        <f t="shared" si="19"/>
        <v>1.3894709500000001E-2</v>
      </c>
      <c r="G88" s="35">
        <f t="shared" si="20"/>
        <v>0.37757362771739134</v>
      </c>
      <c r="H88" s="35">
        <f t="shared" si="21"/>
        <v>2.564102564102564E-2</v>
      </c>
      <c r="I88" s="35">
        <f t="shared" si="22"/>
        <v>-3.6635616461296463</v>
      </c>
      <c r="J88" s="35">
        <f t="shared" si="23"/>
        <v>-9.3937478105888358E-2</v>
      </c>
    </row>
    <row r="89" spans="1:10">
      <c r="A89" s="13" t="s">
        <v>35</v>
      </c>
      <c r="B89" s="10" t="s">
        <v>36</v>
      </c>
      <c r="C89" s="35">
        <v>3</v>
      </c>
      <c r="D89" s="35">
        <v>33</v>
      </c>
      <c r="E89" s="35">
        <f t="shared" si="18"/>
        <v>0.33</v>
      </c>
      <c r="F89" s="35">
        <f t="shared" si="19"/>
        <v>8.5540950000000004E-2</v>
      </c>
      <c r="G89" s="35">
        <f t="shared" si="20"/>
        <v>2.3244823369565215</v>
      </c>
      <c r="H89" s="35">
        <f t="shared" si="21"/>
        <v>7.6923076923076927E-2</v>
      </c>
      <c r="I89" s="35">
        <f t="shared" si="22"/>
        <v>-2.5649493574615367</v>
      </c>
      <c r="J89" s="35">
        <f t="shared" si="23"/>
        <v>-0.19730379672781054</v>
      </c>
    </row>
    <row r="90" spans="1:10">
      <c r="A90" s="13" t="s">
        <v>37</v>
      </c>
      <c r="B90" s="10" t="s">
        <v>31</v>
      </c>
      <c r="C90" s="35">
        <v>1</v>
      </c>
      <c r="D90" s="35">
        <v>55.6</v>
      </c>
      <c r="E90" s="35">
        <f t="shared" si="18"/>
        <v>0.55600000000000005</v>
      </c>
      <c r="F90" s="35">
        <f t="shared" si="19"/>
        <v>0.24282632800000006</v>
      </c>
      <c r="G90" s="35">
        <f t="shared" si="20"/>
        <v>6.5985415217391319</v>
      </c>
      <c r="H90" s="35">
        <f t="shared" si="21"/>
        <v>2.564102564102564E-2</v>
      </c>
      <c r="I90" s="35">
        <f t="shared" si="22"/>
        <v>-3.6635616461296463</v>
      </c>
      <c r="J90" s="35">
        <f t="shared" si="23"/>
        <v>-9.3937478105888358E-2</v>
      </c>
    </row>
    <row r="91" spans="1:10">
      <c r="A91" s="13" t="s">
        <v>187</v>
      </c>
      <c r="B91" s="10" t="s">
        <v>31</v>
      </c>
      <c r="C91" s="35">
        <v>5</v>
      </c>
      <c r="D91" s="35">
        <v>69.5</v>
      </c>
      <c r="E91" s="35">
        <f t="shared" si="18"/>
        <v>0.69499999999999995</v>
      </c>
      <c r="F91" s="35">
        <f t="shared" si="19"/>
        <v>0.37941613749999992</v>
      </c>
      <c r="G91" s="35">
        <f t="shared" si="20"/>
        <v>10.310221127717387</v>
      </c>
      <c r="H91" s="35">
        <f t="shared" si="21"/>
        <v>0.12820512820512819</v>
      </c>
      <c r="I91" s="35">
        <f t="shared" si="22"/>
        <v>-2.0541237336955462</v>
      </c>
      <c r="J91" s="35">
        <f t="shared" si="23"/>
        <v>-0.26334919662763412</v>
      </c>
    </row>
    <row r="92" spans="1:10">
      <c r="A92" s="13" t="s">
        <v>73</v>
      </c>
      <c r="B92" s="10" t="s">
        <v>12</v>
      </c>
      <c r="C92" s="35">
        <v>1</v>
      </c>
      <c r="D92" s="35">
        <v>11.1</v>
      </c>
      <c r="E92" s="35">
        <f t="shared" si="18"/>
        <v>0.111</v>
      </c>
      <c r="F92" s="35">
        <f t="shared" si="19"/>
        <v>9.6781455000000006E-3</v>
      </c>
      <c r="G92" s="35">
        <f t="shared" si="20"/>
        <v>0.26299308423913043</v>
      </c>
      <c r="H92" s="35">
        <f t="shared" si="21"/>
        <v>2.564102564102564E-2</v>
      </c>
      <c r="I92" s="35">
        <f t="shared" si="22"/>
        <v>-3.6635616461296463</v>
      </c>
      <c r="J92" s="35">
        <f t="shared" si="23"/>
        <v>-9.3937478105888358E-2</v>
      </c>
    </row>
    <row r="93" spans="1:10">
      <c r="A93" s="13" t="s">
        <v>83</v>
      </c>
      <c r="B93" s="10" t="s">
        <v>31</v>
      </c>
      <c r="C93" s="35">
        <v>1</v>
      </c>
      <c r="D93" s="35">
        <v>20.399999999999999</v>
      </c>
      <c r="E93" s="35">
        <f t="shared" si="18"/>
        <v>0.20399999999999999</v>
      </c>
      <c r="F93" s="35">
        <f t="shared" si="19"/>
        <v>3.2689367999999996E-2</v>
      </c>
      <c r="G93" s="35">
        <f t="shared" si="20"/>
        <v>0.8882980434782608</v>
      </c>
      <c r="H93" s="35">
        <f t="shared" si="21"/>
        <v>2.564102564102564E-2</v>
      </c>
      <c r="I93" s="35">
        <f t="shared" si="22"/>
        <v>-3.6635616461296463</v>
      </c>
      <c r="J93" s="35">
        <f t="shared" si="23"/>
        <v>-9.3937478105888358E-2</v>
      </c>
    </row>
    <row r="94" spans="1:10">
      <c r="A94" s="13" t="s">
        <v>168</v>
      </c>
      <c r="B94" s="10" t="s">
        <v>24</v>
      </c>
      <c r="C94" s="35">
        <v>5</v>
      </c>
      <c r="D94" s="35">
        <v>67.8</v>
      </c>
      <c r="E94" s="35">
        <f t="shared" si="18"/>
        <v>0.67799999999999994</v>
      </c>
      <c r="F94" s="35">
        <f t="shared" si="19"/>
        <v>0.36108178199999991</v>
      </c>
      <c r="G94" s="35">
        <f t="shared" si="20"/>
        <v>9.8120049456521716</v>
      </c>
      <c r="H94" s="35">
        <f t="shared" si="21"/>
        <v>0.12820512820512819</v>
      </c>
      <c r="I94" s="35">
        <f t="shared" si="22"/>
        <v>-2.0541237336955462</v>
      </c>
      <c r="J94" s="35">
        <f t="shared" si="23"/>
        <v>-0.26334919662763412</v>
      </c>
    </row>
    <row r="95" spans="1:10">
      <c r="A95" s="13" t="s">
        <v>208</v>
      </c>
      <c r="B95" s="10" t="s">
        <v>12</v>
      </c>
      <c r="C95" s="35">
        <v>1</v>
      </c>
      <c r="D95" s="35">
        <v>15.5</v>
      </c>
      <c r="E95" s="35">
        <f t="shared" si="18"/>
        <v>0.155</v>
      </c>
      <c r="F95" s="35">
        <f t="shared" si="19"/>
        <v>1.88716375E-2</v>
      </c>
      <c r="G95" s="35">
        <f t="shared" si="20"/>
        <v>0.51281623641304341</v>
      </c>
      <c r="H95" s="35">
        <f t="shared" si="21"/>
        <v>2.564102564102564E-2</v>
      </c>
      <c r="I95" s="35">
        <f t="shared" si="22"/>
        <v>-3.6635616461296463</v>
      </c>
      <c r="J95" s="35">
        <f t="shared" si="23"/>
        <v>-9.3937478105888358E-2</v>
      </c>
    </row>
    <row r="96" spans="1:10">
      <c r="A96" s="13" t="s">
        <v>113</v>
      </c>
      <c r="B96" s="10" t="s">
        <v>114</v>
      </c>
      <c r="C96" s="35">
        <v>1</v>
      </c>
      <c r="D96" s="35">
        <v>18.399999999999999</v>
      </c>
      <c r="E96" s="35">
        <f t="shared" si="18"/>
        <v>0.184</v>
      </c>
      <c r="F96" s="35">
        <f t="shared" si="19"/>
        <v>2.6593887999999996E-2</v>
      </c>
      <c r="G96" s="35">
        <f t="shared" si="20"/>
        <v>0.72265999999999986</v>
      </c>
      <c r="H96" s="35">
        <f t="shared" si="21"/>
        <v>2.564102564102564E-2</v>
      </c>
      <c r="I96" s="35">
        <f t="shared" si="22"/>
        <v>-3.6635616461296463</v>
      </c>
      <c r="J96" s="35">
        <f t="shared" si="23"/>
        <v>-9.3937478105888358E-2</v>
      </c>
    </row>
    <row r="97" spans="1:10">
      <c r="A97" s="13" t="s">
        <v>196</v>
      </c>
      <c r="B97" s="10" t="s">
        <v>123</v>
      </c>
      <c r="C97" s="35">
        <v>1</v>
      </c>
      <c r="D97" s="35">
        <v>10</v>
      </c>
      <c r="E97" s="35">
        <f t="shared" si="18"/>
        <v>0.1</v>
      </c>
      <c r="F97" s="35">
        <f t="shared" si="19"/>
        <v>7.8550000000000009E-3</v>
      </c>
      <c r="G97" s="35">
        <f t="shared" si="20"/>
        <v>0.21345108695652176</v>
      </c>
      <c r="H97" s="35">
        <f t="shared" si="21"/>
        <v>2.564102564102564E-2</v>
      </c>
      <c r="I97" s="35">
        <f t="shared" si="22"/>
        <v>-3.6635616461296463</v>
      </c>
      <c r="J97" s="35">
        <f t="shared" si="23"/>
        <v>-9.3937478105888358E-2</v>
      </c>
    </row>
    <row r="98" spans="1:10">
      <c r="A98" s="13" t="s">
        <v>135</v>
      </c>
      <c r="B98" s="10" t="s">
        <v>21</v>
      </c>
      <c r="C98" s="35">
        <v>1</v>
      </c>
      <c r="D98" s="35">
        <v>10.199999999999999</v>
      </c>
      <c r="E98" s="35">
        <f t="shared" si="18"/>
        <v>0.10199999999999999</v>
      </c>
      <c r="F98" s="35">
        <f t="shared" si="19"/>
        <v>8.1723419999999991E-3</v>
      </c>
      <c r="G98" s="35">
        <f t="shared" si="20"/>
        <v>0.2220745108695652</v>
      </c>
      <c r="H98" s="35">
        <f t="shared" si="21"/>
        <v>2.564102564102564E-2</v>
      </c>
      <c r="I98" s="35">
        <f t="shared" si="22"/>
        <v>-3.6635616461296463</v>
      </c>
      <c r="J98" s="35">
        <f t="shared" si="23"/>
        <v>-9.3937478105888358E-2</v>
      </c>
    </row>
    <row r="99" spans="1:10">
      <c r="A99" s="13" t="s">
        <v>60</v>
      </c>
      <c r="B99" s="10" t="s">
        <v>17</v>
      </c>
      <c r="C99" s="35">
        <v>2</v>
      </c>
      <c r="D99" s="35">
        <v>27.1</v>
      </c>
      <c r="E99" s="35">
        <f t="shared" si="18"/>
        <v>0.27100000000000002</v>
      </c>
      <c r="F99" s="35">
        <f t="shared" si="19"/>
        <v>5.7687905500000004E-2</v>
      </c>
      <c r="G99" s="35">
        <f t="shared" si="20"/>
        <v>1.5676061277173914</v>
      </c>
      <c r="H99" s="35">
        <f t="shared" si="21"/>
        <v>5.128205128205128E-2</v>
      </c>
      <c r="I99" s="35">
        <f t="shared" si="22"/>
        <v>-2.9704144655697013</v>
      </c>
      <c r="J99" s="35">
        <f t="shared" si="23"/>
        <v>-0.15232894695229238</v>
      </c>
    </row>
    <row r="100" spans="1:10">
      <c r="A100" s="13" t="s">
        <v>198</v>
      </c>
      <c r="B100" s="10" t="s">
        <v>31</v>
      </c>
      <c r="C100" s="35">
        <v>3</v>
      </c>
      <c r="D100" s="35">
        <v>34.5</v>
      </c>
      <c r="E100" s="35">
        <f t="shared" si="18"/>
        <v>0.34499999999999997</v>
      </c>
      <c r="F100" s="35">
        <f t="shared" si="19"/>
        <v>9.3494137499999977E-2</v>
      </c>
      <c r="G100" s="35">
        <f t="shared" si="20"/>
        <v>2.5406015624999991</v>
      </c>
      <c r="H100" s="35">
        <f t="shared" si="21"/>
        <v>7.6923076923076927E-2</v>
      </c>
      <c r="I100" s="35">
        <f t="shared" si="22"/>
        <v>-2.5649493574615367</v>
      </c>
      <c r="J100" s="35">
        <f t="shared" si="23"/>
        <v>-0.19730379672781054</v>
      </c>
    </row>
    <row r="101" spans="1:10">
      <c r="A101" s="13" t="s">
        <v>209</v>
      </c>
      <c r="B101" s="10" t="s">
        <v>41</v>
      </c>
      <c r="C101" s="35">
        <v>3</v>
      </c>
      <c r="D101" s="35">
        <v>48.8</v>
      </c>
      <c r="E101" s="35">
        <f t="shared" si="18"/>
        <v>0.48799999999999999</v>
      </c>
      <c r="F101" s="35">
        <f t="shared" si="19"/>
        <v>0.187062112</v>
      </c>
      <c r="G101" s="35">
        <f t="shared" si="20"/>
        <v>5.0832095652173912</v>
      </c>
      <c r="H101" s="35">
        <f t="shared" si="21"/>
        <v>7.6923076923076927E-2</v>
      </c>
      <c r="I101" s="35">
        <f t="shared" si="22"/>
        <v>-2.5649493574615367</v>
      </c>
      <c r="J101" s="35">
        <f t="shared" si="23"/>
        <v>-0.19730379672781054</v>
      </c>
    </row>
    <row r="102" spans="1:10">
      <c r="A102" s="13" t="s">
        <v>30</v>
      </c>
      <c r="B102" s="10" t="s">
        <v>31</v>
      </c>
      <c r="C102" s="35">
        <v>1</v>
      </c>
      <c r="D102" s="35">
        <v>95.6</v>
      </c>
      <c r="E102" s="35">
        <f t="shared" si="18"/>
        <v>0.95599999999999996</v>
      </c>
      <c r="F102" s="35">
        <f t="shared" si="19"/>
        <v>0.71789672799999993</v>
      </c>
      <c r="G102" s="35">
        <f t="shared" si="20"/>
        <v>19.508063260869562</v>
      </c>
      <c r="H102" s="35">
        <f t="shared" si="21"/>
        <v>2.564102564102564E-2</v>
      </c>
      <c r="I102" s="35">
        <f t="shared" si="22"/>
        <v>-3.6635616461296463</v>
      </c>
      <c r="J102" s="35">
        <f t="shared" si="23"/>
        <v>-9.3937478105888358E-2</v>
      </c>
    </row>
    <row r="103" spans="1:10">
      <c r="A103" s="13" t="s">
        <v>210</v>
      </c>
      <c r="B103" s="10" t="s">
        <v>140</v>
      </c>
      <c r="C103" s="35">
        <v>1</v>
      </c>
      <c r="D103" s="35">
        <v>15</v>
      </c>
      <c r="E103" s="35">
        <f t="shared" si="18"/>
        <v>0.15</v>
      </c>
      <c r="F103" s="35">
        <f t="shared" si="19"/>
        <v>1.7673749999999998E-2</v>
      </c>
      <c r="G103" s="35">
        <f t="shared" si="20"/>
        <v>0.48026494565217387</v>
      </c>
      <c r="H103" s="35">
        <f t="shared" si="21"/>
        <v>2.564102564102564E-2</v>
      </c>
      <c r="I103" s="35">
        <f t="shared" si="22"/>
        <v>-3.6635616461296463</v>
      </c>
      <c r="J103" s="35">
        <f t="shared" si="23"/>
        <v>-9.3937478105888358E-2</v>
      </c>
    </row>
    <row r="104" spans="1:10">
      <c r="A104" s="13"/>
      <c r="B104" s="10"/>
      <c r="C104" s="35">
        <v>39</v>
      </c>
      <c r="D104" s="35"/>
      <c r="E104" s="35"/>
      <c r="F104" s="35">
        <v>3.68</v>
      </c>
      <c r="G104" s="35"/>
      <c r="H104" s="35"/>
      <c r="I104" s="35" t="s">
        <v>32</v>
      </c>
      <c r="J104" s="35">
        <v>2.8</v>
      </c>
    </row>
    <row r="105" spans="1:10">
      <c r="A105" s="13"/>
      <c r="B105" s="10" t="s">
        <v>211</v>
      </c>
      <c r="C105" s="35"/>
      <c r="D105" s="35"/>
      <c r="E105" s="35"/>
      <c r="F105" s="35"/>
      <c r="G105" s="35"/>
      <c r="H105" s="35"/>
      <c r="I105" s="35" t="s">
        <v>33</v>
      </c>
      <c r="J105" s="35">
        <f>2.8/LN(39)</f>
        <v>0.76428357714631268</v>
      </c>
    </row>
    <row r="106" spans="1:10">
      <c r="A106" s="12" t="s">
        <v>1</v>
      </c>
      <c r="B106" s="12" t="s">
        <v>2</v>
      </c>
      <c r="C106" s="36" t="s">
        <v>3</v>
      </c>
      <c r="D106" s="36" t="s">
        <v>49</v>
      </c>
      <c r="E106" s="36" t="s">
        <v>5</v>
      </c>
      <c r="F106" s="36" t="s">
        <v>6</v>
      </c>
      <c r="G106" s="36" t="s">
        <v>7</v>
      </c>
      <c r="H106" s="36" t="s">
        <v>8</v>
      </c>
      <c r="I106" s="36" t="s">
        <v>9</v>
      </c>
      <c r="J106" s="36" t="s">
        <v>10</v>
      </c>
    </row>
    <row r="107" spans="1:10">
      <c r="A107" s="13" t="s">
        <v>212</v>
      </c>
      <c r="B107" s="10" t="s">
        <v>12</v>
      </c>
      <c r="C107" s="35">
        <v>1</v>
      </c>
      <c r="D107" s="35">
        <v>10</v>
      </c>
      <c r="E107" s="35">
        <f t="shared" ref="E107:E134" si="24">D107/100</f>
        <v>0.1</v>
      </c>
      <c r="F107" s="35">
        <f t="shared" ref="F107:F134" si="25">((3.142*(E107)^2/4))</f>
        <v>7.8550000000000009E-3</v>
      </c>
      <c r="G107" s="35">
        <f t="shared" ref="G107:G134" si="26">(F107/19.756)*100</f>
        <v>3.9760072889248835E-2</v>
      </c>
      <c r="H107" s="35">
        <f t="shared" ref="H107:H134" si="27">C107/82</f>
        <v>1.2195121951219513E-2</v>
      </c>
      <c r="I107" s="35">
        <f t="shared" ref="I107:I134" si="28">LN(H107)</f>
        <v>-4.4067192472642533</v>
      </c>
      <c r="J107" s="35">
        <f t="shared" ref="J107:J134" si="29">H107*I107</f>
        <v>-5.3740478625173824E-2</v>
      </c>
    </row>
    <row r="108" spans="1:10">
      <c r="A108" s="13" t="s">
        <v>70</v>
      </c>
      <c r="B108" s="10" t="s">
        <v>21</v>
      </c>
      <c r="C108" s="35">
        <v>1</v>
      </c>
      <c r="D108" s="35">
        <v>15.5</v>
      </c>
      <c r="E108" s="35">
        <f t="shared" si="24"/>
        <v>0.155</v>
      </c>
      <c r="F108" s="35">
        <f t="shared" si="25"/>
        <v>1.88716375E-2</v>
      </c>
      <c r="G108" s="35">
        <f t="shared" si="26"/>
        <v>9.5523575116420317E-2</v>
      </c>
      <c r="H108" s="35">
        <f t="shared" si="27"/>
        <v>1.2195121951219513E-2</v>
      </c>
      <c r="I108" s="35">
        <f t="shared" si="28"/>
        <v>-4.4067192472642533</v>
      </c>
      <c r="J108" s="35">
        <f t="shared" si="29"/>
        <v>-5.3740478625173824E-2</v>
      </c>
    </row>
    <row r="109" spans="1:10">
      <c r="A109" s="13" t="s">
        <v>96</v>
      </c>
      <c r="B109" s="10" t="s">
        <v>159</v>
      </c>
      <c r="C109" s="35">
        <v>4</v>
      </c>
      <c r="D109" s="35">
        <v>48.6</v>
      </c>
      <c r="E109" s="35">
        <f t="shared" si="24"/>
        <v>0.48599999999999999</v>
      </c>
      <c r="F109" s="35">
        <f t="shared" si="25"/>
        <v>0.185531958</v>
      </c>
      <c r="G109" s="35">
        <f t="shared" si="26"/>
        <v>0.93911701761490185</v>
      </c>
      <c r="H109" s="35">
        <f t="shared" si="27"/>
        <v>4.878048780487805E-2</v>
      </c>
      <c r="I109" s="35">
        <f t="shared" si="28"/>
        <v>-3.0204248861443626</v>
      </c>
      <c r="J109" s="35">
        <f t="shared" si="29"/>
        <v>-0.14733779932411525</v>
      </c>
    </row>
    <row r="110" spans="1:10">
      <c r="A110" s="13" t="s">
        <v>163</v>
      </c>
      <c r="B110" s="10" t="s">
        <v>12</v>
      </c>
      <c r="C110" s="35">
        <v>5</v>
      </c>
      <c r="D110" s="35">
        <v>86.1</v>
      </c>
      <c r="E110" s="35">
        <f t="shared" si="24"/>
        <v>0.86099999999999999</v>
      </c>
      <c r="F110" s="35">
        <f t="shared" si="25"/>
        <v>0.58230764550000003</v>
      </c>
      <c r="G110" s="35">
        <f t="shared" si="26"/>
        <v>2.9474976994330837</v>
      </c>
      <c r="H110" s="35">
        <f t="shared" si="27"/>
        <v>6.097560975609756E-2</v>
      </c>
      <c r="I110" s="35">
        <f t="shared" si="28"/>
        <v>-2.7972813348301528</v>
      </c>
      <c r="J110" s="35">
        <f t="shared" si="29"/>
        <v>-0.17056593505061907</v>
      </c>
    </row>
    <row r="111" spans="1:10">
      <c r="A111" s="13" t="s">
        <v>186</v>
      </c>
      <c r="B111" s="10" t="s">
        <v>24</v>
      </c>
      <c r="C111" s="35">
        <v>1</v>
      </c>
      <c r="D111" s="35">
        <v>12.3</v>
      </c>
      <c r="E111" s="35">
        <f t="shared" si="24"/>
        <v>0.12300000000000001</v>
      </c>
      <c r="F111" s="35">
        <f t="shared" si="25"/>
        <v>1.1883829500000002E-2</v>
      </c>
      <c r="G111" s="35">
        <f t="shared" si="26"/>
        <v>6.0153014274144573E-2</v>
      </c>
      <c r="H111" s="35">
        <f t="shared" si="27"/>
        <v>1.2195121951219513E-2</v>
      </c>
      <c r="I111" s="35">
        <f t="shared" si="28"/>
        <v>-4.4067192472642533</v>
      </c>
      <c r="J111" s="35">
        <f t="shared" si="29"/>
        <v>-5.3740478625173824E-2</v>
      </c>
    </row>
    <row r="112" spans="1:10">
      <c r="A112" s="13" t="s">
        <v>194</v>
      </c>
      <c r="B112" s="10" t="s">
        <v>159</v>
      </c>
      <c r="C112" s="35">
        <v>4</v>
      </c>
      <c r="D112" s="35">
        <v>79</v>
      </c>
      <c r="E112" s="35">
        <f t="shared" si="24"/>
        <v>0.79</v>
      </c>
      <c r="F112" s="35">
        <f t="shared" si="25"/>
        <v>0.49023055000000004</v>
      </c>
      <c r="G112" s="35">
        <f t="shared" si="26"/>
        <v>2.4814261490180201</v>
      </c>
      <c r="H112" s="35">
        <f t="shared" si="27"/>
        <v>4.878048780487805E-2</v>
      </c>
      <c r="I112" s="35">
        <f t="shared" si="28"/>
        <v>-3.0204248861443626</v>
      </c>
      <c r="J112" s="35">
        <f t="shared" si="29"/>
        <v>-0.14733779932411525</v>
      </c>
    </row>
    <row r="113" spans="1:10">
      <c r="A113" s="13" t="s">
        <v>129</v>
      </c>
      <c r="B113" s="10" t="s">
        <v>99</v>
      </c>
      <c r="C113" s="35">
        <v>3</v>
      </c>
      <c r="D113" s="35">
        <v>129.9</v>
      </c>
      <c r="E113" s="35">
        <f t="shared" si="24"/>
        <v>1.2990000000000002</v>
      </c>
      <c r="F113" s="35">
        <f t="shared" si="25"/>
        <v>1.3254534855000002</v>
      </c>
      <c r="G113" s="35">
        <f t="shared" si="26"/>
        <v>6.7091186753391385</v>
      </c>
      <c r="H113" s="35">
        <f t="shared" si="27"/>
        <v>3.6585365853658534E-2</v>
      </c>
      <c r="I113" s="35">
        <f t="shared" si="28"/>
        <v>-3.3081069585961433</v>
      </c>
      <c r="J113" s="35">
        <f t="shared" si="29"/>
        <v>-0.12102830336327353</v>
      </c>
    </row>
    <row r="114" spans="1:10">
      <c r="A114" s="13" t="s">
        <v>100</v>
      </c>
      <c r="B114" s="10" t="s">
        <v>36</v>
      </c>
      <c r="C114" s="35">
        <v>2</v>
      </c>
      <c r="D114" s="35">
        <v>20.6</v>
      </c>
      <c r="E114" s="35">
        <f t="shared" si="24"/>
        <v>0.20600000000000002</v>
      </c>
      <c r="F114" s="35">
        <f t="shared" si="25"/>
        <v>3.3333478000000007E-2</v>
      </c>
      <c r="G114" s="35">
        <f t="shared" si="26"/>
        <v>0.1687258453128164</v>
      </c>
      <c r="H114" s="35">
        <f t="shared" si="27"/>
        <v>2.4390243902439025E-2</v>
      </c>
      <c r="I114" s="35">
        <f t="shared" si="28"/>
        <v>-3.713572066704308</v>
      </c>
      <c r="J114" s="35">
        <f t="shared" si="29"/>
        <v>-9.057492845620263E-2</v>
      </c>
    </row>
    <row r="115" spans="1:10">
      <c r="A115" s="13" t="s">
        <v>35</v>
      </c>
      <c r="B115" s="10" t="s">
        <v>36</v>
      </c>
      <c r="C115" s="35">
        <v>1</v>
      </c>
      <c r="D115" s="35">
        <v>12.1</v>
      </c>
      <c r="E115" s="35">
        <f t="shared" si="24"/>
        <v>0.121</v>
      </c>
      <c r="F115" s="35">
        <f t="shared" si="25"/>
        <v>1.1500505499999999E-2</v>
      </c>
      <c r="G115" s="35">
        <f t="shared" si="26"/>
        <v>5.821272271714921E-2</v>
      </c>
      <c r="H115" s="35">
        <f t="shared" si="27"/>
        <v>1.2195121951219513E-2</v>
      </c>
      <c r="I115" s="35">
        <f t="shared" si="28"/>
        <v>-4.4067192472642533</v>
      </c>
      <c r="J115" s="35">
        <f t="shared" si="29"/>
        <v>-5.3740478625173824E-2</v>
      </c>
    </row>
    <row r="116" spans="1:10">
      <c r="A116" s="13" t="s">
        <v>213</v>
      </c>
      <c r="B116" s="10" t="s">
        <v>17</v>
      </c>
      <c r="C116" s="35">
        <v>2</v>
      </c>
      <c r="D116" s="35">
        <v>67.8</v>
      </c>
      <c r="E116" s="35">
        <f t="shared" si="24"/>
        <v>0.67799999999999994</v>
      </c>
      <c r="F116" s="35">
        <f t="shared" si="25"/>
        <v>0.36108178199999991</v>
      </c>
      <c r="G116" s="35">
        <f t="shared" si="26"/>
        <v>1.8277069346021457</v>
      </c>
      <c r="H116" s="35">
        <f t="shared" si="27"/>
        <v>2.4390243902439025E-2</v>
      </c>
      <c r="I116" s="35">
        <f t="shared" si="28"/>
        <v>-3.713572066704308</v>
      </c>
      <c r="J116" s="35">
        <f t="shared" si="29"/>
        <v>-9.057492845620263E-2</v>
      </c>
    </row>
    <row r="117" spans="1:10">
      <c r="A117" s="13" t="s">
        <v>37</v>
      </c>
      <c r="B117" s="10" t="s">
        <v>31</v>
      </c>
      <c r="C117" s="35">
        <v>13</v>
      </c>
      <c r="D117" s="35">
        <v>281.39999999999998</v>
      </c>
      <c r="E117" s="35">
        <f t="shared" si="24"/>
        <v>2.8139999999999996</v>
      </c>
      <c r="F117" s="35">
        <f t="shared" si="25"/>
        <v>6.2200571579999986</v>
      </c>
      <c r="G117" s="35">
        <f t="shared" si="26"/>
        <v>31.48439541405142</v>
      </c>
      <c r="H117" s="35">
        <f t="shared" si="27"/>
        <v>0.15853658536585366</v>
      </c>
      <c r="I117" s="35">
        <f t="shared" si="28"/>
        <v>-1.8417698898027164</v>
      </c>
      <c r="J117" s="35">
        <f t="shared" si="29"/>
        <v>-0.29198790935896723</v>
      </c>
    </row>
    <row r="118" spans="1:10">
      <c r="A118" s="13" t="s">
        <v>187</v>
      </c>
      <c r="B118" s="10" t="s">
        <v>31</v>
      </c>
      <c r="C118" s="35">
        <v>10</v>
      </c>
      <c r="D118" s="35">
        <v>125.5</v>
      </c>
      <c r="E118" s="35">
        <f t="shared" si="24"/>
        <v>1.2549999999999999</v>
      </c>
      <c r="F118" s="35">
        <f t="shared" si="25"/>
        <v>1.2371821374999996</v>
      </c>
      <c r="G118" s="35">
        <f t="shared" si="26"/>
        <v>6.2623108802389122</v>
      </c>
      <c r="H118" s="35">
        <f t="shared" si="27"/>
        <v>0.12195121951219512</v>
      </c>
      <c r="I118" s="35">
        <f t="shared" si="28"/>
        <v>-2.1041341542702074</v>
      </c>
      <c r="J118" s="35">
        <f t="shared" si="29"/>
        <v>-0.25660172613051307</v>
      </c>
    </row>
    <row r="119" spans="1:10">
      <c r="A119" s="13" t="s">
        <v>73</v>
      </c>
      <c r="B119" s="10" t="s">
        <v>159</v>
      </c>
      <c r="C119" s="35">
        <v>1</v>
      </c>
      <c r="D119" s="35">
        <v>10.3</v>
      </c>
      <c r="E119" s="35">
        <f t="shared" si="24"/>
        <v>0.10300000000000001</v>
      </c>
      <c r="F119" s="35">
        <f t="shared" si="25"/>
        <v>8.3333695000000017E-3</v>
      </c>
      <c r="G119" s="35">
        <f t="shared" si="26"/>
        <v>4.2181461328204099E-2</v>
      </c>
      <c r="H119" s="35">
        <f t="shared" si="27"/>
        <v>1.2195121951219513E-2</v>
      </c>
      <c r="I119" s="35">
        <f t="shared" si="28"/>
        <v>-4.4067192472642533</v>
      </c>
      <c r="J119" s="35">
        <f t="shared" si="29"/>
        <v>-5.3740478625173824E-2</v>
      </c>
    </row>
    <row r="120" spans="1:10">
      <c r="A120" s="13" t="s">
        <v>214</v>
      </c>
      <c r="B120" s="10" t="s">
        <v>21</v>
      </c>
      <c r="C120" s="35">
        <v>4</v>
      </c>
      <c r="D120" s="35">
        <v>44.6</v>
      </c>
      <c r="E120" s="35">
        <f t="shared" si="24"/>
        <v>0.44600000000000001</v>
      </c>
      <c r="F120" s="35">
        <f t="shared" si="25"/>
        <v>0.156248518</v>
      </c>
      <c r="G120" s="35">
        <f t="shared" si="26"/>
        <v>0.79089146588378201</v>
      </c>
      <c r="H120" s="35">
        <f t="shared" si="27"/>
        <v>4.878048780487805E-2</v>
      </c>
      <c r="I120" s="35">
        <f t="shared" si="28"/>
        <v>-3.0204248861443626</v>
      </c>
      <c r="J120" s="35">
        <f t="shared" si="29"/>
        <v>-0.14733779932411525</v>
      </c>
    </row>
    <row r="121" spans="1:10">
      <c r="A121" s="13" t="s">
        <v>215</v>
      </c>
      <c r="B121" s="10" t="s">
        <v>19</v>
      </c>
      <c r="C121" s="35">
        <v>2</v>
      </c>
      <c r="D121" s="35">
        <v>171.2</v>
      </c>
      <c r="E121" s="35">
        <f t="shared" si="24"/>
        <v>1.712</v>
      </c>
      <c r="F121" s="35">
        <f t="shared" si="25"/>
        <v>2.3022565119999996</v>
      </c>
      <c r="G121" s="35">
        <f t="shared" si="26"/>
        <v>11.653454707430653</v>
      </c>
      <c r="H121" s="35">
        <f t="shared" si="27"/>
        <v>2.4390243902439025E-2</v>
      </c>
      <c r="I121" s="35">
        <f t="shared" si="28"/>
        <v>-3.713572066704308</v>
      </c>
      <c r="J121" s="35">
        <f t="shared" si="29"/>
        <v>-9.057492845620263E-2</v>
      </c>
    </row>
    <row r="122" spans="1:10">
      <c r="A122" s="13" t="s">
        <v>75</v>
      </c>
      <c r="B122" s="10" t="s">
        <v>46</v>
      </c>
      <c r="C122" s="35">
        <v>1</v>
      </c>
      <c r="D122" s="35">
        <v>10.4</v>
      </c>
      <c r="E122" s="35">
        <f t="shared" si="24"/>
        <v>0.10400000000000001</v>
      </c>
      <c r="F122" s="35">
        <f t="shared" si="25"/>
        <v>8.4959680000000013E-3</v>
      </c>
      <c r="G122" s="35">
        <f t="shared" si="26"/>
        <v>4.3004494837011548E-2</v>
      </c>
      <c r="H122" s="35">
        <f t="shared" si="27"/>
        <v>1.2195121951219513E-2</v>
      </c>
      <c r="I122" s="35">
        <f t="shared" si="28"/>
        <v>-4.4067192472642533</v>
      </c>
      <c r="J122" s="35">
        <f t="shared" si="29"/>
        <v>-5.3740478625173824E-2</v>
      </c>
    </row>
    <row r="123" spans="1:10">
      <c r="A123" s="13" t="s">
        <v>216</v>
      </c>
      <c r="B123" s="10" t="s">
        <v>21</v>
      </c>
      <c r="C123" s="35">
        <v>1</v>
      </c>
      <c r="D123" s="35">
        <v>11.1</v>
      </c>
      <c r="E123" s="35">
        <f t="shared" si="24"/>
        <v>0.111</v>
      </c>
      <c r="F123" s="35">
        <f t="shared" si="25"/>
        <v>9.6781455000000006E-3</v>
      </c>
      <c r="G123" s="35">
        <f t="shared" si="26"/>
        <v>4.8988385806843497E-2</v>
      </c>
      <c r="H123" s="35">
        <f t="shared" si="27"/>
        <v>1.2195121951219513E-2</v>
      </c>
      <c r="I123" s="35">
        <f t="shared" si="28"/>
        <v>-4.4067192472642533</v>
      </c>
      <c r="J123" s="35">
        <f t="shared" si="29"/>
        <v>-5.3740478625173824E-2</v>
      </c>
    </row>
    <row r="124" spans="1:10">
      <c r="A124" s="13" t="s">
        <v>168</v>
      </c>
      <c r="B124" s="10" t="s">
        <v>24</v>
      </c>
      <c r="C124" s="35">
        <v>4</v>
      </c>
      <c r="D124" s="35">
        <v>62.9</v>
      </c>
      <c r="E124" s="35">
        <f t="shared" si="24"/>
        <v>0.629</v>
      </c>
      <c r="F124" s="35">
        <f t="shared" si="25"/>
        <v>0.31077600550000001</v>
      </c>
      <c r="G124" s="35">
        <f t="shared" si="26"/>
        <v>1.5730714997975299</v>
      </c>
      <c r="H124" s="35">
        <f t="shared" si="27"/>
        <v>4.878048780487805E-2</v>
      </c>
      <c r="I124" s="35">
        <f t="shared" si="28"/>
        <v>-3.0204248861443626</v>
      </c>
      <c r="J124" s="35">
        <f t="shared" si="29"/>
        <v>-0.14733779932411525</v>
      </c>
    </row>
    <row r="125" spans="1:10">
      <c r="A125" s="13" t="s">
        <v>217</v>
      </c>
      <c r="B125" s="10" t="s">
        <v>31</v>
      </c>
      <c r="C125" s="35">
        <v>1</v>
      </c>
      <c r="D125" s="35">
        <v>39.4</v>
      </c>
      <c r="E125" s="35">
        <f t="shared" si="24"/>
        <v>0.39399999999999996</v>
      </c>
      <c r="F125" s="35">
        <f t="shared" si="25"/>
        <v>0.12193787799999996</v>
      </c>
      <c r="G125" s="35">
        <f t="shared" si="26"/>
        <v>0.61721946750354306</v>
      </c>
      <c r="H125" s="35">
        <f t="shared" si="27"/>
        <v>1.2195121951219513E-2</v>
      </c>
      <c r="I125" s="35">
        <f t="shared" si="28"/>
        <v>-4.4067192472642533</v>
      </c>
      <c r="J125" s="35">
        <f t="shared" si="29"/>
        <v>-5.3740478625173824E-2</v>
      </c>
    </row>
    <row r="126" spans="1:10">
      <c r="A126" s="13" t="s">
        <v>218</v>
      </c>
      <c r="B126" s="10" t="s">
        <v>72</v>
      </c>
      <c r="C126" s="35">
        <v>1</v>
      </c>
      <c r="D126" s="35">
        <v>10</v>
      </c>
      <c r="E126" s="35">
        <f t="shared" si="24"/>
        <v>0.1</v>
      </c>
      <c r="F126" s="35">
        <f t="shared" si="25"/>
        <v>7.8550000000000009E-3</v>
      </c>
      <c r="G126" s="35">
        <f t="shared" si="26"/>
        <v>3.9760072889248835E-2</v>
      </c>
      <c r="H126" s="35">
        <f t="shared" si="27"/>
        <v>1.2195121951219513E-2</v>
      </c>
      <c r="I126" s="35">
        <f t="shared" si="28"/>
        <v>-4.4067192472642533</v>
      </c>
      <c r="J126" s="35">
        <f t="shared" si="29"/>
        <v>-5.3740478625173824E-2</v>
      </c>
    </row>
    <row r="127" spans="1:10">
      <c r="A127" s="13" t="s">
        <v>219</v>
      </c>
      <c r="B127" s="10" t="s">
        <v>123</v>
      </c>
      <c r="C127" s="35">
        <v>3</v>
      </c>
      <c r="D127" s="35">
        <v>34.9</v>
      </c>
      <c r="E127" s="35">
        <f t="shared" si="24"/>
        <v>0.34899999999999998</v>
      </c>
      <c r="F127" s="35">
        <f t="shared" si="25"/>
        <v>9.5674685499999981E-2</v>
      </c>
      <c r="G127" s="35">
        <f t="shared" si="26"/>
        <v>0.4842816637983397</v>
      </c>
      <c r="H127" s="35">
        <f t="shared" si="27"/>
        <v>3.6585365853658534E-2</v>
      </c>
      <c r="I127" s="35">
        <f t="shared" si="28"/>
        <v>-3.3081069585961433</v>
      </c>
      <c r="J127" s="35">
        <f t="shared" si="29"/>
        <v>-0.12102830336327353</v>
      </c>
    </row>
    <row r="128" spans="1:10">
      <c r="A128" s="13" t="s">
        <v>170</v>
      </c>
      <c r="B128" s="10" t="s">
        <v>31</v>
      </c>
      <c r="C128" s="35">
        <v>3</v>
      </c>
      <c r="D128" s="35">
        <v>161</v>
      </c>
      <c r="E128" s="35">
        <f t="shared" si="24"/>
        <v>1.61</v>
      </c>
      <c r="F128" s="35">
        <f t="shared" si="25"/>
        <v>2.0360945500000001</v>
      </c>
      <c r="G128" s="35">
        <f t="shared" si="26"/>
        <v>10.30620849362219</v>
      </c>
      <c r="H128" s="35">
        <f t="shared" si="27"/>
        <v>3.6585365853658534E-2</v>
      </c>
      <c r="I128" s="35">
        <f t="shared" si="28"/>
        <v>-3.3081069585961433</v>
      </c>
      <c r="J128" s="35">
        <f t="shared" si="29"/>
        <v>-0.12102830336327353</v>
      </c>
    </row>
    <row r="129" spans="1:10">
      <c r="A129" s="13" t="s">
        <v>220</v>
      </c>
      <c r="B129" s="10" t="s">
        <v>45</v>
      </c>
      <c r="C129" s="35">
        <v>3</v>
      </c>
      <c r="D129" s="35">
        <v>133.80000000000001</v>
      </c>
      <c r="E129" s="35">
        <f t="shared" si="24"/>
        <v>1.3380000000000001</v>
      </c>
      <c r="F129" s="35">
        <f t="shared" si="25"/>
        <v>1.4062366620000002</v>
      </c>
      <c r="G129" s="35">
        <f t="shared" si="26"/>
        <v>7.1180231929540403</v>
      </c>
      <c r="H129" s="35">
        <f t="shared" si="27"/>
        <v>3.6585365853658534E-2</v>
      </c>
      <c r="I129" s="35">
        <f t="shared" si="28"/>
        <v>-3.3081069585961433</v>
      </c>
      <c r="J129" s="35">
        <f t="shared" si="29"/>
        <v>-0.12102830336327353</v>
      </c>
    </row>
    <row r="130" spans="1:10">
      <c r="A130" s="13" t="s">
        <v>221</v>
      </c>
      <c r="B130" s="10" t="s">
        <v>41</v>
      </c>
      <c r="C130" s="35">
        <v>3</v>
      </c>
      <c r="D130" s="35">
        <v>44.3</v>
      </c>
      <c r="E130" s="35">
        <f t="shared" si="24"/>
        <v>0.44299999999999995</v>
      </c>
      <c r="F130" s="35">
        <f t="shared" si="25"/>
        <v>0.15415358949999997</v>
      </c>
      <c r="G130" s="35">
        <f t="shared" si="26"/>
        <v>0.78028745444421932</v>
      </c>
      <c r="H130" s="35">
        <f t="shared" si="27"/>
        <v>3.6585365853658534E-2</v>
      </c>
      <c r="I130" s="35">
        <f t="shared" si="28"/>
        <v>-3.3081069585961433</v>
      </c>
      <c r="J130" s="35">
        <f t="shared" si="29"/>
        <v>-0.12102830336327353</v>
      </c>
    </row>
    <row r="131" spans="1:10">
      <c r="A131" s="13" t="s">
        <v>222</v>
      </c>
      <c r="B131" s="10" t="s">
        <v>15</v>
      </c>
      <c r="C131" s="35">
        <v>2</v>
      </c>
      <c r="D131" s="35">
        <v>40.200000000000003</v>
      </c>
      <c r="E131" s="35">
        <f t="shared" si="24"/>
        <v>0.40200000000000002</v>
      </c>
      <c r="F131" s="35">
        <f t="shared" si="25"/>
        <v>0.12693994200000003</v>
      </c>
      <c r="G131" s="35">
        <f t="shared" si="26"/>
        <v>0.64253868191941699</v>
      </c>
      <c r="H131" s="35">
        <f t="shared" si="27"/>
        <v>2.4390243902439025E-2</v>
      </c>
      <c r="I131" s="35">
        <f t="shared" si="28"/>
        <v>-3.713572066704308</v>
      </c>
      <c r="J131" s="35">
        <f t="shared" si="29"/>
        <v>-9.057492845620263E-2</v>
      </c>
    </row>
    <row r="132" spans="1:10">
      <c r="A132" s="13" t="s">
        <v>30</v>
      </c>
      <c r="B132" s="10" t="s">
        <v>31</v>
      </c>
      <c r="C132" s="35">
        <v>4</v>
      </c>
      <c r="D132" s="35">
        <v>170.3</v>
      </c>
      <c r="E132" s="35">
        <f t="shared" si="24"/>
        <v>1.7030000000000001</v>
      </c>
      <c r="F132" s="35">
        <f t="shared" si="25"/>
        <v>2.2781141695000002</v>
      </c>
      <c r="G132" s="35">
        <f t="shared" si="26"/>
        <v>11.531252123405549</v>
      </c>
      <c r="H132" s="35">
        <f t="shared" si="27"/>
        <v>4.878048780487805E-2</v>
      </c>
      <c r="I132" s="35">
        <f t="shared" si="28"/>
        <v>-3.0204248861443626</v>
      </c>
      <c r="J132" s="35">
        <f t="shared" si="29"/>
        <v>-0.14733779932411525</v>
      </c>
    </row>
    <row r="133" spans="1:10">
      <c r="A133" s="13" t="s">
        <v>223</v>
      </c>
      <c r="B133" s="10"/>
      <c r="C133" s="35">
        <v>1</v>
      </c>
      <c r="D133" s="35">
        <v>55.3</v>
      </c>
      <c r="E133" s="35">
        <f t="shared" si="24"/>
        <v>0.55299999999999994</v>
      </c>
      <c r="F133" s="35">
        <f t="shared" si="25"/>
        <v>0.24021296949999996</v>
      </c>
      <c r="G133" s="35">
        <f t="shared" si="26"/>
        <v>1.2158988130188295</v>
      </c>
      <c r="H133" s="35">
        <f t="shared" si="27"/>
        <v>1.2195121951219513E-2</v>
      </c>
      <c r="I133" s="35">
        <f t="shared" si="28"/>
        <v>-4.4067192472642533</v>
      </c>
      <c r="J133" s="35">
        <f t="shared" si="29"/>
        <v>-5.3740478625173824E-2</v>
      </c>
    </row>
    <row r="134" spans="1:10">
      <c r="A134" s="13" t="s">
        <v>224</v>
      </c>
      <c r="B134" s="10" t="s">
        <v>225</v>
      </c>
      <c r="C134" s="35">
        <v>1</v>
      </c>
      <c r="D134" s="35">
        <v>10</v>
      </c>
      <c r="E134" s="35">
        <f t="shared" si="24"/>
        <v>0.1</v>
      </c>
      <c r="F134" s="35">
        <f t="shared" si="25"/>
        <v>7.8550000000000009E-3</v>
      </c>
      <c r="G134" s="35">
        <f t="shared" si="26"/>
        <v>3.9760072889248835E-2</v>
      </c>
      <c r="H134" s="35">
        <f t="shared" si="27"/>
        <v>1.2195121951219513E-2</v>
      </c>
      <c r="I134" s="35">
        <f t="shared" si="28"/>
        <v>-4.4067192472642533</v>
      </c>
      <c r="J134" s="35">
        <f t="shared" si="29"/>
        <v>-5.3740478625173824E-2</v>
      </c>
    </row>
    <row r="135" spans="1:10">
      <c r="A135" s="13"/>
      <c r="B135" s="10"/>
      <c r="C135" s="35">
        <v>82</v>
      </c>
      <c r="D135" s="35"/>
      <c r="E135" s="35"/>
      <c r="F135" s="35">
        <v>19.756</v>
      </c>
      <c r="G135" s="35"/>
      <c r="H135" s="35"/>
      <c r="I135" s="35" t="s">
        <v>32</v>
      </c>
      <c r="J135" s="35">
        <v>3.01</v>
      </c>
    </row>
    <row r="136" spans="1:10">
      <c r="A136" s="13"/>
      <c r="B136" s="10" t="s">
        <v>226</v>
      </c>
      <c r="C136" s="35"/>
      <c r="D136" s="35"/>
      <c r="E136" s="35"/>
      <c r="F136" s="35"/>
      <c r="G136" s="35"/>
      <c r="H136" s="35"/>
      <c r="I136" s="35" t="s">
        <v>33</v>
      </c>
      <c r="J136" s="35">
        <f>3.01/LN(82)</f>
        <v>0.68304782562870225</v>
      </c>
    </row>
    <row r="137" spans="1:10">
      <c r="A137" s="12" t="s">
        <v>1</v>
      </c>
      <c r="B137" s="12" t="s">
        <v>2</v>
      </c>
      <c r="C137" s="36" t="s">
        <v>3</v>
      </c>
      <c r="D137" s="36" t="s">
        <v>49</v>
      </c>
      <c r="E137" s="36" t="s">
        <v>5</v>
      </c>
      <c r="F137" s="36" t="s">
        <v>6</v>
      </c>
      <c r="G137" s="36" t="s">
        <v>7</v>
      </c>
      <c r="H137" s="36" t="s">
        <v>8</v>
      </c>
      <c r="I137" s="36" t="s">
        <v>9</v>
      </c>
      <c r="J137" s="36" t="s">
        <v>10</v>
      </c>
    </row>
    <row r="138" spans="1:10">
      <c r="A138" s="13" t="s">
        <v>200</v>
      </c>
      <c r="B138" s="10" t="s">
        <v>12</v>
      </c>
      <c r="C138" s="35">
        <v>1</v>
      </c>
      <c r="D138" s="35">
        <v>12.8</v>
      </c>
      <c r="E138" s="35">
        <f t="shared" ref="E138:E166" si="30">D138/100</f>
        <v>0.128</v>
      </c>
      <c r="F138" s="35">
        <f t="shared" ref="F138:F166" si="31">((3.142*(E138)^2/4))</f>
        <v>1.2869631999999999E-2</v>
      </c>
      <c r="G138" s="35">
        <f t="shared" ref="G138:G166" si="32">(F138/17.09)*100</f>
        <v>7.5305043885313033E-2</v>
      </c>
      <c r="H138" s="35">
        <f t="shared" ref="H138:H166" si="33">C138/75</f>
        <v>1.3333333333333334E-2</v>
      </c>
      <c r="I138" s="35">
        <f t="shared" ref="I138:I166" si="34">LN(H138)</f>
        <v>-4.3174881135363101</v>
      </c>
      <c r="J138" s="35">
        <f t="shared" ref="J138:J166" si="35">H138*I138</f>
        <v>-5.7566508180484137E-2</v>
      </c>
    </row>
    <row r="139" spans="1:10">
      <c r="A139" s="13" t="s">
        <v>70</v>
      </c>
      <c r="B139" s="10" t="s">
        <v>21</v>
      </c>
      <c r="C139" s="35">
        <v>2</v>
      </c>
      <c r="D139" s="35">
        <v>38.4</v>
      </c>
      <c r="E139" s="35">
        <f t="shared" si="30"/>
        <v>0.38400000000000001</v>
      </c>
      <c r="F139" s="35">
        <f t="shared" si="31"/>
        <v>0.115826688</v>
      </c>
      <c r="G139" s="35">
        <f t="shared" si="32"/>
        <v>0.67774539496781738</v>
      </c>
      <c r="H139" s="35">
        <f t="shared" si="33"/>
        <v>2.6666666666666668E-2</v>
      </c>
      <c r="I139" s="35">
        <f t="shared" si="34"/>
        <v>-3.6243409329763652</v>
      </c>
      <c r="J139" s="35">
        <f t="shared" si="35"/>
        <v>-9.6649091546036417E-2</v>
      </c>
    </row>
    <row r="140" spans="1:10">
      <c r="A140" s="13" t="s">
        <v>96</v>
      </c>
      <c r="B140" s="10" t="s">
        <v>97</v>
      </c>
      <c r="C140" s="35">
        <v>3</v>
      </c>
      <c r="D140" s="35">
        <v>61.3</v>
      </c>
      <c r="E140" s="35">
        <f t="shared" si="30"/>
        <v>0.61299999999999999</v>
      </c>
      <c r="F140" s="35">
        <f t="shared" si="31"/>
        <v>0.29516654949999999</v>
      </c>
      <c r="G140" s="35">
        <f t="shared" si="32"/>
        <v>1.7271301901696896</v>
      </c>
      <c r="H140" s="35">
        <f t="shared" si="33"/>
        <v>0.04</v>
      </c>
      <c r="I140" s="35">
        <f t="shared" si="34"/>
        <v>-3.2188758248682006</v>
      </c>
      <c r="J140" s="35">
        <f t="shared" si="35"/>
        <v>-0.12875503299472801</v>
      </c>
    </row>
    <row r="141" spans="1:10">
      <c r="A141" s="13" t="s">
        <v>163</v>
      </c>
      <c r="B141" s="10" t="s">
        <v>227</v>
      </c>
      <c r="C141" s="35">
        <v>1</v>
      </c>
      <c r="D141" s="35">
        <v>21.2</v>
      </c>
      <c r="E141" s="35">
        <f t="shared" si="30"/>
        <v>0.21199999999999999</v>
      </c>
      <c r="F141" s="35">
        <f t="shared" si="31"/>
        <v>3.5303511999999995E-2</v>
      </c>
      <c r="G141" s="35">
        <f t="shared" si="32"/>
        <v>0.20657409011117611</v>
      </c>
      <c r="H141" s="35">
        <f t="shared" si="33"/>
        <v>1.3333333333333334E-2</v>
      </c>
      <c r="I141" s="35">
        <f t="shared" si="34"/>
        <v>-4.3174881135363101</v>
      </c>
      <c r="J141" s="35">
        <f t="shared" si="35"/>
        <v>-5.7566508180484137E-2</v>
      </c>
    </row>
    <row r="142" spans="1:10">
      <c r="A142" s="13" t="s">
        <v>194</v>
      </c>
      <c r="B142" s="10" t="s">
        <v>159</v>
      </c>
      <c r="C142" s="35">
        <v>7</v>
      </c>
      <c r="D142" s="35">
        <v>270</v>
      </c>
      <c r="E142" s="35">
        <f t="shared" si="30"/>
        <v>2.7</v>
      </c>
      <c r="F142" s="35">
        <f t="shared" si="31"/>
        <v>5.7262950000000004</v>
      </c>
      <c r="G142" s="35">
        <f t="shared" si="32"/>
        <v>33.50669982445875</v>
      </c>
      <c r="H142" s="35">
        <f t="shared" si="33"/>
        <v>9.3333333333333338E-2</v>
      </c>
      <c r="I142" s="35">
        <f t="shared" si="34"/>
        <v>-2.3715779644809971</v>
      </c>
      <c r="J142" s="35">
        <f t="shared" si="35"/>
        <v>-0.22134727668489307</v>
      </c>
    </row>
    <row r="143" spans="1:10">
      <c r="A143" s="13" t="s">
        <v>129</v>
      </c>
      <c r="B143" s="10" t="s">
        <v>99</v>
      </c>
      <c r="C143" s="35">
        <v>4</v>
      </c>
      <c r="D143" s="35">
        <v>103.3</v>
      </c>
      <c r="E143" s="35">
        <f t="shared" si="30"/>
        <v>1.0329999999999999</v>
      </c>
      <c r="F143" s="35">
        <f t="shared" si="31"/>
        <v>0.8381984094999998</v>
      </c>
      <c r="G143" s="35">
        <f t="shared" si="32"/>
        <v>4.9046132796957274</v>
      </c>
      <c r="H143" s="35">
        <f t="shared" si="33"/>
        <v>5.3333333333333337E-2</v>
      </c>
      <c r="I143" s="35">
        <f t="shared" si="34"/>
        <v>-2.9311937524164198</v>
      </c>
      <c r="J143" s="35">
        <f t="shared" si="35"/>
        <v>-0.15633033346220906</v>
      </c>
    </row>
    <row r="144" spans="1:10">
      <c r="A144" s="13" t="s">
        <v>35</v>
      </c>
      <c r="B144" s="10" t="s">
        <v>36</v>
      </c>
      <c r="C144" s="35">
        <v>10</v>
      </c>
      <c r="D144" s="35">
        <v>189.1</v>
      </c>
      <c r="E144" s="35">
        <f t="shared" si="30"/>
        <v>1.891</v>
      </c>
      <c r="F144" s="35">
        <f t="shared" si="31"/>
        <v>2.8088545254999997</v>
      </c>
      <c r="G144" s="35">
        <f t="shared" si="32"/>
        <v>16.435661354593329</v>
      </c>
      <c r="H144" s="35">
        <f t="shared" si="33"/>
        <v>0.13333333333333333</v>
      </c>
      <c r="I144" s="35">
        <f t="shared" si="34"/>
        <v>-2.0149030205422647</v>
      </c>
      <c r="J144" s="35">
        <f t="shared" si="35"/>
        <v>-0.26865373607230197</v>
      </c>
    </row>
    <row r="145" spans="1:10">
      <c r="A145" s="15" t="s">
        <v>228</v>
      </c>
      <c r="B145" s="10" t="s">
        <v>24</v>
      </c>
      <c r="C145" s="35">
        <v>1</v>
      </c>
      <c r="D145" s="35">
        <v>10</v>
      </c>
      <c r="E145" s="35">
        <f t="shared" si="30"/>
        <v>0.1</v>
      </c>
      <c r="F145" s="35">
        <f t="shared" si="31"/>
        <v>7.8550000000000009E-3</v>
      </c>
      <c r="G145" s="35">
        <f t="shared" si="32"/>
        <v>4.5962551199531895E-2</v>
      </c>
      <c r="H145" s="35">
        <f t="shared" si="33"/>
        <v>1.3333333333333334E-2</v>
      </c>
      <c r="I145" s="35">
        <f t="shared" si="34"/>
        <v>-4.3174881135363101</v>
      </c>
      <c r="J145" s="35">
        <f t="shared" si="35"/>
        <v>-5.7566508180484137E-2</v>
      </c>
    </row>
    <row r="146" spans="1:10">
      <c r="A146" s="13" t="s">
        <v>37</v>
      </c>
      <c r="B146" s="10" t="s">
        <v>31</v>
      </c>
      <c r="C146" s="35">
        <v>5</v>
      </c>
      <c r="D146" s="35">
        <v>62.7</v>
      </c>
      <c r="E146" s="35">
        <f t="shared" si="30"/>
        <v>0.627</v>
      </c>
      <c r="F146" s="35">
        <f t="shared" si="31"/>
        <v>0.30880282949999999</v>
      </c>
      <c r="G146" s="35">
        <f t="shared" si="32"/>
        <v>1.8069211790520772</v>
      </c>
      <c r="H146" s="35">
        <f t="shared" si="33"/>
        <v>6.6666666666666666E-2</v>
      </c>
      <c r="I146" s="35">
        <f t="shared" si="34"/>
        <v>-2.7080502011022101</v>
      </c>
      <c r="J146" s="35">
        <f t="shared" si="35"/>
        <v>-0.18053668007348067</v>
      </c>
    </row>
    <row r="147" spans="1:10">
      <c r="A147" s="13" t="s">
        <v>187</v>
      </c>
      <c r="B147" s="10" t="s">
        <v>31</v>
      </c>
      <c r="C147" s="35">
        <v>5</v>
      </c>
      <c r="D147" s="35">
        <v>66.900000000000006</v>
      </c>
      <c r="E147" s="35">
        <f t="shared" si="30"/>
        <v>0.66900000000000004</v>
      </c>
      <c r="F147" s="35">
        <f t="shared" si="31"/>
        <v>0.35155916550000005</v>
      </c>
      <c r="G147" s="35">
        <f t="shared" si="32"/>
        <v>2.0571045377413695</v>
      </c>
      <c r="H147" s="35">
        <f t="shared" si="33"/>
        <v>6.6666666666666666E-2</v>
      </c>
      <c r="I147" s="35">
        <f t="shared" si="34"/>
        <v>-2.7080502011022101</v>
      </c>
      <c r="J147" s="35">
        <f t="shared" si="35"/>
        <v>-0.18053668007348067</v>
      </c>
    </row>
    <row r="148" spans="1:10">
      <c r="A148" s="13" t="s">
        <v>229</v>
      </c>
      <c r="B148" s="10" t="s">
        <v>97</v>
      </c>
      <c r="C148" s="35">
        <v>1</v>
      </c>
      <c r="D148" s="35">
        <v>11.7</v>
      </c>
      <c r="E148" s="35">
        <f t="shared" si="30"/>
        <v>0.11699999999999999</v>
      </c>
      <c r="F148" s="35">
        <f t="shared" si="31"/>
        <v>1.0752709499999999E-2</v>
      </c>
      <c r="G148" s="35">
        <f t="shared" si="32"/>
        <v>6.2918136337039202E-2</v>
      </c>
      <c r="H148" s="35">
        <f t="shared" si="33"/>
        <v>1.3333333333333334E-2</v>
      </c>
      <c r="I148" s="35">
        <f t="shared" si="34"/>
        <v>-4.3174881135363101</v>
      </c>
      <c r="J148" s="35">
        <f t="shared" si="35"/>
        <v>-5.7566508180484137E-2</v>
      </c>
    </row>
    <row r="149" spans="1:10">
      <c r="A149" s="13" t="s">
        <v>230</v>
      </c>
      <c r="B149" s="10" t="s">
        <v>41</v>
      </c>
      <c r="C149" s="35">
        <v>1</v>
      </c>
      <c r="D149" s="35">
        <v>20.8</v>
      </c>
      <c r="E149" s="35">
        <f t="shared" si="30"/>
        <v>0.20800000000000002</v>
      </c>
      <c r="F149" s="35">
        <f t="shared" si="31"/>
        <v>3.3983872000000005E-2</v>
      </c>
      <c r="G149" s="35">
        <f t="shared" si="32"/>
        <v>0.19885238150965479</v>
      </c>
      <c r="H149" s="35">
        <f t="shared" si="33"/>
        <v>1.3333333333333334E-2</v>
      </c>
      <c r="I149" s="35">
        <f t="shared" si="34"/>
        <v>-4.3174881135363101</v>
      </c>
      <c r="J149" s="35">
        <f t="shared" si="35"/>
        <v>-5.7566508180484137E-2</v>
      </c>
    </row>
    <row r="150" spans="1:10">
      <c r="A150" s="13" t="s">
        <v>214</v>
      </c>
      <c r="B150" s="10" t="s">
        <v>21</v>
      </c>
      <c r="C150" s="35">
        <v>5</v>
      </c>
      <c r="D150" s="35">
        <v>60.6</v>
      </c>
      <c r="E150" s="35">
        <f t="shared" si="30"/>
        <v>0.60599999999999998</v>
      </c>
      <c r="F150" s="35">
        <f t="shared" si="31"/>
        <v>0.28846387800000001</v>
      </c>
      <c r="G150" s="35">
        <f t="shared" si="32"/>
        <v>1.6879103452311293</v>
      </c>
      <c r="H150" s="35">
        <f t="shared" si="33"/>
        <v>6.6666666666666666E-2</v>
      </c>
      <c r="I150" s="35">
        <f t="shared" si="34"/>
        <v>-2.7080502011022101</v>
      </c>
      <c r="J150" s="35">
        <f t="shared" si="35"/>
        <v>-0.18053668007348067</v>
      </c>
    </row>
    <row r="151" spans="1:10">
      <c r="A151" s="13" t="s">
        <v>231</v>
      </c>
      <c r="B151" s="10"/>
      <c r="C151" s="35">
        <v>1</v>
      </c>
      <c r="D151" s="35">
        <v>22.1</v>
      </c>
      <c r="E151" s="35">
        <f t="shared" si="30"/>
        <v>0.221</v>
      </c>
      <c r="F151" s="35">
        <f t="shared" si="31"/>
        <v>3.8364605500000003E-2</v>
      </c>
      <c r="G151" s="35">
        <f t="shared" si="32"/>
        <v>0.22448569631363371</v>
      </c>
      <c r="H151" s="35">
        <f t="shared" si="33"/>
        <v>1.3333333333333334E-2</v>
      </c>
      <c r="I151" s="35">
        <f t="shared" si="34"/>
        <v>-4.3174881135363101</v>
      </c>
      <c r="J151" s="35">
        <f t="shared" si="35"/>
        <v>-5.7566508180484137E-2</v>
      </c>
    </row>
    <row r="152" spans="1:10">
      <c r="A152" s="13" t="s">
        <v>168</v>
      </c>
      <c r="B152" s="10" t="s">
        <v>24</v>
      </c>
      <c r="C152" s="35">
        <v>1</v>
      </c>
      <c r="D152" s="35">
        <v>13.7</v>
      </c>
      <c r="E152" s="35">
        <f t="shared" si="30"/>
        <v>0.13699999999999998</v>
      </c>
      <c r="F152" s="35">
        <f t="shared" si="31"/>
        <v>1.4743049499999996E-2</v>
      </c>
      <c r="G152" s="35">
        <f t="shared" si="32"/>
        <v>8.6267112346401387E-2</v>
      </c>
      <c r="H152" s="35">
        <f t="shared" si="33"/>
        <v>1.3333333333333334E-2</v>
      </c>
      <c r="I152" s="35">
        <f t="shared" si="34"/>
        <v>-4.3174881135363101</v>
      </c>
      <c r="J152" s="35">
        <f t="shared" si="35"/>
        <v>-5.7566508180484137E-2</v>
      </c>
    </row>
    <row r="153" spans="1:10">
      <c r="A153" s="13" t="s">
        <v>217</v>
      </c>
      <c r="B153" s="10" t="s">
        <v>31</v>
      </c>
      <c r="C153" s="35">
        <v>1</v>
      </c>
      <c r="D153" s="35">
        <v>13.1</v>
      </c>
      <c r="E153" s="35">
        <f t="shared" si="30"/>
        <v>0.13100000000000001</v>
      </c>
      <c r="F153" s="35">
        <f t="shared" si="31"/>
        <v>1.3479965500000001E-2</v>
      </c>
      <c r="G153" s="35">
        <f t="shared" si="32"/>
        <v>7.8876334113516688E-2</v>
      </c>
      <c r="H153" s="35">
        <f t="shared" si="33"/>
        <v>1.3333333333333334E-2</v>
      </c>
      <c r="I153" s="35">
        <f t="shared" si="34"/>
        <v>-4.3174881135363101</v>
      </c>
      <c r="J153" s="35">
        <f t="shared" si="35"/>
        <v>-5.7566508180484137E-2</v>
      </c>
    </row>
    <row r="154" spans="1:10">
      <c r="A154" s="13" t="s">
        <v>218</v>
      </c>
      <c r="B154" s="10" t="s">
        <v>72</v>
      </c>
      <c r="C154" s="35">
        <v>2</v>
      </c>
      <c r="D154" s="35">
        <v>25.8</v>
      </c>
      <c r="E154" s="35">
        <f t="shared" si="30"/>
        <v>0.25800000000000001</v>
      </c>
      <c r="F154" s="35">
        <f t="shared" si="31"/>
        <v>5.2286021999999995E-2</v>
      </c>
      <c r="G154" s="35">
        <f t="shared" si="32"/>
        <v>0.30594512580456401</v>
      </c>
      <c r="H154" s="35">
        <f t="shared" si="33"/>
        <v>2.6666666666666668E-2</v>
      </c>
      <c r="I154" s="35">
        <f t="shared" si="34"/>
        <v>-3.6243409329763652</v>
      </c>
      <c r="J154" s="35">
        <f t="shared" si="35"/>
        <v>-9.6649091546036417E-2</v>
      </c>
    </row>
    <row r="155" spans="1:10">
      <c r="A155" s="13" t="s">
        <v>196</v>
      </c>
      <c r="B155" s="10" t="s">
        <v>123</v>
      </c>
      <c r="C155" s="35">
        <v>1</v>
      </c>
      <c r="D155" s="35">
        <v>10.3</v>
      </c>
      <c r="E155" s="35">
        <f t="shared" si="30"/>
        <v>0.10300000000000001</v>
      </c>
      <c r="F155" s="35">
        <f t="shared" si="31"/>
        <v>8.3333695000000017E-3</v>
      </c>
      <c r="G155" s="35">
        <f t="shared" si="32"/>
        <v>4.876167056758339E-2</v>
      </c>
      <c r="H155" s="35">
        <f t="shared" si="33"/>
        <v>1.3333333333333334E-2</v>
      </c>
      <c r="I155" s="35">
        <f t="shared" si="34"/>
        <v>-4.3174881135363101</v>
      </c>
      <c r="J155" s="35">
        <f t="shared" si="35"/>
        <v>-5.7566508180484137E-2</v>
      </c>
    </row>
    <row r="156" spans="1:10">
      <c r="A156" s="13" t="s">
        <v>232</v>
      </c>
      <c r="B156" s="10" t="s">
        <v>12</v>
      </c>
      <c r="C156" s="35">
        <v>1</v>
      </c>
      <c r="D156" s="35">
        <v>10</v>
      </c>
      <c r="E156" s="35">
        <f t="shared" si="30"/>
        <v>0.1</v>
      </c>
      <c r="F156" s="35">
        <f t="shared" si="31"/>
        <v>7.8550000000000009E-3</v>
      </c>
      <c r="G156" s="35">
        <f t="shared" si="32"/>
        <v>4.5962551199531895E-2</v>
      </c>
      <c r="H156" s="35">
        <f t="shared" si="33"/>
        <v>1.3333333333333334E-2</v>
      </c>
      <c r="I156" s="35">
        <f t="shared" si="34"/>
        <v>-4.3174881135363101</v>
      </c>
      <c r="J156" s="35">
        <f t="shared" si="35"/>
        <v>-5.7566508180484137E-2</v>
      </c>
    </row>
    <row r="157" spans="1:10">
      <c r="A157" s="13" t="s">
        <v>135</v>
      </c>
      <c r="B157" s="10" t="s">
        <v>21</v>
      </c>
      <c r="C157" s="35">
        <v>1</v>
      </c>
      <c r="D157" s="35">
        <v>28.2</v>
      </c>
      <c r="E157" s="35">
        <f t="shared" si="30"/>
        <v>0.28199999999999997</v>
      </c>
      <c r="F157" s="35">
        <f t="shared" si="31"/>
        <v>6.2466101999999989E-2</v>
      </c>
      <c r="G157" s="35">
        <f t="shared" si="32"/>
        <v>0.36551259215915732</v>
      </c>
      <c r="H157" s="35">
        <f t="shared" si="33"/>
        <v>1.3333333333333334E-2</v>
      </c>
      <c r="I157" s="35">
        <f t="shared" si="34"/>
        <v>-4.3174881135363101</v>
      </c>
      <c r="J157" s="35">
        <f t="shared" si="35"/>
        <v>-5.7566508180484137E-2</v>
      </c>
    </row>
    <row r="158" spans="1:10">
      <c r="A158" s="13" t="s">
        <v>233</v>
      </c>
      <c r="B158" s="10" t="s">
        <v>12</v>
      </c>
      <c r="C158" s="35">
        <v>1</v>
      </c>
      <c r="D158" s="35">
        <v>21.3</v>
      </c>
      <c r="E158" s="35">
        <f t="shared" si="30"/>
        <v>0.21299999999999999</v>
      </c>
      <c r="F158" s="35">
        <f t="shared" si="31"/>
        <v>3.5637349499999998E-2</v>
      </c>
      <c r="G158" s="35">
        <f t="shared" si="32"/>
        <v>0.20852749853715624</v>
      </c>
      <c r="H158" s="35">
        <f t="shared" si="33"/>
        <v>1.3333333333333334E-2</v>
      </c>
      <c r="I158" s="35">
        <f t="shared" si="34"/>
        <v>-4.3174881135363101</v>
      </c>
      <c r="J158" s="35">
        <f t="shared" si="35"/>
        <v>-5.7566508180484137E-2</v>
      </c>
    </row>
    <row r="159" spans="1:10">
      <c r="A159" s="13" t="s">
        <v>170</v>
      </c>
      <c r="B159" s="10" t="s">
        <v>31</v>
      </c>
      <c r="C159" s="35">
        <v>5</v>
      </c>
      <c r="D159" s="35">
        <v>56.8</v>
      </c>
      <c r="E159" s="35">
        <f t="shared" si="30"/>
        <v>0.56799999999999995</v>
      </c>
      <c r="F159" s="35">
        <f t="shared" si="31"/>
        <v>0.25342115199999998</v>
      </c>
      <c r="G159" s="35">
        <f t="shared" si="32"/>
        <v>1.4828622118197776</v>
      </c>
      <c r="H159" s="35">
        <f t="shared" si="33"/>
        <v>6.6666666666666666E-2</v>
      </c>
      <c r="I159" s="35">
        <f t="shared" si="34"/>
        <v>-2.7080502011022101</v>
      </c>
      <c r="J159" s="35">
        <f t="shared" si="35"/>
        <v>-0.18053668007348067</v>
      </c>
    </row>
    <row r="160" spans="1:10">
      <c r="A160" s="13" t="s">
        <v>220</v>
      </c>
      <c r="B160" s="10" t="s">
        <v>45</v>
      </c>
      <c r="C160" s="35">
        <v>5</v>
      </c>
      <c r="D160" s="35">
        <v>173.7</v>
      </c>
      <c r="E160" s="35">
        <f t="shared" si="30"/>
        <v>1.7369999999999999</v>
      </c>
      <c r="F160" s="35">
        <f t="shared" si="31"/>
        <v>2.3699862494999997</v>
      </c>
      <c r="G160" s="35">
        <f t="shared" si="32"/>
        <v>13.867678464014041</v>
      </c>
      <c r="H160" s="35">
        <f t="shared" si="33"/>
        <v>6.6666666666666666E-2</v>
      </c>
      <c r="I160" s="35">
        <f t="shared" si="34"/>
        <v>-2.7080502011022101</v>
      </c>
      <c r="J160" s="35">
        <f t="shared" si="35"/>
        <v>-0.18053668007348067</v>
      </c>
    </row>
    <row r="161" spans="1:10">
      <c r="A161" s="13" t="s">
        <v>234</v>
      </c>
      <c r="B161" s="10" t="s">
        <v>93</v>
      </c>
      <c r="C161" s="35">
        <v>1</v>
      </c>
      <c r="D161" s="35">
        <v>21.3</v>
      </c>
      <c r="E161" s="35">
        <f t="shared" si="30"/>
        <v>0.21299999999999999</v>
      </c>
      <c r="F161" s="35">
        <f t="shared" si="31"/>
        <v>3.5637349499999998E-2</v>
      </c>
      <c r="G161" s="35">
        <f t="shared" si="32"/>
        <v>0.20852749853715624</v>
      </c>
      <c r="H161" s="35">
        <f t="shared" si="33"/>
        <v>1.3333333333333334E-2</v>
      </c>
      <c r="I161" s="35">
        <f t="shared" si="34"/>
        <v>-4.3174881135363101</v>
      </c>
      <c r="J161" s="35">
        <f t="shared" si="35"/>
        <v>-5.7566508180484137E-2</v>
      </c>
    </row>
    <row r="162" spans="1:10">
      <c r="A162" s="13" t="s">
        <v>121</v>
      </c>
      <c r="B162" s="10" t="s">
        <v>31</v>
      </c>
      <c r="C162" s="35">
        <v>2</v>
      </c>
      <c r="D162" s="35">
        <v>54.8</v>
      </c>
      <c r="E162" s="35">
        <f t="shared" si="30"/>
        <v>0.54799999999999993</v>
      </c>
      <c r="F162" s="35">
        <f t="shared" si="31"/>
        <v>0.23588879199999993</v>
      </c>
      <c r="G162" s="35">
        <f t="shared" si="32"/>
        <v>1.3802737975424222</v>
      </c>
      <c r="H162" s="35">
        <f t="shared" si="33"/>
        <v>2.6666666666666668E-2</v>
      </c>
      <c r="I162" s="35">
        <f t="shared" si="34"/>
        <v>-3.6243409329763652</v>
      </c>
      <c r="J162" s="35">
        <f t="shared" si="35"/>
        <v>-9.6649091546036417E-2</v>
      </c>
    </row>
    <row r="163" spans="1:10">
      <c r="A163" s="15" t="s">
        <v>235</v>
      </c>
      <c r="B163" s="10" t="s">
        <v>41</v>
      </c>
      <c r="C163" s="35">
        <v>1</v>
      </c>
      <c r="D163" s="35">
        <v>11.2</v>
      </c>
      <c r="E163" s="35">
        <f t="shared" si="30"/>
        <v>0.11199999999999999</v>
      </c>
      <c r="F163" s="35">
        <f t="shared" si="31"/>
        <v>9.8533119999999978E-3</v>
      </c>
      <c r="G163" s="35">
        <f t="shared" si="32"/>
        <v>5.7655424224692789E-2</v>
      </c>
      <c r="H163" s="35">
        <f t="shared" si="33"/>
        <v>1.3333333333333334E-2</v>
      </c>
      <c r="I163" s="35">
        <f t="shared" si="34"/>
        <v>-4.3174881135363101</v>
      </c>
      <c r="J163" s="35">
        <f t="shared" si="35"/>
        <v>-5.7566508180484137E-2</v>
      </c>
    </row>
    <row r="164" spans="1:10">
      <c r="A164" s="13" t="s">
        <v>221</v>
      </c>
      <c r="B164" s="10" t="s">
        <v>41</v>
      </c>
      <c r="C164" s="35">
        <v>2</v>
      </c>
      <c r="D164" s="35">
        <v>42.5</v>
      </c>
      <c r="E164" s="35">
        <f t="shared" si="30"/>
        <v>0.42499999999999999</v>
      </c>
      <c r="F164" s="35">
        <f t="shared" si="31"/>
        <v>0.14188093749999997</v>
      </c>
      <c r="G164" s="35">
        <f t="shared" si="32"/>
        <v>0.83019858104154465</v>
      </c>
      <c r="H164" s="35">
        <f t="shared" si="33"/>
        <v>2.6666666666666668E-2</v>
      </c>
      <c r="I164" s="35">
        <f t="shared" si="34"/>
        <v>-3.6243409329763652</v>
      </c>
      <c r="J164" s="35">
        <f t="shared" si="35"/>
        <v>-9.6649091546036417E-2</v>
      </c>
    </row>
    <row r="165" spans="1:10">
      <c r="A165" s="13" t="s">
        <v>29</v>
      </c>
      <c r="B165" s="10" t="s">
        <v>15</v>
      </c>
      <c r="C165" s="35">
        <v>1</v>
      </c>
      <c r="D165" s="35">
        <v>86.7</v>
      </c>
      <c r="E165" s="35">
        <f t="shared" si="30"/>
        <v>0.86699999999999999</v>
      </c>
      <c r="F165" s="35">
        <f t="shared" si="31"/>
        <v>0.59045170949999992</v>
      </c>
      <c r="G165" s="35">
        <f t="shared" si="32"/>
        <v>3.4549544148624918</v>
      </c>
      <c r="H165" s="35">
        <f t="shared" si="33"/>
        <v>1.3333333333333334E-2</v>
      </c>
      <c r="I165" s="35">
        <f t="shared" si="34"/>
        <v>-4.3174881135363101</v>
      </c>
      <c r="J165" s="35">
        <f t="shared" si="35"/>
        <v>-5.7566508180484137E-2</v>
      </c>
    </row>
    <row r="166" spans="1:10">
      <c r="A166" s="13" t="s">
        <v>30</v>
      </c>
      <c r="B166" s="10" t="s">
        <v>31</v>
      </c>
      <c r="C166" s="35">
        <v>3</v>
      </c>
      <c r="D166" s="35">
        <v>174.6</v>
      </c>
      <c r="E166" s="35">
        <f t="shared" si="30"/>
        <v>1.746</v>
      </c>
      <c r="F166" s="35">
        <f t="shared" si="31"/>
        <v>2.3946093179999997</v>
      </c>
      <c r="G166" s="35">
        <f t="shared" si="32"/>
        <v>14.011757273259215</v>
      </c>
      <c r="H166" s="35">
        <f t="shared" si="33"/>
        <v>0.04</v>
      </c>
      <c r="I166" s="35">
        <f t="shared" si="34"/>
        <v>-3.2188758248682006</v>
      </c>
      <c r="J166" s="35">
        <f t="shared" si="35"/>
        <v>-0.12875503299472801</v>
      </c>
    </row>
    <row r="167" spans="1:10">
      <c r="A167" s="13"/>
      <c r="B167" s="10"/>
      <c r="C167" s="35">
        <v>75</v>
      </c>
      <c r="D167" s="35"/>
      <c r="E167" s="35"/>
      <c r="F167" s="35">
        <v>17.09</v>
      </c>
      <c r="G167" s="35"/>
      <c r="H167" s="35"/>
      <c r="I167" s="35" t="s">
        <v>32</v>
      </c>
      <c r="J167" s="35">
        <v>3.06</v>
      </c>
    </row>
    <row r="168" spans="1:10">
      <c r="A168" s="13"/>
      <c r="B168" s="10" t="s">
        <v>236</v>
      </c>
      <c r="C168" s="35"/>
      <c r="D168" s="35"/>
      <c r="E168" s="35"/>
      <c r="F168" s="35"/>
      <c r="G168" s="35"/>
      <c r="H168" s="35"/>
      <c r="I168" s="35" t="s">
        <v>33</v>
      </c>
      <c r="J168" s="35">
        <f>3.06/LN(75)</f>
        <v>0.70874543705313331</v>
      </c>
    </row>
    <row r="169" spans="1:10">
      <c r="A169" s="12" t="s">
        <v>1</v>
      </c>
      <c r="B169" s="12" t="s">
        <v>2</v>
      </c>
      <c r="C169" s="36" t="s">
        <v>3</v>
      </c>
      <c r="D169" s="36" t="s">
        <v>49</v>
      </c>
      <c r="E169" s="36" t="s">
        <v>5</v>
      </c>
      <c r="F169" s="36" t="s">
        <v>6</v>
      </c>
      <c r="G169" s="36" t="s">
        <v>7</v>
      </c>
      <c r="H169" s="36" t="s">
        <v>8</v>
      </c>
      <c r="I169" s="36" t="s">
        <v>9</v>
      </c>
      <c r="J169" s="36" t="s">
        <v>10</v>
      </c>
    </row>
    <row r="170" spans="1:10">
      <c r="A170" s="13" t="s">
        <v>70</v>
      </c>
      <c r="B170" s="10" t="s">
        <v>21</v>
      </c>
      <c r="C170" s="35">
        <v>2</v>
      </c>
      <c r="D170" s="35">
        <v>95.2</v>
      </c>
      <c r="E170" s="35">
        <f t="shared" ref="E170:E196" si="36">D170/100</f>
        <v>0.95200000000000007</v>
      </c>
      <c r="F170" s="35">
        <f t="shared" ref="F170:F196" si="37">((3.142*(E170)^2/4))</f>
        <v>0.71190179200000003</v>
      </c>
      <c r="G170" s="35">
        <f t="shared" ref="G170:G196" si="38">(F170/15.45)*100</f>
        <v>4.6077785889967648</v>
      </c>
      <c r="H170" s="35">
        <f t="shared" ref="H170:H196" si="39">C170/74</f>
        <v>2.7027027027027029E-2</v>
      </c>
      <c r="I170" s="35">
        <f t="shared" ref="I170:I196" si="40">LN(H170)</f>
        <v>-3.6109179126442243</v>
      </c>
      <c r="J170" s="35">
        <f t="shared" ref="J170:J196" si="41">H170*I170</f>
        <v>-9.759237601741147E-2</v>
      </c>
    </row>
    <row r="171" spans="1:10">
      <c r="A171" s="13" t="s">
        <v>96</v>
      </c>
      <c r="B171" s="10" t="s">
        <v>97</v>
      </c>
      <c r="C171" s="35">
        <v>1</v>
      </c>
      <c r="D171" s="35">
        <v>10.199999999999999</v>
      </c>
      <c r="E171" s="35">
        <f t="shared" si="36"/>
        <v>0.10199999999999999</v>
      </c>
      <c r="F171" s="35">
        <f t="shared" si="37"/>
        <v>8.1723419999999991E-3</v>
      </c>
      <c r="G171" s="35">
        <f t="shared" si="38"/>
        <v>5.2895417475728158E-2</v>
      </c>
      <c r="H171" s="35">
        <f t="shared" si="39"/>
        <v>1.3513513513513514E-2</v>
      </c>
      <c r="I171" s="35">
        <f t="shared" si="40"/>
        <v>-4.3040650932041693</v>
      </c>
      <c r="J171" s="35">
        <f t="shared" si="41"/>
        <v>-5.8163041800056346E-2</v>
      </c>
    </row>
    <row r="172" spans="1:10">
      <c r="A172" s="13" t="s">
        <v>14</v>
      </c>
      <c r="B172" s="10" t="s">
        <v>15</v>
      </c>
      <c r="C172" s="35">
        <v>1</v>
      </c>
      <c r="D172" s="35">
        <v>24</v>
      </c>
      <c r="E172" s="35">
        <f t="shared" si="36"/>
        <v>0.24</v>
      </c>
      <c r="F172" s="35">
        <f t="shared" si="37"/>
        <v>4.5244799999999995E-2</v>
      </c>
      <c r="G172" s="35">
        <f t="shared" si="38"/>
        <v>0.29284660194174755</v>
      </c>
      <c r="H172" s="35">
        <f t="shared" si="39"/>
        <v>1.3513513513513514E-2</v>
      </c>
      <c r="I172" s="35">
        <f t="shared" si="40"/>
        <v>-4.3040650932041693</v>
      </c>
      <c r="J172" s="35">
        <f t="shared" si="41"/>
        <v>-5.8163041800056346E-2</v>
      </c>
    </row>
    <row r="173" spans="1:10">
      <c r="A173" s="13" t="s">
        <v>163</v>
      </c>
      <c r="B173" s="10" t="s">
        <v>227</v>
      </c>
      <c r="C173" s="35">
        <v>1</v>
      </c>
      <c r="D173" s="35">
        <v>28.9</v>
      </c>
      <c r="E173" s="35">
        <f t="shared" si="36"/>
        <v>0.28899999999999998</v>
      </c>
      <c r="F173" s="35">
        <f t="shared" si="37"/>
        <v>6.5605745499999979E-2</v>
      </c>
      <c r="G173" s="35">
        <f t="shared" si="38"/>
        <v>0.42463265695792862</v>
      </c>
      <c r="H173" s="35">
        <f t="shared" si="39"/>
        <v>1.3513513513513514E-2</v>
      </c>
      <c r="I173" s="35">
        <f t="shared" si="40"/>
        <v>-4.3040650932041693</v>
      </c>
      <c r="J173" s="35">
        <f t="shared" si="41"/>
        <v>-5.8163041800056346E-2</v>
      </c>
    </row>
    <row r="174" spans="1:10">
      <c r="A174" s="13" t="s">
        <v>129</v>
      </c>
      <c r="B174" s="10" t="s">
        <v>99</v>
      </c>
      <c r="C174" s="35">
        <v>3</v>
      </c>
      <c r="D174" s="35">
        <v>123.2</v>
      </c>
      <c r="E174" s="35">
        <f t="shared" si="36"/>
        <v>1.232</v>
      </c>
      <c r="F174" s="35">
        <f t="shared" si="37"/>
        <v>1.1922507520000001</v>
      </c>
      <c r="G174" s="35">
        <f t="shared" si="38"/>
        <v>7.7168333462783174</v>
      </c>
      <c r="H174" s="35">
        <f t="shared" si="39"/>
        <v>4.0540540540540543E-2</v>
      </c>
      <c r="I174" s="35">
        <f t="shared" si="40"/>
        <v>-3.2054528045360602</v>
      </c>
      <c r="J174" s="35">
        <f t="shared" si="41"/>
        <v>-0.12995078937308352</v>
      </c>
    </row>
    <row r="175" spans="1:10">
      <c r="A175" s="13" t="s">
        <v>35</v>
      </c>
      <c r="B175" s="10" t="s">
        <v>36</v>
      </c>
      <c r="C175" s="35">
        <v>6</v>
      </c>
      <c r="D175" s="35">
        <v>93.3</v>
      </c>
      <c r="E175" s="35">
        <f t="shared" si="36"/>
        <v>0.93299999999999994</v>
      </c>
      <c r="F175" s="35">
        <f t="shared" si="37"/>
        <v>0.68376910949999981</v>
      </c>
      <c r="G175" s="35">
        <f t="shared" si="38"/>
        <v>4.4256900291262129</v>
      </c>
      <c r="H175" s="35">
        <f t="shared" si="39"/>
        <v>8.1081081081081086E-2</v>
      </c>
      <c r="I175" s="35">
        <f t="shared" si="40"/>
        <v>-2.5123056239761148</v>
      </c>
      <c r="J175" s="35">
        <f t="shared" si="41"/>
        <v>-0.20370045599806338</v>
      </c>
    </row>
    <row r="176" spans="1:10">
      <c r="A176" s="13" t="s">
        <v>37</v>
      </c>
      <c r="B176" s="10" t="s">
        <v>31</v>
      </c>
      <c r="C176" s="35">
        <v>14</v>
      </c>
      <c r="D176" s="35">
        <v>227.7</v>
      </c>
      <c r="E176" s="35">
        <f t="shared" si="36"/>
        <v>2.2769999999999997</v>
      </c>
      <c r="F176" s="35">
        <f t="shared" si="37"/>
        <v>4.0726046294999989</v>
      </c>
      <c r="G176" s="35">
        <f t="shared" si="38"/>
        <v>26.359900514563101</v>
      </c>
      <c r="H176" s="35">
        <f t="shared" si="39"/>
        <v>0.1891891891891892</v>
      </c>
      <c r="I176" s="35">
        <f t="shared" si="40"/>
        <v>-1.6650077635889111</v>
      </c>
      <c r="J176" s="35">
        <f t="shared" si="41"/>
        <v>-0.31500146878709129</v>
      </c>
    </row>
    <row r="177" spans="1:10">
      <c r="A177" s="13" t="s">
        <v>187</v>
      </c>
      <c r="B177" s="10" t="s">
        <v>31</v>
      </c>
      <c r="C177" s="35">
        <v>3</v>
      </c>
      <c r="D177" s="35">
        <v>32</v>
      </c>
      <c r="E177" s="35">
        <f t="shared" si="36"/>
        <v>0.32</v>
      </c>
      <c r="F177" s="35">
        <f t="shared" si="37"/>
        <v>8.0435199999999998E-2</v>
      </c>
      <c r="G177" s="35">
        <f t="shared" si="38"/>
        <v>0.52061618122977349</v>
      </c>
      <c r="H177" s="35">
        <f t="shared" si="39"/>
        <v>4.0540540540540543E-2</v>
      </c>
      <c r="I177" s="35">
        <f t="shared" si="40"/>
        <v>-3.2054528045360602</v>
      </c>
      <c r="J177" s="35">
        <f t="shared" si="41"/>
        <v>-0.12995078937308352</v>
      </c>
    </row>
    <row r="178" spans="1:10">
      <c r="A178" s="13" t="s">
        <v>110</v>
      </c>
      <c r="B178" s="10" t="s">
        <v>109</v>
      </c>
      <c r="C178" s="35">
        <v>1</v>
      </c>
      <c r="D178" s="35">
        <v>14.2</v>
      </c>
      <c r="E178" s="35">
        <f t="shared" si="36"/>
        <v>0.14199999999999999</v>
      </c>
      <c r="F178" s="35">
        <f t="shared" si="37"/>
        <v>1.5838821999999999E-2</v>
      </c>
      <c r="G178" s="35">
        <f t="shared" si="38"/>
        <v>0.10251664724919093</v>
      </c>
      <c r="H178" s="35">
        <f t="shared" si="39"/>
        <v>1.3513513513513514E-2</v>
      </c>
      <c r="I178" s="35">
        <f t="shared" si="40"/>
        <v>-4.3040650932041693</v>
      </c>
      <c r="J178" s="35">
        <f t="shared" si="41"/>
        <v>-5.8163041800056346E-2</v>
      </c>
    </row>
    <row r="179" spans="1:10">
      <c r="A179" s="13" t="s">
        <v>237</v>
      </c>
      <c r="B179" s="10" t="s">
        <v>41</v>
      </c>
      <c r="C179" s="35">
        <v>1</v>
      </c>
      <c r="D179" s="35">
        <v>14.1</v>
      </c>
      <c r="E179" s="35">
        <f t="shared" si="36"/>
        <v>0.14099999999999999</v>
      </c>
      <c r="F179" s="35">
        <f t="shared" si="37"/>
        <v>1.5616525499999997E-2</v>
      </c>
      <c r="G179" s="35">
        <f t="shared" si="38"/>
        <v>0.10107783495145631</v>
      </c>
      <c r="H179" s="35">
        <f t="shared" si="39"/>
        <v>1.3513513513513514E-2</v>
      </c>
      <c r="I179" s="35">
        <f t="shared" si="40"/>
        <v>-4.3040650932041693</v>
      </c>
      <c r="J179" s="35">
        <f t="shared" si="41"/>
        <v>-5.8163041800056346E-2</v>
      </c>
    </row>
    <row r="180" spans="1:10">
      <c r="A180" s="13" t="s">
        <v>168</v>
      </c>
      <c r="B180" s="10" t="s">
        <v>24</v>
      </c>
      <c r="C180" s="35">
        <v>2</v>
      </c>
      <c r="D180" s="35">
        <v>24.6</v>
      </c>
      <c r="E180" s="35">
        <f t="shared" si="36"/>
        <v>0.24600000000000002</v>
      </c>
      <c r="F180" s="35">
        <f t="shared" si="37"/>
        <v>4.7535318000000007E-2</v>
      </c>
      <c r="G180" s="35">
        <f t="shared" si="38"/>
        <v>0.30767196116504864</v>
      </c>
      <c r="H180" s="35">
        <f t="shared" si="39"/>
        <v>2.7027027027027029E-2</v>
      </c>
      <c r="I180" s="35">
        <f t="shared" si="40"/>
        <v>-3.6109179126442243</v>
      </c>
      <c r="J180" s="35">
        <f t="shared" si="41"/>
        <v>-9.759237601741147E-2</v>
      </c>
    </row>
    <row r="181" spans="1:10">
      <c r="A181" s="13" t="s">
        <v>238</v>
      </c>
      <c r="B181" s="10"/>
      <c r="C181" s="35">
        <v>1</v>
      </c>
      <c r="D181" s="35">
        <v>13.6</v>
      </c>
      <c r="E181" s="35">
        <f t="shared" si="36"/>
        <v>0.13600000000000001</v>
      </c>
      <c r="F181" s="35">
        <f t="shared" si="37"/>
        <v>1.4528608000000002E-2</v>
      </c>
      <c r="G181" s="35">
        <f t="shared" si="38"/>
        <v>9.4036297734627849E-2</v>
      </c>
      <c r="H181" s="35">
        <f t="shared" si="39"/>
        <v>1.3513513513513514E-2</v>
      </c>
      <c r="I181" s="35">
        <f t="shared" si="40"/>
        <v>-4.3040650932041693</v>
      </c>
      <c r="J181" s="35">
        <f t="shared" si="41"/>
        <v>-5.8163041800056346E-2</v>
      </c>
    </row>
    <row r="182" spans="1:10">
      <c r="A182" s="13" t="s">
        <v>26</v>
      </c>
      <c r="B182" s="10" t="s">
        <v>15</v>
      </c>
      <c r="C182" s="35">
        <v>1</v>
      </c>
      <c r="D182" s="35">
        <v>10.7</v>
      </c>
      <c r="E182" s="35">
        <f t="shared" si="36"/>
        <v>0.107</v>
      </c>
      <c r="F182" s="35">
        <f t="shared" si="37"/>
        <v>8.9931894999999984E-3</v>
      </c>
      <c r="G182" s="35">
        <f t="shared" si="38"/>
        <v>5.8208346278317141E-2</v>
      </c>
      <c r="H182" s="35">
        <f t="shared" si="39"/>
        <v>1.3513513513513514E-2</v>
      </c>
      <c r="I182" s="35">
        <f t="shared" si="40"/>
        <v>-4.3040650932041693</v>
      </c>
      <c r="J182" s="35">
        <f t="shared" si="41"/>
        <v>-5.8163041800056346E-2</v>
      </c>
    </row>
    <row r="183" spans="1:10">
      <c r="A183" s="13" t="s">
        <v>218</v>
      </c>
      <c r="B183" s="10" t="s">
        <v>72</v>
      </c>
      <c r="C183" s="35">
        <v>1</v>
      </c>
      <c r="D183" s="35">
        <v>10.3</v>
      </c>
      <c r="E183" s="35">
        <f t="shared" si="36"/>
        <v>0.10300000000000001</v>
      </c>
      <c r="F183" s="35">
        <f t="shared" si="37"/>
        <v>8.3333695000000017E-3</v>
      </c>
      <c r="G183" s="35">
        <f t="shared" si="38"/>
        <v>5.3937666666666682E-2</v>
      </c>
      <c r="H183" s="35">
        <f t="shared" si="39"/>
        <v>1.3513513513513514E-2</v>
      </c>
      <c r="I183" s="35">
        <f t="shared" si="40"/>
        <v>-4.3040650932041693</v>
      </c>
      <c r="J183" s="35">
        <f t="shared" si="41"/>
        <v>-5.8163041800056346E-2</v>
      </c>
    </row>
    <row r="184" spans="1:10">
      <c r="A184" s="13" t="s">
        <v>239</v>
      </c>
      <c r="B184" s="10" t="s">
        <v>31</v>
      </c>
      <c r="C184" s="35">
        <v>1</v>
      </c>
      <c r="D184" s="35">
        <v>10</v>
      </c>
      <c r="E184" s="35">
        <f t="shared" si="36"/>
        <v>0.1</v>
      </c>
      <c r="F184" s="35">
        <f t="shared" si="37"/>
        <v>7.8550000000000009E-3</v>
      </c>
      <c r="G184" s="35">
        <f t="shared" si="38"/>
        <v>5.0841423948220069E-2</v>
      </c>
      <c r="H184" s="35">
        <f t="shared" si="39"/>
        <v>1.3513513513513514E-2</v>
      </c>
      <c r="I184" s="35">
        <f t="shared" si="40"/>
        <v>-4.3040650932041693</v>
      </c>
      <c r="J184" s="35">
        <f t="shared" si="41"/>
        <v>-5.8163041800056346E-2</v>
      </c>
    </row>
    <row r="185" spans="1:10">
      <c r="A185" s="13" t="s">
        <v>27</v>
      </c>
      <c r="B185" s="10" t="s">
        <v>46</v>
      </c>
      <c r="C185" s="35">
        <v>1</v>
      </c>
      <c r="D185" s="35">
        <v>10.3</v>
      </c>
      <c r="E185" s="35">
        <f t="shared" si="36"/>
        <v>0.10300000000000001</v>
      </c>
      <c r="F185" s="35">
        <f t="shared" si="37"/>
        <v>8.3333695000000017E-3</v>
      </c>
      <c r="G185" s="35">
        <f t="shared" si="38"/>
        <v>5.3937666666666682E-2</v>
      </c>
      <c r="H185" s="35">
        <f t="shared" si="39"/>
        <v>1.3513513513513514E-2</v>
      </c>
      <c r="I185" s="35">
        <f t="shared" si="40"/>
        <v>-4.3040650932041693</v>
      </c>
      <c r="J185" s="35">
        <f t="shared" si="41"/>
        <v>-5.8163041800056346E-2</v>
      </c>
    </row>
    <row r="186" spans="1:10">
      <c r="A186" s="13" t="s">
        <v>196</v>
      </c>
      <c r="B186" s="10" t="s">
        <v>123</v>
      </c>
      <c r="C186" s="35">
        <v>1</v>
      </c>
      <c r="D186" s="35">
        <v>12</v>
      </c>
      <c r="E186" s="35">
        <f t="shared" si="36"/>
        <v>0.12</v>
      </c>
      <c r="F186" s="35">
        <f t="shared" si="37"/>
        <v>1.1311199999999999E-2</v>
      </c>
      <c r="G186" s="35">
        <f t="shared" si="38"/>
        <v>7.3211650485436888E-2</v>
      </c>
      <c r="H186" s="35">
        <f t="shared" si="39"/>
        <v>1.3513513513513514E-2</v>
      </c>
      <c r="I186" s="35">
        <f t="shared" si="40"/>
        <v>-4.3040650932041693</v>
      </c>
      <c r="J186" s="35">
        <f t="shared" si="41"/>
        <v>-5.8163041800056346E-2</v>
      </c>
    </row>
    <row r="187" spans="1:10">
      <c r="A187" s="13" t="s">
        <v>135</v>
      </c>
      <c r="B187" s="10" t="s">
        <v>21</v>
      </c>
      <c r="C187" s="35">
        <v>4</v>
      </c>
      <c r="D187" s="35">
        <v>68.099999999999994</v>
      </c>
      <c r="E187" s="35">
        <f t="shared" si="36"/>
        <v>0.68099999999999994</v>
      </c>
      <c r="F187" s="35">
        <f t="shared" si="37"/>
        <v>0.36428426549999993</v>
      </c>
      <c r="G187" s="35">
        <f t="shared" si="38"/>
        <v>2.3578269611650482</v>
      </c>
      <c r="H187" s="35">
        <f t="shared" si="39"/>
        <v>5.4054054054054057E-2</v>
      </c>
      <c r="I187" s="35">
        <f t="shared" si="40"/>
        <v>-2.917770732084279</v>
      </c>
      <c r="J187" s="35">
        <f t="shared" si="41"/>
        <v>-0.15771733686942049</v>
      </c>
    </row>
    <row r="188" spans="1:10">
      <c r="A188" s="13" t="s">
        <v>198</v>
      </c>
      <c r="B188" s="10" t="s">
        <v>31</v>
      </c>
      <c r="C188" s="35">
        <v>13</v>
      </c>
      <c r="D188" s="35">
        <v>156</v>
      </c>
      <c r="E188" s="35">
        <f t="shared" si="36"/>
        <v>1.56</v>
      </c>
      <c r="F188" s="35">
        <f t="shared" si="37"/>
        <v>1.9115928000000002</v>
      </c>
      <c r="G188" s="35">
        <f t="shared" si="38"/>
        <v>12.372768932038838</v>
      </c>
      <c r="H188" s="35">
        <f t="shared" si="39"/>
        <v>0.17567567567567569</v>
      </c>
      <c r="I188" s="35">
        <f t="shared" si="40"/>
        <v>-1.739115735742633</v>
      </c>
      <c r="J188" s="35">
        <f t="shared" si="41"/>
        <v>-0.30552033195478689</v>
      </c>
    </row>
    <row r="189" spans="1:10">
      <c r="A189" s="13" t="s">
        <v>44</v>
      </c>
      <c r="B189" s="10" t="s">
        <v>45</v>
      </c>
      <c r="C189" s="35">
        <v>5</v>
      </c>
      <c r="D189" s="35">
        <v>236.5</v>
      </c>
      <c r="E189" s="35">
        <f t="shared" si="36"/>
        <v>2.3650000000000002</v>
      </c>
      <c r="F189" s="35">
        <f t="shared" si="37"/>
        <v>4.393478237500001</v>
      </c>
      <c r="G189" s="35">
        <f t="shared" si="38"/>
        <v>28.436752346278325</v>
      </c>
      <c r="H189" s="35">
        <f t="shared" si="39"/>
        <v>6.7567567567567571E-2</v>
      </c>
      <c r="I189" s="35">
        <f t="shared" si="40"/>
        <v>-2.6946271807700692</v>
      </c>
      <c r="J189" s="35">
        <f t="shared" si="41"/>
        <v>-0.18206940410608577</v>
      </c>
    </row>
    <row r="190" spans="1:10">
      <c r="A190" s="13" t="s">
        <v>120</v>
      </c>
      <c r="B190" s="10" t="s">
        <v>31</v>
      </c>
      <c r="C190" s="35">
        <v>1</v>
      </c>
      <c r="D190" s="35">
        <v>50.8</v>
      </c>
      <c r="E190" s="35">
        <f t="shared" si="36"/>
        <v>0.50800000000000001</v>
      </c>
      <c r="F190" s="35">
        <f t="shared" si="37"/>
        <v>0.202709272</v>
      </c>
      <c r="G190" s="35">
        <f t="shared" si="38"/>
        <v>1.3120341229773462</v>
      </c>
      <c r="H190" s="35">
        <f t="shared" si="39"/>
        <v>1.3513513513513514E-2</v>
      </c>
      <c r="I190" s="35">
        <f t="shared" si="40"/>
        <v>-4.3040650932041693</v>
      </c>
      <c r="J190" s="35">
        <f t="shared" si="41"/>
        <v>-5.8163041800056346E-2</v>
      </c>
    </row>
    <row r="191" spans="1:10">
      <c r="A191" s="13" t="s">
        <v>121</v>
      </c>
      <c r="B191" s="10" t="s">
        <v>31</v>
      </c>
      <c r="C191" s="35">
        <v>1</v>
      </c>
      <c r="D191" s="35">
        <v>60</v>
      </c>
      <c r="E191" s="35">
        <f t="shared" si="36"/>
        <v>0.6</v>
      </c>
      <c r="F191" s="35">
        <f t="shared" si="37"/>
        <v>0.28277999999999998</v>
      </c>
      <c r="G191" s="35">
        <f t="shared" si="38"/>
        <v>1.8302912621359222</v>
      </c>
      <c r="H191" s="35">
        <f t="shared" si="39"/>
        <v>1.3513513513513514E-2</v>
      </c>
      <c r="I191" s="35">
        <f t="shared" si="40"/>
        <v>-4.3040650932041693</v>
      </c>
      <c r="J191" s="35">
        <f t="shared" si="41"/>
        <v>-5.8163041800056346E-2</v>
      </c>
    </row>
    <row r="192" spans="1:10">
      <c r="A192" s="13" t="s">
        <v>62</v>
      </c>
      <c r="B192" s="10" t="s">
        <v>31</v>
      </c>
      <c r="C192" s="35">
        <v>3</v>
      </c>
      <c r="D192" s="35">
        <v>35.700000000000003</v>
      </c>
      <c r="E192" s="35">
        <f t="shared" si="36"/>
        <v>0.35700000000000004</v>
      </c>
      <c r="F192" s="35">
        <f t="shared" si="37"/>
        <v>0.10011118950000003</v>
      </c>
      <c r="G192" s="35">
        <f t="shared" si="38"/>
        <v>0.64796886407767018</v>
      </c>
      <c r="H192" s="35">
        <f t="shared" si="39"/>
        <v>4.0540540540540543E-2</v>
      </c>
      <c r="I192" s="35">
        <f t="shared" si="40"/>
        <v>-3.2054528045360602</v>
      </c>
      <c r="J192" s="35">
        <f t="shared" si="41"/>
        <v>-0.12995078937308352</v>
      </c>
    </row>
    <row r="193" spans="1:10">
      <c r="A193" s="13" t="s">
        <v>124</v>
      </c>
      <c r="B193" s="10" t="s">
        <v>137</v>
      </c>
      <c r="C193" s="35">
        <v>1</v>
      </c>
      <c r="D193" s="35">
        <v>58.8</v>
      </c>
      <c r="E193" s="35">
        <f t="shared" si="36"/>
        <v>0.58799999999999997</v>
      </c>
      <c r="F193" s="35">
        <f t="shared" si="37"/>
        <v>0.27158191199999993</v>
      </c>
      <c r="G193" s="35">
        <f t="shared" si="38"/>
        <v>1.7578117281553391</v>
      </c>
      <c r="H193" s="35">
        <f t="shared" si="39"/>
        <v>1.3513513513513514E-2</v>
      </c>
      <c r="I193" s="35">
        <f t="shared" si="40"/>
        <v>-4.3040650932041693</v>
      </c>
      <c r="J193" s="35">
        <f t="shared" si="41"/>
        <v>-5.8163041800056346E-2</v>
      </c>
    </row>
    <row r="194" spans="1:10">
      <c r="A194" s="13" t="s">
        <v>240</v>
      </c>
      <c r="B194" s="10" t="s">
        <v>41</v>
      </c>
      <c r="C194" s="35">
        <v>2</v>
      </c>
      <c r="D194" s="35">
        <v>41.3</v>
      </c>
      <c r="E194" s="35">
        <f t="shared" si="36"/>
        <v>0.41299999999999998</v>
      </c>
      <c r="F194" s="35">
        <f t="shared" si="37"/>
        <v>0.13398194949999997</v>
      </c>
      <c r="G194" s="35">
        <f t="shared" si="38"/>
        <v>0.86719708414239471</v>
      </c>
      <c r="H194" s="35">
        <f t="shared" si="39"/>
        <v>2.7027027027027029E-2</v>
      </c>
      <c r="I194" s="35">
        <f t="shared" si="40"/>
        <v>-3.6109179126442243</v>
      </c>
      <c r="J194" s="35">
        <f t="shared" si="41"/>
        <v>-9.759237601741147E-2</v>
      </c>
    </row>
    <row r="195" spans="1:10">
      <c r="A195" s="13" t="s">
        <v>29</v>
      </c>
      <c r="B195" s="10" t="s">
        <v>15</v>
      </c>
      <c r="C195" s="35">
        <v>2</v>
      </c>
      <c r="D195" s="35">
        <v>31</v>
      </c>
      <c r="E195" s="35">
        <f t="shared" si="36"/>
        <v>0.31</v>
      </c>
      <c r="F195" s="35">
        <f t="shared" si="37"/>
        <v>7.5486549999999999E-2</v>
      </c>
      <c r="G195" s="35">
        <f t="shared" si="38"/>
        <v>0.48858608414239485</v>
      </c>
      <c r="H195" s="35">
        <f t="shared" si="39"/>
        <v>2.7027027027027029E-2</v>
      </c>
      <c r="I195" s="35">
        <f t="shared" si="40"/>
        <v>-3.6109179126442243</v>
      </c>
      <c r="J195" s="35">
        <f t="shared" si="41"/>
        <v>-9.759237601741147E-2</v>
      </c>
    </row>
    <row r="196" spans="1:10">
      <c r="A196" s="13" t="s">
        <v>30</v>
      </c>
      <c r="B196" s="10" t="s">
        <v>31</v>
      </c>
      <c r="C196" s="35">
        <v>1</v>
      </c>
      <c r="D196" s="35">
        <v>95.5</v>
      </c>
      <c r="E196" s="35">
        <f t="shared" si="36"/>
        <v>0.95499999999999996</v>
      </c>
      <c r="F196" s="35">
        <f t="shared" si="37"/>
        <v>0.7163956374999999</v>
      </c>
      <c r="G196" s="35">
        <f t="shared" si="38"/>
        <v>4.63686496763754</v>
      </c>
      <c r="H196" s="35">
        <f t="shared" si="39"/>
        <v>1.3513513513513514E-2</v>
      </c>
      <c r="I196" s="35">
        <f t="shared" si="40"/>
        <v>-4.3040650932041693</v>
      </c>
      <c r="J196" s="35">
        <f t="shared" si="41"/>
        <v>-5.8163041800056346E-2</v>
      </c>
    </row>
    <row r="197" spans="1:10">
      <c r="A197" s="13"/>
      <c r="B197" s="10"/>
      <c r="C197" s="35">
        <v>74</v>
      </c>
      <c r="D197" s="35"/>
      <c r="E197" s="35"/>
      <c r="F197" s="35">
        <v>15.45</v>
      </c>
      <c r="G197" s="35"/>
      <c r="H197" s="35"/>
      <c r="I197" s="35" t="s">
        <v>32</v>
      </c>
      <c r="J197" s="35">
        <v>2.82</v>
      </c>
    </row>
    <row r="198" spans="1:10">
      <c r="A198" s="13"/>
      <c r="B198" s="10" t="s">
        <v>241</v>
      </c>
      <c r="C198" s="35"/>
      <c r="D198" s="35"/>
      <c r="E198" s="35"/>
      <c r="F198" s="35"/>
      <c r="G198" s="35"/>
      <c r="H198" s="35"/>
      <c r="I198" s="35" t="s">
        <v>33</v>
      </c>
      <c r="J198" s="35">
        <f>2.82/LN(74)</f>
        <v>0.65519455187901099</v>
      </c>
    </row>
    <row r="199" spans="1:10">
      <c r="A199" s="12" t="s">
        <v>1</v>
      </c>
      <c r="B199" s="12" t="s">
        <v>2</v>
      </c>
      <c r="C199" s="36" t="s">
        <v>3</v>
      </c>
      <c r="D199" s="36" t="s">
        <v>49</v>
      </c>
      <c r="E199" s="36" t="s">
        <v>5</v>
      </c>
      <c r="F199" s="36" t="s">
        <v>6</v>
      </c>
      <c r="G199" s="36" t="s">
        <v>7</v>
      </c>
      <c r="H199" s="36" t="s">
        <v>8</v>
      </c>
      <c r="I199" s="36" t="s">
        <v>9</v>
      </c>
      <c r="J199" s="36" t="s">
        <v>10</v>
      </c>
    </row>
    <row r="200" spans="1:10">
      <c r="A200" s="13" t="s">
        <v>13</v>
      </c>
      <c r="B200" s="10" t="s">
        <v>159</v>
      </c>
      <c r="C200" s="35">
        <v>1</v>
      </c>
      <c r="D200" s="35">
        <v>54.7</v>
      </c>
      <c r="E200" s="35">
        <f t="shared" ref="E200:E229" si="42">D200/100</f>
        <v>0.54700000000000004</v>
      </c>
      <c r="F200" s="35">
        <f t="shared" ref="F200:F229" si="43">((3.142*(E200)^2/4))</f>
        <v>0.23502866950000004</v>
      </c>
      <c r="G200" s="35">
        <f t="shared" ref="G200:G229" si="44">(F200/15.01)*100</f>
        <v>1.5658139207195207</v>
      </c>
      <c r="H200" s="35">
        <f t="shared" ref="H200:H229" si="45">C200/69</f>
        <v>1.4492753623188406E-2</v>
      </c>
      <c r="I200" s="35">
        <f t="shared" ref="I200:I229" si="46">LN(H200)</f>
        <v>-4.2341065045972597</v>
      </c>
      <c r="J200" s="35">
        <f t="shared" ref="J200:J229" si="47">H200*I200</f>
        <v>-6.1363862385467531E-2</v>
      </c>
    </row>
    <row r="201" spans="1:10">
      <c r="A201" s="13" t="s">
        <v>96</v>
      </c>
      <c r="B201" s="10" t="s">
        <v>12</v>
      </c>
      <c r="C201" s="35">
        <v>1</v>
      </c>
      <c r="D201" s="35">
        <v>18.3</v>
      </c>
      <c r="E201" s="35">
        <f t="shared" si="42"/>
        <v>0.183</v>
      </c>
      <c r="F201" s="35">
        <f t="shared" si="43"/>
        <v>2.6305609499999997E-2</v>
      </c>
      <c r="G201" s="35">
        <f t="shared" si="44"/>
        <v>0.17525389407061959</v>
      </c>
      <c r="H201" s="35">
        <f t="shared" si="45"/>
        <v>1.4492753623188406E-2</v>
      </c>
      <c r="I201" s="35">
        <f t="shared" si="46"/>
        <v>-4.2341065045972597</v>
      </c>
      <c r="J201" s="35">
        <f t="shared" si="47"/>
        <v>-6.1363862385467531E-2</v>
      </c>
    </row>
    <row r="202" spans="1:10">
      <c r="A202" s="13" t="s">
        <v>242</v>
      </c>
      <c r="B202" s="10" t="s">
        <v>15</v>
      </c>
      <c r="C202" s="35">
        <v>1</v>
      </c>
      <c r="D202" s="35">
        <v>10.1</v>
      </c>
      <c r="E202" s="35">
        <f t="shared" si="42"/>
        <v>0.10099999999999999</v>
      </c>
      <c r="F202" s="35">
        <f t="shared" si="43"/>
        <v>8.0128854999999988E-3</v>
      </c>
      <c r="G202" s="35">
        <f t="shared" si="44"/>
        <v>5.3383647568287805E-2</v>
      </c>
      <c r="H202" s="35">
        <f t="shared" si="45"/>
        <v>1.4492753623188406E-2</v>
      </c>
      <c r="I202" s="35">
        <f t="shared" si="46"/>
        <v>-4.2341065045972597</v>
      </c>
      <c r="J202" s="35">
        <f t="shared" si="47"/>
        <v>-6.1363862385467531E-2</v>
      </c>
    </row>
    <row r="203" spans="1:10">
      <c r="A203" s="13" t="s">
        <v>163</v>
      </c>
      <c r="B203" s="10" t="s">
        <v>12</v>
      </c>
      <c r="C203" s="35">
        <v>1</v>
      </c>
      <c r="D203" s="35">
        <v>10</v>
      </c>
      <c r="E203" s="35">
        <f t="shared" si="42"/>
        <v>0.1</v>
      </c>
      <c r="F203" s="35">
        <f t="shared" si="43"/>
        <v>7.8550000000000009E-3</v>
      </c>
      <c r="G203" s="35">
        <f t="shared" si="44"/>
        <v>5.2331778814123923E-2</v>
      </c>
      <c r="H203" s="35">
        <f t="shared" si="45"/>
        <v>1.4492753623188406E-2</v>
      </c>
      <c r="I203" s="35">
        <f t="shared" si="46"/>
        <v>-4.2341065045972597</v>
      </c>
      <c r="J203" s="35">
        <f t="shared" si="47"/>
        <v>-6.1363862385467531E-2</v>
      </c>
    </row>
    <row r="204" spans="1:10">
      <c r="A204" s="13" t="s">
        <v>243</v>
      </c>
      <c r="B204" s="10" t="s">
        <v>12</v>
      </c>
      <c r="C204" s="35">
        <v>3</v>
      </c>
      <c r="D204" s="35">
        <v>54.2</v>
      </c>
      <c r="E204" s="35">
        <f t="shared" si="42"/>
        <v>0.54200000000000004</v>
      </c>
      <c r="F204" s="35">
        <f t="shared" si="43"/>
        <v>0.23075162200000002</v>
      </c>
      <c r="G204" s="35">
        <f t="shared" si="44"/>
        <v>1.53731926715523</v>
      </c>
      <c r="H204" s="35">
        <f t="shared" si="45"/>
        <v>4.3478260869565216E-2</v>
      </c>
      <c r="I204" s="35">
        <f t="shared" si="46"/>
        <v>-3.1354942159291497</v>
      </c>
      <c r="J204" s="35">
        <f t="shared" si="47"/>
        <v>-0.13632583547518043</v>
      </c>
    </row>
    <row r="205" spans="1:10">
      <c r="A205" s="13" t="s">
        <v>129</v>
      </c>
      <c r="B205" s="10" t="s">
        <v>99</v>
      </c>
      <c r="C205" s="35">
        <v>3</v>
      </c>
      <c r="D205" s="35">
        <v>223.9</v>
      </c>
      <c r="E205" s="35">
        <f t="shared" si="42"/>
        <v>2.2389999999999999</v>
      </c>
      <c r="F205" s="35">
        <f t="shared" si="43"/>
        <v>3.9378065454999991</v>
      </c>
      <c r="G205" s="35">
        <f t="shared" si="44"/>
        <v>26.234553934043962</v>
      </c>
      <c r="H205" s="35">
        <f t="shared" si="45"/>
        <v>4.3478260869565216E-2</v>
      </c>
      <c r="I205" s="35">
        <f t="shared" si="46"/>
        <v>-3.1354942159291497</v>
      </c>
      <c r="J205" s="35">
        <f t="shared" si="47"/>
        <v>-0.13632583547518043</v>
      </c>
    </row>
    <row r="206" spans="1:10">
      <c r="A206" s="13" t="s">
        <v>244</v>
      </c>
      <c r="B206" s="10" t="s">
        <v>245</v>
      </c>
      <c r="C206" s="35">
        <v>1</v>
      </c>
      <c r="D206" s="35">
        <v>11.6</v>
      </c>
      <c r="E206" s="35">
        <f t="shared" si="42"/>
        <v>0.11599999999999999</v>
      </c>
      <c r="F206" s="35">
        <f t="shared" si="43"/>
        <v>1.0569687999999997E-2</v>
      </c>
      <c r="G206" s="35">
        <f t="shared" si="44"/>
        <v>7.0417641572285125E-2</v>
      </c>
      <c r="H206" s="35">
        <f t="shared" si="45"/>
        <v>1.4492753623188406E-2</v>
      </c>
      <c r="I206" s="35">
        <f t="shared" si="46"/>
        <v>-4.2341065045972597</v>
      </c>
      <c r="J206" s="35">
        <f t="shared" si="47"/>
        <v>-6.1363862385467531E-2</v>
      </c>
    </row>
    <row r="207" spans="1:10">
      <c r="A207" s="13" t="s">
        <v>100</v>
      </c>
      <c r="B207" s="10" t="s">
        <v>36</v>
      </c>
      <c r="C207" s="35">
        <v>6</v>
      </c>
      <c r="D207" s="35">
        <v>76.5</v>
      </c>
      <c r="E207" s="35">
        <f t="shared" si="42"/>
        <v>0.76500000000000001</v>
      </c>
      <c r="F207" s="35">
        <f t="shared" si="43"/>
        <v>0.45969423749999999</v>
      </c>
      <c r="G207" s="35">
        <f t="shared" si="44"/>
        <v>3.062586525649567</v>
      </c>
      <c r="H207" s="35">
        <f t="shared" si="45"/>
        <v>8.6956521739130432E-2</v>
      </c>
      <c r="I207" s="35">
        <f t="shared" si="46"/>
        <v>-2.4423470353692043</v>
      </c>
      <c r="J207" s="35">
        <f t="shared" si="47"/>
        <v>-0.21237800307558297</v>
      </c>
    </row>
    <row r="208" spans="1:10">
      <c r="A208" s="13" t="s">
        <v>35</v>
      </c>
      <c r="B208" s="10" t="s">
        <v>36</v>
      </c>
      <c r="C208" s="35">
        <v>5</v>
      </c>
      <c r="D208" s="35">
        <v>64.5</v>
      </c>
      <c r="E208" s="35">
        <f t="shared" si="42"/>
        <v>0.64500000000000002</v>
      </c>
      <c r="F208" s="35">
        <f t="shared" si="43"/>
        <v>0.32678763750000001</v>
      </c>
      <c r="G208" s="35">
        <f t="shared" si="44"/>
        <v>2.1771328281145905</v>
      </c>
      <c r="H208" s="35">
        <f t="shared" si="45"/>
        <v>7.2463768115942032E-2</v>
      </c>
      <c r="I208" s="35">
        <f t="shared" si="46"/>
        <v>-2.6246685921631592</v>
      </c>
      <c r="J208" s="35">
        <f t="shared" si="47"/>
        <v>-0.19019337624370719</v>
      </c>
    </row>
    <row r="209" spans="1:10">
      <c r="A209" s="13" t="s">
        <v>37</v>
      </c>
      <c r="B209" s="10" t="s">
        <v>31</v>
      </c>
      <c r="C209" s="35">
        <v>7</v>
      </c>
      <c r="D209" s="35">
        <v>84.3</v>
      </c>
      <c r="E209" s="35">
        <f t="shared" si="42"/>
        <v>0.84299999999999997</v>
      </c>
      <c r="F209" s="35">
        <f t="shared" si="43"/>
        <v>0.55821478949999992</v>
      </c>
      <c r="G209" s="35">
        <f t="shared" si="44"/>
        <v>3.718952628247834</v>
      </c>
      <c r="H209" s="35">
        <f t="shared" si="45"/>
        <v>0.10144927536231885</v>
      </c>
      <c r="I209" s="35">
        <f t="shared" si="46"/>
        <v>-2.2881963555419462</v>
      </c>
      <c r="J209" s="35">
        <f t="shared" si="47"/>
        <v>-0.23213586215642934</v>
      </c>
    </row>
    <row r="210" spans="1:10">
      <c r="A210" s="13" t="s">
        <v>187</v>
      </c>
      <c r="B210" s="10" t="s">
        <v>31</v>
      </c>
      <c r="C210" s="35">
        <v>1</v>
      </c>
      <c r="D210" s="35">
        <v>12.9</v>
      </c>
      <c r="E210" s="35">
        <f t="shared" si="42"/>
        <v>0.129</v>
      </c>
      <c r="F210" s="35">
        <f t="shared" si="43"/>
        <v>1.3071505499999999E-2</v>
      </c>
      <c r="G210" s="35">
        <f t="shared" si="44"/>
        <v>8.7085313124583605E-2</v>
      </c>
      <c r="H210" s="35">
        <f t="shared" si="45"/>
        <v>1.4492753623188406E-2</v>
      </c>
      <c r="I210" s="35">
        <f t="shared" si="46"/>
        <v>-4.2341065045972597</v>
      </c>
      <c r="J210" s="35">
        <f t="shared" si="47"/>
        <v>-6.1363862385467531E-2</v>
      </c>
    </row>
    <row r="211" spans="1:10">
      <c r="A211" s="13" t="s">
        <v>73</v>
      </c>
      <c r="B211" s="10" t="s">
        <v>12</v>
      </c>
      <c r="C211" s="35">
        <v>3</v>
      </c>
      <c r="D211" s="35">
        <v>56</v>
      </c>
      <c r="E211" s="35">
        <f t="shared" si="42"/>
        <v>0.56000000000000005</v>
      </c>
      <c r="F211" s="35">
        <f t="shared" si="43"/>
        <v>0.24633280000000002</v>
      </c>
      <c r="G211" s="35">
        <f t="shared" si="44"/>
        <v>1.6411245836109263</v>
      </c>
      <c r="H211" s="35">
        <f t="shared" si="45"/>
        <v>4.3478260869565216E-2</v>
      </c>
      <c r="I211" s="35">
        <f t="shared" si="46"/>
        <v>-3.1354942159291497</v>
      </c>
      <c r="J211" s="35">
        <f t="shared" si="47"/>
        <v>-0.13632583547518043</v>
      </c>
    </row>
    <row r="212" spans="1:10">
      <c r="A212" s="13" t="s">
        <v>188</v>
      </c>
      <c r="B212" s="10" t="s">
        <v>109</v>
      </c>
      <c r="C212" s="35">
        <v>1</v>
      </c>
      <c r="D212" s="35">
        <v>10.1</v>
      </c>
      <c r="E212" s="35">
        <f t="shared" si="42"/>
        <v>0.10099999999999999</v>
      </c>
      <c r="F212" s="35">
        <f t="shared" si="43"/>
        <v>8.0128854999999988E-3</v>
      </c>
      <c r="G212" s="35">
        <f t="shared" si="44"/>
        <v>5.3383647568287805E-2</v>
      </c>
      <c r="H212" s="35">
        <f t="shared" si="45"/>
        <v>1.4492753623188406E-2</v>
      </c>
      <c r="I212" s="35">
        <f t="shared" si="46"/>
        <v>-4.2341065045972597</v>
      </c>
      <c r="J212" s="35">
        <f t="shared" si="47"/>
        <v>-6.1363862385467531E-2</v>
      </c>
    </row>
    <row r="213" spans="1:10">
      <c r="A213" s="13" t="s">
        <v>214</v>
      </c>
      <c r="B213" s="10" t="s">
        <v>21</v>
      </c>
      <c r="C213" s="35">
        <v>1</v>
      </c>
      <c r="D213" s="35">
        <v>11.3</v>
      </c>
      <c r="E213" s="35">
        <f t="shared" si="42"/>
        <v>0.113</v>
      </c>
      <c r="F213" s="35">
        <f t="shared" si="43"/>
        <v>1.0030049500000001E-2</v>
      </c>
      <c r="G213" s="35">
        <f t="shared" si="44"/>
        <v>6.6822448367754833E-2</v>
      </c>
      <c r="H213" s="35">
        <f t="shared" si="45"/>
        <v>1.4492753623188406E-2</v>
      </c>
      <c r="I213" s="35">
        <f t="shared" si="46"/>
        <v>-4.2341065045972597</v>
      </c>
      <c r="J213" s="35">
        <f t="shared" si="47"/>
        <v>-6.1363862385467531E-2</v>
      </c>
    </row>
    <row r="214" spans="1:10">
      <c r="A214" s="13" t="s">
        <v>246</v>
      </c>
      <c r="B214" s="10" t="s">
        <v>31</v>
      </c>
      <c r="C214" s="35">
        <v>1</v>
      </c>
      <c r="D214" s="35">
        <v>28.5</v>
      </c>
      <c r="E214" s="35">
        <f t="shared" si="42"/>
        <v>0.28499999999999998</v>
      </c>
      <c r="F214" s="35">
        <f t="shared" si="43"/>
        <v>6.3802237499999997E-2</v>
      </c>
      <c r="G214" s="35">
        <f t="shared" si="44"/>
        <v>0.42506487341772148</v>
      </c>
      <c r="H214" s="35">
        <f t="shared" si="45"/>
        <v>1.4492753623188406E-2</v>
      </c>
      <c r="I214" s="35">
        <f t="shared" si="46"/>
        <v>-4.2341065045972597</v>
      </c>
      <c r="J214" s="35">
        <f t="shared" si="47"/>
        <v>-6.1363862385467531E-2</v>
      </c>
    </row>
    <row r="215" spans="1:10">
      <c r="A215" s="13" t="s">
        <v>168</v>
      </c>
      <c r="B215" s="10" t="s">
        <v>24</v>
      </c>
      <c r="C215" s="35">
        <v>1</v>
      </c>
      <c r="D215" s="35">
        <v>12.8</v>
      </c>
      <c r="E215" s="35">
        <f t="shared" si="42"/>
        <v>0.128</v>
      </c>
      <c r="F215" s="35">
        <f t="shared" si="43"/>
        <v>1.2869631999999999E-2</v>
      </c>
      <c r="G215" s="35">
        <f t="shared" si="44"/>
        <v>8.574038640906062E-2</v>
      </c>
      <c r="H215" s="35">
        <f t="shared" si="45"/>
        <v>1.4492753623188406E-2</v>
      </c>
      <c r="I215" s="35">
        <f t="shared" si="46"/>
        <v>-4.2341065045972597</v>
      </c>
      <c r="J215" s="35">
        <f t="shared" si="47"/>
        <v>-6.1363862385467531E-2</v>
      </c>
    </row>
    <row r="216" spans="1:10">
      <c r="A216" s="13" t="s">
        <v>217</v>
      </c>
      <c r="B216" s="10" t="s">
        <v>31</v>
      </c>
      <c r="C216" s="35">
        <v>1</v>
      </c>
      <c r="D216" s="35">
        <v>24</v>
      </c>
      <c r="E216" s="35">
        <f t="shared" si="42"/>
        <v>0.24</v>
      </c>
      <c r="F216" s="35">
        <f t="shared" si="43"/>
        <v>4.5244799999999995E-2</v>
      </c>
      <c r="G216" s="35">
        <f t="shared" si="44"/>
        <v>0.30143104596935372</v>
      </c>
      <c r="H216" s="35">
        <f t="shared" si="45"/>
        <v>1.4492753623188406E-2</v>
      </c>
      <c r="I216" s="35">
        <f t="shared" si="46"/>
        <v>-4.2341065045972597</v>
      </c>
      <c r="J216" s="35">
        <f t="shared" si="47"/>
        <v>-6.1363862385467531E-2</v>
      </c>
    </row>
    <row r="217" spans="1:10">
      <c r="A217" s="13" t="s">
        <v>247</v>
      </c>
      <c r="B217" s="10" t="s">
        <v>143</v>
      </c>
      <c r="C217" s="35">
        <v>2</v>
      </c>
      <c r="D217" s="35">
        <v>26.8</v>
      </c>
      <c r="E217" s="35">
        <f t="shared" si="42"/>
        <v>0.26800000000000002</v>
      </c>
      <c r="F217" s="35">
        <f t="shared" si="43"/>
        <v>5.6417752000000009E-2</v>
      </c>
      <c r="G217" s="35">
        <f t="shared" si="44"/>
        <v>0.37586776815456369</v>
      </c>
      <c r="H217" s="35">
        <f t="shared" si="45"/>
        <v>2.8985507246376812E-2</v>
      </c>
      <c r="I217" s="35">
        <f t="shared" si="46"/>
        <v>-3.5409593240373143</v>
      </c>
      <c r="J217" s="35">
        <f t="shared" si="47"/>
        <v>-0.10263650214600911</v>
      </c>
    </row>
    <row r="218" spans="1:10">
      <c r="A218" s="13" t="s">
        <v>26</v>
      </c>
      <c r="B218" s="10" t="s">
        <v>15</v>
      </c>
      <c r="C218" s="35">
        <v>2</v>
      </c>
      <c r="D218" s="35">
        <v>20.2</v>
      </c>
      <c r="E218" s="35">
        <f t="shared" si="42"/>
        <v>0.20199999999999999</v>
      </c>
      <c r="F218" s="35">
        <f t="shared" si="43"/>
        <v>3.2051541999999995E-2</v>
      </c>
      <c r="G218" s="35">
        <f t="shared" si="44"/>
        <v>0.21353459027315122</v>
      </c>
      <c r="H218" s="35">
        <f t="shared" si="45"/>
        <v>2.8985507246376812E-2</v>
      </c>
      <c r="I218" s="35">
        <f t="shared" si="46"/>
        <v>-3.5409593240373143</v>
      </c>
      <c r="J218" s="35">
        <f t="shared" si="47"/>
        <v>-0.10263650214600911</v>
      </c>
    </row>
    <row r="219" spans="1:10">
      <c r="A219" s="13" t="s">
        <v>27</v>
      </c>
      <c r="B219" s="10" t="s">
        <v>46</v>
      </c>
      <c r="C219" s="35">
        <v>2</v>
      </c>
      <c r="D219" s="35">
        <v>20.399999999999999</v>
      </c>
      <c r="E219" s="35">
        <f t="shared" si="42"/>
        <v>0.20399999999999999</v>
      </c>
      <c r="F219" s="35">
        <f t="shared" si="43"/>
        <v>3.2689367999999996E-2</v>
      </c>
      <c r="G219" s="35">
        <f t="shared" si="44"/>
        <v>0.21778393071285809</v>
      </c>
      <c r="H219" s="35">
        <f t="shared" si="45"/>
        <v>2.8985507246376812E-2</v>
      </c>
      <c r="I219" s="35">
        <f t="shared" si="46"/>
        <v>-3.5409593240373143</v>
      </c>
      <c r="J219" s="35">
        <f t="shared" si="47"/>
        <v>-0.10263650214600911</v>
      </c>
    </row>
    <row r="220" spans="1:10">
      <c r="A220" s="13" t="s">
        <v>196</v>
      </c>
      <c r="B220" s="10" t="s">
        <v>123</v>
      </c>
      <c r="C220" s="35">
        <v>3</v>
      </c>
      <c r="D220" s="35">
        <v>30.9</v>
      </c>
      <c r="E220" s="35">
        <f t="shared" si="42"/>
        <v>0.309</v>
      </c>
      <c r="F220" s="35">
        <f t="shared" si="43"/>
        <v>7.5000325499999992E-2</v>
      </c>
      <c r="G220" s="35">
        <f t="shared" si="44"/>
        <v>0.4996690572951365</v>
      </c>
      <c r="H220" s="35">
        <f t="shared" si="45"/>
        <v>4.3478260869565216E-2</v>
      </c>
      <c r="I220" s="35">
        <f t="shared" si="46"/>
        <v>-3.1354942159291497</v>
      </c>
      <c r="J220" s="35">
        <f t="shared" si="47"/>
        <v>-0.13632583547518043</v>
      </c>
    </row>
    <row r="221" spans="1:10">
      <c r="A221" s="13" t="s">
        <v>135</v>
      </c>
      <c r="B221" s="10" t="s">
        <v>21</v>
      </c>
      <c r="C221" s="35">
        <v>2</v>
      </c>
      <c r="D221" s="35">
        <v>41.9</v>
      </c>
      <c r="E221" s="35">
        <f t="shared" si="42"/>
        <v>0.41899999999999998</v>
      </c>
      <c r="F221" s="35">
        <f t="shared" si="43"/>
        <v>0.13790316549999998</v>
      </c>
      <c r="G221" s="35">
        <f t="shared" si="44"/>
        <v>0.9187419420386409</v>
      </c>
      <c r="H221" s="35">
        <f t="shared" si="45"/>
        <v>2.8985507246376812E-2</v>
      </c>
      <c r="I221" s="35">
        <f t="shared" si="46"/>
        <v>-3.5409593240373143</v>
      </c>
      <c r="J221" s="35">
        <f t="shared" si="47"/>
        <v>-0.10263650214600911</v>
      </c>
    </row>
    <row r="222" spans="1:10">
      <c r="A222" s="13" t="s">
        <v>198</v>
      </c>
      <c r="B222" s="10" t="s">
        <v>19</v>
      </c>
      <c r="C222" s="35">
        <v>7</v>
      </c>
      <c r="D222" s="35">
        <v>92.9</v>
      </c>
      <c r="E222" s="35">
        <f t="shared" si="42"/>
        <v>0.92900000000000005</v>
      </c>
      <c r="F222" s="35">
        <f t="shared" si="43"/>
        <v>0.6779187055</v>
      </c>
      <c r="G222" s="35">
        <f t="shared" si="44"/>
        <v>4.5164470719520322</v>
      </c>
      <c r="H222" s="35">
        <f t="shared" si="45"/>
        <v>0.10144927536231885</v>
      </c>
      <c r="I222" s="35">
        <f t="shared" si="46"/>
        <v>-2.2881963555419462</v>
      </c>
      <c r="J222" s="35">
        <f t="shared" si="47"/>
        <v>-0.23213586215642934</v>
      </c>
    </row>
    <row r="223" spans="1:10">
      <c r="A223" s="13" t="s">
        <v>44</v>
      </c>
      <c r="B223" s="10" t="s">
        <v>45</v>
      </c>
      <c r="C223" s="35">
        <v>7</v>
      </c>
      <c r="D223" s="35">
        <v>306.7</v>
      </c>
      <c r="E223" s="35">
        <f t="shared" si="42"/>
        <v>3.0669999999999997</v>
      </c>
      <c r="F223" s="35">
        <f t="shared" si="43"/>
        <v>7.3887971094999987</v>
      </c>
      <c r="G223" s="35">
        <f t="shared" si="44"/>
        <v>49.225830176548953</v>
      </c>
      <c r="H223" s="35">
        <f t="shared" si="45"/>
        <v>0.10144927536231885</v>
      </c>
      <c r="I223" s="35">
        <f t="shared" si="46"/>
        <v>-2.2881963555419462</v>
      </c>
      <c r="J223" s="35">
        <f t="shared" si="47"/>
        <v>-0.23213586215642934</v>
      </c>
    </row>
    <row r="224" spans="1:10">
      <c r="A224" s="13" t="s">
        <v>248</v>
      </c>
      <c r="B224" s="10" t="s">
        <v>93</v>
      </c>
      <c r="C224" s="35">
        <v>1</v>
      </c>
      <c r="D224" s="35">
        <v>10.1</v>
      </c>
      <c r="E224" s="35">
        <f t="shared" si="42"/>
        <v>0.10099999999999999</v>
      </c>
      <c r="F224" s="35">
        <f t="shared" si="43"/>
        <v>8.0128854999999988E-3</v>
      </c>
      <c r="G224" s="35">
        <f t="shared" si="44"/>
        <v>5.3383647568287805E-2</v>
      </c>
      <c r="H224" s="35">
        <f t="shared" si="45"/>
        <v>1.4492753623188406E-2</v>
      </c>
      <c r="I224" s="35">
        <f t="shared" si="46"/>
        <v>-4.2341065045972597</v>
      </c>
      <c r="J224" s="35">
        <f t="shared" si="47"/>
        <v>-6.1363862385467531E-2</v>
      </c>
    </row>
    <row r="225" spans="1:10">
      <c r="A225" s="13" t="s">
        <v>249</v>
      </c>
      <c r="B225" s="10" t="s">
        <v>31</v>
      </c>
      <c r="C225" s="35">
        <v>1</v>
      </c>
      <c r="D225" s="35">
        <v>10.4</v>
      </c>
      <c r="E225" s="35">
        <f t="shared" si="42"/>
        <v>0.10400000000000001</v>
      </c>
      <c r="F225" s="35">
        <f t="shared" si="43"/>
        <v>8.4959680000000013E-3</v>
      </c>
      <c r="G225" s="35">
        <f t="shared" si="44"/>
        <v>5.6602051965356441E-2</v>
      </c>
      <c r="H225" s="35">
        <f t="shared" si="45"/>
        <v>1.4492753623188406E-2</v>
      </c>
      <c r="I225" s="35">
        <f t="shared" si="46"/>
        <v>-4.2341065045972597</v>
      </c>
      <c r="J225" s="35">
        <f t="shared" si="47"/>
        <v>-6.1363862385467531E-2</v>
      </c>
    </row>
    <row r="226" spans="1:10">
      <c r="A226" s="13" t="s">
        <v>250</v>
      </c>
      <c r="B226" s="10" t="s">
        <v>41</v>
      </c>
      <c r="C226" s="35">
        <v>1</v>
      </c>
      <c r="D226" s="35">
        <v>26.7</v>
      </c>
      <c r="E226" s="35">
        <f t="shared" si="42"/>
        <v>0.26700000000000002</v>
      </c>
      <c r="F226" s="35">
        <f t="shared" si="43"/>
        <v>5.5997509500000001E-2</v>
      </c>
      <c r="G226" s="35">
        <f t="shared" si="44"/>
        <v>0.37306801798800804</v>
      </c>
      <c r="H226" s="35">
        <f t="shared" si="45"/>
        <v>1.4492753623188406E-2</v>
      </c>
      <c r="I226" s="35">
        <f t="shared" si="46"/>
        <v>-4.2341065045972597</v>
      </c>
      <c r="J226" s="35">
        <f t="shared" si="47"/>
        <v>-6.1363862385467531E-2</v>
      </c>
    </row>
    <row r="227" spans="1:10">
      <c r="A227" s="13" t="s">
        <v>251</v>
      </c>
      <c r="B227" s="10" t="s">
        <v>41</v>
      </c>
      <c r="C227" s="35">
        <v>1</v>
      </c>
      <c r="D227" s="35">
        <v>17.2</v>
      </c>
      <c r="E227" s="35">
        <f t="shared" si="42"/>
        <v>0.17199999999999999</v>
      </c>
      <c r="F227" s="35">
        <f t="shared" si="43"/>
        <v>2.3238231999999998E-2</v>
      </c>
      <c r="G227" s="35">
        <f t="shared" si="44"/>
        <v>0.15481833444370419</v>
      </c>
      <c r="H227" s="35">
        <f t="shared" si="45"/>
        <v>1.4492753623188406E-2</v>
      </c>
      <c r="I227" s="35">
        <f t="shared" si="46"/>
        <v>-4.2341065045972597</v>
      </c>
      <c r="J227" s="35">
        <f t="shared" si="47"/>
        <v>-6.1363862385467531E-2</v>
      </c>
    </row>
    <row r="228" spans="1:10">
      <c r="A228" s="37" t="s">
        <v>29</v>
      </c>
      <c r="B228" s="38" t="s">
        <v>15</v>
      </c>
      <c r="C228" s="35">
        <v>1</v>
      </c>
      <c r="D228" s="35">
        <v>11.4</v>
      </c>
      <c r="E228" s="35">
        <f t="shared" si="42"/>
        <v>0.114</v>
      </c>
      <c r="F228" s="35">
        <f t="shared" si="43"/>
        <v>1.0208358000000001E-2</v>
      </c>
      <c r="G228" s="35">
        <f t="shared" si="44"/>
        <v>6.801037974683545E-2</v>
      </c>
      <c r="H228" s="35">
        <f t="shared" si="45"/>
        <v>1.4492753623188406E-2</v>
      </c>
      <c r="I228" s="35">
        <f t="shared" si="46"/>
        <v>-4.2341065045972597</v>
      </c>
      <c r="J228" s="35">
        <f t="shared" si="47"/>
        <v>-6.1363862385467531E-2</v>
      </c>
    </row>
    <row r="229" spans="1:10">
      <c r="A229" s="13" t="s">
        <v>30</v>
      </c>
      <c r="B229" s="10" t="s">
        <v>31</v>
      </c>
      <c r="C229" s="35">
        <v>1</v>
      </c>
      <c r="D229" s="35">
        <v>62.1</v>
      </c>
      <c r="E229" s="35">
        <f t="shared" si="42"/>
        <v>0.621</v>
      </c>
      <c r="F229" s="35">
        <f t="shared" si="43"/>
        <v>0.30292100550000001</v>
      </c>
      <c r="G229" s="35">
        <f t="shared" si="44"/>
        <v>2.0181279513657562</v>
      </c>
      <c r="H229" s="35">
        <f t="shared" si="45"/>
        <v>1.4492753623188406E-2</v>
      </c>
      <c r="I229" s="35">
        <f t="shared" si="46"/>
        <v>-4.2341065045972597</v>
      </c>
      <c r="J229" s="35">
        <f t="shared" si="47"/>
        <v>-6.1363862385467531E-2</v>
      </c>
    </row>
    <row r="230" spans="1:10">
      <c r="A230" s="35"/>
      <c r="B230" s="35"/>
      <c r="C230" s="35">
        <v>69</v>
      </c>
      <c r="D230" s="35"/>
      <c r="E230" s="35"/>
      <c r="F230" s="35">
        <v>15.01</v>
      </c>
      <c r="G230" s="35"/>
      <c r="H230" s="35"/>
      <c r="I230" s="35" t="s">
        <v>32</v>
      </c>
      <c r="J230" s="35">
        <v>3.09</v>
      </c>
    </row>
    <row r="231" spans="1:10">
      <c r="A231" s="35"/>
      <c r="B231" s="35"/>
      <c r="C231" s="35"/>
      <c r="D231" s="35"/>
      <c r="E231" s="35"/>
      <c r="F231" s="35"/>
      <c r="G231" s="35"/>
      <c r="H231" s="35"/>
      <c r="I231" s="35" t="s">
        <v>33</v>
      </c>
      <c r="J231" s="35">
        <f>3.09/LN(69)</f>
        <v>0.72978797218373581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67"/>
  <sheetViews>
    <sheetView topLeftCell="B1" workbookViewId="0">
      <selection activeCell="N66" sqref="N66:N67"/>
    </sheetView>
  </sheetViews>
  <sheetFormatPr defaultColWidth="9.140625" defaultRowHeight="15"/>
  <cols>
    <col min="1" max="2" width="9.140625" style="10"/>
    <col min="3" max="3" width="16.5703125" style="10" customWidth="1"/>
    <col min="4" max="4" width="27.5703125" style="10" customWidth="1"/>
    <col min="5" max="5" width="9.140625" style="10"/>
    <col min="6" max="6" width="12.28515625" style="10" customWidth="1"/>
    <col min="7" max="7" width="20.140625" style="10" customWidth="1"/>
    <col min="8" max="8" width="15.42578125" style="10" customWidth="1"/>
    <col min="9" max="9" width="9.140625" style="10"/>
    <col min="10" max="10" width="10.85546875" style="10" customWidth="1"/>
    <col min="11" max="12" width="12.85546875" style="10"/>
    <col min="13" max="14" width="14" style="10"/>
    <col min="15" max="16" width="12.85546875" style="10"/>
    <col min="17" max="16384" width="9.140625" style="10"/>
  </cols>
  <sheetData>
    <row r="5" spans="3:16" s="12" customFormat="1">
      <c r="C5" s="12" t="s">
        <v>2</v>
      </c>
      <c r="D5" s="12" t="s">
        <v>90</v>
      </c>
      <c r="E5" s="12" t="s">
        <v>174</v>
      </c>
      <c r="F5" s="12" t="s">
        <v>43</v>
      </c>
      <c r="G5" s="12" t="s">
        <v>176</v>
      </c>
      <c r="H5" s="12" t="s">
        <v>252</v>
      </c>
      <c r="I5" s="1" t="s">
        <v>5</v>
      </c>
      <c r="J5" s="1" t="s">
        <v>6</v>
      </c>
      <c r="K5" s="1" t="s">
        <v>7</v>
      </c>
      <c r="L5" s="34" t="s">
        <v>8</v>
      </c>
      <c r="M5" s="34" t="s">
        <v>9</v>
      </c>
      <c r="N5" s="34" t="s">
        <v>10</v>
      </c>
      <c r="O5" s="12" t="s">
        <v>177</v>
      </c>
      <c r="P5" s="12" t="s">
        <v>178</v>
      </c>
    </row>
    <row r="6" spans="3:16">
      <c r="C6" s="10" t="s">
        <v>93</v>
      </c>
      <c r="D6" s="13" t="s">
        <v>92</v>
      </c>
      <c r="E6" s="10">
        <v>1</v>
      </c>
      <c r="F6" s="10">
        <v>4</v>
      </c>
      <c r="G6" s="10" t="s">
        <v>180</v>
      </c>
      <c r="H6" s="10">
        <v>133</v>
      </c>
      <c r="I6" s="10">
        <f t="shared" ref="I6:I15" si="0">H6/100</f>
        <v>1.33</v>
      </c>
      <c r="J6" s="10">
        <f t="shared" ref="J6:J15" si="1">((3.142*(I6)^2/4))</f>
        <v>1.38947095</v>
      </c>
      <c r="K6" s="10">
        <f t="shared" ref="K6:K15" si="2">(J6/507.99)*100</f>
        <v>0.27352328785999724</v>
      </c>
      <c r="L6" s="10">
        <f t="shared" ref="L6:L15" si="3">F6/457</f>
        <v>8.7527352297592995E-3</v>
      </c>
      <c r="M6" s="10">
        <f t="shared" ref="M6:M15" si="4">LN(L6)</f>
        <v>-4.7383890297743143</v>
      </c>
      <c r="N6" s="10">
        <f t="shared" ref="N6:N15" si="5">L6*M6</f>
        <v>-4.1473864593210626E-2</v>
      </c>
      <c r="O6" s="10">
        <f t="shared" ref="O6:O15" si="6">F6/457*100</f>
        <v>0.87527352297592997</v>
      </c>
      <c r="P6" s="10">
        <f t="shared" ref="P6:P15" si="7">K6/2</f>
        <v>0.13676164392999862</v>
      </c>
    </row>
    <row r="7" spans="3:16">
      <c r="C7" s="10" t="s">
        <v>12</v>
      </c>
      <c r="D7" s="13" t="s">
        <v>94</v>
      </c>
      <c r="E7" s="10">
        <v>1</v>
      </c>
      <c r="F7" s="10">
        <v>5</v>
      </c>
      <c r="G7" s="10" t="s">
        <v>180</v>
      </c>
      <c r="H7" s="10">
        <v>141</v>
      </c>
      <c r="I7" s="10">
        <f t="shared" si="0"/>
        <v>1.41</v>
      </c>
      <c r="J7" s="10">
        <f t="shared" si="1"/>
        <v>1.5616525499999998</v>
      </c>
      <c r="K7" s="10">
        <f t="shared" si="2"/>
        <v>0.30741797082619732</v>
      </c>
      <c r="L7" s="10">
        <f t="shared" si="3"/>
        <v>1.0940919037199124E-2</v>
      </c>
      <c r="M7" s="10">
        <f t="shared" si="4"/>
        <v>-4.5152454784601046</v>
      </c>
      <c r="N7" s="10">
        <f t="shared" si="5"/>
        <v>-4.9400935212911425E-2</v>
      </c>
      <c r="O7" s="10">
        <f t="shared" si="6"/>
        <v>1.0940919037199124</v>
      </c>
      <c r="P7" s="10">
        <f t="shared" si="7"/>
        <v>0.15370898541309866</v>
      </c>
    </row>
    <row r="8" spans="3:16">
      <c r="C8" s="10" t="s">
        <v>12</v>
      </c>
      <c r="D8" s="13" t="s">
        <v>13</v>
      </c>
      <c r="E8" s="10">
        <v>8</v>
      </c>
      <c r="F8" s="10">
        <v>1</v>
      </c>
      <c r="G8" s="10" t="s">
        <v>180</v>
      </c>
      <c r="H8" s="10">
        <v>54.7</v>
      </c>
      <c r="I8" s="10">
        <f t="shared" si="0"/>
        <v>0.54700000000000004</v>
      </c>
      <c r="J8" s="10">
        <f t="shared" si="1"/>
        <v>0.23502866950000004</v>
      </c>
      <c r="K8" s="10">
        <f t="shared" si="2"/>
        <v>4.6266396877891303E-2</v>
      </c>
      <c r="L8" s="10">
        <f t="shared" si="3"/>
        <v>2.1881838074398249E-3</v>
      </c>
      <c r="M8" s="10">
        <f t="shared" si="4"/>
        <v>-6.1246833908942051</v>
      </c>
      <c r="N8" s="10">
        <f t="shared" si="5"/>
        <v>-1.3401933021650339E-2</v>
      </c>
      <c r="O8" s="10">
        <f t="shared" si="6"/>
        <v>0.21881838074398249</v>
      </c>
      <c r="P8" s="10">
        <f t="shared" si="7"/>
        <v>2.3133198438945651E-2</v>
      </c>
    </row>
    <row r="9" spans="3:16">
      <c r="C9" s="10" t="s">
        <v>21</v>
      </c>
      <c r="D9" s="13" t="s">
        <v>95</v>
      </c>
      <c r="E9" s="10">
        <v>1</v>
      </c>
      <c r="F9" s="10">
        <v>6</v>
      </c>
      <c r="H9" s="10">
        <v>164</v>
      </c>
      <c r="I9" s="10">
        <f t="shared" si="0"/>
        <v>1.64</v>
      </c>
      <c r="J9" s="10">
        <f t="shared" si="1"/>
        <v>2.1126807999999997</v>
      </c>
      <c r="K9" s="10">
        <f t="shared" si="2"/>
        <v>0.41589023405972553</v>
      </c>
      <c r="L9" s="10">
        <f t="shared" si="3"/>
        <v>1.3129102844638949E-2</v>
      </c>
      <c r="M9" s="10">
        <f t="shared" si="4"/>
        <v>-4.3329239216661497</v>
      </c>
      <c r="N9" s="10">
        <f t="shared" si="5"/>
        <v>-5.6887403785551197E-2</v>
      </c>
      <c r="O9" s="10">
        <f t="shared" si="6"/>
        <v>1.3129102844638949</v>
      </c>
      <c r="P9" s="10">
        <f t="shared" si="7"/>
        <v>0.20794511702986276</v>
      </c>
    </row>
    <row r="10" spans="3:16">
      <c r="C10" s="10" t="s">
        <v>72</v>
      </c>
      <c r="D10" s="13" t="s">
        <v>126</v>
      </c>
      <c r="E10" s="10">
        <v>2</v>
      </c>
      <c r="F10" s="10">
        <v>3</v>
      </c>
      <c r="G10" s="10" t="s">
        <v>180</v>
      </c>
      <c r="H10" s="10">
        <v>57</v>
      </c>
      <c r="I10" s="10">
        <f t="shared" si="0"/>
        <v>0.56999999999999995</v>
      </c>
      <c r="J10" s="10">
        <f t="shared" si="1"/>
        <v>0.25520894999999999</v>
      </c>
      <c r="K10" s="10">
        <f t="shared" si="2"/>
        <v>5.0238971239591333E-2</v>
      </c>
      <c r="L10" s="10">
        <f t="shared" si="3"/>
        <v>6.5645514223194746E-3</v>
      </c>
      <c r="M10" s="10">
        <f t="shared" si="4"/>
        <v>-5.0260711022260951</v>
      </c>
      <c r="N10" s="10">
        <f t="shared" si="5"/>
        <v>-3.2993902202797125E-2</v>
      </c>
      <c r="O10" s="10">
        <f t="shared" si="6"/>
        <v>0.65645514223194745</v>
      </c>
      <c r="P10" s="10">
        <f t="shared" si="7"/>
        <v>2.5119485619795667E-2</v>
      </c>
    </row>
    <row r="11" spans="3:16">
      <c r="C11" s="16" t="s">
        <v>97</v>
      </c>
      <c r="D11" s="13" t="s">
        <v>96</v>
      </c>
      <c r="E11" s="10">
        <v>1</v>
      </c>
      <c r="F11" s="10">
        <v>32</v>
      </c>
      <c r="G11" s="10" t="s">
        <v>180</v>
      </c>
      <c r="H11" s="10">
        <v>483.5</v>
      </c>
      <c r="I11" s="10">
        <f t="shared" si="0"/>
        <v>4.835</v>
      </c>
      <c r="J11" s="10">
        <f t="shared" si="1"/>
        <v>18.3628102375</v>
      </c>
      <c r="K11" s="10">
        <f t="shared" si="2"/>
        <v>3.6147975821374434</v>
      </c>
      <c r="L11" s="10">
        <f t="shared" si="3"/>
        <v>7.0021881838074396E-2</v>
      </c>
      <c r="M11" s="10">
        <f t="shared" si="4"/>
        <v>-2.6589474880944781</v>
      </c>
      <c r="N11" s="10">
        <f t="shared" si="5"/>
        <v>-0.18618450682499627</v>
      </c>
      <c r="O11" s="10">
        <f t="shared" si="6"/>
        <v>7.0021881838074398</v>
      </c>
      <c r="P11" s="10">
        <f t="shared" si="7"/>
        <v>1.8073987910687217</v>
      </c>
    </row>
    <row r="12" spans="3:16">
      <c r="C12" s="10" t="s">
        <v>15</v>
      </c>
      <c r="D12" s="13" t="s">
        <v>14</v>
      </c>
      <c r="E12" s="10">
        <v>3</v>
      </c>
      <c r="F12" s="10">
        <v>2</v>
      </c>
      <c r="G12" s="10" t="s">
        <v>180</v>
      </c>
      <c r="H12" s="10">
        <v>25</v>
      </c>
      <c r="I12" s="10">
        <f t="shared" si="0"/>
        <v>0.25</v>
      </c>
      <c r="J12" s="10">
        <f t="shared" si="1"/>
        <v>4.9093749999999999E-2</v>
      </c>
      <c r="K12" s="10">
        <f t="shared" si="2"/>
        <v>9.6643142581546871E-3</v>
      </c>
      <c r="L12" s="10">
        <f t="shared" si="3"/>
        <v>4.3763676148796497E-3</v>
      </c>
      <c r="M12" s="10">
        <f t="shared" si="4"/>
        <v>-5.4315362103342597</v>
      </c>
      <c r="N12" s="10">
        <f t="shared" si="5"/>
        <v>-2.3770399169952997E-2</v>
      </c>
      <c r="O12" s="10">
        <f t="shared" si="6"/>
        <v>0.43763676148796499</v>
      </c>
      <c r="P12" s="10">
        <f t="shared" si="7"/>
        <v>4.8321571290773436E-3</v>
      </c>
    </row>
    <row r="13" spans="3:16">
      <c r="C13" s="10" t="s">
        <v>253</v>
      </c>
      <c r="D13" s="13" t="s">
        <v>163</v>
      </c>
      <c r="E13" s="10">
        <v>8</v>
      </c>
      <c r="F13" s="10">
        <v>1</v>
      </c>
      <c r="G13" s="10" t="s">
        <v>180</v>
      </c>
      <c r="H13" s="10">
        <v>10</v>
      </c>
      <c r="I13" s="10">
        <f t="shared" si="0"/>
        <v>0.1</v>
      </c>
      <c r="J13" s="10">
        <f t="shared" si="1"/>
        <v>7.8550000000000009E-3</v>
      </c>
      <c r="K13" s="10">
        <f t="shared" si="2"/>
        <v>1.5462902813047502E-3</v>
      </c>
      <c r="L13" s="10">
        <f t="shared" si="3"/>
        <v>2.1881838074398249E-3</v>
      </c>
      <c r="M13" s="10">
        <f t="shared" si="4"/>
        <v>-6.1246833908942051</v>
      </c>
      <c r="N13" s="10">
        <f t="shared" si="5"/>
        <v>-1.3401933021650339E-2</v>
      </c>
      <c r="O13" s="10">
        <f t="shared" si="6"/>
        <v>0.21881838074398249</v>
      </c>
      <c r="P13" s="10">
        <f t="shared" si="7"/>
        <v>7.7314514065237509E-4</v>
      </c>
    </row>
    <row r="14" spans="3:16">
      <c r="C14" s="10" t="s">
        <v>12</v>
      </c>
      <c r="D14" s="13" t="s">
        <v>158</v>
      </c>
      <c r="E14" s="10">
        <v>7</v>
      </c>
      <c r="F14" s="10">
        <v>1</v>
      </c>
      <c r="G14" s="10" t="s">
        <v>180</v>
      </c>
      <c r="H14" s="10">
        <v>10</v>
      </c>
      <c r="I14" s="10">
        <f t="shared" si="0"/>
        <v>0.1</v>
      </c>
      <c r="J14" s="10">
        <f t="shared" si="1"/>
        <v>7.8550000000000009E-3</v>
      </c>
      <c r="K14" s="10">
        <f t="shared" si="2"/>
        <v>1.5462902813047502E-3</v>
      </c>
      <c r="L14" s="10">
        <f t="shared" si="3"/>
        <v>2.1881838074398249E-3</v>
      </c>
      <c r="M14" s="10">
        <f t="shared" si="4"/>
        <v>-6.1246833908942051</v>
      </c>
      <c r="N14" s="10">
        <f t="shared" si="5"/>
        <v>-1.3401933021650339E-2</v>
      </c>
      <c r="O14" s="10">
        <f t="shared" si="6"/>
        <v>0.21881838074398249</v>
      </c>
      <c r="P14" s="10">
        <f t="shared" si="7"/>
        <v>7.7314514065237509E-4</v>
      </c>
    </row>
    <row r="15" spans="3:16">
      <c r="C15" s="10" t="s">
        <v>97</v>
      </c>
      <c r="D15" s="13" t="s">
        <v>154</v>
      </c>
      <c r="E15" s="10">
        <v>5</v>
      </c>
      <c r="F15" s="10">
        <v>1</v>
      </c>
      <c r="G15" s="10" t="s">
        <v>180</v>
      </c>
      <c r="H15" s="10">
        <v>97</v>
      </c>
      <c r="I15" s="10">
        <f t="shared" si="0"/>
        <v>0.97</v>
      </c>
      <c r="J15" s="10">
        <f t="shared" si="1"/>
        <v>0.73907694999999995</v>
      </c>
      <c r="K15" s="10">
        <f t="shared" si="2"/>
        <v>0.14549045256796392</v>
      </c>
      <c r="L15" s="10">
        <f t="shared" si="3"/>
        <v>2.1881838074398249E-3</v>
      </c>
      <c r="M15" s="10">
        <f t="shared" si="4"/>
        <v>-6.1246833908942051</v>
      </c>
      <c r="N15" s="10">
        <f t="shared" si="5"/>
        <v>-1.3401933021650339E-2</v>
      </c>
      <c r="O15" s="10">
        <f t="shared" si="6"/>
        <v>0.21881838074398249</v>
      </c>
      <c r="P15" s="10">
        <f t="shared" si="7"/>
        <v>7.2745226283981959E-2</v>
      </c>
    </row>
    <row r="16" spans="3:16">
      <c r="C16" s="10" t="s">
        <v>128</v>
      </c>
      <c r="D16" s="13" t="s">
        <v>127</v>
      </c>
      <c r="E16" s="10">
        <v>2</v>
      </c>
      <c r="F16" s="10">
        <v>3</v>
      </c>
      <c r="G16" s="10" t="s">
        <v>180</v>
      </c>
      <c r="H16" s="10">
        <v>47</v>
      </c>
      <c r="I16" s="10">
        <f t="shared" ref="I16:I39" si="8">H16/100</f>
        <v>0.47</v>
      </c>
      <c r="J16" s="10">
        <f t="shared" ref="J16:J39" si="9">((3.142*(I16)^2/4))</f>
        <v>0.17351694999999998</v>
      </c>
      <c r="K16" s="10">
        <f t="shared" ref="K16:K39" si="10">(J16/507.99)*100</f>
        <v>3.415755231402192E-2</v>
      </c>
      <c r="L16" s="10">
        <f t="shared" ref="L16:L39" si="11">F16/457</f>
        <v>6.5645514223194746E-3</v>
      </c>
      <c r="M16" s="10">
        <f t="shared" ref="M16:M39" si="12">LN(L16)</f>
        <v>-5.0260711022260951</v>
      </c>
      <c r="N16" s="10">
        <f t="shared" ref="N16:N39" si="13">L16*M16</f>
        <v>-3.2993902202797125E-2</v>
      </c>
      <c r="O16" s="10">
        <f t="shared" ref="O16:O39" si="14">F16/457*100</f>
        <v>0.65645514223194745</v>
      </c>
      <c r="P16" s="10">
        <f t="shared" ref="P16:P39" si="15">K16/2</f>
        <v>1.707877615701096E-2</v>
      </c>
    </row>
    <row r="17" spans="3:16">
      <c r="C17" s="10" t="s">
        <v>99</v>
      </c>
      <c r="D17" s="13" t="s">
        <v>129</v>
      </c>
      <c r="E17" s="10">
        <v>1</v>
      </c>
      <c r="F17" s="10">
        <v>8</v>
      </c>
      <c r="H17" s="10">
        <v>542.4</v>
      </c>
      <c r="I17" s="10">
        <f t="shared" si="8"/>
        <v>5.4239999999999995</v>
      </c>
      <c r="J17" s="10">
        <f t="shared" si="9"/>
        <v>23.109234047999994</v>
      </c>
      <c r="K17" s="10">
        <f t="shared" si="10"/>
        <v>4.5491513706962721</v>
      </c>
      <c r="L17" s="10">
        <f t="shared" si="11"/>
        <v>1.7505470459518599E-2</v>
      </c>
      <c r="M17" s="10">
        <f t="shared" si="12"/>
        <v>-4.0452418492143689</v>
      </c>
      <c r="N17" s="10">
        <f t="shared" si="13"/>
        <v>-7.0813861693030528E-2</v>
      </c>
      <c r="O17" s="10">
        <f t="shared" si="14"/>
        <v>1.7505470459518599</v>
      </c>
      <c r="P17" s="10">
        <f t="shared" si="15"/>
        <v>2.274575685348136</v>
      </c>
    </row>
    <row r="18" spans="3:16">
      <c r="C18" s="10" t="s">
        <v>36</v>
      </c>
      <c r="D18" s="13" t="s">
        <v>165</v>
      </c>
      <c r="E18" s="10">
        <v>8</v>
      </c>
      <c r="F18" s="10">
        <v>1</v>
      </c>
      <c r="G18" s="10" t="s">
        <v>180</v>
      </c>
      <c r="H18" s="10">
        <v>11.6</v>
      </c>
      <c r="I18" s="10">
        <f t="shared" si="8"/>
        <v>0.11599999999999999</v>
      </c>
      <c r="J18" s="10">
        <f t="shared" si="9"/>
        <v>1.0569687999999997E-2</v>
      </c>
      <c r="K18" s="10">
        <f t="shared" si="10"/>
        <v>2.0806882025236713E-3</v>
      </c>
      <c r="L18" s="10">
        <f t="shared" si="11"/>
        <v>2.1881838074398249E-3</v>
      </c>
      <c r="M18" s="10">
        <f t="shared" si="12"/>
        <v>-6.1246833908942051</v>
      </c>
      <c r="N18" s="10">
        <f t="shared" si="13"/>
        <v>-1.3401933021650339E-2</v>
      </c>
      <c r="O18" s="10">
        <f t="shared" si="14"/>
        <v>0.21881838074398249</v>
      </c>
      <c r="P18" s="10">
        <f t="shared" si="15"/>
        <v>1.0403441012618356E-3</v>
      </c>
    </row>
    <row r="19" spans="3:16">
      <c r="C19" s="10" t="s">
        <v>36</v>
      </c>
      <c r="D19" s="13" t="s">
        <v>100</v>
      </c>
      <c r="E19" s="10">
        <v>1</v>
      </c>
      <c r="F19" s="10">
        <v>15</v>
      </c>
      <c r="G19" s="10" t="s">
        <v>180</v>
      </c>
      <c r="H19" s="10">
        <v>225.7</v>
      </c>
      <c r="I19" s="10">
        <f t="shared" si="8"/>
        <v>2.2569999999999997</v>
      </c>
      <c r="J19" s="10">
        <f t="shared" si="9"/>
        <v>4.0013754894999982</v>
      </c>
      <c r="K19" s="10">
        <f t="shared" si="10"/>
        <v>0.78768784611901765</v>
      </c>
      <c r="L19" s="10">
        <f t="shared" si="11"/>
        <v>3.2822757111597371E-2</v>
      </c>
      <c r="M19" s="10">
        <f t="shared" si="12"/>
        <v>-3.4166331897919946</v>
      </c>
      <c r="N19" s="10">
        <f t="shared" si="13"/>
        <v>-0.1121433213279648</v>
      </c>
      <c r="O19" s="10">
        <f t="shared" si="14"/>
        <v>3.2822757111597372</v>
      </c>
      <c r="P19" s="10">
        <f t="shared" si="15"/>
        <v>0.39384392305950883</v>
      </c>
    </row>
    <row r="20" spans="3:16">
      <c r="C20" s="10" t="s">
        <v>36</v>
      </c>
      <c r="D20" s="13" t="s">
        <v>101</v>
      </c>
      <c r="E20" s="10">
        <v>1</v>
      </c>
      <c r="F20" s="10">
        <v>1</v>
      </c>
      <c r="G20" s="10" t="s">
        <v>180</v>
      </c>
      <c r="H20" s="10">
        <v>44</v>
      </c>
      <c r="I20" s="10">
        <f t="shared" si="8"/>
        <v>0.44</v>
      </c>
      <c r="J20" s="10">
        <f t="shared" si="9"/>
        <v>0.15207279999999998</v>
      </c>
      <c r="K20" s="10">
        <f t="shared" si="10"/>
        <v>2.9936179846059955E-2</v>
      </c>
      <c r="L20" s="10">
        <f t="shared" si="11"/>
        <v>2.1881838074398249E-3</v>
      </c>
      <c r="M20" s="10">
        <f t="shared" si="12"/>
        <v>-6.1246833908942051</v>
      </c>
      <c r="N20" s="10">
        <f t="shared" si="13"/>
        <v>-1.3401933021650339E-2</v>
      </c>
      <c r="O20" s="10">
        <f t="shared" si="14"/>
        <v>0.21881838074398249</v>
      </c>
      <c r="P20" s="10">
        <f t="shared" si="15"/>
        <v>1.4968089923029977E-2</v>
      </c>
    </row>
    <row r="21" spans="3:16">
      <c r="C21" s="10" t="s">
        <v>36</v>
      </c>
      <c r="D21" s="13" t="s">
        <v>35</v>
      </c>
      <c r="E21" s="10">
        <v>1</v>
      </c>
      <c r="F21" s="10">
        <v>60</v>
      </c>
      <c r="G21" s="10" t="s">
        <v>180</v>
      </c>
      <c r="H21" s="10">
        <v>1602.5</v>
      </c>
      <c r="I21" s="10">
        <f t="shared" si="8"/>
        <v>16.024999999999999</v>
      </c>
      <c r="J21" s="10">
        <f t="shared" si="9"/>
        <v>201.71689093749998</v>
      </c>
      <c r="K21" s="10">
        <f t="shared" si="10"/>
        <v>39.708831067048564</v>
      </c>
      <c r="L21" s="10">
        <f t="shared" si="11"/>
        <v>0.13129102844638948</v>
      </c>
      <c r="M21" s="10">
        <f t="shared" si="12"/>
        <v>-2.0303388286721042</v>
      </c>
      <c r="N21" s="10">
        <f t="shared" si="13"/>
        <v>-0.26656527291099835</v>
      </c>
      <c r="O21" s="10">
        <f t="shared" si="14"/>
        <v>13.129102844638949</v>
      </c>
      <c r="P21" s="10">
        <f t="shared" si="15"/>
        <v>19.854415533524282</v>
      </c>
    </row>
    <row r="22" spans="3:16">
      <c r="C22" s="10" t="s">
        <v>72</v>
      </c>
      <c r="D22" s="13" t="s">
        <v>102</v>
      </c>
      <c r="E22" s="10">
        <v>1</v>
      </c>
      <c r="F22" s="10">
        <v>6</v>
      </c>
      <c r="G22" s="10" t="s">
        <v>180</v>
      </c>
      <c r="H22" s="10">
        <v>316</v>
      </c>
      <c r="I22" s="10">
        <f t="shared" si="8"/>
        <v>3.16</v>
      </c>
      <c r="J22" s="10">
        <f t="shared" si="9"/>
        <v>7.8436888000000007</v>
      </c>
      <c r="K22" s="10">
        <f t="shared" si="10"/>
        <v>1.5440636232996714</v>
      </c>
      <c r="L22" s="10">
        <f t="shared" si="11"/>
        <v>1.3129102844638949E-2</v>
      </c>
      <c r="M22" s="10">
        <f t="shared" si="12"/>
        <v>-4.3329239216661497</v>
      </c>
      <c r="N22" s="10">
        <f t="shared" si="13"/>
        <v>-5.6887403785551197E-2</v>
      </c>
      <c r="O22" s="10">
        <f t="shared" si="14"/>
        <v>1.3129102844638949</v>
      </c>
      <c r="P22" s="10">
        <f t="shared" si="15"/>
        <v>0.7720318116498357</v>
      </c>
    </row>
    <row r="23" spans="3:16">
      <c r="C23" s="10" t="s">
        <v>31</v>
      </c>
      <c r="D23" s="13" t="s">
        <v>37</v>
      </c>
      <c r="E23" s="10">
        <v>1</v>
      </c>
      <c r="F23" s="10">
        <v>9</v>
      </c>
      <c r="G23" s="10" t="s">
        <v>180</v>
      </c>
      <c r="H23" s="10">
        <v>281.8</v>
      </c>
      <c r="I23" s="10">
        <f t="shared" si="8"/>
        <v>2.8180000000000001</v>
      </c>
      <c r="J23" s="10">
        <f t="shared" si="9"/>
        <v>6.2377529020000004</v>
      </c>
      <c r="K23" s="10">
        <f t="shared" si="10"/>
        <v>1.2279282863835903</v>
      </c>
      <c r="L23" s="10">
        <f t="shared" si="11"/>
        <v>1.9693654266958426E-2</v>
      </c>
      <c r="M23" s="10">
        <f t="shared" si="12"/>
        <v>-3.9274588135579851</v>
      </c>
      <c r="N23" s="10">
        <f t="shared" si="13"/>
        <v>-7.7346016021929684E-2</v>
      </c>
      <c r="O23" s="10">
        <f t="shared" si="14"/>
        <v>1.9693654266958425</v>
      </c>
      <c r="P23" s="10">
        <f t="shared" si="15"/>
        <v>0.61396414319179515</v>
      </c>
    </row>
    <row r="24" spans="3:16">
      <c r="C24" s="10" t="s">
        <v>19</v>
      </c>
      <c r="D24" s="13" t="s">
        <v>103</v>
      </c>
      <c r="E24" s="10">
        <v>1</v>
      </c>
      <c r="F24" s="10">
        <v>14</v>
      </c>
      <c r="G24" s="10" t="s">
        <v>179</v>
      </c>
      <c r="H24" s="10">
        <v>150</v>
      </c>
      <c r="I24" s="10">
        <f t="shared" si="8"/>
        <v>1.5</v>
      </c>
      <c r="J24" s="10">
        <f t="shared" si="9"/>
        <v>1.7673749999999999</v>
      </c>
      <c r="K24" s="10">
        <f t="shared" si="10"/>
        <v>0.34791531329356878</v>
      </c>
      <c r="L24" s="10">
        <f t="shared" si="11"/>
        <v>3.0634573304157548E-2</v>
      </c>
      <c r="M24" s="10">
        <f t="shared" si="12"/>
        <v>-3.4856260612789463</v>
      </c>
      <c r="N24" s="10">
        <f t="shared" si="13"/>
        <v>-0.10678066708513183</v>
      </c>
      <c r="O24" s="10">
        <f t="shared" si="14"/>
        <v>3.0634573304157549</v>
      </c>
      <c r="P24" s="10">
        <f t="shared" si="15"/>
        <v>0.17395765664678439</v>
      </c>
    </row>
    <row r="25" spans="3:16">
      <c r="C25" s="10" t="s">
        <v>31</v>
      </c>
      <c r="D25" s="13" t="s">
        <v>130</v>
      </c>
      <c r="E25" s="10">
        <v>2</v>
      </c>
      <c r="F25" s="10">
        <v>11</v>
      </c>
      <c r="H25" s="10">
        <v>158</v>
      </c>
      <c r="I25" s="10">
        <f t="shared" si="8"/>
        <v>1.58</v>
      </c>
      <c r="J25" s="10">
        <f t="shared" si="9"/>
        <v>1.9609222000000002</v>
      </c>
      <c r="K25" s="10">
        <f t="shared" si="10"/>
        <v>0.38601590582491785</v>
      </c>
      <c r="L25" s="10">
        <f t="shared" si="11"/>
        <v>2.4070021881838075E-2</v>
      </c>
      <c r="M25" s="10">
        <f t="shared" si="12"/>
        <v>-3.726788118095834</v>
      </c>
      <c r="N25" s="10">
        <f t="shared" si="13"/>
        <v>-8.9703871551540859E-2</v>
      </c>
      <c r="O25" s="10">
        <f t="shared" si="14"/>
        <v>2.4070021881838075</v>
      </c>
      <c r="P25" s="10">
        <f t="shared" si="15"/>
        <v>0.19300795291245892</v>
      </c>
    </row>
    <row r="26" spans="3:16">
      <c r="C26" s="10" t="s">
        <v>105</v>
      </c>
      <c r="D26" s="13" t="s">
        <v>104</v>
      </c>
      <c r="E26" s="10">
        <v>1</v>
      </c>
      <c r="F26" s="10">
        <v>18</v>
      </c>
      <c r="G26" s="10" t="s">
        <v>180</v>
      </c>
      <c r="H26" s="10">
        <v>690</v>
      </c>
      <c r="I26" s="10">
        <f t="shared" si="8"/>
        <v>6.9</v>
      </c>
      <c r="J26" s="10">
        <f t="shared" si="9"/>
        <v>37.397655000000007</v>
      </c>
      <c r="K26" s="10">
        <f t="shared" si="10"/>
        <v>7.361888029291916</v>
      </c>
      <c r="L26" s="10">
        <f t="shared" si="11"/>
        <v>3.9387308533916851E-2</v>
      </c>
      <c r="M26" s="10">
        <f t="shared" si="12"/>
        <v>-3.2343116329980401</v>
      </c>
      <c r="N26" s="10">
        <f t="shared" si="13"/>
        <v>-0.12739083018373026</v>
      </c>
      <c r="O26" s="10">
        <f t="shared" si="14"/>
        <v>3.9387308533916849</v>
      </c>
      <c r="P26" s="10">
        <f t="shared" si="15"/>
        <v>3.680944014645958</v>
      </c>
    </row>
    <row r="27" spans="3:16">
      <c r="C27" s="10" t="s">
        <v>107</v>
      </c>
      <c r="D27" s="13" t="s">
        <v>106</v>
      </c>
      <c r="E27" s="10">
        <v>1</v>
      </c>
      <c r="F27" s="10">
        <v>4</v>
      </c>
      <c r="G27" s="10" t="s">
        <v>180</v>
      </c>
      <c r="H27" s="10">
        <v>57</v>
      </c>
      <c r="I27" s="10">
        <f t="shared" si="8"/>
        <v>0.56999999999999995</v>
      </c>
      <c r="J27" s="10">
        <f t="shared" si="9"/>
        <v>0.25520894999999999</v>
      </c>
      <c r="K27" s="10">
        <f t="shared" si="10"/>
        <v>5.0238971239591333E-2</v>
      </c>
      <c r="L27" s="10">
        <f t="shared" si="11"/>
        <v>8.7527352297592995E-3</v>
      </c>
      <c r="M27" s="10">
        <f t="shared" si="12"/>
        <v>-4.7383890297743143</v>
      </c>
      <c r="N27" s="10">
        <f t="shared" si="13"/>
        <v>-4.1473864593210626E-2</v>
      </c>
      <c r="O27" s="10">
        <f t="shared" si="14"/>
        <v>0.87527352297592997</v>
      </c>
      <c r="P27" s="10">
        <f t="shared" si="15"/>
        <v>2.5119485619795667E-2</v>
      </c>
    </row>
    <row r="28" spans="3:16">
      <c r="C28" s="10" t="s">
        <v>97</v>
      </c>
      <c r="D28" s="13" t="s">
        <v>166</v>
      </c>
      <c r="E28" s="10">
        <v>8</v>
      </c>
      <c r="F28" s="10">
        <v>2</v>
      </c>
      <c r="G28" s="10" t="s">
        <v>180</v>
      </c>
      <c r="H28" s="10">
        <v>38.299999999999997</v>
      </c>
      <c r="I28" s="10">
        <f t="shared" si="8"/>
        <v>0.38299999999999995</v>
      </c>
      <c r="J28" s="10">
        <f t="shared" si="9"/>
        <v>0.11522420949999997</v>
      </c>
      <c r="K28" s="10">
        <f t="shared" si="10"/>
        <v>2.2682377507431243E-2</v>
      </c>
      <c r="L28" s="10">
        <f t="shared" si="11"/>
        <v>4.3763676148796497E-3</v>
      </c>
      <c r="M28" s="10">
        <f t="shared" si="12"/>
        <v>-5.4315362103342597</v>
      </c>
      <c r="N28" s="10">
        <f t="shared" si="13"/>
        <v>-2.3770399169952997E-2</v>
      </c>
      <c r="O28" s="10">
        <f t="shared" si="14"/>
        <v>0.43763676148796499</v>
      </c>
      <c r="P28" s="10">
        <f t="shared" si="15"/>
        <v>1.1341188753715621E-2</v>
      </c>
    </row>
    <row r="29" spans="3:16">
      <c r="C29" s="10" t="s">
        <v>109</v>
      </c>
      <c r="D29" s="13" t="s">
        <v>149</v>
      </c>
      <c r="E29" s="10">
        <v>4</v>
      </c>
      <c r="F29" s="10">
        <v>1</v>
      </c>
      <c r="G29" s="10" t="s">
        <v>179</v>
      </c>
      <c r="H29" s="10">
        <v>51</v>
      </c>
      <c r="I29" s="10">
        <f t="shared" si="8"/>
        <v>0.51</v>
      </c>
      <c r="J29" s="10">
        <f t="shared" si="9"/>
        <v>0.20430855000000001</v>
      </c>
      <c r="K29" s="10">
        <f t="shared" si="10"/>
        <v>4.0219010216736552E-2</v>
      </c>
      <c r="L29" s="10">
        <f t="shared" si="11"/>
        <v>2.1881838074398249E-3</v>
      </c>
      <c r="M29" s="10">
        <f t="shared" si="12"/>
        <v>-6.1246833908942051</v>
      </c>
      <c r="N29" s="10">
        <f t="shared" si="13"/>
        <v>-1.3401933021650339E-2</v>
      </c>
      <c r="O29" s="10">
        <f t="shared" si="14"/>
        <v>0.21881838074398249</v>
      </c>
      <c r="P29" s="10">
        <f t="shared" si="15"/>
        <v>2.0109505108368276E-2</v>
      </c>
    </row>
    <row r="30" spans="3:16">
      <c r="C30" s="10" t="s">
        <v>109</v>
      </c>
      <c r="D30" s="13" t="s">
        <v>131</v>
      </c>
      <c r="E30" s="10">
        <v>2</v>
      </c>
      <c r="F30" s="10">
        <v>2</v>
      </c>
      <c r="G30" s="10" t="s">
        <v>180</v>
      </c>
      <c r="H30" s="10">
        <v>22</v>
      </c>
      <c r="I30" s="10">
        <f t="shared" si="8"/>
        <v>0.22</v>
      </c>
      <c r="J30" s="10">
        <f t="shared" si="9"/>
        <v>3.8018199999999995E-2</v>
      </c>
      <c r="K30" s="10">
        <f t="shared" si="10"/>
        <v>7.4840449615149887E-3</v>
      </c>
      <c r="L30" s="10">
        <f t="shared" si="11"/>
        <v>4.3763676148796497E-3</v>
      </c>
      <c r="M30" s="10">
        <f t="shared" si="12"/>
        <v>-5.4315362103342597</v>
      </c>
      <c r="N30" s="10">
        <f t="shared" si="13"/>
        <v>-2.3770399169952997E-2</v>
      </c>
      <c r="O30" s="10">
        <f t="shared" si="14"/>
        <v>0.43763676148796499</v>
      </c>
      <c r="P30" s="10">
        <f t="shared" si="15"/>
        <v>3.7420224807574944E-3</v>
      </c>
    </row>
    <row r="31" spans="3:16">
      <c r="C31" s="10" t="s">
        <v>109</v>
      </c>
      <c r="D31" s="13" t="s">
        <v>132</v>
      </c>
      <c r="E31" s="10">
        <v>2</v>
      </c>
      <c r="F31" s="10">
        <v>9</v>
      </c>
      <c r="G31" s="10" t="s">
        <v>180</v>
      </c>
      <c r="H31" s="10">
        <v>177</v>
      </c>
      <c r="I31" s="10">
        <f t="shared" si="8"/>
        <v>1.77</v>
      </c>
      <c r="J31" s="10">
        <f t="shared" si="9"/>
        <v>2.4608929500000003</v>
      </c>
      <c r="K31" s="10">
        <f t="shared" si="10"/>
        <v>0.48443728222996524</v>
      </c>
      <c r="L31" s="10">
        <f t="shared" si="11"/>
        <v>1.9693654266958426E-2</v>
      </c>
      <c r="M31" s="10">
        <f t="shared" si="12"/>
        <v>-3.9274588135579851</v>
      </c>
      <c r="N31" s="10">
        <f t="shared" si="13"/>
        <v>-7.7346016021929684E-2</v>
      </c>
      <c r="O31" s="10">
        <f t="shared" si="14"/>
        <v>1.9693654266958425</v>
      </c>
      <c r="P31" s="10">
        <f t="shared" si="15"/>
        <v>0.24221864111498262</v>
      </c>
    </row>
    <row r="32" spans="3:16">
      <c r="C32" s="10" t="s">
        <v>109</v>
      </c>
      <c r="D32" s="13" t="s">
        <v>110</v>
      </c>
      <c r="E32" s="10">
        <v>1</v>
      </c>
      <c r="F32" s="10">
        <v>19</v>
      </c>
      <c r="G32" s="10" t="s">
        <v>180</v>
      </c>
      <c r="H32" s="10">
        <v>294.2</v>
      </c>
      <c r="I32" s="10">
        <f t="shared" si="8"/>
        <v>2.9419999999999997</v>
      </c>
      <c r="J32" s="10">
        <f t="shared" si="9"/>
        <v>6.7987884219999986</v>
      </c>
      <c r="K32" s="10">
        <f t="shared" si="10"/>
        <v>1.3383705234355003</v>
      </c>
      <c r="L32" s="10">
        <f t="shared" si="11"/>
        <v>4.1575492341356671E-2</v>
      </c>
      <c r="M32" s="10">
        <f t="shared" si="12"/>
        <v>-3.1802444117277644</v>
      </c>
      <c r="N32" s="10">
        <f t="shared" si="13"/>
        <v>-0.13222022718343002</v>
      </c>
      <c r="O32" s="10">
        <f t="shared" si="14"/>
        <v>4.1575492341356668</v>
      </c>
      <c r="P32" s="10">
        <f t="shared" si="15"/>
        <v>0.66918526171775017</v>
      </c>
    </row>
    <row r="33" spans="3:16">
      <c r="C33" s="16" t="s">
        <v>151</v>
      </c>
      <c r="D33" s="13" t="s">
        <v>150</v>
      </c>
      <c r="E33" s="10">
        <v>4</v>
      </c>
      <c r="F33" s="10">
        <v>6</v>
      </c>
      <c r="G33" s="10" t="s">
        <v>180</v>
      </c>
      <c r="H33" s="10">
        <v>123</v>
      </c>
      <c r="I33" s="10">
        <f t="shared" si="8"/>
        <v>1.23</v>
      </c>
      <c r="J33" s="10">
        <f t="shared" si="9"/>
        <v>1.1883829499999998</v>
      </c>
      <c r="K33" s="10">
        <f t="shared" si="10"/>
        <v>0.23393825665859563</v>
      </c>
      <c r="L33" s="10">
        <f t="shared" si="11"/>
        <v>1.3129102844638949E-2</v>
      </c>
      <c r="M33" s="10">
        <f t="shared" si="12"/>
        <v>-4.3329239216661497</v>
      </c>
      <c r="N33" s="10">
        <f t="shared" si="13"/>
        <v>-5.6887403785551197E-2</v>
      </c>
      <c r="O33" s="10">
        <f t="shared" si="14"/>
        <v>1.3129102844638949</v>
      </c>
      <c r="P33" s="10">
        <f t="shared" si="15"/>
        <v>0.11696912832929782</v>
      </c>
    </row>
    <row r="34" spans="3:16">
      <c r="C34" s="10" t="s">
        <v>41</v>
      </c>
      <c r="D34" s="13" t="s">
        <v>160</v>
      </c>
      <c r="E34" s="10">
        <v>7</v>
      </c>
      <c r="F34" s="10">
        <v>1</v>
      </c>
      <c r="G34" s="10" t="s">
        <v>179</v>
      </c>
      <c r="H34" s="10">
        <v>17</v>
      </c>
      <c r="I34" s="10">
        <f t="shared" si="8"/>
        <v>0.17</v>
      </c>
      <c r="J34" s="10">
        <f t="shared" si="9"/>
        <v>2.2700950000000004E-2</v>
      </c>
      <c r="K34" s="10">
        <f t="shared" si="10"/>
        <v>4.4687789129707282E-3</v>
      </c>
      <c r="L34" s="10">
        <f t="shared" si="11"/>
        <v>2.1881838074398249E-3</v>
      </c>
      <c r="M34" s="10">
        <f t="shared" si="12"/>
        <v>-6.1246833908942051</v>
      </c>
      <c r="N34" s="10">
        <f t="shared" si="13"/>
        <v>-1.3401933021650339E-2</v>
      </c>
      <c r="O34" s="10">
        <f t="shared" si="14"/>
        <v>0.21881838074398249</v>
      </c>
      <c r="P34" s="10">
        <f t="shared" si="15"/>
        <v>2.2343894564853641E-3</v>
      </c>
    </row>
    <row r="35" spans="3:16">
      <c r="C35" s="10" t="s">
        <v>15</v>
      </c>
      <c r="D35" s="13" t="s">
        <v>83</v>
      </c>
      <c r="E35" s="10">
        <v>7</v>
      </c>
      <c r="F35" s="10">
        <v>2</v>
      </c>
      <c r="G35" s="10" t="s">
        <v>180</v>
      </c>
      <c r="H35" s="10">
        <v>60</v>
      </c>
      <c r="I35" s="10">
        <f t="shared" si="8"/>
        <v>0.6</v>
      </c>
      <c r="J35" s="10">
        <f t="shared" si="9"/>
        <v>0.28277999999999998</v>
      </c>
      <c r="K35" s="10">
        <f t="shared" si="10"/>
        <v>5.5666450126971002E-2</v>
      </c>
      <c r="L35" s="10">
        <f t="shared" si="11"/>
        <v>4.3763676148796497E-3</v>
      </c>
      <c r="M35" s="10">
        <f t="shared" si="12"/>
        <v>-5.4315362103342597</v>
      </c>
      <c r="N35" s="10">
        <f t="shared" si="13"/>
        <v>-2.3770399169952997E-2</v>
      </c>
      <c r="O35" s="10">
        <f t="shared" si="14"/>
        <v>0.43763676148796499</v>
      </c>
      <c r="P35" s="10">
        <f t="shared" si="15"/>
        <v>2.7833225063485501E-2</v>
      </c>
    </row>
    <row r="36" spans="3:16">
      <c r="C36" s="10" t="s">
        <v>15</v>
      </c>
      <c r="D36" s="13" t="s">
        <v>111</v>
      </c>
      <c r="E36" s="10">
        <v>1</v>
      </c>
      <c r="F36" s="10">
        <v>1</v>
      </c>
      <c r="G36" s="10" t="s">
        <v>180</v>
      </c>
      <c r="H36" s="10">
        <v>32</v>
      </c>
      <c r="I36" s="10">
        <f t="shared" si="8"/>
        <v>0.32</v>
      </c>
      <c r="J36" s="10">
        <f t="shared" si="9"/>
        <v>8.0435199999999998E-2</v>
      </c>
      <c r="K36" s="10">
        <f t="shared" si="10"/>
        <v>1.5834012480560638E-2</v>
      </c>
      <c r="L36" s="10">
        <f t="shared" si="11"/>
        <v>2.1881838074398249E-3</v>
      </c>
      <c r="M36" s="10">
        <f t="shared" si="12"/>
        <v>-6.1246833908942051</v>
      </c>
      <c r="N36" s="10">
        <f t="shared" si="13"/>
        <v>-1.3401933021650339E-2</v>
      </c>
      <c r="O36" s="10">
        <f t="shared" si="14"/>
        <v>0.21881838074398249</v>
      </c>
      <c r="P36" s="10">
        <f t="shared" si="15"/>
        <v>7.9170062402803189E-3</v>
      </c>
    </row>
    <row r="37" spans="3:16">
      <c r="C37" s="10" t="s">
        <v>21</v>
      </c>
      <c r="D37" s="13" t="s">
        <v>20</v>
      </c>
      <c r="E37" s="10">
        <v>1</v>
      </c>
      <c r="F37" s="10">
        <v>27</v>
      </c>
      <c r="G37" s="10" t="s">
        <v>180</v>
      </c>
      <c r="H37" s="10">
        <v>413.8</v>
      </c>
      <c r="I37" s="10">
        <f t="shared" si="8"/>
        <v>4.1379999999999999</v>
      </c>
      <c r="J37" s="10">
        <f t="shared" si="9"/>
        <v>13.450151062</v>
      </c>
      <c r="K37" s="10">
        <f t="shared" si="10"/>
        <v>2.6477196523553612</v>
      </c>
      <c r="L37" s="10">
        <f t="shared" si="11"/>
        <v>5.9080962800875277E-2</v>
      </c>
      <c r="M37" s="10">
        <f t="shared" si="12"/>
        <v>-2.8288465248898755</v>
      </c>
      <c r="N37" s="10">
        <f t="shared" si="13"/>
        <v>-0.16713097630640403</v>
      </c>
      <c r="O37" s="10">
        <f t="shared" si="14"/>
        <v>5.9080962800875279</v>
      </c>
      <c r="P37" s="10">
        <f t="shared" si="15"/>
        <v>1.3238598261776806</v>
      </c>
    </row>
    <row r="38" spans="3:16">
      <c r="C38" s="10" t="s">
        <v>41</v>
      </c>
      <c r="D38" s="13" t="s">
        <v>133</v>
      </c>
      <c r="E38" s="10">
        <v>2</v>
      </c>
      <c r="F38" s="10">
        <v>2</v>
      </c>
      <c r="G38" s="10" t="s">
        <v>179</v>
      </c>
      <c r="H38" s="10">
        <v>113</v>
      </c>
      <c r="I38" s="10">
        <f t="shared" si="8"/>
        <v>1.1299999999999999</v>
      </c>
      <c r="J38" s="10">
        <f t="shared" si="9"/>
        <v>1.0030049499999998</v>
      </c>
      <c r="K38" s="10">
        <f t="shared" si="10"/>
        <v>0.19744580601980349</v>
      </c>
      <c r="L38" s="10">
        <f t="shared" si="11"/>
        <v>4.3763676148796497E-3</v>
      </c>
      <c r="M38" s="10">
        <f t="shared" si="12"/>
        <v>-5.4315362103342597</v>
      </c>
      <c r="N38" s="10">
        <f t="shared" si="13"/>
        <v>-2.3770399169952997E-2</v>
      </c>
      <c r="O38" s="10">
        <f t="shared" si="14"/>
        <v>0.43763676148796499</v>
      </c>
      <c r="P38" s="10">
        <f t="shared" si="15"/>
        <v>9.8722903009901747E-2</v>
      </c>
    </row>
    <row r="39" spans="3:16">
      <c r="C39" s="10" t="s">
        <v>39</v>
      </c>
      <c r="D39" s="13" t="s">
        <v>254</v>
      </c>
      <c r="E39" s="10">
        <v>4</v>
      </c>
      <c r="F39" s="10">
        <v>1</v>
      </c>
      <c r="G39" s="10" t="s">
        <v>255</v>
      </c>
      <c r="H39" s="10">
        <v>31</v>
      </c>
      <c r="I39" s="10">
        <f t="shared" si="8"/>
        <v>0.31</v>
      </c>
      <c r="J39" s="10">
        <f t="shared" si="9"/>
        <v>7.5486549999999999E-2</v>
      </c>
      <c r="K39" s="10">
        <f t="shared" si="10"/>
        <v>1.485984960333865E-2</v>
      </c>
      <c r="L39" s="10">
        <f t="shared" si="11"/>
        <v>2.1881838074398249E-3</v>
      </c>
      <c r="M39" s="10">
        <f t="shared" si="12"/>
        <v>-6.1246833908942051</v>
      </c>
      <c r="N39" s="10">
        <f t="shared" si="13"/>
        <v>-1.3401933021650339E-2</v>
      </c>
      <c r="O39" s="10">
        <f t="shared" si="14"/>
        <v>0.21881838074398249</v>
      </c>
      <c r="P39" s="10">
        <f t="shared" si="15"/>
        <v>7.4299248016693248E-3</v>
      </c>
    </row>
    <row r="40" spans="3:16">
      <c r="C40" s="10" t="s">
        <v>24</v>
      </c>
      <c r="D40" s="13" t="s">
        <v>168</v>
      </c>
      <c r="E40" s="10">
        <v>8</v>
      </c>
      <c r="F40" s="10">
        <v>1</v>
      </c>
      <c r="G40" s="10" t="s">
        <v>180</v>
      </c>
      <c r="H40" s="10">
        <v>12.8</v>
      </c>
      <c r="I40" s="10">
        <f t="shared" ref="I40:I65" si="16">H40/100</f>
        <v>0.128</v>
      </c>
      <c r="J40" s="10">
        <f t="shared" ref="J40:J65" si="17">((3.142*(I40)^2/4))</f>
        <v>1.2869631999999999E-2</v>
      </c>
      <c r="K40" s="10">
        <f t="shared" ref="K40:K65" si="18">(J40/507.99)*100</f>
        <v>2.5334419968897023E-3</v>
      </c>
      <c r="L40" s="10">
        <f t="shared" ref="L40:L65" si="19">F40/457</f>
        <v>2.1881838074398249E-3</v>
      </c>
      <c r="M40" s="10">
        <f t="shared" ref="M40:M65" si="20">LN(L40)</f>
        <v>-6.1246833908942051</v>
      </c>
      <c r="N40" s="10">
        <f t="shared" ref="N40:N65" si="21">L40*M40</f>
        <v>-1.3401933021650339E-2</v>
      </c>
      <c r="O40" s="10">
        <f t="shared" ref="O40:O65" si="22">F40/457*100</f>
        <v>0.21881838074398249</v>
      </c>
      <c r="P40" s="10">
        <f t="shared" ref="P40:P65" si="23">K40/2</f>
        <v>1.2667209984448511E-3</v>
      </c>
    </row>
    <row r="41" spans="3:16">
      <c r="C41" s="10" t="s">
        <v>143</v>
      </c>
      <c r="D41" s="13" t="s">
        <v>142</v>
      </c>
      <c r="E41" s="10">
        <v>3</v>
      </c>
      <c r="F41" s="10">
        <v>2</v>
      </c>
      <c r="G41" s="10" t="s">
        <v>180</v>
      </c>
      <c r="H41" s="10">
        <v>24</v>
      </c>
      <c r="I41" s="10">
        <f t="shared" si="16"/>
        <v>0.24</v>
      </c>
      <c r="J41" s="10">
        <f t="shared" si="17"/>
        <v>4.5244799999999995E-2</v>
      </c>
      <c r="K41" s="10">
        <f t="shared" si="18"/>
        <v>8.9066320203153582E-3</v>
      </c>
      <c r="L41" s="10">
        <f t="shared" si="19"/>
        <v>4.3763676148796497E-3</v>
      </c>
      <c r="M41" s="10">
        <f t="shared" si="20"/>
        <v>-5.4315362103342597</v>
      </c>
      <c r="N41" s="10">
        <f t="shared" si="21"/>
        <v>-2.3770399169952997E-2</v>
      </c>
      <c r="O41" s="10">
        <f t="shared" si="22"/>
        <v>0.43763676148796499</v>
      </c>
      <c r="P41" s="10">
        <f t="shared" si="23"/>
        <v>4.4533160101576791E-3</v>
      </c>
    </row>
    <row r="42" spans="3:16">
      <c r="C42" s="10" t="s">
        <v>15</v>
      </c>
      <c r="D42" s="13" t="s">
        <v>26</v>
      </c>
      <c r="E42" s="10">
        <v>5</v>
      </c>
      <c r="F42" s="10">
        <v>4</v>
      </c>
      <c r="G42" s="10" t="s">
        <v>181</v>
      </c>
      <c r="H42" s="10">
        <v>158</v>
      </c>
      <c r="I42" s="10">
        <f t="shared" si="16"/>
        <v>1.58</v>
      </c>
      <c r="J42" s="10">
        <f t="shared" si="17"/>
        <v>1.9609222000000002</v>
      </c>
      <c r="K42" s="10">
        <f t="shared" si="18"/>
        <v>0.38601590582491785</v>
      </c>
      <c r="L42" s="10">
        <f t="shared" si="19"/>
        <v>8.7527352297592995E-3</v>
      </c>
      <c r="M42" s="10">
        <f t="shared" si="20"/>
        <v>-4.7383890297743143</v>
      </c>
      <c r="N42" s="10">
        <f t="shared" si="21"/>
        <v>-4.1473864593210626E-2</v>
      </c>
      <c r="O42" s="10">
        <f t="shared" si="22"/>
        <v>0.87527352297592997</v>
      </c>
      <c r="P42" s="10">
        <f t="shared" si="23"/>
        <v>0.19300795291245892</v>
      </c>
    </row>
    <row r="43" spans="3:16">
      <c r="C43" s="10" t="s">
        <v>77</v>
      </c>
      <c r="D43" s="13" t="s">
        <v>112</v>
      </c>
      <c r="E43" s="10">
        <v>1</v>
      </c>
      <c r="F43" s="10">
        <v>4</v>
      </c>
      <c r="G43" s="10" t="s">
        <v>180</v>
      </c>
      <c r="H43" s="10">
        <v>126</v>
      </c>
      <c r="I43" s="10">
        <f t="shared" si="16"/>
        <v>1.26</v>
      </c>
      <c r="J43" s="10">
        <f t="shared" si="17"/>
        <v>1.2470598000000002</v>
      </c>
      <c r="K43" s="10">
        <f t="shared" si="18"/>
        <v>0.24548904505994215</v>
      </c>
      <c r="L43" s="10">
        <f t="shared" si="19"/>
        <v>8.7527352297592995E-3</v>
      </c>
      <c r="M43" s="10">
        <f t="shared" si="20"/>
        <v>-4.7383890297743143</v>
      </c>
      <c r="N43" s="10">
        <f t="shared" si="21"/>
        <v>-4.1473864593210626E-2</v>
      </c>
      <c r="O43" s="10">
        <f t="shared" si="22"/>
        <v>0.87527352297592997</v>
      </c>
      <c r="P43" s="10">
        <f t="shared" si="23"/>
        <v>0.12274452252997108</v>
      </c>
    </row>
    <row r="44" spans="3:16">
      <c r="C44" s="10" t="s">
        <v>114</v>
      </c>
      <c r="D44" s="13" t="s">
        <v>113</v>
      </c>
      <c r="E44" s="10">
        <v>1</v>
      </c>
      <c r="F44" s="10">
        <v>1</v>
      </c>
      <c r="H44" s="10">
        <v>20</v>
      </c>
      <c r="I44" s="10">
        <f t="shared" si="16"/>
        <v>0.2</v>
      </c>
      <c r="J44" s="10">
        <f t="shared" si="17"/>
        <v>3.1420000000000003E-2</v>
      </c>
      <c r="K44" s="10">
        <f t="shared" si="18"/>
        <v>6.1851611252190008E-3</v>
      </c>
      <c r="L44" s="10">
        <f t="shared" si="19"/>
        <v>2.1881838074398249E-3</v>
      </c>
      <c r="M44" s="10">
        <f t="shared" si="20"/>
        <v>-6.1246833908942051</v>
      </c>
      <c r="N44" s="10">
        <f t="shared" si="21"/>
        <v>-1.3401933021650339E-2</v>
      </c>
      <c r="O44" s="10">
        <f t="shared" si="22"/>
        <v>0.21881838074398249</v>
      </c>
      <c r="P44" s="10">
        <f t="shared" si="23"/>
        <v>3.0925805626095004E-3</v>
      </c>
    </row>
    <row r="45" spans="3:16">
      <c r="C45" s="10" t="s">
        <v>114</v>
      </c>
      <c r="D45" s="13" t="s">
        <v>134</v>
      </c>
      <c r="E45" s="10">
        <v>2</v>
      </c>
      <c r="F45" s="10">
        <v>16</v>
      </c>
      <c r="G45" s="10" t="s">
        <v>180</v>
      </c>
      <c r="H45" s="10">
        <v>207</v>
      </c>
      <c r="I45" s="10">
        <f t="shared" si="16"/>
        <v>2.0699999999999998</v>
      </c>
      <c r="J45" s="10">
        <f t="shared" si="17"/>
        <v>3.3657889499999993</v>
      </c>
      <c r="K45" s="10">
        <f t="shared" si="18"/>
        <v>0.66256992263627223</v>
      </c>
      <c r="L45" s="10">
        <f t="shared" si="19"/>
        <v>3.5010940919037198E-2</v>
      </c>
      <c r="M45" s="10">
        <f t="shared" si="20"/>
        <v>-3.3520946686544235</v>
      </c>
      <c r="N45" s="10">
        <f t="shared" si="21"/>
        <v>-0.11735998839927959</v>
      </c>
      <c r="O45" s="10">
        <f t="shared" si="22"/>
        <v>3.5010940919037199</v>
      </c>
      <c r="P45" s="10">
        <f t="shared" si="23"/>
        <v>0.33128496131813612</v>
      </c>
    </row>
    <row r="46" spans="3:16">
      <c r="C46" s="10" t="s">
        <v>93</v>
      </c>
      <c r="D46" s="13" t="s">
        <v>116</v>
      </c>
      <c r="E46" s="10">
        <v>1</v>
      </c>
      <c r="F46" s="10">
        <v>4</v>
      </c>
      <c r="G46" s="10" t="s">
        <v>181</v>
      </c>
      <c r="H46" s="10">
        <v>161.5</v>
      </c>
      <c r="I46" s="10">
        <f t="shared" si="16"/>
        <v>1.615</v>
      </c>
      <c r="J46" s="10">
        <f t="shared" si="17"/>
        <v>2.0487607374999999</v>
      </c>
      <c r="K46" s="10">
        <f t="shared" si="18"/>
        <v>0.40330729689560818</v>
      </c>
      <c r="L46" s="10">
        <f t="shared" si="19"/>
        <v>8.7527352297592995E-3</v>
      </c>
      <c r="M46" s="10">
        <f t="shared" si="20"/>
        <v>-4.7383890297743143</v>
      </c>
      <c r="N46" s="10">
        <f t="shared" si="21"/>
        <v>-4.1473864593210626E-2</v>
      </c>
      <c r="O46" s="10">
        <f t="shared" si="22"/>
        <v>0.87527352297592997</v>
      </c>
      <c r="P46" s="10">
        <f t="shared" si="23"/>
        <v>0.20165364844780409</v>
      </c>
    </row>
    <row r="47" spans="3:16">
      <c r="C47" s="10" t="s">
        <v>46</v>
      </c>
      <c r="D47" s="13" t="s">
        <v>27</v>
      </c>
      <c r="E47" s="10">
        <v>4</v>
      </c>
      <c r="F47" s="10">
        <v>2</v>
      </c>
      <c r="G47" s="10" t="s">
        <v>180</v>
      </c>
      <c r="H47" s="10">
        <v>24.2</v>
      </c>
      <c r="I47" s="10">
        <f t="shared" si="16"/>
        <v>0.24199999999999999</v>
      </c>
      <c r="J47" s="10">
        <f t="shared" si="17"/>
        <v>4.6002021999999997E-2</v>
      </c>
      <c r="K47" s="10">
        <f t="shared" si="18"/>
        <v>9.0556944034331371E-3</v>
      </c>
      <c r="L47" s="10">
        <f t="shared" si="19"/>
        <v>4.3763676148796497E-3</v>
      </c>
      <c r="M47" s="10">
        <f t="shared" si="20"/>
        <v>-5.4315362103342597</v>
      </c>
      <c r="N47" s="10">
        <f t="shared" si="21"/>
        <v>-2.3770399169952997E-2</v>
      </c>
      <c r="O47" s="10">
        <f t="shared" si="22"/>
        <v>0.43763676148796499</v>
      </c>
      <c r="P47" s="10">
        <f t="shared" si="23"/>
        <v>4.5278472017165686E-3</v>
      </c>
    </row>
    <row r="48" spans="3:16">
      <c r="C48" s="10" t="s">
        <v>21</v>
      </c>
      <c r="D48" s="13" t="s">
        <v>135</v>
      </c>
      <c r="E48" s="10">
        <v>2</v>
      </c>
      <c r="F48" s="10">
        <v>41</v>
      </c>
      <c r="H48" s="10">
        <v>771</v>
      </c>
      <c r="I48" s="10">
        <f t="shared" si="16"/>
        <v>7.71</v>
      </c>
      <c r="J48" s="10">
        <f t="shared" si="17"/>
        <v>46.693340549999995</v>
      </c>
      <c r="K48" s="10">
        <f t="shared" si="18"/>
        <v>9.1917834110907695</v>
      </c>
      <c r="L48" s="10">
        <f t="shared" si="19"/>
        <v>8.9715536105032828E-2</v>
      </c>
      <c r="M48" s="10">
        <f t="shared" si="20"/>
        <v>-2.4111113241898967</v>
      </c>
      <c r="N48" s="10">
        <f t="shared" si="21"/>
        <v>-0.21631414505861218</v>
      </c>
      <c r="O48" s="10">
        <f t="shared" si="22"/>
        <v>8.9715536105032836</v>
      </c>
      <c r="P48" s="10">
        <f t="shared" si="23"/>
        <v>4.5958917055453847</v>
      </c>
    </row>
    <row r="49" spans="3:16">
      <c r="C49" s="10" t="s">
        <v>118</v>
      </c>
      <c r="D49" s="13" t="s">
        <v>161</v>
      </c>
      <c r="E49" s="10">
        <v>7</v>
      </c>
      <c r="F49" s="10">
        <v>2</v>
      </c>
      <c r="G49" s="10" t="s">
        <v>180</v>
      </c>
      <c r="H49" s="10">
        <v>44.5</v>
      </c>
      <c r="I49" s="10">
        <f t="shared" si="16"/>
        <v>0.44500000000000001</v>
      </c>
      <c r="J49" s="10">
        <f t="shared" si="17"/>
        <v>0.1555486375</v>
      </c>
      <c r="K49" s="10">
        <f t="shared" si="18"/>
        <v>3.0620413295537312E-2</v>
      </c>
      <c r="L49" s="10">
        <f t="shared" si="19"/>
        <v>4.3763676148796497E-3</v>
      </c>
      <c r="M49" s="10">
        <f t="shared" si="20"/>
        <v>-5.4315362103342597</v>
      </c>
      <c r="N49" s="10">
        <f t="shared" si="21"/>
        <v>-2.3770399169952997E-2</v>
      </c>
      <c r="O49" s="10">
        <f t="shared" si="22"/>
        <v>0.43763676148796499</v>
      </c>
      <c r="P49" s="10">
        <f t="shared" si="23"/>
        <v>1.5310206647768656E-2</v>
      </c>
    </row>
    <row r="50" spans="3:16">
      <c r="C50" s="10" t="s">
        <v>31</v>
      </c>
      <c r="D50" s="13" t="s">
        <v>170</v>
      </c>
      <c r="E50" s="10">
        <v>8</v>
      </c>
      <c r="F50" s="10">
        <v>1</v>
      </c>
      <c r="G50" s="10" t="s">
        <v>179</v>
      </c>
      <c r="H50" s="10">
        <v>10.7</v>
      </c>
      <c r="I50" s="10">
        <f t="shared" si="16"/>
        <v>0.107</v>
      </c>
      <c r="J50" s="10">
        <f t="shared" si="17"/>
        <v>8.9931894999999984E-3</v>
      </c>
      <c r="K50" s="10">
        <f t="shared" si="18"/>
        <v>1.7703477430658081E-3</v>
      </c>
      <c r="L50" s="10">
        <f t="shared" si="19"/>
        <v>2.1881838074398249E-3</v>
      </c>
      <c r="M50" s="10">
        <f t="shared" si="20"/>
        <v>-6.1246833908942051</v>
      </c>
      <c r="N50" s="10">
        <f t="shared" si="21"/>
        <v>-1.3401933021650339E-2</v>
      </c>
      <c r="O50" s="10">
        <f t="shared" si="22"/>
        <v>0.21881838074398249</v>
      </c>
      <c r="P50" s="10">
        <f t="shared" si="23"/>
        <v>8.8517387153290406E-4</v>
      </c>
    </row>
    <row r="51" spans="3:16">
      <c r="C51" s="10" t="s">
        <v>31</v>
      </c>
      <c r="D51" s="13" t="s">
        <v>170</v>
      </c>
      <c r="E51" s="10">
        <v>8</v>
      </c>
      <c r="F51" s="10">
        <v>3</v>
      </c>
      <c r="G51" s="10" t="s">
        <v>179</v>
      </c>
      <c r="H51" s="10">
        <v>30.9</v>
      </c>
      <c r="I51" s="10">
        <f t="shared" si="16"/>
        <v>0.309</v>
      </c>
      <c r="J51" s="10">
        <f t="shared" si="17"/>
        <v>7.5000325499999992E-2</v>
      </c>
      <c r="K51" s="10">
        <f t="shared" si="18"/>
        <v>1.4764134234925884E-2</v>
      </c>
      <c r="L51" s="10">
        <f t="shared" si="19"/>
        <v>6.5645514223194746E-3</v>
      </c>
      <c r="M51" s="10">
        <f t="shared" si="20"/>
        <v>-5.0260711022260951</v>
      </c>
      <c r="N51" s="10">
        <f t="shared" si="21"/>
        <v>-3.2993902202797125E-2</v>
      </c>
      <c r="O51" s="10">
        <f t="shared" si="22"/>
        <v>0.65645514223194745</v>
      </c>
      <c r="P51" s="10">
        <f t="shared" si="23"/>
        <v>7.3820671174629421E-3</v>
      </c>
    </row>
    <row r="52" spans="3:16">
      <c r="C52" s="10" t="s">
        <v>53</v>
      </c>
      <c r="D52" s="13" t="s">
        <v>171</v>
      </c>
      <c r="E52" s="10">
        <v>8</v>
      </c>
      <c r="F52" s="10">
        <v>3</v>
      </c>
      <c r="G52" s="10" t="s">
        <v>180</v>
      </c>
      <c r="H52" s="10">
        <v>142</v>
      </c>
      <c r="I52" s="10">
        <f t="shared" si="16"/>
        <v>1.42</v>
      </c>
      <c r="J52" s="10">
        <f t="shared" si="17"/>
        <v>1.5838821999999999</v>
      </c>
      <c r="K52" s="10">
        <f t="shared" si="18"/>
        <v>0.31179397232228978</v>
      </c>
      <c r="L52" s="10">
        <f t="shared" si="19"/>
        <v>6.5645514223194746E-3</v>
      </c>
      <c r="M52" s="10">
        <f t="shared" si="20"/>
        <v>-5.0260711022260951</v>
      </c>
      <c r="N52" s="10">
        <f t="shared" si="21"/>
        <v>-3.2993902202797125E-2</v>
      </c>
      <c r="O52" s="10">
        <f t="shared" si="22"/>
        <v>0.65645514223194745</v>
      </c>
      <c r="P52" s="10">
        <f t="shared" si="23"/>
        <v>0.15589698616114489</v>
      </c>
    </row>
    <row r="53" spans="3:16">
      <c r="C53" s="10" t="s">
        <v>45</v>
      </c>
      <c r="D53" s="13" t="s">
        <v>119</v>
      </c>
      <c r="E53" s="10">
        <v>1</v>
      </c>
      <c r="F53" s="10">
        <v>8</v>
      </c>
      <c r="G53" s="10" t="s">
        <v>180</v>
      </c>
      <c r="H53" s="10">
        <v>282.60000000000002</v>
      </c>
      <c r="I53" s="10">
        <f t="shared" si="16"/>
        <v>2.8260000000000001</v>
      </c>
      <c r="J53" s="10">
        <f t="shared" si="17"/>
        <v>6.2732197979999995</v>
      </c>
      <c r="K53" s="10">
        <f t="shared" si="18"/>
        <v>1.2349100962617372</v>
      </c>
      <c r="L53" s="10">
        <f t="shared" si="19"/>
        <v>1.7505470459518599E-2</v>
      </c>
      <c r="M53" s="10">
        <f t="shared" si="20"/>
        <v>-4.0452418492143689</v>
      </c>
      <c r="N53" s="10">
        <f t="shared" si="21"/>
        <v>-7.0813861693030528E-2</v>
      </c>
      <c r="O53" s="10">
        <f t="shared" si="22"/>
        <v>1.7505470459518599</v>
      </c>
      <c r="P53" s="10">
        <f t="shared" si="23"/>
        <v>0.6174550481308686</v>
      </c>
    </row>
    <row r="54" spans="3:16">
      <c r="C54" s="10" t="s">
        <v>93</v>
      </c>
      <c r="D54" s="13" t="s">
        <v>248</v>
      </c>
      <c r="E54" s="10">
        <v>8</v>
      </c>
      <c r="F54" s="10">
        <v>1</v>
      </c>
      <c r="G54" s="10" t="s">
        <v>180</v>
      </c>
      <c r="H54" s="10">
        <v>10.1</v>
      </c>
      <c r="I54" s="10">
        <f t="shared" si="16"/>
        <v>0.10099999999999999</v>
      </c>
      <c r="J54" s="10">
        <f t="shared" si="17"/>
        <v>8.0128854999999988E-3</v>
      </c>
      <c r="K54" s="10">
        <f t="shared" si="18"/>
        <v>1.5773707159589753E-3</v>
      </c>
      <c r="L54" s="10">
        <f t="shared" si="19"/>
        <v>2.1881838074398249E-3</v>
      </c>
      <c r="M54" s="10">
        <f t="shared" si="20"/>
        <v>-6.1246833908942051</v>
      </c>
      <c r="N54" s="10">
        <f t="shared" si="21"/>
        <v>-1.3401933021650339E-2</v>
      </c>
      <c r="O54" s="10">
        <f t="shared" si="22"/>
        <v>0.21881838074398249</v>
      </c>
      <c r="P54" s="10">
        <f t="shared" si="23"/>
        <v>7.8868535797948765E-4</v>
      </c>
    </row>
    <row r="55" spans="3:16">
      <c r="C55" s="10" t="s">
        <v>93</v>
      </c>
      <c r="D55" s="13" t="s">
        <v>162</v>
      </c>
      <c r="E55" s="10">
        <v>7</v>
      </c>
      <c r="F55" s="10">
        <v>1</v>
      </c>
      <c r="G55" s="10" t="s">
        <v>180</v>
      </c>
      <c r="H55" s="10">
        <v>10</v>
      </c>
      <c r="I55" s="10">
        <f t="shared" si="16"/>
        <v>0.1</v>
      </c>
      <c r="J55" s="10">
        <f t="shared" si="17"/>
        <v>7.8550000000000009E-3</v>
      </c>
      <c r="K55" s="10">
        <f t="shared" si="18"/>
        <v>1.5462902813047502E-3</v>
      </c>
      <c r="L55" s="10">
        <f t="shared" si="19"/>
        <v>2.1881838074398249E-3</v>
      </c>
      <c r="M55" s="10">
        <f t="shared" si="20"/>
        <v>-6.1246833908942051</v>
      </c>
      <c r="N55" s="10">
        <f t="shared" si="21"/>
        <v>-1.3401933021650339E-2</v>
      </c>
      <c r="O55" s="10">
        <f t="shared" si="22"/>
        <v>0.21881838074398249</v>
      </c>
      <c r="P55" s="10">
        <f t="shared" si="23"/>
        <v>7.7314514065237509E-4</v>
      </c>
    </row>
    <row r="56" spans="3:16">
      <c r="C56" s="10" t="s">
        <v>31</v>
      </c>
      <c r="D56" s="13" t="s">
        <v>120</v>
      </c>
      <c r="E56" s="10">
        <v>1</v>
      </c>
      <c r="F56" s="10">
        <v>8</v>
      </c>
      <c r="G56" s="10" t="s">
        <v>179</v>
      </c>
      <c r="H56" s="10">
        <v>189</v>
      </c>
      <c r="I56" s="10">
        <f t="shared" si="16"/>
        <v>1.89</v>
      </c>
      <c r="J56" s="10">
        <f t="shared" si="17"/>
        <v>2.8058845499999996</v>
      </c>
      <c r="K56" s="10">
        <f t="shared" si="18"/>
        <v>0.55235035138486965</v>
      </c>
      <c r="L56" s="10">
        <f t="shared" si="19"/>
        <v>1.7505470459518599E-2</v>
      </c>
      <c r="M56" s="10">
        <f t="shared" si="20"/>
        <v>-4.0452418492143689</v>
      </c>
      <c r="N56" s="10">
        <f t="shared" si="21"/>
        <v>-7.0813861693030528E-2</v>
      </c>
      <c r="O56" s="10">
        <f t="shared" si="22"/>
        <v>1.7505470459518599</v>
      </c>
      <c r="P56" s="10">
        <f t="shared" si="23"/>
        <v>0.27617517569243483</v>
      </c>
    </row>
    <row r="57" spans="3:16">
      <c r="C57" s="10" t="s">
        <v>31</v>
      </c>
      <c r="D57" s="13" t="s">
        <v>121</v>
      </c>
      <c r="E57" s="10">
        <v>1</v>
      </c>
      <c r="F57" s="10">
        <v>2</v>
      </c>
      <c r="G57" s="10" t="s">
        <v>180</v>
      </c>
      <c r="H57" s="10">
        <v>40</v>
      </c>
      <c r="I57" s="10">
        <f t="shared" si="16"/>
        <v>0.4</v>
      </c>
      <c r="J57" s="10">
        <f t="shared" si="17"/>
        <v>0.12568000000000001</v>
      </c>
      <c r="K57" s="10">
        <f t="shared" si="18"/>
        <v>2.4740644500876003E-2</v>
      </c>
      <c r="L57" s="10">
        <f t="shared" si="19"/>
        <v>4.3763676148796497E-3</v>
      </c>
      <c r="M57" s="10">
        <f t="shared" si="20"/>
        <v>-5.4315362103342597</v>
      </c>
      <c r="N57" s="10">
        <f t="shared" si="21"/>
        <v>-2.3770399169952997E-2</v>
      </c>
      <c r="O57" s="10">
        <f t="shared" si="22"/>
        <v>0.43763676148796499</v>
      </c>
      <c r="P57" s="10">
        <f t="shared" si="23"/>
        <v>1.2370322250438002E-2</v>
      </c>
    </row>
    <row r="58" spans="3:16">
      <c r="C58" s="10" t="s">
        <v>31</v>
      </c>
      <c r="D58" s="13" t="s">
        <v>62</v>
      </c>
      <c r="E58" s="10">
        <v>8</v>
      </c>
      <c r="F58" s="10">
        <v>1</v>
      </c>
      <c r="G58" s="10" t="s">
        <v>180</v>
      </c>
      <c r="H58" s="10">
        <v>10.4</v>
      </c>
      <c r="I58" s="10">
        <f t="shared" si="16"/>
        <v>0.10400000000000001</v>
      </c>
      <c r="J58" s="10">
        <f t="shared" si="17"/>
        <v>8.4959680000000013E-3</v>
      </c>
      <c r="K58" s="10">
        <f t="shared" si="18"/>
        <v>1.6724675682592181E-3</v>
      </c>
      <c r="L58" s="10">
        <f t="shared" si="19"/>
        <v>2.1881838074398249E-3</v>
      </c>
      <c r="M58" s="10">
        <f t="shared" si="20"/>
        <v>-6.1246833908942051</v>
      </c>
      <c r="N58" s="10">
        <f t="shared" si="21"/>
        <v>-1.3401933021650339E-2</v>
      </c>
      <c r="O58" s="10">
        <f t="shared" si="22"/>
        <v>0.21881838074398249</v>
      </c>
      <c r="P58" s="10">
        <f t="shared" si="23"/>
        <v>8.3623378412960904E-4</v>
      </c>
    </row>
    <row r="59" spans="3:16">
      <c r="C59" s="10" t="s">
        <v>123</v>
      </c>
      <c r="D59" s="13" t="s">
        <v>256</v>
      </c>
      <c r="E59" s="10">
        <v>2</v>
      </c>
      <c r="F59" s="10">
        <v>47</v>
      </c>
      <c r="G59" s="10" t="s">
        <v>180</v>
      </c>
      <c r="H59" s="10">
        <v>1129</v>
      </c>
      <c r="I59" s="10">
        <f t="shared" si="16"/>
        <v>11.29</v>
      </c>
      <c r="J59" s="10">
        <f t="shared" si="17"/>
        <v>100.12305054999999</v>
      </c>
      <c r="K59" s="10">
        <f t="shared" si="18"/>
        <v>19.709649904525676</v>
      </c>
      <c r="L59" s="10">
        <f t="shared" si="19"/>
        <v>0.10284463894967177</v>
      </c>
      <c r="M59" s="10">
        <f t="shared" si="20"/>
        <v>-2.2745357891841462</v>
      </c>
      <c r="N59" s="10">
        <f t="shared" si="21"/>
        <v>-0.23392381201675028</v>
      </c>
      <c r="O59" s="10">
        <f t="shared" si="22"/>
        <v>10.284463894967178</v>
      </c>
      <c r="P59" s="10">
        <f t="shared" si="23"/>
        <v>9.8548249522628382</v>
      </c>
    </row>
    <row r="60" spans="3:16">
      <c r="C60" s="10" t="s">
        <v>137</v>
      </c>
      <c r="D60" s="13" t="s">
        <v>156</v>
      </c>
      <c r="E60" s="10">
        <v>5</v>
      </c>
      <c r="F60" s="10">
        <v>4</v>
      </c>
      <c r="G60" s="10" t="s">
        <v>179</v>
      </c>
      <c r="H60" s="10">
        <v>71</v>
      </c>
      <c r="I60" s="10">
        <f t="shared" si="16"/>
        <v>0.71</v>
      </c>
      <c r="J60" s="10">
        <f t="shared" si="17"/>
        <v>0.39597054999999998</v>
      </c>
      <c r="K60" s="10">
        <f t="shared" si="18"/>
        <v>7.7948493080572445E-2</v>
      </c>
      <c r="L60" s="10">
        <f t="shared" si="19"/>
        <v>8.7527352297592995E-3</v>
      </c>
      <c r="M60" s="10">
        <f t="shared" si="20"/>
        <v>-4.7383890297743143</v>
      </c>
      <c r="N60" s="10">
        <f t="shared" si="21"/>
        <v>-4.1473864593210626E-2</v>
      </c>
      <c r="O60" s="10">
        <f t="shared" si="22"/>
        <v>0.87527352297592997</v>
      </c>
      <c r="P60" s="10">
        <f t="shared" si="23"/>
        <v>3.8974246540286223E-2</v>
      </c>
    </row>
    <row r="61" spans="3:16">
      <c r="C61" s="10" t="s">
        <v>31</v>
      </c>
      <c r="D61" s="13" t="s">
        <v>124</v>
      </c>
      <c r="E61" s="10">
        <v>1</v>
      </c>
      <c r="F61" s="10">
        <v>3</v>
      </c>
      <c r="H61" s="10">
        <v>122</v>
      </c>
      <c r="I61" s="10">
        <f t="shared" si="16"/>
        <v>1.22</v>
      </c>
      <c r="J61" s="10">
        <f t="shared" si="17"/>
        <v>1.1691381999999999</v>
      </c>
      <c r="K61" s="10">
        <f t="shared" si="18"/>
        <v>0.23014984546939898</v>
      </c>
      <c r="L61" s="10">
        <f t="shared" si="19"/>
        <v>6.5645514223194746E-3</v>
      </c>
      <c r="M61" s="10">
        <f t="shared" si="20"/>
        <v>-5.0260711022260951</v>
      </c>
      <c r="N61" s="10">
        <f t="shared" si="21"/>
        <v>-3.2993902202797125E-2</v>
      </c>
      <c r="O61" s="10">
        <f t="shared" si="22"/>
        <v>0.65645514223194745</v>
      </c>
      <c r="P61" s="10">
        <f t="shared" si="23"/>
        <v>0.11507492273469949</v>
      </c>
    </row>
    <row r="62" spans="3:16">
      <c r="C62" s="10" t="s">
        <v>41</v>
      </c>
      <c r="D62" s="13" t="s">
        <v>138</v>
      </c>
      <c r="E62" s="10">
        <v>2</v>
      </c>
      <c r="F62" s="10">
        <v>14</v>
      </c>
      <c r="H62" s="10">
        <v>237.7</v>
      </c>
      <c r="I62" s="10">
        <f t="shared" si="16"/>
        <v>2.3769999999999998</v>
      </c>
      <c r="J62" s="10">
        <f t="shared" si="17"/>
        <v>4.4381763294999992</v>
      </c>
      <c r="K62" s="10">
        <f t="shared" si="18"/>
        <v>0.87367395608181253</v>
      </c>
      <c r="L62" s="10">
        <f t="shared" si="19"/>
        <v>3.0634573304157548E-2</v>
      </c>
      <c r="M62" s="10">
        <f t="shared" si="20"/>
        <v>-3.4856260612789463</v>
      </c>
      <c r="N62" s="10">
        <f t="shared" si="21"/>
        <v>-0.10678066708513183</v>
      </c>
      <c r="O62" s="10">
        <f t="shared" si="22"/>
        <v>3.0634573304157549</v>
      </c>
      <c r="P62" s="10">
        <f t="shared" si="23"/>
        <v>0.43683697804090627</v>
      </c>
    </row>
    <row r="63" spans="3:16">
      <c r="C63" s="10" t="s">
        <v>41</v>
      </c>
      <c r="D63" s="13" t="s">
        <v>40</v>
      </c>
      <c r="E63" s="10">
        <v>6</v>
      </c>
      <c r="F63" s="10">
        <v>1</v>
      </c>
      <c r="G63" s="10" t="s">
        <v>180</v>
      </c>
      <c r="H63" s="10">
        <v>17</v>
      </c>
      <c r="I63" s="10">
        <f t="shared" si="16"/>
        <v>0.17</v>
      </c>
      <c r="J63" s="10">
        <f t="shared" si="17"/>
        <v>2.2700950000000004E-2</v>
      </c>
      <c r="K63" s="10">
        <f t="shared" si="18"/>
        <v>4.4687789129707282E-3</v>
      </c>
      <c r="L63" s="10">
        <f t="shared" si="19"/>
        <v>2.1881838074398249E-3</v>
      </c>
      <c r="M63" s="10">
        <f t="shared" si="20"/>
        <v>-6.1246833908942051</v>
      </c>
      <c r="N63" s="10">
        <f t="shared" si="21"/>
        <v>-1.3401933021650339E-2</v>
      </c>
      <c r="O63" s="10">
        <f t="shared" si="22"/>
        <v>0.21881838074398249</v>
      </c>
      <c r="P63" s="10">
        <f t="shared" si="23"/>
        <v>2.2343894564853641E-3</v>
      </c>
    </row>
    <row r="64" spans="3:16">
      <c r="C64" s="10" t="s">
        <v>140</v>
      </c>
      <c r="D64" s="13" t="s">
        <v>157</v>
      </c>
      <c r="E64" s="10">
        <v>6</v>
      </c>
      <c r="F64" s="10">
        <v>2</v>
      </c>
      <c r="H64" s="10">
        <v>43</v>
      </c>
      <c r="I64" s="10">
        <f t="shared" si="16"/>
        <v>0.43</v>
      </c>
      <c r="J64" s="10">
        <f t="shared" si="17"/>
        <v>0.14523894999999998</v>
      </c>
      <c r="K64" s="10">
        <f t="shared" si="18"/>
        <v>2.8590907301324828E-2</v>
      </c>
      <c r="L64" s="10">
        <f t="shared" si="19"/>
        <v>4.3763676148796497E-3</v>
      </c>
      <c r="M64" s="10">
        <f t="shared" si="20"/>
        <v>-5.4315362103342597</v>
      </c>
      <c r="N64" s="10">
        <f t="shared" si="21"/>
        <v>-2.3770399169952997E-2</v>
      </c>
      <c r="O64" s="10">
        <f t="shared" si="22"/>
        <v>0.43763676148796499</v>
      </c>
      <c r="P64" s="10">
        <f t="shared" si="23"/>
        <v>1.4295453650662414E-2</v>
      </c>
    </row>
    <row r="65" spans="3:16">
      <c r="C65" s="10" t="s">
        <v>140</v>
      </c>
      <c r="D65" s="13" t="s">
        <v>173</v>
      </c>
      <c r="E65" s="10">
        <v>8</v>
      </c>
      <c r="F65" s="10">
        <v>2</v>
      </c>
      <c r="G65" s="10" t="s">
        <v>180</v>
      </c>
      <c r="H65" s="10">
        <v>40</v>
      </c>
      <c r="I65" s="10">
        <f t="shared" si="16"/>
        <v>0.4</v>
      </c>
      <c r="J65" s="10">
        <f t="shared" si="17"/>
        <v>0.12568000000000001</v>
      </c>
      <c r="K65" s="10">
        <f t="shared" si="18"/>
        <v>2.4740644500876003E-2</v>
      </c>
      <c r="L65" s="10">
        <f t="shared" si="19"/>
        <v>4.3763676148796497E-3</v>
      </c>
      <c r="M65" s="10">
        <f t="shared" si="20"/>
        <v>-5.4315362103342597</v>
      </c>
      <c r="N65" s="10">
        <f t="shared" si="21"/>
        <v>-2.3770399169952997E-2</v>
      </c>
      <c r="O65" s="10">
        <f t="shared" si="22"/>
        <v>0.43763676148796499</v>
      </c>
      <c r="P65" s="10">
        <f t="shared" si="23"/>
        <v>1.2370322250438002E-2</v>
      </c>
    </row>
    <row r="66" spans="3:16">
      <c r="F66" s="10">
        <v>457</v>
      </c>
      <c r="J66" s="10">
        <v>507.99</v>
      </c>
      <c r="M66" s="10" t="s">
        <v>32</v>
      </c>
      <c r="N66" s="10">
        <v>3.35</v>
      </c>
    </row>
    <row r="67" spans="3:16">
      <c r="M67" s="10" t="s">
        <v>33</v>
      </c>
      <c r="N67" s="10">
        <f>3.35/LN(457)</f>
        <v>0.54696704893849202</v>
      </c>
    </row>
  </sheetData>
  <autoFilter ref="D5:P6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76"/>
  <sheetViews>
    <sheetView workbookViewId="0">
      <selection sqref="A1:XFD1"/>
    </sheetView>
  </sheetViews>
  <sheetFormatPr defaultColWidth="9" defaultRowHeight="15"/>
  <cols>
    <col min="1" max="1" width="16.5703125" customWidth="1"/>
    <col min="2" max="2" width="29.5703125" customWidth="1"/>
    <col min="3" max="3" width="17.42578125" customWidth="1"/>
    <col min="4" max="4" width="20.140625" customWidth="1"/>
    <col min="6" max="7" width="10.85546875" customWidth="1"/>
    <col min="8" max="8" width="12.85546875"/>
    <col min="9" max="9" width="12.85546875" customWidth="1"/>
    <col min="10" max="10" width="14" customWidth="1"/>
    <col min="11" max="11" width="14"/>
    <col min="12" max="13" width="12.85546875"/>
  </cols>
  <sheetData>
    <row r="4" spans="1:13">
      <c r="A4" s="12" t="s">
        <v>2</v>
      </c>
      <c r="B4" s="12" t="s">
        <v>1</v>
      </c>
      <c r="C4" s="12" t="s">
        <v>3</v>
      </c>
      <c r="D4" s="1" t="s">
        <v>176</v>
      </c>
      <c r="E4" s="1" t="s">
        <v>4</v>
      </c>
      <c r="F4" s="1" t="s">
        <v>5</v>
      </c>
      <c r="G4" s="1" t="s">
        <v>6</v>
      </c>
      <c r="H4" s="1" t="s">
        <v>7</v>
      </c>
      <c r="I4" s="34" t="s">
        <v>8</v>
      </c>
      <c r="J4" s="34" t="s">
        <v>9</v>
      </c>
      <c r="K4" s="34" t="s">
        <v>10</v>
      </c>
      <c r="L4" t="s">
        <v>177</v>
      </c>
      <c r="M4" t="s">
        <v>178</v>
      </c>
    </row>
    <row r="5" spans="1:13">
      <c r="A5" s="10" t="s">
        <v>97</v>
      </c>
      <c r="B5" s="13" t="s">
        <v>66</v>
      </c>
      <c r="C5" s="10">
        <v>1</v>
      </c>
      <c r="D5" s="10" t="s">
        <v>179</v>
      </c>
      <c r="E5" s="10">
        <v>12.8</v>
      </c>
      <c r="F5">
        <f>E5/100</f>
        <v>0.128</v>
      </c>
      <c r="G5">
        <f>((3.142*(F5)^2/4))</f>
        <v>1.2869631999999999E-2</v>
      </c>
      <c r="H5">
        <f>(G5/426.47)*100</f>
        <v>3.0177109761530701E-3</v>
      </c>
      <c r="I5">
        <f>C5/507</f>
        <v>1.9723865877712033E-3</v>
      </c>
      <c r="J5">
        <f>LN(I5)</f>
        <v>-6.2285110035911835</v>
      </c>
      <c r="K5">
        <f>I5*J5</f>
        <v>-1.2285031565268606E-2</v>
      </c>
      <c r="L5">
        <f>C5/507*100</f>
        <v>0.19723865877712032</v>
      </c>
      <c r="M5">
        <f>H5/2</f>
        <v>1.5088554880765351E-3</v>
      </c>
    </row>
    <row r="6" spans="1:13">
      <c r="A6" s="10" t="s">
        <v>12</v>
      </c>
      <c r="B6" s="13" t="s">
        <v>257</v>
      </c>
      <c r="C6" s="10">
        <v>4</v>
      </c>
      <c r="D6" s="10" t="s">
        <v>181</v>
      </c>
      <c r="E6" s="10">
        <v>93.8</v>
      </c>
      <c r="F6">
        <f t="shared" ref="F6:F37" si="0">E6/100</f>
        <v>0.93799999999999994</v>
      </c>
      <c r="G6">
        <f t="shared" ref="G6:G37" si="1">((3.142*(F6)^2/4))</f>
        <v>0.6911174619999999</v>
      </c>
      <c r="H6">
        <f t="shared" ref="H6:H37" si="2">(G6/426.47)*100</f>
        <v>0.16205535254531384</v>
      </c>
      <c r="I6">
        <f t="shared" ref="I6:I37" si="3">C6/507</f>
        <v>7.889546351084813E-3</v>
      </c>
      <c r="J6">
        <f t="shared" ref="J6:J37" si="4">LN(I6)</f>
        <v>-4.8422166424712927</v>
      </c>
      <c r="K6">
        <f t="shared" ref="K6:K37" si="5">I6*J6</f>
        <v>-3.820289264277154E-2</v>
      </c>
      <c r="L6">
        <f t="shared" ref="L6:L37" si="6">C6/507*100</f>
        <v>0.78895463510848129</v>
      </c>
      <c r="M6">
        <f t="shared" ref="M6:M37" si="7">H6/2</f>
        <v>8.1027676272656918E-2</v>
      </c>
    </row>
    <row r="7" spans="1:13">
      <c r="A7" s="10" t="s">
        <v>12</v>
      </c>
      <c r="B7" s="13" t="s">
        <v>200</v>
      </c>
      <c r="C7" s="10">
        <v>4</v>
      </c>
      <c r="D7" s="10" t="s">
        <v>258</v>
      </c>
      <c r="E7" s="10">
        <v>109.7</v>
      </c>
      <c r="F7">
        <f t="shared" si="0"/>
        <v>1.097</v>
      </c>
      <c r="G7">
        <f t="shared" si="1"/>
        <v>0.94527776949999998</v>
      </c>
      <c r="H7">
        <f t="shared" si="2"/>
        <v>0.221651644781579</v>
      </c>
      <c r="I7">
        <f t="shared" si="3"/>
        <v>7.889546351084813E-3</v>
      </c>
      <c r="J7">
        <f t="shared" si="4"/>
        <v>-4.8422166424712927</v>
      </c>
      <c r="K7">
        <f t="shared" si="5"/>
        <v>-3.820289264277154E-2</v>
      </c>
      <c r="L7">
        <f t="shared" si="6"/>
        <v>0.78895463510848129</v>
      </c>
      <c r="M7">
        <f t="shared" si="7"/>
        <v>0.1108258223907895</v>
      </c>
    </row>
    <row r="8" spans="1:13">
      <c r="A8" s="10" t="s">
        <v>12</v>
      </c>
      <c r="B8" s="13" t="s">
        <v>184</v>
      </c>
      <c r="C8" s="10">
        <v>1</v>
      </c>
      <c r="D8" s="10" t="s">
        <v>258</v>
      </c>
      <c r="E8" s="10">
        <v>12.6</v>
      </c>
      <c r="F8">
        <f t="shared" si="0"/>
        <v>0.126</v>
      </c>
      <c r="G8">
        <f t="shared" si="1"/>
        <v>1.2470598000000001E-2</v>
      </c>
      <c r="H8">
        <f t="shared" si="2"/>
        <v>2.9241442539920744E-3</v>
      </c>
      <c r="I8">
        <f t="shared" si="3"/>
        <v>1.9723865877712033E-3</v>
      </c>
      <c r="J8">
        <f t="shared" si="4"/>
        <v>-6.2285110035911835</v>
      </c>
      <c r="K8">
        <f t="shared" si="5"/>
        <v>-1.2285031565268606E-2</v>
      </c>
      <c r="L8">
        <f t="shared" si="6"/>
        <v>0.19723865877712032</v>
      </c>
      <c r="M8">
        <f t="shared" si="7"/>
        <v>1.4620721269960372E-3</v>
      </c>
    </row>
    <row r="9" spans="1:13">
      <c r="A9" s="10" t="s">
        <v>12</v>
      </c>
      <c r="B9" s="13" t="s">
        <v>13</v>
      </c>
      <c r="C9" s="10">
        <v>5</v>
      </c>
      <c r="D9" s="10" t="s">
        <v>258</v>
      </c>
      <c r="E9" s="10">
        <v>104.5</v>
      </c>
      <c r="F9">
        <f t="shared" si="0"/>
        <v>1.0449999999999999</v>
      </c>
      <c r="G9">
        <f t="shared" si="1"/>
        <v>0.85778563749999981</v>
      </c>
      <c r="H9">
        <f t="shared" si="2"/>
        <v>0.20113622001547582</v>
      </c>
      <c r="I9">
        <f t="shared" si="3"/>
        <v>9.8619329388560158E-3</v>
      </c>
      <c r="J9">
        <f t="shared" si="4"/>
        <v>-4.619073091157083</v>
      </c>
      <c r="K9">
        <f t="shared" si="5"/>
        <v>-4.5552989064665511E-2</v>
      </c>
      <c r="L9">
        <f t="shared" si="6"/>
        <v>0.98619329388560162</v>
      </c>
      <c r="M9">
        <f t="shared" si="7"/>
        <v>0.10056811000773791</v>
      </c>
    </row>
    <row r="10" spans="1:13">
      <c r="A10" s="10" t="s">
        <v>21</v>
      </c>
      <c r="B10" s="13" t="s">
        <v>70</v>
      </c>
      <c r="C10" s="10">
        <v>5</v>
      </c>
      <c r="D10" s="10" t="s">
        <v>258</v>
      </c>
      <c r="E10" s="10">
        <v>149.1</v>
      </c>
      <c r="F10">
        <f t="shared" si="0"/>
        <v>1.4909999999999999</v>
      </c>
      <c r="G10">
        <f t="shared" si="1"/>
        <v>1.7462301254999997</v>
      </c>
      <c r="H10">
        <f t="shared" si="2"/>
        <v>0.40946142178816786</v>
      </c>
      <c r="I10">
        <f t="shared" si="3"/>
        <v>9.8619329388560158E-3</v>
      </c>
      <c r="J10">
        <f t="shared" si="4"/>
        <v>-4.619073091157083</v>
      </c>
      <c r="K10">
        <f t="shared" si="5"/>
        <v>-4.5552989064665511E-2</v>
      </c>
      <c r="L10">
        <f t="shared" si="6"/>
        <v>0.98619329388560162</v>
      </c>
      <c r="M10">
        <f t="shared" si="7"/>
        <v>0.20473071089408393</v>
      </c>
    </row>
    <row r="11" spans="1:13">
      <c r="A11" s="10" t="s">
        <v>97</v>
      </c>
      <c r="B11" s="13" t="s">
        <v>96</v>
      </c>
      <c r="C11" s="10">
        <v>9</v>
      </c>
      <c r="D11" s="10" t="s">
        <v>258</v>
      </c>
      <c r="E11" s="10">
        <v>138.4</v>
      </c>
      <c r="F11">
        <f t="shared" si="0"/>
        <v>1.3840000000000001</v>
      </c>
      <c r="G11">
        <f t="shared" si="1"/>
        <v>1.5045906880000002</v>
      </c>
      <c r="H11">
        <f t="shared" si="2"/>
        <v>0.35280106173939552</v>
      </c>
      <c r="I11">
        <f t="shared" si="3"/>
        <v>1.7751479289940829E-2</v>
      </c>
      <c r="J11">
        <f t="shared" si="4"/>
        <v>-4.0312864262549635</v>
      </c>
      <c r="K11">
        <f t="shared" si="5"/>
        <v>-7.1561297507484564E-2</v>
      </c>
      <c r="L11">
        <f t="shared" si="6"/>
        <v>1.7751479289940828</v>
      </c>
      <c r="M11">
        <f t="shared" si="7"/>
        <v>0.17640053086969776</v>
      </c>
    </row>
    <row r="12" spans="1:13">
      <c r="A12" s="10" t="s">
        <v>15</v>
      </c>
      <c r="B12" s="13" t="s">
        <v>242</v>
      </c>
      <c r="C12" s="10">
        <v>7</v>
      </c>
      <c r="D12" s="10" t="s">
        <v>258</v>
      </c>
      <c r="E12" s="10">
        <v>160.5</v>
      </c>
      <c r="F12">
        <f t="shared" si="0"/>
        <v>1.605</v>
      </c>
      <c r="G12">
        <f t="shared" si="1"/>
        <v>2.0234676375</v>
      </c>
      <c r="H12">
        <f t="shared" si="2"/>
        <v>0.47446892806059038</v>
      </c>
      <c r="I12">
        <f t="shared" si="3"/>
        <v>1.3806706114398421E-2</v>
      </c>
      <c r="J12">
        <f t="shared" si="4"/>
        <v>-4.28260085453587</v>
      </c>
      <c r="K12">
        <f t="shared" si="5"/>
        <v>-5.91286114038483E-2</v>
      </c>
      <c r="L12">
        <f t="shared" si="6"/>
        <v>1.3806706114398422</v>
      </c>
      <c r="M12">
        <f t="shared" si="7"/>
        <v>0.23723446403029519</v>
      </c>
    </row>
    <row r="13" spans="1:13">
      <c r="A13" s="10" t="s">
        <v>12</v>
      </c>
      <c r="B13" s="13" t="s">
        <v>163</v>
      </c>
      <c r="C13" s="10">
        <v>14</v>
      </c>
      <c r="D13" s="10" t="s">
        <v>258</v>
      </c>
      <c r="E13" s="10">
        <v>231.7</v>
      </c>
      <c r="F13">
        <f t="shared" si="0"/>
        <v>2.3169999999999997</v>
      </c>
      <c r="G13">
        <f t="shared" si="1"/>
        <v>4.2169481094999988</v>
      </c>
      <c r="H13">
        <f t="shared" si="2"/>
        <v>0.98880298954205414</v>
      </c>
      <c r="I13">
        <f t="shared" si="3"/>
        <v>2.7613412228796843E-2</v>
      </c>
      <c r="J13">
        <f t="shared" si="4"/>
        <v>-3.5894536739759246</v>
      </c>
      <c r="K13">
        <f t="shared" si="5"/>
        <v>-9.9117063975666553E-2</v>
      </c>
      <c r="L13">
        <f t="shared" si="6"/>
        <v>2.7613412228796843</v>
      </c>
      <c r="M13">
        <f t="shared" si="7"/>
        <v>0.49440149477102707</v>
      </c>
    </row>
    <row r="14" spans="1:13">
      <c r="A14" s="10" t="s">
        <v>12</v>
      </c>
      <c r="B14" s="13" t="s">
        <v>243</v>
      </c>
      <c r="C14" s="10">
        <v>3</v>
      </c>
      <c r="D14" s="10" t="s">
        <v>258</v>
      </c>
      <c r="E14" s="10">
        <v>54.2</v>
      </c>
      <c r="F14">
        <f t="shared" si="0"/>
        <v>0.54200000000000004</v>
      </c>
      <c r="G14">
        <f t="shared" si="1"/>
        <v>0.23075162200000002</v>
      </c>
      <c r="H14">
        <f t="shared" si="2"/>
        <v>5.4107351513588295E-2</v>
      </c>
      <c r="I14">
        <f t="shared" si="3"/>
        <v>5.9171597633136093E-3</v>
      </c>
      <c r="J14">
        <f t="shared" si="4"/>
        <v>-5.1298987149230735</v>
      </c>
      <c r="K14">
        <f t="shared" si="5"/>
        <v>-3.0354430265817002E-2</v>
      </c>
      <c r="L14">
        <f t="shared" si="6"/>
        <v>0.59171597633136097</v>
      </c>
      <c r="M14">
        <f t="shared" si="7"/>
        <v>2.7053675756794147E-2</v>
      </c>
    </row>
    <row r="15" spans="1:13">
      <c r="A15" s="10" t="s">
        <v>24</v>
      </c>
      <c r="B15" s="13" t="s">
        <v>185</v>
      </c>
      <c r="C15" s="10">
        <v>3</v>
      </c>
      <c r="D15" s="10" t="s">
        <v>258</v>
      </c>
      <c r="E15" s="10">
        <v>87.8</v>
      </c>
      <c r="F15">
        <f t="shared" si="0"/>
        <v>0.878</v>
      </c>
      <c r="G15">
        <f t="shared" si="1"/>
        <v>0.60552938199999995</v>
      </c>
      <c r="H15">
        <f t="shared" si="2"/>
        <v>0.14198639576054586</v>
      </c>
      <c r="I15">
        <f t="shared" si="3"/>
        <v>5.9171597633136093E-3</v>
      </c>
      <c r="J15">
        <f t="shared" si="4"/>
        <v>-5.1298987149230735</v>
      </c>
      <c r="K15">
        <f t="shared" si="5"/>
        <v>-3.0354430265817002E-2</v>
      </c>
      <c r="L15">
        <f t="shared" si="6"/>
        <v>0.59171597633136097</v>
      </c>
      <c r="M15">
        <f t="shared" si="7"/>
        <v>7.0993197880272932E-2</v>
      </c>
    </row>
    <row r="16" spans="1:13">
      <c r="A16" s="10" t="s">
        <v>24</v>
      </c>
      <c r="B16" s="13" t="s">
        <v>186</v>
      </c>
      <c r="C16" s="10">
        <v>2</v>
      </c>
      <c r="D16" s="10" t="s">
        <v>258</v>
      </c>
      <c r="E16" s="10">
        <v>25.3</v>
      </c>
      <c r="F16">
        <f t="shared" si="0"/>
        <v>0.253</v>
      </c>
      <c r="G16">
        <f t="shared" si="1"/>
        <v>5.0279069499999995E-2</v>
      </c>
      <c r="H16">
        <f t="shared" si="2"/>
        <v>1.1789591178746452E-2</v>
      </c>
      <c r="I16">
        <f t="shared" si="3"/>
        <v>3.9447731755424065E-3</v>
      </c>
      <c r="J16">
        <f t="shared" si="4"/>
        <v>-5.5353638230312381</v>
      </c>
      <c r="K16">
        <f t="shared" si="5"/>
        <v>-2.1835754725961491E-2</v>
      </c>
      <c r="L16">
        <f t="shared" si="6"/>
        <v>0.39447731755424065</v>
      </c>
      <c r="M16">
        <f t="shared" si="7"/>
        <v>5.894795589373226E-3</v>
      </c>
    </row>
    <row r="17" spans="1:13">
      <c r="A17" s="10" t="s">
        <v>99</v>
      </c>
      <c r="B17" s="13" t="s">
        <v>201</v>
      </c>
      <c r="C17" s="10">
        <v>1</v>
      </c>
      <c r="D17" s="10" t="s">
        <v>258</v>
      </c>
      <c r="E17" s="10">
        <v>16.399999999999999</v>
      </c>
      <c r="F17">
        <f t="shared" si="0"/>
        <v>0.16399999999999998</v>
      </c>
      <c r="G17">
        <f t="shared" si="1"/>
        <v>2.1126807999999993E-2</v>
      </c>
      <c r="H17">
        <f t="shared" si="2"/>
        <v>4.9538790536262792E-3</v>
      </c>
      <c r="I17">
        <f t="shared" si="3"/>
        <v>1.9723865877712033E-3</v>
      </c>
      <c r="J17">
        <f t="shared" si="4"/>
        <v>-6.2285110035911835</v>
      </c>
      <c r="K17">
        <f t="shared" si="5"/>
        <v>-1.2285031565268606E-2</v>
      </c>
      <c r="L17">
        <f t="shared" si="6"/>
        <v>0.19723865877712032</v>
      </c>
      <c r="M17">
        <f t="shared" si="7"/>
        <v>2.4769395268131396E-3</v>
      </c>
    </row>
    <row r="18" spans="1:13">
      <c r="A18" s="14" t="s">
        <v>159</v>
      </c>
      <c r="B18" s="13" t="s">
        <v>194</v>
      </c>
      <c r="C18" s="14">
        <v>12</v>
      </c>
      <c r="D18" s="10" t="s">
        <v>258</v>
      </c>
      <c r="E18" s="10">
        <v>453.5</v>
      </c>
      <c r="F18">
        <f t="shared" si="0"/>
        <v>4.5350000000000001</v>
      </c>
      <c r="G18">
        <f t="shared" si="1"/>
        <v>16.154769737500001</v>
      </c>
      <c r="H18">
        <f t="shared" si="2"/>
        <v>3.78802019778648</v>
      </c>
      <c r="I18">
        <f t="shared" si="3"/>
        <v>2.3668639053254437E-2</v>
      </c>
      <c r="J18">
        <f t="shared" si="4"/>
        <v>-3.7436043538031827</v>
      </c>
      <c r="K18">
        <f t="shared" si="5"/>
        <v>-8.8606020208359351E-2</v>
      </c>
      <c r="L18">
        <f t="shared" si="6"/>
        <v>2.3668639053254439</v>
      </c>
      <c r="M18">
        <f t="shared" si="7"/>
        <v>1.89401009889324</v>
      </c>
    </row>
    <row r="19" spans="1:13">
      <c r="A19" s="10" t="s">
        <v>12</v>
      </c>
      <c r="B19" s="13" t="s">
        <v>195</v>
      </c>
      <c r="C19" s="10">
        <v>1</v>
      </c>
      <c r="D19" s="10" t="s">
        <v>258</v>
      </c>
      <c r="E19" s="10">
        <v>13</v>
      </c>
      <c r="F19">
        <f t="shared" si="0"/>
        <v>0.13</v>
      </c>
      <c r="G19">
        <f t="shared" si="1"/>
        <v>1.3274950000000001E-2</v>
      </c>
      <c r="H19">
        <f t="shared" si="2"/>
        <v>3.1127511900016416E-3</v>
      </c>
      <c r="I19">
        <f t="shared" si="3"/>
        <v>1.9723865877712033E-3</v>
      </c>
      <c r="J19">
        <f t="shared" si="4"/>
        <v>-6.2285110035911835</v>
      </c>
      <c r="K19">
        <f t="shared" si="5"/>
        <v>-1.2285031565268606E-2</v>
      </c>
      <c r="L19">
        <f t="shared" si="6"/>
        <v>0.19723865877712032</v>
      </c>
      <c r="M19">
        <f t="shared" si="7"/>
        <v>1.5563755950008208E-3</v>
      </c>
    </row>
    <row r="20" spans="1:13">
      <c r="A20" s="10" t="s">
        <v>99</v>
      </c>
      <c r="B20" s="13" t="s">
        <v>129</v>
      </c>
      <c r="C20" s="10">
        <v>17</v>
      </c>
      <c r="D20" s="10"/>
      <c r="E20" s="10">
        <v>659.7</v>
      </c>
      <c r="F20">
        <f t="shared" si="0"/>
        <v>6.5970000000000004</v>
      </c>
      <c r="G20">
        <f t="shared" si="1"/>
        <v>34.185281269500003</v>
      </c>
      <c r="H20">
        <f t="shared" si="2"/>
        <v>8.0158701126691216</v>
      </c>
      <c r="I20">
        <f t="shared" si="3"/>
        <v>3.3530571992110451E-2</v>
      </c>
      <c r="J20">
        <f t="shared" si="4"/>
        <v>-3.3952976595349673</v>
      </c>
      <c r="K20">
        <f t="shared" si="5"/>
        <v>-0.11384627260768135</v>
      </c>
      <c r="L20">
        <f t="shared" si="6"/>
        <v>3.3530571992110452</v>
      </c>
      <c r="M20">
        <f t="shared" si="7"/>
        <v>4.0079350563345608</v>
      </c>
    </row>
    <row r="21" spans="1:13">
      <c r="A21" s="10" t="s">
        <v>245</v>
      </c>
      <c r="B21" s="13" t="s">
        <v>244</v>
      </c>
      <c r="C21" s="10">
        <v>1</v>
      </c>
      <c r="D21" s="10"/>
      <c r="E21" s="10">
        <v>11.6</v>
      </c>
      <c r="F21">
        <f t="shared" si="0"/>
        <v>0.11599999999999999</v>
      </c>
      <c r="G21">
        <f t="shared" si="1"/>
        <v>1.0569687999999997E-2</v>
      </c>
      <c r="H21">
        <f t="shared" si="2"/>
        <v>2.4784130185007145E-3</v>
      </c>
      <c r="I21">
        <f t="shared" si="3"/>
        <v>1.9723865877712033E-3</v>
      </c>
      <c r="J21">
        <f t="shared" si="4"/>
        <v>-6.2285110035911835</v>
      </c>
      <c r="K21">
        <f t="shared" si="5"/>
        <v>-1.2285031565268606E-2</v>
      </c>
      <c r="L21">
        <f t="shared" si="6"/>
        <v>0.19723865877712032</v>
      </c>
      <c r="M21">
        <f t="shared" si="7"/>
        <v>1.2392065092503572E-3</v>
      </c>
    </row>
    <row r="22" spans="1:13">
      <c r="A22" s="10" t="s">
        <v>36</v>
      </c>
      <c r="B22" s="13" t="s">
        <v>100</v>
      </c>
      <c r="C22" s="10">
        <v>15</v>
      </c>
      <c r="D22" s="10" t="s">
        <v>258</v>
      </c>
      <c r="E22" s="10">
        <v>198.6</v>
      </c>
      <c r="F22">
        <f t="shared" si="0"/>
        <v>1.986</v>
      </c>
      <c r="G22">
        <f t="shared" si="1"/>
        <v>3.0981659579999996</v>
      </c>
      <c r="H22">
        <f t="shared" si="2"/>
        <v>0.72646750252069303</v>
      </c>
      <c r="I22">
        <f t="shared" si="3"/>
        <v>2.9585798816568046E-2</v>
      </c>
      <c r="J22">
        <f t="shared" si="4"/>
        <v>-3.520460802488973</v>
      </c>
      <c r="K22">
        <f t="shared" si="5"/>
        <v>-0.10415564504405245</v>
      </c>
      <c r="L22">
        <f t="shared" si="6"/>
        <v>2.9585798816568047</v>
      </c>
      <c r="M22">
        <f t="shared" si="7"/>
        <v>0.36323375126034652</v>
      </c>
    </row>
    <row r="23" spans="1:13">
      <c r="A23" s="10" t="s">
        <v>36</v>
      </c>
      <c r="B23" s="13" t="s">
        <v>35</v>
      </c>
      <c r="C23" s="10">
        <v>37</v>
      </c>
      <c r="D23" s="10" t="s">
        <v>258</v>
      </c>
      <c r="E23" s="10">
        <v>598.4</v>
      </c>
      <c r="F23">
        <f t="shared" si="0"/>
        <v>5.984</v>
      </c>
      <c r="G23">
        <f t="shared" si="1"/>
        <v>28.127385088</v>
      </c>
      <c r="H23">
        <f t="shared" si="2"/>
        <v>6.5953959453185451</v>
      </c>
      <c r="I23">
        <f t="shared" si="3"/>
        <v>7.2978303747534515E-2</v>
      </c>
      <c r="J23">
        <f t="shared" si="4"/>
        <v>-2.6175930909469587</v>
      </c>
      <c r="K23">
        <f t="shared" si="5"/>
        <v>-0.19102750367857488</v>
      </c>
      <c r="L23">
        <f t="shared" si="6"/>
        <v>7.2978303747534516</v>
      </c>
      <c r="M23">
        <f t="shared" si="7"/>
        <v>3.2976979726592726</v>
      </c>
    </row>
    <row r="24" spans="1:13">
      <c r="A24" s="10" t="s">
        <v>17</v>
      </c>
      <c r="B24" s="13" t="s">
        <v>213</v>
      </c>
      <c r="C24" s="10">
        <v>2</v>
      </c>
      <c r="D24" s="10" t="s">
        <v>181</v>
      </c>
      <c r="E24" s="10">
        <v>67.8</v>
      </c>
      <c r="F24">
        <f t="shared" si="0"/>
        <v>0.67799999999999994</v>
      </c>
      <c r="G24">
        <f t="shared" si="1"/>
        <v>0.36108178199999991</v>
      </c>
      <c r="H24">
        <f t="shared" si="2"/>
        <v>8.4667569113888411E-2</v>
      </c>
      <c r="I24">
        <f t="shared" si="3"/>
        <v>3.9447731755424065E-3</v>
      </c>
      <c r="J24">
        <f t="shared" si="4"/>
        <v>-5.5353638230312381</v>
      </c>
      <c r="K24">
        <f t="shared" si="5"/>
        <v>-2.1835754725961491E-2</v>
      </c>
      <c r="L24">
        <f t="shared" si="6"/>
        <v>0.39447731755424065</v>
      </c>
      <c r="M24">
        <f t="shared" si="7"/>
        <v>4.2333784556944205E-2</v>
      </c>
    </row>
    <row r="25" spans="1:13">
      <c r="A25" s="10" t="s">
        <v>24</v>
      </c>
      <c r="B25" s="15" t="s">
        <v>228</v>
      </c>
      <c r="C25" s="10">
        <v>1</v>
      </c>
      <c r="D25" s="10" t="s">
        <v>258</v>
      </c>
      <c r="E25" s="10">
        <v>10</v>
      </c>
      <c r="F25">
        <f t="shared" si="0"/>
        <v>0.1</v>
      </c>
      <c r="G25">
        <f t="shared" si="1"/>
        <v>7.8550000000000009E-3</v>
      </c>
      <c r="H25">
        <f t="shared" si="2"/>
        <v>1.841864609468427E-3</v>
      </c>
      <c r="I25">
        <f t="shared" si="3"/>
        <v>1.9723865877712033E-3</v>
      </c>
      <c r="J25">
        <f t="shared" si="4"/>
        <v>-6.2285110035911835</v>
      </c>
      <c r="K25">
        <f t="shared" si="5"/>
        <v>-1.2285031565268606E-2</v>
      </c>
      <c r="L25">
        <f t="shared" si="6"/>
        <v>0.19723865877712032</v>
      </c>
      <c r="M25">
        <f t="shared" si="7"/>
        <v>9.2093230473421351E-4</v>
      </c>
    </row>
    <row r="26" spans="1:13">
      <c r="A26" s="10" t="s">
        <v>31</v>
      </c>
      <c r="B26" s="13" t="s">
        <v>82</v>
      </c>
      <c r="C26" s="10">
        <v>3</v>
      </c>
      <c r="D26" s="10" t="s">
        <v>258</v>
      </c>
      <c r="E26" s="10">
        <v>55.2</v>
      </c>
      <c r="F26">
        <f t="shared" si="0"/>
        <v>0.55200000000000005</v>
      </c>
      <c r="G26">
        <f t="shared" si="1"/>
        <v>0.23934499200000001</v>
      </c>
      <c r="H26">
        <f t="shared" si="2"/>
        <v>5.6122351396346748E-2</v>
      </c>
      <c r="I26">
        <f t="shared" si="3"/>
        <v>5.9171597633136093E-3</v>
      </c>
      <c r="J26">
        <f t="shared" si="4"/>
        <v>-5.1298987149230735</v>
      </c>
      <c r="K26">
        <f t="shared" si="5"/>
        <v>-3.0354430265817002E-2</v>
      </c>
      <c r="L26">
        <f t="shared" si="6"/>
        <v>0.59171597633136097</v>
      </c>
      <c r="M26">
        <f t="shared" si="7"/>
        <v>2.8061175698173374E-2</v>
      </c>
    </row>
    <row r="27" spans="1:13">
      <c r="A27" s="10" t="s">
        <v>31</v>
      </c>
      <c r="B27" s="13" t="s">
        <v>37</v>
      </c>
      <c r="C27" s="10">
        <v>59</v>
      </c>
      <c r="D27" s="10" t="s">
        <v>258</v>
      </c>
      <c r="E27" s="10">
        <v>996.8</v>
      </c>
      <c r="F27">
        <f t="shared" si="0"/>
        <v>9.968</v>
      </c>
      <c r="G27">
        <f t="shared" si="1"/>
        <v>78.048084352000004</v>
      </c>
      <c r="H27">
        <f t="shared" si="2"/>
        <v>18.3009553666143</v>
      </c>
      <c r="I27">
        <f t="shared" si="3"/>
        <v>0.11637080867850098</v>
      </c>
      <c r="J27">
        <f t="shared" si="4"/>
        <v>-2.1509735596854638</v>
      </c>
      <c r="K27">
        <f t="shared" si="5"/>
        <v>-0.2503105325866713</v>
      </c>
      <c r="L27">
        <f t="shared" si="6"/>
        <v>11.637080867850099</v>
      </c>
      <c r="M27">
        <f t="shared" si="7"/>
        <v>9.1504776833071499</v>
      </c>
    </row>
    <row r="28" spans="1:13">
      <c r="A28" s="10" t="s">
        <v>31</v>
      </c>
      <c r="B28" s="13" t="s">
        <v>187</v>
      </c>
      <c r="C28" s="10">
        <v>37</v>
      </c>
      <c r="D28" s="10"/>
      <c r="E28" s="10">
        <v>512.4</v>
      </c>
      <c r="F28">
        <f t="shared" si="0"/>
        <v>5.1239999999999997</v>
      </c>
      <c r="G28">
        <f t="shared" si="1"/>
        <v>20.623597847999999</v>
      </c>
      <c r="H28">
        <f t="shared" si="2"/>
        <v>4.8358847862686707</v>
      </c>
      <c r="I28">
        <f t="shared" si="3"/>
        <v>7.2978303747534515E-2</v>
      </c>
      <c r="J28">
        <f t="shared" si="4"/>
        <v>-2.6175930909469587</v>
      </c>
      <c r="K28">
        <f t="shared" si="5"/>
        <v>-0.19102750367857488</v>
      </c>
      <c r="L28">
        <f t="shared" si="6"/>
        <v>7.2978303747534516</v>
      </c>
      <c r="M28">
        <f t="shared" si="7"/>
        <v>2.4179423931343353</v>
      </c>
    </row>
    <row r="29" spans="1:13">
      <c r="A29" s="10" t="s">
        <v>97</v>
      </c>
      <c r="B29" s="13" t="s">
        <v>229</v>
      </c>
      <c r="C29" s="10">
        <v>1</v>
      </c>
      <c r="D29" s="10" t="s">
        <v>258</v>
      </c>
      <c r="E29" s="10">
        <v>11.7</v>
      </c>
      <c r="F29">
        <f t="shared" si="0"/>
        <v>0.11699999999999999</v>
      </c>
      <c r="G29">
        <f t="shared" si="1"/>
        <v>1.0752709499999999E-2</v>
      </c>
      <c r="H29">
        <f t="shared" si="2"/>
        <v>2.521328463901329E-3</v>
      </c>
      <c r="I29">
        <f t="shared" si="3"/>
        <v>1.9723865877712033E-3</v>
      </c>
      <c r="J29">
        <f t="shared" si="4"/>
        <v>-6.2285110035911835</v>
      </c>
      <c r="K29">
        <f t="shared" si="5"/>
        <v>-1.2285031565268606E-2</v>
      </c>
      <c r="L29">
        <f t="shared" si="6"/>
        <v>0.19723865877712032</v>
      </c>
      <c r="M29">
        <f t="shared" si="7"/>
        <v>1.2606642319506645E-3</v>
      </c>
    </row>
    <row r="30" spans="1:13">
      <c r="A30" s="10" t="s">
        <v>12</v>
      </c>
      <c r="B30" s="13" t="s">
        <v>73</v>
      </c>
      <c r="C30" s="10">
        <v>7</v>
      </c>
      <c r="D30" s="10" t="s">
        <v>258</v>
      </c>
      <c r="E30" s="10">
        <v>100.5</v>
      </c>
      <c r="F30">
        <f t="shared" si="0"/>
        <v>1.0049999999999999</v>
      </c>
      <c r="G30">
        <f t="shared" si="1"/>
        <v>0.79337463749999981</v>
      </c>
      <c r="H30">
        <f t="shared" si="2"/>
        <v>0.18603293021783471</v>
      </c>
      <c r="I30">
        <f t="shared" si="3"/>
        <v>1.3806706114398421E-2</v>
      </c>
      <c r="J30">
        <f t="shared" si="4"/>
        <v>-4.28260085453587</v>
      </c>
      <c r="K30">
        <f t="shared" si="5"/>
        <v>-5.91286114038483E-2</v>
      </c>
      <c r="L30">
        <f t="shared" si="6"/>
        <v>1.3806706114398422</v>
      </c>
      <c r="M30">
        <f t="shared" si="7"/>
        <v>9.3016465108917354E-2</v>
      </c>
    </row>
    <row r="31" spans="1:13">
      <c r="A31" s="10" t="s">
        <v>109</v>
      </c>
      <c r="B31" s="13" t="s">
        <v>188</v>
      </c>
      <c r="C31" s="10">
        <v>7</v>
      </c>
      <c r="D31" s="10" t="s">
        <v>258</v>
      </c>
      <c r="E31" s="10">
        <v>70.7</v>
      </c>
      <c r="F31">
        <f t="shared" si="0"/>
        <v>0.70700000000000007</v>
      </c>
      <c r="G31">
        <f t="shared" si="1"/>
        <v>0.39263138950000004</v>
      </c>
      <c r="H31">
        <f t="shared" si="2"/>
        <v>9.2065418317818365E-2</v>
      </c>
      <c r="I31">
        <f t="shared" si="3"/>
        <v>1.3806706114398421E-2</v>
      </c>
      <c r="J31">
        <f t="shared" si="4"/>
        <v>-4.28260085453587</v>
      </c>
      <c r="K31">
        <f t="shared" si="5"/>
        <v>-5.91286114038483E-2</v>
      </c>
      <c r="L31">
        <f t="shared" si="6"/>
        <v>1.3806706114398422</v>
      </c>
      <c r="M31">
        <f t="shared" si="7"/>
        <v>4.6032709158909182E-2</v>
      </c>
    </row>
    <row r="32" spans="1:13">
      <c r="A32" s="10" t="s">
        <v>109</v>
      </c>
      <c r="B32" s="13" t="s">
        <v>110</v>
      </c>
      <c r="C32" s="10">
        <v>1</v>
      </c>
      <c r="D32" s="10" t="s">
        <v>258</v>
      </c>
      <c r="E32" s="10">
        <v>14.2</v>
      </c>
      <c r="F32">
        <f t="shared" si="0"/>
        <v>0.14199999999999999</v>
      </c>
      <c r="G32">
        <f t="shared" si="1"/>
        <v>1.5838821999999999E-2</v>
      </c>
      <c r="H32">
        <f t="shared" si="2"/>
        <v>3.7139357985321356E-3</v>
      </c>
      <c r="I32">
        <f t="shared" si="3"/>
        <v>1.9723865877712033E-3</v>
      </c>
      <c r="J32">
        <f t="shared" si="4"/>
        <v>-6.2285110035911835</v>
      </c>
      <c r="K32">
        <f t="shared" si="5"/>
        <v>-1.2285031565268606E-2</v>
      </c>
      <c r="L32">
        <f t="shared" si="6"/>
        <v>0.19723865877712032</v>
      </c>
      <c r="M32">
        <f t="shared" si="7"/>
        <v>1.8569678992660678E-3</v>
      </c>
    </row>
    <row r="33" spans="1:13">
      <c r="A33" s="10" t="s">
        <v>41</v>
      </c>
      <c r="B33" s="13" t="s">
        <v>230</v>
      </c>
      <c r="C33" s="10">
        <v>1</v>
      </c>
      <c r="D33" s="10" t="s">
        <v>181</v>
      </c>
      <c r="E33" s="10">
        <v>20.8</v>
      </c>
      <c r="F33">
        <f t="shared" si="0"/>
        <v>0.20800000000000002</v>
      </c>
      <c r="G33">
        <f t="shared" si="1"/>
        <v>3.3983872000000005E-2</v>
      </c>
      <c r="H33">
        <f t="shared" si="2"/>
        <v>7.9686430464042026E-3</v>
      </c>
      <c r="I33">
        <f t="shared" si="3"/>
        <v>1.9723865877712033E-3</v>
      </c>
      <c r="J33">
        <f t="shared" si="4"/>
        <v>-6.2285110035911835</v>
      </c>
      <c r="K33">
        <f t="shared" si="5"/>
        <v>-1.2285031565268606E-2</v>
      </c>
      <c r="L33">
        <f t="shared" si="6"/>
        <v>0.19723865877712032</v>
      </c>
      <c r="M33">
        <f t="shared" si="7"/>
        <v>3.9843215232021013E-3</v>
      </c>
    </row>
    <row r="34" spans="1:13">
      <c r="A34" s="10" t="s">
        <v>15</v>
      </c>
      <c r="B34" s="13" t="s">
        <v>83</v>
      </c>
      <c r="C34" s="10">
        <v>19</v>
      </c>
      <c r="D34" s="10" t="s">
        <v>258</v>
      </c>
      <c r="E34" s="10">
        <v>445.7</v>
      </c>
      <c r="F34">
        <f t="shared" si="0"/>
        <v>4.4569999999999999</v>
      </c>
      <c r="G34">
        <f t="shared" si="1"/>
        <v>15.603838889499999</v>
      </c>
      <c r="H34">
        <f t="shared" si="2"/>
        <v>3.6588362345534269</v>
      </c>
      <c r="I34">
        <f t="shared" si="3"/>
        <v>3.7475345167652857E-2</v>
      </c>
      <c r="J34">
        <f t="shared" si="4"/>
        <v>-3.2840720244247428</v>
      </c>
      <c r="K34">
        <f t="shared" si="5"/>
        <v>-0.12307173267074972</v>
      </c>
      <c r="L34">
        <f t="shared" si="6"/>
        <v>3.7475345167652856</v>
      </c>
      <c r="M34">
        <f t="shared" si="7"/>
        <v>1.8294181172767134</v>
      </c>
    </row>
    <row r="35" spans="1:13">
      <c r="A35" s="10" t="s">
        <v>21</v>
      </c>
      <c r="B35" s="13" t="s">
        <v>214</v>
      </c>
      <c r="C35" s="10">
        <v>15</v>
      </c>
      <c r="D35" s="10" t="s">
        <v>258</v>
      </c>
      <c r="E35" s="10">
        <v>185.4</v>
      </c>
      <c r="F35">
        <f t="shared" si="0"/>
        <v>1.8540000000000001</v>
      </c>
      <c r="G35">
        <f t="shared" si="1"/>
        <v>2.7000117180000003</v>
      </c>
      <c r="H35">
        <f t="shared" si="2"/>
        <v>0.63310706919595749</v>
      </c>
      <c r="I35">
        <f t="shared" si="3"/>
        <v>2.9585798816568046E-2</v>
      </c>
      <c r="J35">
        <f t="shared" si="4"/>
        <v>-3.520460802488973</v>
      </c>
      <c r="K35">
        <f t="shared" si="5"/>
        <v>-0.10415564504405245</v>
      </c>
      <c r="L35">
        <f t="shared" si="6"/>
        <v>2.9585798816568047</v>
      </c>
      <c r="M35">
        <f t="shared" si="7"/>
        <v>0.31655353459797875</v>
      </c>
    </row>
    <row r="36" spans="1:13">
      <c r="A36" s="10" t="s">
        <v>19</v>
      </c>
      <c r="B36" s="13" t="s">
        <v>215</v>
      </c>
      <c r="C36" s="10">
        <v>3</v>
      </c>
      <c r="D36" s="10" t="s">
        <v>258</v>
      </c>
      <c r="E36" s="10">
        <v>199.7</v>
      </c>
      <c r="F36">
        <f t="shared" si="0"/>
        <v>1.9969999999999999</v>
      </c>
      <c r="G36">
        <f t="shared" si="1"/>
        <v>3.1325810694999996</v>
      </c>
      <c r="H36">
        <f t="shared" si="2"/>
        <v>0.73453726393415708</v>
      </c>
      <c r="I36">
        <f t="shared" si="3"/>
        <v>5.9171597633136093E-3</v>
      </c>
      <c r="J36">
        <f t="shared" si="4"/>
        <v>-5.1298987149230735</v>
      </c>
      <c r="K36">
        <f t="shared" si="5"/>
        <v>-3.0354430265817002E-2</v>
      </c>
      <c r="L36">
        <f t="shared" si="6"/>
        <v>0.59171597633136097</v>
      </c>
      <c r="M36">
        <f t="shared" si="7"/>
        <v>0.36726863196707854</v>
      </c>
    </row>
    <row r="37" spans="1:13">
      <c r="A37" s="10" t="s">
        <v>21</v>
      </c>
      <c r="B37" s="13" t="s">
        <v>189</v>
      </c>
      <c r="C37" s="10">
        <v>1</v>
      </c>
      <c r="D37" s="10" t="s">
        <v>258</v>
      </c>
      <c r="E37" s="10">
        <v>42.2</v>
      </c>
      <c r="F37">
        <f t="shared" si="0"/>
        <v>0.42200000000000004</v>
      </c>
      <c r="G37">
        <f t="shared" si="1"/>
        <v>0.13988498200000005</v>
      </c>
      <c r="H37">
        <f t="shared" si="2"/>
        <v>3.2800661711257541E-2</v>
      </c>
      <c r="I37">
        <f t="shared" si="3"/>
        <v>1.9723865877712033E-3</v>
      </c>
      <c r="J37">
        <f t="shared" si="4"/>
        <v>-6.2285110035911835</v>
      </c>
      <c r="K37">
        <f t="shared" si="5"/>
        <v>-1.2285031565268606E-2</v>
      </c>
      <c r="L37">
        <f t="shared" si="6"/>
        <v>0.19723865877712032</v>
      </c>
      <c r="M37">
        <f t="shared" si="7"/>
        <v>1.640033085562877E-2</v>
      </c>
    </row>
    <row r="38" spans="1:13">
      <c r="A38" s="10" t="s">
        <v>41</v>
      </c>
      <c r="B38" s="13" t="s">
        <v>237</v>
      </c>
      <c r="C38" s="10">
        <v>1</v>
      </c>
      <c r="D38" s="10" t="s">
        <v>179</v>
      </c>
      <c r="E38" s="10">
        <v>14.1</v>
      </c>
      <c r="F38">
        <f t="shared" ref="F38:F74" si="8">E38/100</f>
        <v>0.14099999999999999</v>
      </c>
      <c r="G38">
        <f t="shared" ref="G38:G74" si="9">((3.142*(F38)^2/4))</f>
        <v>1.5616525499999997E-2</v>
      </c>
      <c r="H38">
        <f t="shared" ref="H38:H74" si="10">(G38/426.47)*100</f>
        <v>3.6618110300841783E-3</v>
      </c>
      <c r="I38">
        <f t="shared" ref="I38:I74" si="11">C38/507</f>
        <v>1.9723865877712033E-3</v>
      </c>
      <c r="J38">
        <f t="shared" ref="J38:J74" si="12">LN(I38)</f>
        <v>-6.2285110035911835</v>
      </c>
      <c r="K38">
        <f t="shared" ref="K38:K74" si="13">I38*J38</f>
        <v>-1.2285031565268606E-2</v>
      </c>
      <c r="L38">
        <f t="shared" ref="L38:L74" si="14">C38/507*100</f>
        <v>0.19723865877712032</v>
      </c>
      <c r="M38">
        <f t="shared" ref="M38:M74" si="15">H38/2</f>
        <v>1.8309055150420891E-3</v>
      </c>
    </row>
    <row r="39" spans="1:13">
      <c r="A39" s="10" t="s">
        <v>46</v>
      </c>
      <c r="B39" s="13" t="s">
        <v>75</v>
      </c>
      <c r="C39" s="10">
        <v>1</v>
      </c>
      <c r="D39" s="10" t="s">
        <v>258</v>
      </c>
      <c r="E39" s="10">
        <v>10.4</v>
      </c>
      <c r="F39">
        <f t="shared" si="8"/>
        <v>0.10400000000000001</v>
      </c>
      <c r="G39">
        <f t="shared" si="9"/>
        <v>8.4959680000000013E-3</v>
      </c>
      <c r="H39">
        <f t="shared" si="10"/>
        <v>1.9921607616010507E-3</v>
      </c>
      <c r="I39">
        <f t="shared" si="11"/>
        <v>1.9723865877712033E-3</v>
      </c>
      <c r="J39">
        <f t="shared" si="12"/>
        <v>-6.2285110035911835</v>
      </c>
      <c r="K39">
        <f t="shared" si="13"/>
        <v>-1.2285031565268606E-2</v>
      </c>
      <c r="L39">
        <f t="shared" si="14"/>
        <v>0.19723865877712032</v>
      </c>
      <c r="M39">
        <f t="shared" si="15"/>
        <v>9.9608038080052533E-4</v>
      </c>
    </row>
    <row r="40" spans="1:13">
      <c r="A40" s="10" t="s">
        <v>21</v>
      </c>
      <c r="B40" s="13" t="s">
        <v>216</v>
      </c>
      <c r="C40" s="10">
        <v>1</v>
      </c>
      <c r="D40" s="10" t="s">
        <v>179</v>
      </c>
      <c r="E40" s="10">
        <v>11.1</v>
      </c>
      <c r="F40">
        <f t="shared" si="8"/>
        <v>0.111</v>
      </c>
      <c r="G40">
        <f t="shared" si="9"/>
        <v>9.6781455000000006E-3</v>
      </c>
      <c r="H40">
        <f t="shared" si="10"/>
        <v>2.2693613853260485E-3</v>
      </c>
      <c r="I40">
        <f t="shared" si="11"/>
        <v>1.9723865877712033E-3</v>
      </c>
      <c r="J40">
        <f t="shared" si="12"/>
        <v>-6.2285110035911835</v>
      </c>
      <c r="K40">
        <f t="shared" si="13"/>
        <v>-1.2285031565268606E-2</v>
      </c>
      <c r="L40">
        <f t="shared" si="14"/>
        <v>0.19723865877712032</v>
      </c>
      <c r="M40">
        <f t="shared" si="15"/>
        <v>1.1346806926630243E-3</v>
      </c>
    </row>
    <row r="41" spans="1:13">
      <c r="A41" s="10" t="s">
        <v>39</v>
      </c>
      <c r="B41" s="13" t="s">
        <v>254</v>
      </c>
      <c r="C41" s="10">
        <v>2</v>
      </c>
      <c r="D41" s="10" t="s">
        <v>258</v>
      </c>
      <c r="E41" s="10">
        <v>43.8</v>
      </c>
      <c r="F41">
        <f t="shared" si="8"/>
        <v>0.43799999999999994</v>
      </c>
      <c r="G41">
        <f t="shared" si="9"/>
        <v>0.15069346199999997</v>
      </c>
      <c r="H41">
        <f t="shared" si="10"/>
        <v>3.5335067413886076E-2</v>
      </c>
      <c r="I41">
        <f t="shared" si="11"/>
        <v>3.9447731755424065E-3</v>
      </c>
      <c r="J41">
        <f t="shared" si="12"/>
        <v>-5.5353638230312381</v>
      </c>
      <c r="K41">
        <f t="shared" si="13"/>
        <v>-2.1835754725961491E-2</v>
      </c>
      <c r="L41">
        <f t="shared" si="14"/>
        <v>0.39447731755424065</v>
      </c>
      <c r="M41">
        <f t="shared" si="15"/>
        <v>1.7667533706943038E-2</v>
      </c>
    </row>
    <row r="42" spans="1:13">
      <c r="A42" s="10" t="s">
        <v>24</v>
      </c>
      <c r="B42" s="13" t="s">
        <v>168</v>
      </c>
      <c r="C42" s="10">
        <v>18</v>
      </c>
      <c r="D42" s="10" t="s">
        <v>258</v>
      </c>
      <c r="E42" s="10">
        <v>260.8</v>
      </c>
      <c r="F42">
        <f t="shared" si="8"/>
        <v>2.6080000000000001</v>
      </c>
      <c r="G42">
        <f t="shared" si="9"/>
        <v>5.3427070720000005</v>
      </c>
      <c r="H42">
        <f t="shared" si="10"/>
        <v>1.2527744207095459</v>
      </c>
      <c r="I42">
        <f t="shared" si="11"/>
        <v>3.5502958579881658E-2</v>
      </c>
      <c r="J42">
        <f t="shared" si="12"/>
        <v>-3.3381392456950185</v>
      </c>
      <c r="K42">
        <f t="shared" si="13"/>
        <v>-0.11851381937378765</v>
      </c>
      <c r="L42">
        <f t="shared" si="14"/>
        <v>3.5502958579881656</v>
      </c>
      <c r="M42">
        <f t="shared" si="15"/>
        <v>0.62638721035477296</v>
      </c>
    </row>
    <row r="43" spans="1:13">
      <c r="A43" s="10" t="s">
        <v>12</v>
      </c>
      <c r="B43" s="13" t="s">
        <v>259</v>
      </c>
      <c r="C43" s="10">
        <v>1</v>
      </c>
      <c r="D43" s="10"/>
      <c r="E43" s="10">
        <v>13.6</v>
      </c>
      <c r="F43">
        <f t="shared" si="8"/>
        <v>0.13600000000000001</v>
      </c>
      <c r="G43">
        <f t="shared" si="9"/>
        <v>1.4528608000000002E-2</v>
      </c>
      <c r="H43">
        <f t="shared" si="10"/>
        <v>3.4067127816728025E-3</v>
      </c>
      <c r="I43">
        <f t="shared" si="11"/>
        <v>1.9723865877712033E-3</v>
      </c>
      <c r="J43">
        <f t="shared" si="12"/>
        <v>-6.2285110035911835</v>
      </c>
      <c r="K43">
        <f t="shared" si="13"/>
        <v>-1.2285031565268606E-2</v>
      </c>
      <c r="L43">
        <f t="shared" si="14"/>
        <v>0.19723865877712032</v>
      </c>
      <c r="M43">
        <f t="shared" si="15"/>
        <v>1.7033563908364013E-3</v>
      </c>
    </row>
    <row r="44" spans="1:13">
      <c r="A44" s="10" t="s">
        <v>31</v>
      </c>
      <c r="B44" s="13" t="s">
        <v>217</v>
      </c>
      <c r="C44" s="10">
        <v>3</v>
      </c>
      <c r="D44" s="10" t="s">
        <v>260</v>
      </c>
      <c r="E44" s="10">
        <v>76.5</v>
      </c>
      <c r="F44">
        <f t="shared" si="8"/>
        <v>0.76500000000000001</v>
      </c>
      <c r="G44">
        <f t="shared" si="9"/>
        <v>0.45969423749999999</v>
      </c>
      <c r="H44">
        <f t="shared" si="10"/>
        <v>0.10779052160761601</v>
      </c>
      <c r="I44">
        <f t="shared" si="11"/>
        <v>5.9171597633136093E-3</v>
      </c>
      <c r="J44">
        <f t="shared" si="12"/>
        <v>-5.1298987149230735</v>
      </c>
      <c r="K44">
        <f t="shared" si="13"/>
        <v>-3.0354430265817002E-2</v>
      </c>
      <c r="L44">
        <f t="shared" si="14"/>
        <v>0.59171597633136097</v>
      </c>
      <c r="M44">
        <f t="shared" si="15"/>
        <v>5.3895260803808007E-2</v>
      </c>
    </row>
    <row r="45" spans="1:13">
      <c r="A45" s="10" t="s">
        <v>12</v>
      </c>
      <c r="B45" s="13" t="s">
        <v>208</v>
      </c>
      <c r="C45" s="10">
        <v>1</v>
      </c>
      <c r="D45" s="10"/>
      <c r="E45" s="10">
        <v>15.5</v>
      </c>
      <c r="F45">
        <f t="shared" si="8"/>
        <v>0.155</v>
      </c>
      <c r="G45">
        <f t="shared" si="9"/>
        <v>1.88716375E-2</v>
      </c>
      <c r="H45">
        <f t="shared" si="10"/>
        <v>4.4250797242478953E-3</v>
      </c>
      <c r="I45">
        <f t="shared" si="11"/>
        <v>1.9723865877712033E-3</v>
      </c>
      <c r="J45">
        <f t="shared" si="12"/>
        <v>-6.2285110035911835</v>
      </c>
      <c r="K45">
        <f t="shared" si="13"/>
        <v>-1.2285031565268606E-2</v>
      </c>
      <c r="L45">
        <f t="shared" si="14"/>
        <v>0.19723865877712032</v>
      </c>
      <c r="M45">
        <f t="shared" si="15"/>
        <v>2.2125398621239477E-3</v>
      </c>
    </row>
    <row r="46" spans="1:13">
      <c r="A46" s="10" t="s">
        <v>143</v>
      </c>
      <c r="B46" s="13" t="s">
        <v>247</v>
      </c>
      <c r="C46" s="10">
        <v>2</v>
      </c>
      <c r="D46" s="10" t="s">
        <v>258</v>
      </c>
      <c r="E46" s="10">
        <v>26.8</v>
      </c>
      <c r="F46">
        <f t="shared" si="8"/>
        <v>0.26800000000000002</v>
      </c>
      <c r="G46">
        <f t="shared" si="9"/>
        <v>5.6417752000000009E-2</v>
      </c>
      <c r="H46">
        <f t="shared" si="10"/>
        <v>1.3229008371046029E-2</v>
      </c>
      <c r="I46">
        <f t="shared" si="11"/>
        <v>3.9447731755424065E-3</v>
      </c>
      <c r="J46">
        <f t="shared" si="12"/>
        <v>-5.5353638230312381</v>
      </c>
      <c r="K46">
        <f t="shared" si="13"/>
        <v>-2.1835754725961491E-2</v>
      </c>
      <c r="L46">
        <f t="shared" si="14"/>
        <v>0.39447731755424065</v>
      </c>
      <c r="M46">
        <f t="shared" si="15"/>
        <v>6.6145041855230147E-3</v>
      </c>
    </row>
    <row r="47" spans="1:13">
      <c r="A47" s="10" t="s">
        <v>15</v>
      </c>
      <c r="B47" s="13" t="s">
        <v>26</v>
      </c>
      <c r="C47" s="10">
        <v>3</v>
      </c>
      <c r="D47" s="10" t="s">
        <v>181</v>
      </c>
      <c r="E47" s="10">
        <v>30.9</v>
      </c>
      <c r="F47">
        <f t="shared" si="8"/>
        <v>0.309</v>
      </c>
      <c r="G47">
        <f t="shared" si="9"/>
        <v>7.5000325499999992E-2</v>
      </c>
      <c r="H47">
        <f t="shared" si="10"/>
        <v>1.7586307477665486E-2</v>
      </c>
      <c r="I47">
        <f t="shared" si="11"/>
        <v>5.9171597633136093E-3</v>
      </c>
      <c r="J47">
        <f t="shared" si="12"/>
        <v>-5.1298987149230735</v>
      </c>
      <c r="K47">
        <f t="shared" si="13"/>
        <v>-3.0354430265817002E-2</v>
      </c>
      <c r="L47">
        <f t="shared" si="14"/>
        <v>0.59171597633136097</v>
      </c>
      <c r="M47">
        <f t="shared" si="15"/>
        <v>8.793153738832743E-3</v>
      </c>
    </row>
    <row r="48" spans="1:13">
      <c r="A48" s="10" t="s">
        <v>72</v>
      </c>
      <c r="B48" s="13" t="s">
        <v>218</v>
      </c>
      <c r="C48" s="10">
        <v>4</v>
      </c>
      <c r="D48" s="10" t="s">
        <v>258</v>
      </c>
      <c r="E48" s="10">
        <v>46.1</v>
      </c>
      <c r="F48">
        <f t="shared" si="8"/>
        <v>0.46100000000000002</v>
      </c>
      <c r="G48">
        <f t="shared" si="9"/>
        <v>0.1669352455</v>
      </c>
      <c r="H48">
        <f t="shared" si="10"/>
        <v>3.914349086688395E-2</v>
      </c>
      <c r="I48">
        <f t="shared" si="11"/>
        <v>7.889546351084813E-3</v>
      </c>
      <c r="J48">
        <f t="shared" si="12"/>
        <v>-4.8422166424712927</v>
      </c>
      <c r="K48">
        <f t="shared" si="13"/>
        <v>-3.820289264277154E-2</v>
      </c>
      <c r="L48">
        <f t="shared" si="14"/>
        <v>0.78895463510848129</v>
      </c>
      <c r="M48">
        <f t="shared" si="15"/>
        <v>1.9571745433441975E-2</v>
      </c>
    </row>
    <row r="49" spans="1:13">
      <c r="A49" s="10" t="s">
        <v>114</v>
      </c>
      <c r="B49" s="13" t="s">
        <v>113</v>
      </c>
      <c r="C49" s="10">
        <v>1</v>
      </c>
      <c r="D49" s="10"/>
      <c r="E49" s="10">
        <v>18.399999999999999</v>
      </c>
      <c r="F49">
        <f t="shared" si="8"/>
        <v>0.184</v>
      </c>
      <c r="G49">
        <f t="shared" si="9"/>
        <v>2.6593887999999996E-2</v>
      </c>
      <c r="H49">
        <f t="shared" si="10"/>
        <v>6.235816821816305E-3</v>
      </c>
      <c r="I49">
        <f t="shared" si="11"/>
        <v>1.9723865877712033E-3</v>
      </c>
      <c r="J49">
        <f t="shared" si="12"/>
        <v>-6.2285110035911835</v>
      </c>
      <c r="K49">
        <f t="shared" si="13"/>
        <v>-1.2285031565268606E-2</v>
      </c>
      <c r="L49">
        <f t="shared" si="14"/>
        <v>0.19723865877712032</v>
      </c>
      <c r="M49">
        <f t="shared" si="15"/>
        <v>3.1179084109081525E-3</v>
      </c>
    </row>
    <row r="50" spans="1:13">
      <c r="A50" s="10" t="s">
        <v>31</v>
      </c>
      <c r="B50" s="13" t="s">
        <v>261</v>
      </c>
      <c r="C50" s="10">
        <v>1</v>
      </c>
      <c r="D50" s="10" t="s">
        <v>179</v>
      </c>
      <c r="E50" s="10">
        <v>10</v>
      </c>
      <c r="F50">
        <f t="shared" si="8"/>
        <v>0.1</v>
      </c>
      <c r="G50">
        <f t="shared" si="9"/>
        <v>7.8550000000000009E-3</v>
      </c>
      <c r="H50">
        <f t="shared" si="10"/>
        <v>1.841864609468427E-3</v>
      </c>
      <c r="I50">
        <f t="shared" si="11"/>
        <v>1.9723865877712033E-3</v>
      </c>
      <c r="J50">
        <f t="shared" si="12"/>
        <v>-6.2285110035911835</v>
      </c>
      <c r="K50">
        <f t="shared" si="13"/>
        <v>-1.2285031565268606E-2</v>
      </c>
      <c r="L50">
        <f t="shared" si="14"/>
        <v>0.19723865877712032</v>
      </c>
      <c r="M50">
        <f t="shared" si="15"/>
        <v>9.2093230473421351E-4</v>
      </c>
    </row>
    <row r="51" spans="1:13">
      <c r="A51" s="10" t="s">
        <v>46</v>
      </c>
      <c r="B51" s="13" t="s">
        <v>27</v>
      </c>
      <c r="C51" s="10">
        <v>10</v>
      </c>
      <c r="D51" s="10" t="s">
        <v>258</v>
      </c>
      <c r="E51" s="10">
        <v>119.1</v>
      </c>
      <c r="F51">
        <f t="shared" si="8"/>
        <v>1.1909999999999998</v>
      </c>
      <c r="G51">
        <f t="shared" si="9"/>
        <v>1.1142168254999998</v>
      </c>
      <c r="H51">
        <f t="shared" si="10"/>
        <v>0.26126499531033831</v>
      </c>
      <c r="I51">
        <f t="shared" si="11"/>
        <v>1.9723865877712032E-2</v>
      </c>
      <c r="J51">
        <f t="shared" si="12"/>
        <v>-3.9259259105971376</v>
      </c>
      <c r="K51">
        <f t="shared" si="13"/>
        <v>-7.7434436106452412E-2</v>
      </c>
      <c r="L51">
        <f t="shared" si="14"/>
        <v>1.9723865877712032</v>
      </c>
      <c r="M51">
        <f t="shared" si="15"/>
        <v>0.13063249765516916</v>
      </c>
    </row>
    <row r="52" spans="1:13">
      <c r="A52" s="10" t="s">
        <v>123</v>
      </c>
      <c r="B52" s="13" t="s">
        <v>262</v>
      </c>
      <c r="C52" s="10">
        <v>12</v>
      </c>
      <c r="D52" s="10" t="s">
        <v>258</v>
      </c>
      <c r="E52" s="10">
        <v>129.5</v>
      </c>
      <c r="F52">
        <f t="shared" si="8"/>
        <v>1.2949999999999999</v>
      </c>
      <c r="G52">
        <f t="shared" si="9"/>
        <v>1.3173031374999997</v>
      </c>
      <c r="H52">
        <f t="shared" si="10"/>
        <v>0.30888529966937878</v>
      </c>
      <c r="I52">
        <f t="shared" si="11"/>
        <v>2.3668639053254437E-2</v>
      </c>
      <c r="J52">
        <f t="shared" si="12"/>
        <v>-3.7436043538031827</v>
      </c>
      <c r="K52">
        <f t="shared" si="13"/>
        <v>-8.8606020208359351E-2</v>
      </c>
      <c r="L52">
        <f t="shared" si="14"/>
        <v>2.3668639053254439</v>
      </c>
      <c r="M52">
        <f t="shared" si="15"/>
        <v>0.15444264983468939</v>
      </c>
    </row>
    <row r="53" spans="1:13">
      <c r="A53" s="10" t="s">
        <v>12</v>
      </c>
      <c r="B53" s="13" t="s">
        <v>232</v>
      </c>
      <c r="C53" s="10">
        <v>1</v>
      </c>
      <c r="D53" s="10"/>
      <c r="E53" s="10">
        <v>10</v>
      </c>
      <c r="F53">
        <f t="shared" si="8"/>
        <v>0.1</v>
      </c>
      <c r="G53">
        <f t="shared" si="9"/>
        <v>7.8550000000000009E-3</v>
      </c>
      <c r="H53">
        <f t="shared" si="10"/>
        <v>1.841864609468427E-3</v>
      </c>
      <c r="I53">
        <f t="shared" si="11"/>
        <v>1.9723865877712033E-3</v>
      </c>
      <c r="J53">
        <f t="shared" si="12"/>
        <v>-6.2285110035911835</v>
      </c>
      <c r="K53">
        <f t="shared" si="13"/>
        <v>-1.2285031565268606E-2</v>
      </c>
      <c r="L53">
        <f t="shared" si="14"/>
        <v>0.19723865877712032</v>
      </c>
      <c r="M53">
        <f t="shared" si="15"/>
        <v>9.2093230473421351E-4</v>
      </c>
    </row>
    <row r="54" spans="1:13">
      <c r="A54" s="10" t="s">
        <v>21</v>
      </c>
      <c r="B54" s="13" t="s">
        <v>135</v>
      </c>
      <c r="C54" s="10">
        <v>9</v>
      </c>
      <c r="D54" s="10"/>
      <c r="E54" s="10">
        <v>160.80000000000001</v>
      </c>
      <c r="F54">
        <f t="shared" si="8"/>
        <v>1.6080000000000001</v>
      </c>
      <c r="G54">
        <f t="shared" si="9"/>
        <v>2.0310390720000004</v>
      </c>
      <c r="H54">
        <f t="shared" si="10"/>
        <v>0.47624430135765711</v>
      </c>
      <c r="I54">
        <f t="shared" si="11"/>
        <v>1.7751479289940829E-2</v>
      </c>
      <c r="J54">
        <f t="shared" si="12"/>
        <v>-4.0312864262549635</v>
      </c>
      <c r="K54">
        <f t="shared" si="13"/>
        <v>-7.1561297507484564E-2</v>
      </c>
      <c r="L54">
        <f t="shared" si="14"/>
        <v>1.7751479289940828</v>
      </c>
      <c r="M54">
        <f t="shared" si="15"/>
        <v>0.23812215067882855</v>
      </c>
    </row>
    <row r="55" spans="1:13">
      <c r="A55" s="10" t="s">
        <v>17</v>
      </c>
      <c r="B55" s="13" t="s">
        <v>60</v>
      </c>
      <c r="C55" s="10">
        <v>3</v>
      </c>
      <c r="D55" s="10" t="s">
        <v>258</v>
      </c>
      <c r="E55" s="10">
        <v>38.799999999999997</v>
      </c>
      <c r="F55">
        <f t="shared" si="8"/>
        <v>0.38799999999999996</v>
      </c>
      <c r="G55">
        <f t="shared" si="9"/>
        <v>0.11825231199999996</v>
      </c>
      <c r="H55">
        <f t="shared" si="10"/>
        <v>2.7728166576781472E-2</v>
      </c>
      <c r="I55">
        <f t="shared" si="11"/>
        <v>5.9171597633136093E-3</v>
      </c>
      <c r="J55">
        <f t="shared" si="12"/>
        <v>-5.1298987149230735</v>
      </c>
      <c r="K55">
        <f t="shared" si="13"/>
        <v>-3.0354430265817002E-2</v>
      </c>
      <c r="L55">
        <f t="shared" si="14"/>
        <v>0.59171597633136097</v>
      </c>
      <c r="M55">
        <f t="shared" si="15"/>
        <v>1.3864083288390736E-2</v>
      </c>
    </row>
    <row r="56" spans="1:13">
      <c r="A56" s="10" t="s">
        <v>263</v>
      </c>
      <c r="B56" s="13" t="s">
        <v>197</v>
      </c>
      <c r="C56" s="10">
        <v>2</v>
      </c>
      <c r="D56" s="10" t="s">
        <v>258</v>
      </c>
      <c r="E56" s="10">
        <v>33.6</v>
      </c>
      <c r="F56">
        <f t="shared" si="8"/>
        <v>0.33600000000000002</v>
      </c>
      <c r="G56">
        <f t="shared" si="9"/>
        <v>8.8679807999999999E-2</v>
      </c>
      <c r="H56">
        <f t="shared" si="10"/>
        <v>2.079391469505475E-2</v>
      </c>
      <c r="I56">
        <f t="shared" si="11"/>
        <v>3.9447731755424065E-3</v>
      </c>
      <c r="J56">
        <f t="shared" si="12"/>
        <v>-5.5353638230312381</v>
      </c>
      <c r="K56">
        <f t="shared" si="13"/>
        <v>-2.1835754725961491E-2</v>
      </c>
      <c r="L56">
        <f t="shared" si="14"/>
        <v>0.39447731755424065</v>
      </c>
      <c r="M56">
        <f t="shared" si="15"/>
        <v>1.0396957347527375E-2</v>
      </c>
    </row>
    <row r="57" spans="1:13">
      <c r="A57" s="10" t="s">
        <v>31</v>
      </c>
      <c r="B57" s="13" t="s">
        <v>198</v>
      </c>
      <c r="C57" s="10">
        <v>44</v>
      </c>
      <c r="D57" s="10" t="s">
        <v>179</v>
      </c>
      <c r="E57" s="10">
        <v>811.1</v>
      </c>
      <c r="F57">
        <f t="shared" si="8"/>
        <v>8.1110000000000007</v>
      </c>
      <c r="G57">
        <f t="shared" si="9"/>
        <v>51.676726145500005</v>
      </c>
      <c r="H57">
        <f t="shared" si="10"/>
        <v>12.11731801662485</v>
      </c>
      <c r="I57">
        <f t="shared" si="11"/>
        <v>8.6785009861932938E-2</v>
      </c>
      <c r="J57">
        <f t="shared" si="12"/>
        <v>-2.444321369672922</v>
      </c>
      <c r="K57">
        <f t="shared" si="13"/>
        <v>-0.21213045417279797</v>
      </c>
      <c r="L57">
        <f t="shared" si="14"/>
        <v>8.6785009861932938</v>
      </c>
      <c r="M57">
        <f t="shared" si="15"/>
        <v>6.058659008312425</v>
      </c>
    </row>
    <row r="58" spans="1:13">
      <c r="A58" s="10" t="s">
        <v>45</v>
      </c>
      <c r="B58" s="13" t="s">
        <v>44</v>
      </c>
      <c r="C58" s="10">
        <v>33</v>
      </c>
      <c r="D58" s="10" t="s">
        <v>258</v>
      </c>
      <c r="E58" s="10">
        <v>1152.5</v>
      </c>
      <c r="F58">
        <f t="shared" si="8"/>
        <v>11.525</v>
      </c>
      <c r="G58">
        <f t="shared" si="9"/>
        <v>104.3345284375</v>
      </c>
      <c r="H58">
        <f t="shared" si="10"/>
        <v>24.464681791802469</v>
      </c>
      <c r="I58">
        <f t="shared" si="11"/>
        <v>6.5088757396449703E-2</v>
      </c>
      <c r="J58">
        <f t="shared" si="12"/>
        <v>-2.7320034421247028</v>
      </c>
      <c r="K58">
        <f t="shared" si="13"/>
        <v>-0.1778227092507203</v>
      </c>
      <c r="L58">
        <f t="shared" si="14"/>
        <v>6.5088757396449708</v>
      </c>
      <c r="M58">
        <f t="shared" si="15"/>
        <v>12.232340895901235</v>
      </c>
    </row>
    <row r="59" spans="1:13">
      <c r="A59" s="10" t="s">
        <v>93</v>
      </c>
      <c r="B59" s="13" t="s">
        <v>234</v>
      </c>
      <c r="C59" s="10">
        <v>1</v>
      </c>
      <c r="D59" s="10" t="s">
        <v>258</v>
      </c>
      <c r="E59" s="10">
        <v>21.3</v>
      </c>
      <c r="F59">
        <f t="shared" si="8"/>
        <v>0.21299999999999999</v>
      </c>
      <c r="G59">
        <f t="shared" si="9"/>
        <v>3.5637349499999998E-2</v>
      </c>
      <c r="H59">
        <f t="shared" si="10"/>
        <v>8.3563555466973048E-3</v>
      </c>
      <c r="I59">
        <f t="shared" si="11"/>
        <v>1.9723865877712033E-3</v>
      </c>
      <c r="J59">
        <f t="shared" si="12"/>
        <v>-6.2285110035911835</v>
      </c>
      <c r="K59">
        <f t="shared" si="13"/>
        <v>-1.2285031565268606E-2</v>
      </c>
      <c r="L59">
        <f t="shared" si="14"/>
        <v>0.19723865877712032</v>
      </c>
      <c r="M59">
        <f t="shared" si="15"/>
        <v>4.1781777733486524E-3</v>
      </c>
    </row>
    <row r="60" spans="1:13">
      <c r="A60" s="10" t="s">
        <v>93</v>
      </c>
      <c r="B60" s="13" t="s">
        <v>248</v>
      </c>
      <c r="C60" s="10">
        <v>1</v>
      </c>
      <c r="D60" s="10"/>
      <c r="E60" s="10">
        <v>10.1</v>
      </c>
      <c r="F60">
        <f t="shared" si="8"/>
        <v>0.10099999999999999</v>
      </c>
      <c r="G60">
        <f t="shared" si="9"/>
        <v>8.0128854999999988E-3</v>
      </c>
      <c r="H60">
        <f t="shared" si="10"/>
        <v>1.8788860881187419E-3</v>
      </c>
      <c r="I60">
        <f t="shared" si="11"/>
        <v>1.9723865877712033E-3</v>
      </c>
      <c r="J60">
        <f t="shared" si="12"/>
        <v>-6.2285110035911835</v>
      </c>
      <c r="K60">
        <f t="shared" si="13"/>
        <v>-1.2285031565268606E-2</v>
      </c>
      <c r="L60">
        <f t="shared" si="14"/>
        <v>0.19723865877712032</v>
      </c>
      <c r="M60">
        <f t="shared" si="15"/>
        <v>9.3944304405937094E-4</v>
      </c>
    </row>
    <row r="61" spans="1:13">
      <c r="A61" s="10"/>
      <c r="B61" s="13" t="s">
        <v>204</v>
      </c>
      <c r="C61" s="10">
        <v>1</v>
      </c>
      <c r="D61" s="10"/>
      <c r="E61" s="10">
        <v>10.199999999999999</v>
      </c>
      <c r="F61">
        <f t="shared" si="8"/>
        <v>0.10199999999999999</v>
      </c>
      <c r="G61">
        <f t="shared" si="9"/>
        <v>8.1723419999999991E-3</v>
      </c>
      <c r="H61">
        <f t="shared" si="10"/>
        <v>1.9162759396909508E-3</v>
      </c>
      <c r="I61">
        <f t="shared" si="11"/>
        <v>1.9723865877712033E-3</v>
      </c>
      <c r="J61">
        <f t="shared" si="12"/>
        <v>-6.2285110035911835</v>
      </c>
      <c r="K61">
        <f t="shared" si="13"/>
        <v>-1.2285031565268606E-2</v>
      </c>
      <c r="L61">
        <f t="shared" si="14"/>
        <v>0.19723865877712032</v>
      </c>
      <c r="M61">
        <f t="shared" si="15"/>
        <v>9.5813796984547538E-4</v>
      </c>
    </row>
    <row r="62" spans="1:13">
      <c r="A62" s="10" t="s">
        <v>31</v>
      </c>
      <c r="B62" s="13" t="s">
        <v>120</v>
      </c>
      <c r="C62" s="10">
        <v>1</v>
      </c>
      <c r="D62" s="10" t="s">
        <v>179</v>
      </c>
      <c r="E62" s="10">
        <v>50.8</v>
      </c>
      <c r="F62">
        <f t="shared" si="8"/>
        <v>0.50800000000000001</v>
      </c>
      <c r="G62">
        <f t="shared" si="9"/>
        <v>0.202709272</v>
      </c>
      <c r="H62">
        <f t="shared" si="10"/>
        <v>4.7531894857786007E-2</v>
      </c>
      <c r="I62">
        <f t="shared" si="11"/>
        <v>1.9723865877712033E-3</v>
      </c>
      <c r="J62">
        <f t="shared" si="12"/>
        <v>-6.2285110035911835</v>
      </c>
      <c r="K62">
        <f t="shared" si="13"/>
        <v>-1.2285031565268606E-2</v>
      </c>
      <c r="L62">
        <f t="shared" si="14"/>
        <v>0.19723865877712032</v>
      </c>
      <c r="M62">
        <f t="shared" si="15"/>
        <v>2.3765947428893004E-2</v>
      </c>
    </row>
    <row r="63" spans="1:13">
      <c r="A63" s="10" t="s">
        <v>31</v>
      </c>
      <c r="B63" s="13" t="s">
        <v>121</v>
      </c>
      <c r="C63" s="10">
        <v>5</v>
      </c>
      <c r="D63" s="10" t="s">
        <v>258</v>
      </c>
      <c r="E63" s="10">
        <v>135</v>
      </c>
      <c r="F63">
        <f t="shared" si="8"/>
        <v>1.35</v>
      </c>
      <c r="G63">
        <f t="shared" si="9"/>
        <v>1.4315737500000001</v>
      </c>
      <c r="H63">
        <f t="shared" si="10"/>
        <v>0.33567982507562083</v>
      </c>
      <c r="I63">
        <f t="shared" si="11"/>
        <v>9.8619329388560158E-3</v>
      </c>
      <c r="J63">
        <f t="shared" si="12"/>
        <v>-4.619073091157083</v>
      </c>
      <c r="K63">
        <f t="shared" si="13"/>
        <v>-4.5552989064665511E-2</v>
      </c>
      <c r="L63">
        <f t="shared" si="14"/>
        <v>0.98619329388560162</v>
      </c>
      <c r="M63">
        <f t="shared" si="15"/>
        <v>0.16783991253781042</v>
      </c>
    </row>
    <row r="64" spans="1:13">
      <c r="A64" s="10" t="s">
        <v>31</v>
      </c>
      <c r="B64" s="13" t="s">
        <v>249</v>
      </c>
      <c r="C64" s="10">
        <v>8</v>
      </c>
      <c r="D64" s="10"/>
      <c r="E64" s="10">
        <v>118.6</v>
      </c>
      <c r="F64">
        <f t="shared" si="8"/>
        <v>1.1859999999999999</v>
      </c>
      <c r="G64">
        <f t="shared" si="9"/>
        <v>1.104881158</v>
      </c>
      <c r="H64">
        <f t="shared" si="10"/>
        <v>0.25907593922198507</v>
      </c>
      <c r="I64">
        <f t="shared" si="11"/>
        <v>1.5779092702169626E-2</v>
      </c>
      <c r="J64">
        <f t="shared" si="12"/>
        <v>-4.1490694619113473</v>
      </c>
      <c r="K64">
        <f t="shared" si="13"/>
        <v>-6.5468551667240193E-2</v>
      </c>
      <c r="L64">
        <f t="shared" si="14"/>
        <v>1.5779092702169626</v>
      </c>
      <c r="M64">
        <f t="shared" si="15"/>
        <v>0.12953796961099254</v>
      </c>
    </row>
    <row r="65" spans="1:13">
      <c r="A65" s="10" t="s">
        <v>123</v>
      </c>
      <c r="B65" s="13" t="s">
        <v>153</v>
      </c>
      <c r="C65" s="10">
        <v>1</v>
      </c>
      <c r="D65" s="10" t="s">
        <v>258</v>
      </c>
      <c r="E65" s="10">
        <v>10.4</v>
      </c>
      <c r="F65">
        <f t="shared" si="8"/>
        <v>0.10400000000000001</v>
      </c>
      <c r="G65">
        <f t="shared" si="9"/>
        <v>8.4959680000000013E-3</v>
      </c>
      <c r="H65">
        <f t="shared" si="10"/>
        <v>1.9921607616010507E-3</v>
      </c>
      <c r="I65">
        <f t="shared" si="11"/>
        <v>1.9723865877712033E-3</v>
      </c>
      <c r="J65">
        <f t="shared" si="12"/>
        <v>-6.2285110035911835</v>
      </c>
      <c r="K65">
        <f t="shared" si="13"/>
        <v>-1.2285031565268606E-2</v>
      </c>
      <c r="L65">
        <f t="shared" si="14"/>
        <v>0.19723865877712032</v>
      </c>
      <c r="M65">
        <f t="shared" si="15"/>
        <v>9.9608038080052533E-4</v>
      </c>
    </row>
    <row r="66" spans="1:13">
      <c r="A66" s="10" t="s">
        <v>137</v>
      </c>
      <c r="B66" s="13" t="s">
        <v>124</v>
      </c>
      <c r="C66" s="10">
        <v>1</v>
      </c>
      <c r="D66" s="10"/>
      <c r="E66" s="10">
        <v>58.8</v>
      </c>
      <c r="F66">
        <f t="shared" si="8"/>
        <v>0.58799999999999997</v>
      </c>
      <c r="G66">
        <f t="shared" si="9"/>
        <v>0.27158191199999993</v>
      </c>
      <c r="H66">
        <f t="shared" si="10"/>
        <v>6.3681363753605155E-2</v>
      </c>
      <c r="I66">
        <f t="shared" si="11"/>
        <v>1.9723865877712033E-3</v>
      </c>
      <c r="J66">
        <f t="shared" si="12"/>
        <v>-6.2285110035911835</v>
      </c>
      <c r="K66">
        <f t="shared" si="13"/>
        <v>-1.2285031565268606E-2</v>
      </c>
      <c r="L66">
        <f t="shared" si="14"/>
        <v>0.19723865877712032</v>
      </c>
      <c r="M66">
        <f t="shared" si="15"/>
        <v>3.1840681876802578E-2</v>
      </c>
    </row>
    <row r="67" spans="1:13">
      <c r="A67" s="10" t="s">
        <v>41</v>
      </c>
      <c r="B67" s="13" t="s">
        <v>205</v>
      </c>
      <c r="C67" s="10">
        <v>4</v>
      </c>
      <c r="D67" s="10"/>
      <c r="E67" s="10">
        <v>60.7</v>
      </c>
      <c r="F67">
        <f t="shared" si="8"/>
        <v>0.60699999999999998</v>
      </c>
      <c r="G67">
        <f t="shared" si="9"/>
        <v>0.28941668949999999</v>
      </c>
      <c r="H67">
        <f t="shared" si="10"/>
        <v>6.7863317349403235E-2</v>
      </c>
      <c r="I67">
        <f t="shared" si="11"/>
        <v>7.889546351084813E-3</v>
      </c>
      <c r="J67">
        <f t="shared" si="12"/>
        <v>-4.8422166424712927</v>
      </c>
      <c r="K67">
        <f t="shared" si="13"/>
        <v>-3.820289264277154E-2</v>
      </c>
      <c r="L67">
        <f t="shared" si="14"/>
        <v>0.78895463510848129</v>
      </c>
      <c r="M67">
        <f t="shared" si="15"/>
        <v>3.3931658674701617E-2</v>
      </c>
    </row>
    <row r="68" spans="1:13">
      <c r="A68" s="10" t="s">
        <v>41</v>
      </c>
      <c r="B68" s="13" t="s">
        <v>240</v>
      </c>
      <c r="C68" s="10">
        <v>5</v>
      </c>
      <c r="D68" s="10" t="s">
        <v>258</v>
      </c>
      <c r="E68" s="10">
        <v>79.900000000000006</v>
      </c>
      <c r="F68">
        <f t="shared" si="8"/>
        <v>0.79900000000000004</v>
      </c>
      <c r="G68">
        <f t="shared" si="9"/>
        <v>0.50146398550000004</v>
      </c>
      <c r="H68">
        <f t="shared" si="10"/>
        <v>0.11758482085492532</v>
      </c>
      <c r="I68">
        <f t="shared" si="11"/>
        <v>9.8619329388560158E-3</v>
      </c>
      <c r="J68">
        <f t="shared" si="12"/>
        <v>-4.619073091157083</v>
      </c>
      <c r="K68">
        <f t="shared" si="13"/>
        <v>-4.5552989064665511E-2</v>
      </c>
      <c r="L68">
        <f t="shared" si="14"/>
        <v>0.98619329388560162</v>
      </c>
      <c r="M68">
        <f t="shared" si="15"/>
        <v>5.8792410427462659E-2</v>
      </c>
    </row>
    <row r="69" spans="1:13">
      <c r="A69" s="10" t="s">
        <v>41</v>
      </c>
      <c r="B69" s="13" t="s">
        <v>250</v>
      </c>
      <c r="C69" s="10">
        <v>7</v>
      </c>
      <c r="D69" s="10"/>
      <c r="E69" s="10">
        <v>123.5</v>
      </c>
      <c r="F69">
        <f t="shared" si="8"/>
        <v>1.2350000000000001</v>
      </c>
      <c r="G69">
        <f t="shared" si="9"/>
        <v>1.1980642375000001</v>
      </c>
      <c r="H69">
        <f t="shared" si="10"/>
        <v>0.28092579489764813</v>
      </c>
      <c r="I69">
        <f t="shared" si="11"/>
        <v>1.3806706114398421E-2</v>
      </c>
      <c r="J69">
        <f t="shared" si="12"/>
        <v>-4.28260085453587</v>
      </c>
      <c r="K69">
        <f t="shared" si="13"/>
        <v>-5.91286114038483E-2</v>
      </c>
      <c r="L69">
        <f t="shared" si="14"/>
        <v>1.3806706114398422</v>
      </c>
      <c r="M69">
        <f t="shared" si="15"/>
        <v>0.14046289744882406</v>
      </c>
    </row>
    <row r="70" spans="1:13">
      <c r="A70" s="10" t="s">
        <v>15</v>
      </c>
      <c r="B70" s="13" t="s">
        <v>29</v>
      </c>
      <c r="C70" s="10">
        <v>6</v>
      </c>
      <c r="D70" s="10"/>
      <c r="E70" s="10">
        <v>169.3</v>
      </c>
      <c r="F70">
        <f t="shared" si="8"/>
        <v>1.6930000000000001</v>
      </c>
      <c r="G70">
        <f t="shared" si="9"/>
        <v>2.2514385895000002</v>
      </c>
      <c r="H70">
        <f t="shared" si="10"/>
        <v>0.52792425950242694</v>
      </c>
      <c r="I70">
        <f t="shared" si="11"/>
        <v>1.1834319526627219E-2</v>
      </c>
      <c r="J70">
        <f t="shared" si="12"/>
        <v>-4.4367515343631281</v>
      </c>
      <c r="K70">
        <f t="shared" si="13"/>
        <v>-5.2505935317906843E-2</v>
      </c>
      <c r="L70">
        <f t="shared" si="14"/>
        <v>1.1834319526627219</v>
      </c>
      <c r="M70">
        <f t="shared" si="15"/>
        <v>0.26396212975121347</v>
      </c>
    </row>
    <row r="71" spans="1:13">
      <c r="A71" s="10" t="s">
        <v>31</v>
      </c>
      <c r="B71" s="13" t="s">
        <v>30</v>
      </c>
      <c r="C71" s="10">
        <v>11</v>
      </c>
      <c r="D71" s="10" t="s">
        <v>258</v>
      </c>
      <c r="E71" s="10">
        <v>669.8</v>
      </c>
      <c r="F71">
        <f t="shared" si="8"/>
        <v>6.6979999999999995</v>
      </c>
      <c r="G71">
        <f t="shared" si="9"/>
        <v>35.240046741999997</v>
      </c>
      <c r="H71">
        <f t="shared" si="10"/>
        <v>8.2631947714962344</v>
      </c>
      <c r="I71">
        <f t="shared" si="11"/>
        <v>2.1696252465483234E-2</v>
      </c>
      <c r="J71">
        <f t="shared" si="12"/>
        <v>-3.8306157307928128</v>
      </c>
      <c r="K71">
        <f t="shared" si="13"/>
        <v>-8.3110005993532424E-2</v>
      </c>
      <c r="L71">
        <f t="shared" si="14"/>
        <v>2.1696252465483234</v>
      </c>
      <c r="M71">
        <f t="shared" si="15"/>
        <v>4.1315973857481172</v>
      </c>
    </row>
    <row r="72" spans="1:13">
      <c r="A72" s="10"/>
      <c r="B72" s="13" t="s">
        <v>223</v>
      </c>
      <c r="C72" s="10">
        <v>1</v>
      </c>
      <c r="D72" s="10"/>
      <c r="E72" s="10">
        <v>55.3</v>
      </c>
      <c r="F72">
        <f t="shared" si="8"/>
        <v>0.55299999999999994</v>
      </c>
      <c r="G72">
        <f t="shared" si="9"/>
        <v>0.24021296949999996</v>
      </c>
      <c r="H72">
        <f t="shared" si="10"/>
        <v>5.6325877435692999E-2</v>
      </c>
      <c r="I72">
        <f t="shared" si="11"/>
        <v>1.9723865877712033E-3</v>
      </c>
      <c r="J72">
        <f t="shared" si="12"/>
        <v>-6.2285110035911835</v>
      </c>
      <c r="K72">
        <f t="shared" si="13"/>
        <v>-1.2285031565268606E-2</v>
      </c>
      <c r="L72">
        <f t="shared" si="14"/>
        <v>0.19723865877712032</v>
      </c>
      <c r="M72">
        <f t="shared" si="15"/>
        <v>2.8162938717846499E-2</v>
      </c>
    </row>
    <row r="73" spans="1:13">
      <c r="A73" s="10" t="s">
        <v>225</v>
      </c>
      <c r="B73" s="13" t="s">
        <v>224</v>
      </c>
      <c r="C73" s="10">
        <v>1</v>
      </c>
      <c r="D73" s="10"/>
      <c r="E73" s="10">
        <v>10</v>
      </c>
      <c r="F73">
        <f t="shared" si="8"/>
        <v>0.1</v>
      </c>
      <c r="G73">
        <f t="shared" si="9"/>
        <v>7.8550000000000009E-3</v>
      </c>
      <c r="H73">
        <f t="shared" si="10"/>
        <v>1.841864609468427E-3</v>
      </c>
      <c r="I73">
        <f t="shared" si="11"/>
        <v>1.9723865877712033E-3</v>
      </c>
      <c r="J73">
        <f t="shared" si="12"/>
        <v>-6.2285110035911835</v>
      </c>
      <c r="K73">
        <f t="shared" si="13"/>
        <v>-1.2285031565268606E-2</v>
      </c>
      <c r="L73">
        <f t="shared" si="14"/>
        <v>0.19723865877712032</v>
      </c>
      <c r="M73">
        <f t="shared" si="15"/>
        <v>9.2093230473421351E-4</v>
      </c>
    </row>
    <row r="74" spans="1:13">
      <c r="A74" s="10" t="s">
        <v>140</v>
      </c>
      <c r="B74" s="13" t="s">
        <v>210</v>
      </c>
      <c r="C74" s="10">
        <v>1</v>
      </c>
      <c r="D74" s="10"/>
      <c r="E74" s="10">
        <v>15</v>
      </c>
      <c r="F74">
        <f t="shared" si="8"/>
        <v>0.15</v>
      </c>
      <c r="G74">
        <f t="shared" si="9"/>
        <v>1.7673749999999998E-2</v>
      </c>
      <c r="H74">
        <f t="shared" si="10"/>
        <v>4.1441953713039596E-3</v>
      </c>
      <c r="I74">
        <f t="shared" si="11"/>
        <v>1.9723865877712033E-3</v>
      </c>
      <c r="J74">
        <f t="shared" si="12"/>
        <v>-6.2285110035911835</v>
      </c>
      <c r="K74">
        <f t="shared" si="13"/>
        <v>-1.2285031565268606E-2</v>
      </c>
      <c r="L74">
        <f t="shared" si="14"/>
        <v>0.19723865877712032</v>
      </c>
      <c r="M74">
        <f t="shared" si="15"/>
        <v>2.0720976856519798E-3</v>
      </c>
    </row>
    <row r="75" spans="1:13">
      <c r="C75">
        <v>507</v>
      </c>
      <c r="G75">
        <v>426.47</v>
      </c>
      <c r="J75" t="s">
        <v>32</v>
      </c>
      <c r="K75">
        <v>3.51</v>
      </c>
    </row>
    <row r="76" spans="1:13">
      <c r="J76" t="s">
        <v>33</v>
      </c>
      <c r="K76">
        <f>3.51/LN(507)</f>
        <v>0.56353757711533836</v>
      </c>
    </row>
  </sheetData>
  <autoFilter ref="B4:M76"/>
  <sortState ref="A5:M74">
    <sortCondition ref="B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1" workbookViewId="0">
      <selection activeCell="G18" sqref="G18"/>
    </sheetView>
  </sheetViews>
  <sheetFormatPr defaultColWidth="9.140625" defaultRowHeight="15"/>
  <cols>
    <col min="1" max="1" width="4.7109375" customWidth="1"/>
    <col min="2" max="2" width="17.28515625" customWidth="1"/>
    <col min="3" max="3" width="20.42578125" customWidth="1"/>
    <col min="4" max="4" width="15.7109375" customWidth="1"/>
    <col min="5" max="5" width="23.28515625" customWidth="1"/>
  </cols>
  <sheetData>
    <row r="1" spans="1:5" ht="16.5" customHeight="1">
      <c r="A1" s="44" t="s">
        <v>264</v>
      </c>
      <c r="B1" s="24"/>
      <c r="C1" s="43"/>
      <c r="D1" s="43"/>
      <c r="E1" s="25"/>
    </row>
    <row r="2" spans="1:5">
      <c r="A2" s="44"/>
      <c r="B2" s="26" t="s">
        <v>2</v>
      </c>
      <c r="C2" s="27" t="s">
        <v>265</v>
      </c>
      <c r="D2" s="27" t="s">
        <v>266</v>
      </c>
      <c r="E2" s="27" t="s">
        <v>267</v>
      </c>
    </row>
    <row r="3" spans="1:5" ht="17.25" customHeight="1">
      <c r="A3" s="45"/>
      <c r="B3" s="45"/>
      <c r="C3" s="29" t="s">
        <v>268</v>
      </c>
      <c r="D3" s="45" t="s">
        <v>269</v>
      </c>
      <c r="E3" s="45" t="s">
        <v>269</v>
      </c>
    </row>
    <row r="4" spans="1:5" ht="15.75">
      <c r="A4" s="45"/>
      <c r="B4" s="45"/>
      <c r="C4" s="28" t="s">
        <v>270</v>
      </c>
      <c r="D4" s="45"/>
      <c r="E4" s="45"/>
    </row>
    <row r="5" spans="1:5">
      <c r="A5" s="26">
        <v>1</v>
      </c>
      <c r="B5" s="30" t="s">
        <v>39</v>
      </c>
      <c r="C5" s="26">
        <v>1</v>
      </c>
      <c r="D5" s="26">
        <v>1</v>
      </c>
      <c r="E5" s="31">
        <v>0</v>
      </c>
    </row>
    <row r="6" spans="1:5">
      <c r="A6" s="26">
        <v>2</v>
      </c>
      <c r="B6" s="30" t="s">
        <v>72</v>
      </c>
      <c r="C6" s="26">
        <v>1</v>
      </c>
      <c r="D6" s="26">
        <v>1</v>
      </c>
      <c r="E6" s="26">
        <v>2</v>
      </c>
    </row>
    <row r="7" spans="1:5">
      <c r="A7" s="26">
        <v>3</v>
      </c>
      <c r="B7" s="30" t="s">
        <v>21</v>
      </c>
      <c r="C7" s="26">
        <v>3</v>
      </c>
      <c r="D7" s="26">
        <v>5</v>
      </c>
      <c r="E7" s="26">
        <v>3</v>
      </c>
    </row>
    <row r="8" spans="1:5">
      <c r="A8" s="26">
        <v>4</v>
      </c>
      <c r="B8" s="30" t="s">
        <v>46</v>
      </c>
      <c r="C8" s="26">
        <v>2</v>
      </c>
      <c r="D8" s="26">
        <v>2</v>
      </c>
      <c r="E8" s="26">
        <v>1</v>
      </c>
    </row>
    <row r="9" spans="1:5">
      <c r="A9" s="26">
        <v>5</v>
      </c>
      <c r="B9" s="30" t="s">
        <v>99</v>
      </c>
      <c r="C9" s="26">
        <v>0</v>
      </c>
      <c r="D9" s="26">
        <v>2</v>
      </c>
      <c r="E9" s="26">
        <v>1</v>
      </c>
    </row>
    <row r="10" spans="1:5">
      <c r="A10" s="26">
        <v>6</v>
      </c>
      <c r="B10" s="30" t="s">
        <v>105</v>
      </c>
      <c r="C10" s="26">
        <v>0</v>
      </c>
      <c r="D10" s="26">
        <v>0</v>
      </c>
      <c r="E10" s="26">
        <v>1</v>
      </c>
    </row>
    <row r="11" spans="1:5">
      <c r="A11" s="26">
        <v>7</v>
      </c>
      <c r="B11" s="30" t="s">
        <v>128</v>
      </c>
      <c r="C11" s="26">
        <v>0</v>
      </c>
      <c r="D11" s="26">
        <v>0</v>
      </c>
      <c r="E11" s="26">
        <v>1</v>
      </c>
    </row>
    <row r="12" spans="1:5">
      <c r="A12" s="26">
        <v>8</v>
      </c>
      <c r="B12" s="30" t="s">
        <v>97</v>
      </c>
      <c r="C12" s="26">
        <v>1</v>
      </c>
      <c r="D12" s="26">
        <v>3</v>
      </c>
      <c r="E12" s="26">
        <v>3</v>
      </c>
    </row>
    <row r="13" spans="1:5">
      <c r="A13" s="26">
        <v>9</v>
      </c>
      <c r="B13" s="30" t="s">
        <v>245</v>
      </c>
      <c r="C13" s="26">
        <v>0</v>
      </c>
      <c r="D13" s="26">
        <v>1</v>
      </c>
      <c r="E13" s="26">
        <v>0</v>
      </c>
    </row>
    <row r="14" spans="1:5">
      <c r="A14" s="26">
        <v>10</v>
      </c>
      <c r="B14" s="30" t="s">
        <v>77</v>
      </c>
      <c r="C14" s="26">
        <v>1</v>
      </c>
      <c r="D14" s="26">
        <v>0</v>
      </c>
      <c r="E14" s="26">
        <v>1</v>
      </c>
    </row>
    <row r="15" spans="1:5">
      <c r="A15" s="26">
        <v>11</v>
      </c>
      <c r="B15" s="30" t="s">
        <v>137</v>
      </c>
      <c r="C15" s="26">
        <v>0</v>
      </c>
      <c r="D15" s="26">
        <v>1</v>
      </c>
      <c r="E15" s="26">
        <v>1</v>
      </c>
    </row>
    <row r="16" spans="1:5">
      <c r="A16" s="26">
        <v>12</v>
      </c>
      <c r="B16" s="30" t="s">
        <v>151</v>
      </c>
      <c r="C16" s="26">
        <v>0</v>
      </c>
      <c r="D16" s="26">
        <v>0</v>
      </c>
      <c r="E16" s="26">
        <v>1</v>
      </c>
    </row>
    <row r="17" spans="1:5">
      <c r="A17" s="26">
        <v>13</v>
      </c>
      <c r="B17" s="30" t="s">
        <v>109</v>
      </c>
      <c r="C17" s="26">
        <v>0</v>
      </c>
      <c r="D17" s="26">
        <v>2</v>
      </c>
      <c r="E17" s="26">
        <v>4</v>
      </c>
    </row>
    <row r="18" spans="1:5">
      <c r="A18" s="26">
        <v>14</v>
      </c>
      <c r="B18" s="30" t="s">
        <v>45</v>
      </c>
      <c r="C18" s="26">
        <v>1</v>
      </c>
      <c r="D18" s="26">
        <v>1</v>
      </c>
      <c r="E18" s="26">
        <v>1</v>
      </c>
    </row>
    <row r="19" spans="1:5">
      <c r="A19" s="26">
        <v>15</v>
      </c>
      <c r="B19" s="30" t="s">
        <v>12</v>
      </c>
      <c r="C19" s="26">
        <v>8</v>
      </c>
      <c r="D19" s="26">
        <v>11</v>
      </c>
      <c r="E19" s="26">
        <v>3</v>
      </c>
    </row>
    <row r="20" spans="1:5">
      <c r="A20" s="26">
        <v>16</v>
      </c>
      <c r="B20" s="30" t="s">
        <v>88</v>
      </c>
      <c r="C20" s="26">
        <v>1</v>
      </c>
      <c r="D20" s="26">
        <v>0</v>
      </c>
      <c r="E20" s="26">
        <v>0</v>
      </c>
    </row>
    <row r="21" spans="1:5">
      <c r="A21" s="26">
        <v>17</v>
      </c>
      <c r="B21" s="30" t="s">
        <v>225</v>
      </c>
      <c r="C21" s="26">
        <v>0</v>
      </c>
      <c r="D21" s="26">
        <v>1</v>
      </c>
      <c r="E21" s="26">
        <v>0</v>
      </c>
    </row>
    <row r="22" spans="1:5">
      <c r="A22" s="26">
        <v>18</v>
      </c>
      <c r="B22" s="30" t="s">
        <v>114</v>
      </c>
      <c r="C22" s="26">
        <v>0</v>
      </c>
      <c r="D22" s="26">
        <v>1</v>
      </c>
      <c r="E22" s="26">
        <v>2</v>
      </c>
    </row>
    <row r="23" spans="1:5">
      <c r="A23" s="26">
        <v>19</v>
      </c>
      <c r="B23" s="30" t="s">
        <v>271</v>
      </c>
      <c r="C23" s="26">
        <v>0</v>
      </c>
      <c r="D23" s="26">
        <v>1</v>
      </c>
      <c r="E23" s="26">
        <v>0</v>
      </c>
    </row>
    <row r="24" spans="1:5">
      <c r="A24" s="26">
        <v>20</v>
      </c>
      <c r="B24" s="30" t="s">
        <v>19</v>
      </c>
      <c r="C24" s="26">
        <v>1</v>
      </c>
      <c r="D24" s="26">
        <v>1</v>
      </c>
      <c r="E24" s="26">
        <v>1</v>
      </c>
    </row>
    <row r="25" spans="1:5">
      <c r="A25" s="26">
        <v>21</v>
      </c>
      <c r="B25" s="30" t="s">
        <v>41</v>
      </c>
      <c r="C25" s="26">
        <v>3</v>
      </c>
      <c r="D25" s="26">
        <v>5</v>
      </c>
      <c r="E25" s="26">
        <v>4</v>
      </c>
    </row>
    <row r="26" spans="1:5">
      <c r="A26" s="26">
        <v>23</v>
      </c>
      <c r="B26" s="30" t="s">
        <v>272</v>
      </c>
      <c r="C26" s="26">
        <v>0</v>
      </c>
      <c r="D26" s="26">
        <v>0</v>
      </c>
      <c r="E26" s="26">
        <v>1</v>
      </c>
    </row>
    <row r="27" spans="1:5">
      <c r="A27" s="26">
        <v>24</v>
      </c>
      <c r="B27" s="30" t="s">
        <v>15</v>
      </c>
      <c r="C27" s="26">
        <v>7</v>
      </c>
      <c r="D27" s="26">
        <v>4</v>
      </c>
      <c r="E27" s="26">
        <v>4</v>
      </c>
    </row>
    <row r="28" spans="1:5">
      <c r="A28" s="26">
        <v>25</v>
      </c>
      <c r="B28" s="30" t="s">
        <v>53</v>
      </c>
      <c r="C28" s="26">
        <v>1</v>
      </c>
      <c r="D28" s="26">
        <v>0</v>
      </c>
      <c r="E28" s="26">
        <v>1</v>
      </c>
    </row>
    <row r="29" spans="1:5">
      <c r="A29" s="26">
        <v>26</v>
      </c>
      <c r="B29" s="30" t="s">
        <v>123</v>
      </c>
      <c r="C29" s="26">
        <v>0</v>
      </c>
      <c r="D29" s="26">
        <v>2</v>
      </c>
      <c r="E29" s="26">
        <v>1</v>
      </c>
    </row>
    <row r="30" spans="1:5">
      <c r="A30" s="26">
        <v>27</v>
      </c>
      <c r="B30" s="30" t="s">
        <v>143</v>
      </c>
      <c r="C30" s="26">
        <v>0</v>
      </c>
      <c r="D30" s="26">
        <v>1</v>
      </c>
      <c r="E30" s="26">
        <v>1</v>
      </c>
    </row>
    <row r="31" spans="1:5">
      <c r="A31" s="26">
        <v>28</v>
      </c>
      <c r="B31" s="30" t="s">
        <v>273</v>
      </c>
      <c r="C31" s="26">
        <v>0</v>
      </c>
      <c r="D31" s="26">
        <v>1</v>
      </c>
      <c r="E31" s="26">
        <v>1</v>
      </c>
    </row>
    <row r="32" spans="1:5">
      <c r="A32" s="26">
        <v>29</v>
      </c>
      <c r="B32" s="30" t="s">
        <v>59</v>
      </c>
      <c r="C32" s="26">
        <v>1</v>
      </c>
      <c r="D32" s="26">
        <v>0</v>
      </c>
      <c r="E32" s="26">
        <v>0</v>
      </c>
    </row>
    <row r="33" spans="1:5">
      <c r="A33" s="26">
        <v>30</v>
      </c>
      <c r="B33" s="30" t="s">
        <v>93</v>
      </c>
      <c r="C33" s="26">
        <v>0</v>
      </c>
      <c r="D33" s="26">
        <v>2</v>
      </c>
      <c r="E33" s="26">
        <v>4</v>
      </c>
    </row>
    <row r="34" spans="1:5">
      <c r="A34" s="26">
        <v>31</v>
      </c>
      <c r="B34" s="30" t="s">
        <v>140</v>
      </c>
      <c r="C34" s="26">
        <v>0</v>
      </c>
      <c r="D34" s="26">
        <v>1</v>
      </c>
      <c r="E34" s="26">
        <v>2</v>
      </c>
    </row>
    <row r="35" spans="1:5">
      <c r="A35" s="26">
        <v>32</v>
      </c>
      <c r="B35" s="30" t="s">
        <v>24</v>
      </c>
      <c r="C35" s="26">
        <v>1</v>
      </c>
      <c r="D35" s="26">
        <v>4</v>
      </c>
      <c r="E35" s="26">
        <v>1</v>
      </c>
    </row>
    <row r="36" spans="1:5">
      <c r="A36" s="26">
        <v>33</v>
      </c>
      <c r="B36" s="30" t="s">
        <v>17</v>
      </c>
      <c r="C36" s="26">
        <v>2</v>
      </c>
      <c r="D36" s="26">
        <v>2</v>
      </c>
      <c r="E36" s="26">
        <v>0</v>
      </c>
    </row>
    <row r="37" spans="1:5">
      <c r="A37" s="26">
        <v>34</v>
      </c>
      <c r="B37" s="30" t="s">
        <v>31</v>
      </c>
      <c r="C37" s="26">
        <v>4</v>
      </c>
      <c r="D37" s="26">
        <v>10</v>
      </c>
      <c r="E37" s="26">
        <v>8</v>
      </c>
    </row>
    <row r="38" spans="1:5">
      <c r="A38" s="26">
        <v>35</v>
      </c>
      <c r="B38" s="30" t="s">
        <v>107</v>
      </c>
      <c r="C38" s="26">
        <v>0</v>
      </c>
      <c r="D38" s="26">
        <v>0</v>
      </c>
      <c r="E38" s="26">
        <v>1</v>
      </c>
    </row>
    <row r="39" spans="1:5">
      <c r="A39" s="26">
        <v>36</v>
      </c>
      <c r="B39" s="30" t="s">
        <v>36</v>
      </c>
      <c r="C39" s="26">
        <v>1</v>
      </c>
      <c r="D39" s="26">
        <v>2</v>
      </c>
      <c r="E39" s="26">
        <v>4</v>
      </c>
    </row>
    <row r="40" spans="1:5">
      <c r="A40" s="27"/>
      <c r="B40" s="32"/>
      <c r="C40" s="33">
        <f>SUM(C5:C39)</f>
        <v>40</v>
      </c>
      <c r="D40" s="33">
        <f>SUM(D5:D39)</f>
        <v>68</v>
      </c>
      <c r="E40" s="33">
        <f>SUM(E5:E39)</f>
        <v>59</v>
      </c>
    </row>
  </sheetData>
  <sortState ref="B5:E39">
    <sortCondition ref="B5"/>
  </sortState>
  <mergeCells count="6">
    <mergeCell ref="E3:E4"/>
    <mergeCell ref="C1:D1"/>
    <mergeCell ref="A1:A2"/>
    <mergeCell ref="A3:A4"/>
    <mergeCell ref="B3:B4"/>
    <mergeCell ref="D3:D4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sqref="A1:H10"/>
    </sheetView>
  </sheetViews>
  <sheetFormatPr defaultColWidth="9.140625" defaultRowHeight="15"/>
  <sheetData>
    <row r="1" spans="2:8">
      <c r="E1" t="s">
        <v>274</v>
      </c>
    </row>
    <row r="2" spans="2:8">
      <c r="B2" t="s">
        <v>275</v>
      </c>
      <c r="D2" t="s">
        <v>276</v>
      </c>
      <c r="F2" t="s">
        <v>277</v>
      </c>
      <c r="H2" t="s">
        <v>278</v>
      </c>
    </row>
    <row r="3" spans="2:8" ht="17.25">
      <c r="B3">
        <v>1</v>
      </c>
      <c r="D3" s="23" t="s">
        <v>279</v>
      </c>
      <c r="F3" s="23" t="s">
        <v>280</v>
      </c>
      <c r="H3" s="23" t="s">
        <v>281</v>
      </c>
    </row>
    <row r="4" spans="2:8" ht="17.25">
      <c r="B4">
        <v>2</v>
      </c>
      <c r="D4" s="23" t="s">
        <v>282</v>
      </c>
      <c r="F4" s="23" t="s">
        <v>283</v>
      </c>
      <c r="H4" s="23" t="s">
        <v>284</v>
      </c>
    </row>
    <row r="5" spans="2:8" ht="17.25">
      <c r="B5">
        <v>3</v>
      </c>
      <c r="D5" s="23" t="s">
        <v>285</v>
      </c>
      <c r="F5" s="23" t="s">
        <v>286</v>
      </c>
      <c r="H5" s="23" t="s">
        <v>287</v>
      </c>
    </row>
    <row r="6" spans="2:8" ht="17.25">
      <c r="B6">
        <v>4</v>
      </c>
      <c r="D6" s="23" t="s">
        <v>288</v>
      </c>
      <c r="F6" s="23" t="s">
        <v>289</v>
      </c>
      <c r="H6" s="23" t="s">
        <v>290</v>
      </c>
    </row>
    <row r="7" spans="2:8" ht="17.25">
      <c r="B7">
        <v>5</v>
      </c>
      <c r="D7" s="23" t="s">
        <v>291</v>
      </c>
      <c r="F7" s="23" t="s">
        <v>292</v>
      </c>
      <c r="H7" s="23" t="s">
        <v>293</v>
      </c>
    </row>
    <row r="8" spans="2:8" ht="17.25">
      <c r="B8">
        <v>6</v>
      </c>
      <c r="D8" s="23" t="s">
        <v>294</v>
      </c>
      <c r="F8" s="23" t="s">
        <v>295</v>
      </c>
      <c r="H8" s="23" t="s">
        <v>296</v>
      </c>
    </row>
    <row r="9" spans="2:8" ht="17.25">
      <c r="B9">
        <v>7</v>
      </c>
      <c r="D9" s="23" t="s">
        <v>297</v>
      </c>
      <c r="F9" s="23" t="s">
        <v>298</v>
      </c>
      <c r="H9" s="23" t="s">
        <v>299</v>
      </c>
    </row>
    <row r="10" spans="2:8" ht="17.25">
      <c r="B10">
        <v>8</v>
      </c>
      <c r="D10" s="23" t="s">
        <v>300</v>
      </c>
      <c r="F10" s="23" t="s">
        <v>301</v>
      </c>
      <c r="H10" s="23" t="s">
        <v>302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G10"/>
    </sheetView>
  </sheetViews>
  <sheetFormatPr defaultColWidth="9.140625" defaultRowHeight="15"/>
  <sheetData>
    <row r="1" spans="1:7">
      <c r="D1" t="s">
        <v>303</v>
      </c>
    </row>
    <row r="2" spans="1:7">
      <c r="A2" t="s">
        <v>275</v>
      </c>
      <c r="C2" t="s">
        <v>276</v>
      </c>
      <c r="E2" t="s">
        <v>277</v>
      </c>
      <c r="G2" t="s">
        <v>278</v>
      </c>
    </row>
    <row r="3" spans="1:7" ht="18">
      <c r="A3">
        <v>1</v>
      </c>
      <c r="C3" s="22" t="s">
        <v>304</v>
      </c>
      <c r="E3" s="6" t="s">
        <v>305</v>
      </c>
      <c r="G3" s="6" t="s">
        <v>306</v>
      </c>
    </row>
    <row r="4" spans="1:7" ht="18">
      <c r="A4">
        <v>2</v>
      </c>
      <c r="C4" s="22" t="s">
        <v>307</v>
      </c>
      <c r="E4" s="6" t="s">
        <v>308</v>
      </c>
      <c r="G4" s="6" t="s">
        <v>309</v>
      </c>
    </row>
    <row r="5" spans="1:7" ht="18">
      <c r="A5">
        <v>3</v>
      </c>
      <c r="C5" s="22" t="s">
        <v>310</v>
      </c>
      <c r="E5" s="6" t="s">
        <v>311</v>
      </c>
      <c r="G5" s="6" t="s">
        <v>312</v>
      </c>
    </row>
    <row r="6" spans="1:7" ht="17.25">
      <c r="A6">
        <v>4</v>
      </c>
      <c r="C6" s="6" t="s">
        <v>313</v>
      </c>
      <c r="E6" s="6" t="s">
        <v>314</v>
      </c>
      <c r="G6" s="6" t="s">
        <v>315</v>
      </c>
    </row>
    <row r="7" spans="1:7" ht="17.25">
      <c r="A7">
        <v>5</v>
      </c>
      <c r="C7" s="6" t="s">
        <v>316</v>
      </c>
      <c r="E7" s="6" t="s">
        <v>317</v>
      </c>
      <c r="G7" s="6" t="s">
        <v>318</v>
      </c>
    </row>
    <row r="8" spans="1:7" ht="17.25">
      <c r="A8">
        <v>6</v>
      </c>
      <c r="C8" s="6" t="s">
        <v>319</v>
      </c>
      <c r="E8" s="6" t="s">
        <v>320</v>
      </c>
      <c r="G8" s="6" t="s">
        <v>321</v>
      </c>
    </row>
    <row r="9" spans="1:7" ht="17.25">
      <c r="A9">
        <v>7</v>
      </c>
      <c r="C9" s="6" t="s">
        <v>322</v>
      </c>
      <c r="E9" s="6" t="s">
        <v>323</v>
      </c>
      <c r="G9" s="6" t="s">
        <v>324</v>
      </c>
    </row>
    <row r="10" spans="1:7" ht="17.25">
      <c r="A10">
        <v>8</v>
      </c>
      <c r="C10" s="6" t="s">
        <v>325</v>
      </c>
      <c r="E10" s="6" t="s">
        <v>326</v>
      </c>
      <c r="G10" s="6" t="s">
        <v>327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IITA </vt:lpstr>
      <vt:lpstr>OMO</vt:lpstr>
      <vt:lpstr>COMBINED IITA</vt:lpstr>
      <vt:lpstr>Emerald</vt:lpstr>
      <vt:lpstr>COMBINED OMO</vt:lpstr>
      <vt:lpstr>COMBINED EMERALD</vt:lpstr>
      <vt:lpstr>Family freq.</vt:lpstr>
      <vt:lpstr>Bacteria summary</vt:lpstr>
      <vt:lpstr>Fungi summary</vt:lpstr>
      <vt:lpstr>Mesofauna summary</vt:lpstr>
      <vt:lpstr>IITA Combine Table</vt:lpstr>
      <vt:lpstr>Combine Omo Table </vt:lpstr>
      <vt:lpstr>Combine Emerald Table</vt:lpstr>
      <vt:lpstr>Summary tree parameters</vt:lpstr>
      <vt:lpstr>Soil properties</vt:lpstr>
      <vt:lpstr>IITA ground veg.</vt:lpstr>
      <vt:lpstr>Elephant vegetation</vt:lpstr>
      <vt:lpstr>Emerald vegetation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ADEYINKA</dc:creator>
  <cp:lastModifiedBy>Oluwafemi</cp:lastModifiedBy>
  <dcterms:created xsi:type="dcterms:W3CDTF">2022-08-15T09:06:00Z</dcterms:created>
  <dcterms:modified xsi:type="dcterms:W3CDTF">2023-03-24T17:21:26Z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DF0DB5E704F94B65B50B1E524CD65D6D</vt:lpwstr>
  </property>
  <property fmtid="{D5CDD505-2E9C-101B-9397-08002B2CF9AE}" pid="3" name="KSOProductBuildVer">
    <vt:lpwstr>2057-11.2.0.11486</vt:lpwstr>
  </property>
</Properties>
</file>