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randon\Documents\Mun Documents\cs1600\assignment1\"/>
    </mc:Choice>
  </mc:AlternateContent>
  <bookViews>
    <workbookView xWindow="0" yWindow="0" windowWidth="20490" windowHeight="7755"/>
  </bookViews>
  <sheets>
    <sheet name="Municipalities" sheetId="7" r:id="rId1"/>
    <sheet name="Accounts" sheetId="9" r:id="rId2"/>
    <sheet name="Summary" sheetId="10" r:id="rId3"/>
    <sheet name="Controls" sheetId="8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7" l="1"/>
  <c r="G9" i="9"/>
  <c r="B28" i="10"/>
  <c r="B27" i="10"/>
  <c r="B20" i="10"/>
  <c r="B21" i="10"/>
  <c r="B26" i="10" s="1"/>
  <c r="B22" i="10"/>
  <c r="B23" i="10"/>
  <c r="B19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B15" i="10"/>
  <c r="B14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B12" i="10"/>
  <c r="B11" i="10"/>
  <c r="B10" i="10"/>
  <c r="F10" i="10"/>
  <c r="C10" i="10"/>
  <c r="D10" i="10"/>
  <c r="E10" i="10"/>
  <c r="G10" i="10"/>
  <c r="H10" i="10"/>
  <c r="I10" i="10"/>
  <c r="J10" i="10"/>
  <c r="K10" i="10"/>
  <c r="L10" i="10"/>
  <c r="M10" i="10"/>
  <c r="N10" i="10"/>
  <c r="C9" i="10"/>
  <c r="D9" i="10"/>
  <c r="E9" i="10"/>
  <c r="F9" i="10"/>
  <c r="G9" i="10"/>
  <c r="H9" i="10"/>
  <c r="I9" i="10"/>
  <c r="J9" i="10"/>
  <c r="K9" i="10"/>
  <c r="L9" i="10"/>
  <c r="M9" i="10"/>
  <c r="N9" i="10"/>
  <c r="B9" i="10"/>
  <c r="C8" i="10"/>
  <c r="D8" i="10"/>
  <c r="E8" i="10"/>
  <c r="F8" i="10"/>
  <c r="G8" i="10"/>
  <c r="H8" i="10"/>
  <c r="I8" i="10"/>
  <c r="J8" i="10"/>
  <c r="K8" i="10"/>
  <c r="L8" i="10"/>
  <c r="M8" i="10"/>
  <c r="N8" i="10"/>
  <c r="B8" i="10"/>
  <c r="B4" i="10"/>
  <c r="B3" i="10"/>
  <c r="B2" i="10"/>
  <c r="G3" i="9"/>
  <c r="G4" i="9"/>
  <c r="G5" i="9"/>
  <c r="G6" i="9"/>
  <c r="G7" i="9"/>
  <c r="G8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2" i="9"/>
  <c r="D6" i="9"/>
  <c r="D4" i="9"/>
  <c r="D5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3" i="9"/>
  <c r="D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2" i="9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2" i="7"/>
  <c r="N3" i="7"/>
  <c r="N4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2" i="7"/>
  <c r="L93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4" i="7"/>
  <c r="L95" i="7"/>
  <c r="L96" i="7"/>
  <c r="L97" i="7"/>
  <c r="L98" i="7"/>
  <c r="L99" i="7"/>
  <c r="L100" i="7"/>
  <c r="L101" i="7"/>
  <c r="L2" i="7"/>
  <c r="K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2" i="7"/>
  <c r="C3" i="7"/>
  <c r="C4" i="7"/>
  <c r="C5" i="7"/>
  <c r="C6" i="7"/>
  <c r="C7" i="7"/>
  <c r="C8" i="7"/>
  <c r="C9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2" i="7"/>
  <c r="J3" i="7" l="1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2" i="7"/>
</calcChain>
</file>

<file path=xl/sharedStrings.xml><?xml version="1.0" encoding="utf-8"?>
<sst xmlns="http://schemas.openxmlformats.org/spreadsheetml/2006/main" count="496" uniqueCount="257">
  <si>
    <t>Municipality</t>
  </si>
  <si>
    <t>Grande Prairie</t>
  </si>
  <si>
    <t>Lethbridge</t>
  </si>
  <si>
    <t>Medicine Hat</t>
  </si>
  <si>
    <t>Red Deer</t>
  </si>
  <si>
    <t>St. Albert</t>
  </si>
  <si>
    <t>Calgary</t>
  </si>
  <si>
    <t>Edmonton</t>
  </si>
  <si>
    <t>Cape Breton</t>
  </si>
  <si>
    <t>Halifax</t>
  </si>
  <si>
    <t>Type</t>
  </si>
  <si>
    <t>Population 2011</t>
  </si>
  <si>
    <t>Population 1996</t>
  </si>
  <si>
    <t>Toronto</t>
  </si>
  <si>
    <t>city</t>
  </si>
  <si>
    <t>Montreal</t>
  </si>
  <si>
    <t>Ottawa</t>
  </si>
  <si>
    <t>Mississauga</t>
  </si>
  <si>
    <t>Winnipeg</t>
  </si>
  <si>
    <t>Vancouver</t>
  </si>
  <si>
    <t>Brampton</t>
  </si>
  <si>
    <t>Hamilton</t>
  </si>
  <si>
    <t>Quebec City</t>
  </si>
  <si>
    <t>Surrey</t>
  </si>
  <si>
    <t>Laval</t>
  </si>
  <si>
    <t>London</t>
  </si>
  <si>
    <t>Markham</t>
  </si>
  <si>
    <t>Gatineau</t>
  </si>
  <si>
    <t>Longueuil</t>
  </si>
  <si>
    <t>Burnaby</t>
  </si>
  <si>
    <t>Saskatoon</t>
  </si>
  <si>
    <t>Kitchener</t>
  </si>
  <si>
    <t>Windsor</t>
  </si>
  <si>
    <t>Regina</t>
  </si>
  <si>
    <t>Richmond</t>
  </si>
  <si>
    <t>Richmond Hill</t>
  </si>
  <si>
    <t>town</t>
  </si>
  <si>
    <t>Oakville</t>
  </si>
  <si>
    <t>Burlington</t>
  </si>
  <si>
    <t>Greater Sudbury</t>
  </si>
  <si>
    <t>Sherbrooke</t>
  </si>
  <si>
    <t>Oshawa</t>
  </si>
  <si>
    <t>Saguenay</t>
  </si>
  <si>
    <t>Lévis</t>
  </si>
  <si>
    <t>Barrie</t>
  </si>
  <si>
    <t>Abbotsford</t>
  </si>
  <si>
    <t>St. Catharines</t>
  </si>
  <si>
    <t>Trois-Rivières</t>
  </si>
  <si>
    <t>Cambridge</t>
  </si>
  <si>
    <t>Coquitlam</t>
  </si>
  <si>
    <t>Kingston</t>
  </si>
  <si>
    <t>Whitby</t>
  </si>
  <si>
    <t>Guelph</t>
  </si>
  <si>
    <t>Kelowna</t>
  </si>
  <si>
    <t>Saanich</t>
  </si>
  <si>
    <t>Ajax</t>
  </si>
  <si>
    <t>Thunder Bay</t>
  </si>
  <si>
    <t>Terrebonne</t>
  </si>
  <si>
    <t>St. John's</t>
  </si>
  <si>
    <t>Langley</t>
  </si>
  <si>
    <t>Chatham-Kent</t>
  </si>
  <si>
    <t>Delta</t>
  </si>
  <si>
    <t>Waterloo</t>
  </si>
  <si>
    <t>Brantford</t>
  </si>
  <si>
    <t>Strathcona County</t>
  </si>
  <si>
    <t>Saint-Jean-sur-Richelieu</t>
  </si>
  <si>
    <t>Pickering</t>
  </si>
  <si>
    <t>Kamloops</t>
  </si>
  <si>
    <t>Clarington</t>
  </si>
  <si>
    <t>North Vancouver</t>
  </si>
  <si>
    <t>Milton</t>
  </si>
  <si>
    <t>Nanaimo</t>
  </si>
  <si>
    <t>Niagara Falls</t>
  </si>
  <si>
    <t>Repentigny</t>
  </si>
  <si>
    <t>Victoria</t>
  </si>
  <si>
    <t>Newmarket</t>
  </si>
  <si>
    <t>Brossard</t>
  </si>
  <si>
    <t>Peterborough</t>
  </si>
  <si>
    <t>Chilliwack</t>
  </si>
  <si>
    <t>Maple Ridge</t>
  </si>
  <si>
    <t>Sault Ste. Marie</t>
  </si>
  <si>
    <t>Kawartha Lakes</t>
  </si>
  <si>
    <t>Sarnia</t>
  </si>
  <si>
    <t>Prince George</t>
  </si>
  <si>
    <t>Drummondville</t>
  </si>
  <si>
    <t>Saint John</t>
  </si>
  <si>
    <t>Moncton</t>
  </si>
  <si>
    <t>Saint-Jérôme</t>
  </si>
  <si>
    <t>New Westminster</t>
  </si>
  <si>
    <t>Wood Buffalo</t>
  </si>
  <si>
    <t>Granby</t>
  </si>
  <si>
    <t>Norfolk County</t>
  </si>
  <si>
    <t>Caledon</t>
  </si>
  <si>
    <t>Halton Hills</t>
  </si>
  <si>
    <t>Port Coquitlam</t>
  </si>
  <si>
    <t>Fredericton</t>
  </si>
  <si>
    <t>North Bay</t>
  </si>
  <si>
    <t>Blainville</t>
  </si>
  <si>
    <t>Saint-Hyacinthe</t>
  </si>
  <si>
    <t>Aurora</t>
  </si>
  <si>
    <t>Welland</t>
  </si>
  <si>
    <t>Shawinigan</t>
  </si>
  <si>
    <t>Dollard-des-Ormeaux</t>
  </si>
  <si>
    <t>Belleville</t>
  </si>
  <si>
    <t>MCode</t>
  </si>
  <si>
    <t>Vaugham</t>
  </si>
  <si>
    <t>regional</t>
  </si>
  <si>
    <t>CENTON1967</t>
  </si>
  <si>
    <t>CENTQC1832</t>
  </si>
  <si>
    <t>CENTON1969</t>
  </si>
  <si>
    <t>CENTON1974</t>
  </si>
  <si>
    <t>PRAIMB1873</t>
  </si>
  <si>
    <t>WESTBC1905</t>
  </si>
  <si>
    <t>CENTON2001</t>
  </si>
  <si>
    <t>CENTQC2002</t>
  </si>
  <si>
    <t>WESTBC1879</t>
  </si>
  <si>
    <t>CENTQC1965</t>
  </si>
  <si>
    <t>CENTON1855</t>
  </si>
  <si>
    <t>CENTON2012</t>
  </si>
  <si>
    <t>CENTON1991</t>
  </si>
  <si>
    <t>WESTBC1892</t>
  </si>
  <si>
    <t>PRAISK1906</t>
  </si>
  <si>
    <t>CENTON1912</t>
  </si>
  <si>
    <t>CENTON1854</t>
  </si>
  <si>
    <t>PRAISK1882</t>
  </si>
  <si>
    <t>CENTON1957</t>
  </si>
  <si>
    <t>CENTON1857</t>
  </si>
  <si>
    <t>WESTBC1891</t>
  </si>
  <si>
    <t>WESTBC1913</t>
  </si>
  <si>
    <t>CENTON1850</t>
  </si>
  <si>
    <t>CENTON2002</t>
  </si>
  <si>
    <t>CENTON1853</t>
  </si>
  <si>
    <t>CENT</t>
  </si>
  <si>
    <t>CENTBC1995</t>
  </si>
  <si>
    <t>CENTON1876</t>
  </si>
  <si>
    <t>CENTON1973</t>
  </si>
  <si>
    <t>WESTBC1908</t>
  </si>
  <si>
    <t>CENTON1998</t>
  </si>
  <si>
    <t>CENTON1879</t>
  </si>
  <si>
    <t>WESTBC1906</t>
  </si>
  <si>
    <t>CENTON1955</t>
  </si>
  <si>
    <t>CENTON1970</t>
  </si>
  <si>
    <t>CENTQC2001</t>
  </si>
  <si>
    <t>CENTON1877</t>
  </si>
  <si>
    <t>CENTON2000</t>
  </si>
  <si>
    <t>WESTBC1893</t>
  </si>
  <si>
    <t>WEST</t>
  </si>
  <si>
    <t>WESTBC1874</t>
  </si>
  <si>
    <t>PRAI</t>
  </si>
  <si>
    <t>PRAIAB1906</t>
  </si>
  <si>
    <t>CENTON1903</t>
  </si>
  <si>
    <t>CENTON1880</t>
  </si>
  <si>
    <t>CENTQC2006</t>
  </si>
  <si>
    <t>CENTON1905</t>
  </si>
  <si>
    <t>WESTBC1873</t>
  </si>
  <si>
    <t>WESTBC2014</t>
  </si>
  <si>
    <t>CENTON1914</t>
  </si>
  <si>
    <t>WESTBC1915</t>
  </si>
  <si>
    <t>CENTQC2004</t>
  </si>
  <si>
    <t>CENTBC1860</t>
  </si>
  <si>
    <t>PRAIAB1995</t>
  </si>
  <si>
    <t>CENTQC2007</t>
  </si>
  <si>
    <t>PRAIAB1977</t>
  </si>
  <si>
    <t>CENTON1878</t>
  </si>
  <si>
    <t>CENTON1917</t>
  </si>
  <si>
    <t>PRAIAB2006</t>
  </si>
  <si>
    <t>CENTON1888</t>
  </si>
  <si>
    <t>CENTQC1855</t>
  </si>
  <si>
    <t>CENTON1891</t>
  </si>
  <si>
    <t>PRAIAB1904</t>
  </si>
  <si>
    <t>PRAIAB1913</t>
  </si>
  <si>
    <t>Small</t>
  </si>
  <si>
    <t>Very Small</t>
  </si>
  <si>
    <t>Medium</t>
  </si>
  <si>
    <t>Below</t>
  </si>
  <si>
    <t>Large</t>
  </si>
  <si>
    <t>Prairies</t>
  </si>
  <si>
    <t>Central</t>
  </si>
  <si>
    <t>West Coast</t>
  </si>
  <si>
    <t xml:space="preserve">FAR </t>
  </si>
  <si>
    <t>Far North</t>
  </si>
  <si>
    <t>Status</t>
  </si>
  <si>
    <t>Land Area (km^2)</t>
  </si>
  <si>
    <t>PRAIAB1894</t>
  </si>
  <si>
    <t>ATLA</t>
  </si>
  <si>
    <t>Atlantic</t>
  </si>
  <si>
    <t>ATLANS1996</t>
  </si>
  <si>
    <t>ATLANL1888</t>
  </si>
  <si>
    <t>ATLANS1995</t>
  </si>
  <si>
    <t>ATLANB1785</t>
  </si>
  <si>
    <t>ATLANB1875</t>
  </si>
  <si>
    <t>WESTBC1955</t>
  </si>
  <si>
    <t>WESTBC1862</t>
  </si>
  <si>
    <t>No. of Residences</t>
  </si>
  <si>
    <t>Region Name</t>
  </si>
  <si>
    <t>Region Abbreviation</t>
  </si>
  <si>
    <t>Type of Municipality</t>
  </si>
  <si>
    <t>Mil Rate*</t>
  </si>
  <si>
    <t>*1 mil = $1 in tax for every $1,000 of assessed property value</t>
  </si>
  <si>
    <t>Avg Property Value
(house &amp; land)
in Thousands</t>
  </si>
  <si>
    <t>At or over</t>
  </si>
  <si>
    <t>Population Density</t>
  </si>
  <si>
    <t>Very Large</t>
  </si>
  <si>
    <t>PRAIAB1996</t>
  </si>
  <si>
    <t>Region</t>
  </si>
  <si>
    <t>Tax &amp; Funds Rates</t>
  </si>
  <si>
    <t>NL</t>
  </si>
  <si>
    <t>NS</t>
  </si>
  <si>
    <t>NB</t>
  </si>
  <si>
    <t>QC</t>
  </si>
  <si>
    <t>ON</t>
  </si>
  <si>
    <t>MB</t>
  </si>
  <si>
    <t>SK</t>
  </si>
  <si>
    <t>AB</t>
  </si>
  <si>
    <t>BC</t>
  </si>
  <si>
    <t>PE</t>
  </si>
  <si>
    <t>NU</t>
  </si>
  <si>
    <t>NT</t>
  </si>
  <si>
    <t>YU</t>
  </si>
  <si>
    <t>Category</t>
  </si>
  <si>
    <t>#'s for Provinces</t>
  </si>
  <si>
    <t># of Municipalities</t>
  </si>
  <si>
    <t>Miscellaneous</t>
  </si>
  <si>
    <r>
      <t xml:space="preserve">Total Property Taxes Collected  </t>
    </r>
    <r>
      <rPr>
        <b/>
        <sz val="11"/>
        <color rgb="FFFF0000"/>
        <rFont val="Calibri"/>
        <family val="2"/>
        <scheme val="minor"/>
      </rPr>
      <t>[m]</t>
    </r>
  </si>
  <si>
    <r>
      <t xml:space="preserve">Range of Taxes Collected  </t>
    </r>
    <r>
      <rPr>
        <b/>
        <sz val="11"/>
        <color rgb="FFFF0000"/>
        <rFont val="Calibri"/>
        <family val="2"/>
        <scheme val="minor"/>
      </rPr>
      <t>[n]</t>
    </r>
  </si>
  <si>
    <r>
      <t xml:space="preserve">Average Allocated for Education  </t>
    </r>
    <r>
      <rPr>
        <b/>
        <sz val="11"/>
        <color rgb="FFFF0000"/>
        <rFont val="Calibri"/>
        <family val="2"/>
        <scheme val="minor"/>
      </rPr>
      <t>[o]</t>
    </r>
  </si>
  <si>
    <r>
      <t xml:space="preserve"># Municipalities Listed  </t>
    </r>
    <r>
      <rPr>
        <b/>
        <sz val="11"/>
        <color rgb="FFFF0000"/>
        <rFont val="Calibri"/>
        <family val="2"/>
        <scheme val="minor"/>
      </rPr>
      <t>[p]</t>
    </r>
  </si>
  <si>
    <r>
      <t xml:space="preserve">Total Population of Municipalities  </t>
    </r>
    <r>
      <rPr>
        <b/>
        <sz val="11"/>
        <color rgb="FFFF0000"/>
        <rFont val="Calibri"/>
        <family val="2"/>
        <scheme val="minor"/>
      </rPr>
      <t>[q]</t>
    </r>
  </si>
  <si>
    <r>
      <t xml:space="preserve"># of Cities Listed  </t>
    </r>
    <r>
      <rPr>
        <b/>
        <sz val="11"/>
        <color rgb="FFFF0000"/>
        <rFont val="Calibri"/>
        <family val="2"/>
        <scheme val="minor"/>
      </rPr>
      <t>[r]</t>
    </r>
  </si>
  <si>
    <r>
      <t xml:space="preserve"># of Towns Listed  </t>
    </r>
    <r>
      <rPr>
        <b/>
        <sz val="11"/>
        <color rgb="FFFF0000"/>
        <rFont val="Calibri"/>
        <family val="2"/>
        <scheme val="minor"/>
      </rPr>
      <t>[r]</t>
    </r>
  </si>
  <si>
    <r>
      <t xml:space="preserve"># of Regionals Listed  </t>
    </r>
    <r>
      <rPr>
        <b/>
        <sz val="11"/>
        <color rgb="FFFF0000"/>
        <rFont val="Calibri"/>
        <family val="2"/>
        <scheme val="minor"/>
      </rPr>
      <t>[r]</t>
    </r>
  </si>
  <si>
    <r>
      <t xml:space="preserve">Taxes from Cities   </t>
    </r>
    <r>
      <rPr>
        <b/>
        <sz val="11"/>
        <color rgb="FFFF0000"/>
        <rFont val="Calibri"/>
        <family val="2"/>
        <scheme val="minor"/>
      </rPr>
      <t>[s]</t>
    </r>
  </si>
  <si>
    <r>
      <t xml:space="preserve">Taxes from Towns  </t>
    </r>
    <r>
      <rPr>
        <b/>
        <sz val="11"/>
        <color rgb="FFFF0000"/>
        <rFont val="Calibri"/>
        <family val="2"/>
        <scheme val="minor"/>
      </rPr>
      <t>[s]</t>
    </r>
  </si>
  <si>
    <r>
      <t xml:space="preserve">Taxes from Regionals  </t>
    </r>
    <r>
      <rPr>
        <b/>
        <sz val="11"/>
        <color rgb="FFFF0000"/>
        <rFont val="Calibri"/>
        <family val="2"/>
        <scheme val="minor"/>
      </rPr>
      <t>[s]</t>
    </r>
  </si>
  <si>
    <t>[t]</t>
  </si>
  <si>
    <r>
      <t xml:space="preserve">Region with Highest # Municipalities  </t>
    </r>
    <r>
      <rPr>
        <b/>
        <sz val="11"/>
        <color rgb="FFFF0000"/>
        <rFont val="Calibri"/>
        <family val="2"/>
        <scheme val="minor"/>
      </rPr>
      <t>[u]</t>
    </r>
  </si>
  <si>
    <r>
      <t xml:space="preserve"># Municipalities Education Budget &lt; $50 Million  </t>
    </r>
    <r>
      <rPr>
        <b/>
        <sz val="11"/>
        <color rgb="FFFF0000"/>
        <rFont val="Calibri"/>
        <family val="2"/>
        <scheme val="minor"/>
      </rPr>
      <t>[v]</t>
    </r>
  </si>
  <si>
    <r>
      <t xml:space="preserve">Average Population Density West Coast Region  </t>
    </r>
    <r>
      <rPr>
        <b/>
        <sz val="11"/>
        <color rgb="FFFF0000"/>
        <rFont val="Calibri"/>
        <family val="2"/>
        <scheme val="minor"/>
      </rPr>
      <t>[w]</t>
    </r>
  </si>
  <si>
    <r>
      <t xml:space="preserve">Provincal Tax  </t>
    </r>
    <r>
      <rPr>
        <sz val="11"/>
        <color rgb="FFFF0000"/>
        <rFont val="Calibri"/>
        <family val="2"/>
        <scheme val="minor"/>
      </rPr>
      <t>[j]</t>
    </r>
  </si>
  <si>
    <r>
      <t xml:space="preserve">Emergency Funds  </t>
    </r>
    <r>
      <rPr>
        <sz val="11"/>
        <color rgb="FFFF0000"/>
        <rFont val="Calibri"/>
        <family val="2"/>
        <scheme val="minor"/>
      </rPr>
      <t>[k]</t>
    </r>
  </si>
  <si>
    <r>
      <t xml:space="preserve">Education Funds  </t>
    </r>
    <r>
      <rPr>
        <sz val="11"/>
        <color rgb="FFFF0000"/>
        <rFont val="Calibri"/>
        <family val="2"/>
        <scheme val="minor"/>
      </rPr>
      <t>[L]</t>
    </r>
  </si>
  <si>
    <r>
      <t xml:space="preserve">Transportation Funds  </t>
    </r>
    <r>
      <rPr>
        <sz val="11"/>
        <color rgb="FFFF0000"/>
        <rFont val="Calibri"/>
        <family val="2"/>
        <scheme val="minor"/>
      </rPr>
      <t>[L]</t>
    </r>
  </si>
  <si>
    <r>
      <t xml:space="preserve">Utilities Funds  </t>
    </r>
    <r>
      <rPr>
        <sz val="11"/>
        <color rgb="FFFF0000"/>
        <rFont val="Calibri"/>
        <family val="2"/>
        <scheme val="minor"/>
      </rPr>
      <t>[L]</t>
    </r>
  </si>
  <si>
    <r>
      <t xml:space="preserve">Mcode  </t>
    </r>
    <r>
      <rPr>
        <b/>
        <sz val="11"/>
        <color rgb="FFFF0000"/>
        <rFont val="Calibri"/>
        <family val="2"/>
        <scheme val="minor"/>
      </rPr>
      <t>[h]</t>
    </r>
  </si>
  <si>
    <r>
      <t xml:space="preserve">Approximate Property Tax Collected  </t>
    </r>
    <r>
      <rPr>
        <b/>
        <sz val="11"/>
        <color rgb="FFFF0000"/>
        <rFont val="Calibri"/>
        <family val="2"/>
        <scheme val="minor"/>
      </rPr>
      <t>[i]</t>
    </r>
  </si>
  <si>
    <r>
      <t xml:space="preserve">Provincial Tax  </t>
    </r>
    <r>
      <rPr>
        <b/>
        <sz val="11"/>
        <color rgb="FFFF0000"/>
        <rFont val="Calibri"/>
        <family val="2"/>
        <scheme val="minor"/>
      </rPr>
      <t>[j]</t>
    </r>
  </si>
  <si>
    <r>
      <t xml:space="preserve">Emergency Funds  </t>
    </r>
    <r>
      <rPr>
        <b/>
        <sz val="11"/>
        <color rgb="FFFF0000"/>
        <rFont val="Calibri"/>
        <family val="2"/>
        <scheme val="minor"/>
      </rPr>
      <t>[k]</t>
    </r>
  </si>
  <si>
    <r>
      <t xml:space="preserve">Education Funds  </t>
    </r>
    <r>
      <rPr>
        <b/>
        <sz val="11"/>
        <color rgb="FFFF0000"/>
        <rFont val="Calibri"/>
        <family val="2"/>
        <scheme val="minor"/>
      </rPr>
      <t>[L]</t>
    </r>
  </si>
  <si>
    <r>
      <t xml:space="preserve">Transportation Funds </t>
    </r>
    <r>
      <rPr>
        <b/>
        <sz val="11"/>
        <color rgb="FFFF0000"/>
        <rFont val="Calibri"/>
        <family val="2"/>
        <scheme val="minor"/>
      </rPr>
      <t>[L]</t>
    </r>
  </si>
  <si>
    <r>
      <t xml:space="preserve">Ultities Funds  </t>
    </r>
    <r>
      <rPr>
        <b/>
        <sz val="11"/>
        <color rgb="FFFF0000"/>
        <rFont val="Calibri"/>
        <family val="2"/>
        <scheme val="minor"/>
      </rPr>
      <t>[L]</t>
    </r>
  </si>
  <si>
    <r>
      <t xml:space="preserve">Region  </t>
    </r>
    <r>
      <rPr>
        <b/>
        <sz val="11"/>
        <color rgb="FFFF0000"/>
        <rFont val="Calibri"/>
        <family val="2"/>
        <scheme val="minor"/>
      </rPr>
      <t>[a]</t>
    </r>
  </si>
  <si>
    <r>
      <t xml:space="preserve">Abbreviation  </t>
    </r>
    <r>
      <rPr>
        <b/>
        <sz val="11"/>
        <color rgb="FFFF0000"/>
        <rFont val="Calibri"/>
        <family val="2"/>
        <scheme val="minor"/>
      </rPr>
      <t>[b]</t>
    </r>
  </si>
  <si>
    <r>
      <t xml:space="preserve">Year Incorporated  </t>
    </r>
    <r>
      <rPr>
        <b/>
        <sz val="11"/>
        <color rgb="FFFF0000"/>
        <rFont val="Calibri"/>
        <family val="2"/>
        <scheme val="minor"/>
      </rPr>
      <t>[c]</t>
    </r>
  </si>
  <si>
    <r>
      <t xml:space="preserve">Approximate Property Tax Collected  </t>
    </r>
    <r>
      <rPr>
        <b/>
        <sz val="11"/>
        <color rgb="FFFF0000"/>
        <rFont val="Calibri"/>
        <family val="2"/>
        <scheme val="minor"/>
      </rPr>
      <t>[d]</t>
    </r>
  </si>
  <si>
    <r>
      <t xml:space="preserve">% Change in Population from 1996 - 2011  </t>
    </r>
    <r>
      <rPr>
        <b/>
        <sz val="11"/>
        <color rgb="FFFF0000"/>
        <rFont val="Calibri"/>
        <family val="2"/>
        <scheme val="minor"/>
      </rPr>
      <t>[e]</t>
    </r>
  </si>
  <si>
    <r>
      <t xml:space="preserve">Population/km^2 2011  </t>
    </r>
    <r>
      <rPr>
        <b/>
        <sz val="11"/>
        <color rgb="FFFF0000"/>
        <rFont val="Calibri"/>
        <family val="2"/>
        <scheme val="minor"/>
      </rPr>
      <t>[f]</t>
    </r>
  </si>
  <si>
    <r>
      <t xml:space="preserve">Population Density Status  </t>
    </r>
    <r>
      <rPr>
        <b/>
        <sz val="11"/>
        <color rgb="FFFF0000"/>
        <rFont val="Calibri"/>
        <family val="2"/>
        <scheme val="minor"/>
      </rPr>
      <t>[g]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</si>
</sst>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2">
    <xf numFmtId="0" fontId="0" fillId="0" borderId="0" xfId="0"/>
    <xf numFmtId="0" fontId="2" fillId="0" borderId="0" xfId="0" applyFont="1"/>
    <xf numFmtId="0" fontId="0" fillId="0" borderId="0" xfId="0" applyFont="1"/>
    <xf numFmtId="9" fontId="0" fillId="0" borderId="0" xfId="0" applyNumberFormat="1" applyFont="1"/>
    <xf numFmtId="0" fontId="2" fillId="0" borderId="0" xfId="0" applyFont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1" applyNumberFormat="1" applyFont="1" applyBorder="1"/>
    <xf numFmtId="0" fontId="0" fillId="0" borderId="5" xfId="0" applyFont="1" applyBorder="1"/>
    <xf numFmtId="0" fontId="0" fillId="0" borderId="6" xfId="0" applyFont="1" applyBorder="1"/>
    <xf numFmtId="0" fontId="2" fillId="0" borderId="7" xfId="0" applyFont="1" applyBorder="1"/>
    <xf numFmtId="0" fontId="0" fillId="0" borderId="1" xfId="0" applyFont="1" applyBorder="1"/>
    <xf numFmtId="164" fontId="0" fillId="0" borderId="0" xfId="0" applyNumberFormat="1" applyBorder="1"/>
    <xf numFmtId="0" fontId="0" fillId="0" borderId="2" xfId="0" applyFont="1" applyBorder="1"/>
    <xf numFmtId="0" fontId="0" fillId="0" borderId="3" xfId="0" applyFont="1" applyBorder="1"/>
    <xf numFmtId="164" fontId="0" fillId="0" borderId="10" xfId="0" applyNumberFormat="1" applyBorder="1"/>
    <xf numFmtId="0" fontId="0" fillId="0" borderId="4" xfId="0" applyFont="1" applyBorder="1"/>
    <xf numFmtId="0" fontId="2" fillId="0" borderId="8" xfId="0" applyFont="1" applyBorder="1" applyAlignment="1">
      <alignment wrapText="1"/>
    </xf>
    <xf numFmtId="0" fontId="2" fillId="0" borderId="9" xfId="0" applyFont="1" applyBorder="1"/>
    <xf numFmtId="0" fontId="2" fillId="0" borderId="8" xfId="0" applyFont="1" applyBorder="1" applyAlignment="1">
      <alignment horizontal="center" wrapText="1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 wrapText="1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44" fontId="0" fillId="0" borderId="0" xfId="2" applyFont="1"/>
    <xf numFmtId="9" fontId="0" fillId="0" borderId="0" xfId="1" applyFont="1"/>
    <xf numFmtId="2" fontId="0" fillId="0" borderId="0" xfId="2" applyNumberFormat="1" applyFont="1"/>
    <xf numFmtId="44" fontId="0" fillId="0" borderId="0" xfId="0" applyNumberFormat="1"/>
    <xf numFmtId="44" fontId="0" fillId="0" borderId="0" xfId="2" applyNumberFormat="1" applyFont="1"/>
    <xf numFmtId="9" fontId="0" fillId="0" borderId="14" xfId="1" applyFont="1" applyBorder="1"/>
    <xf numFmtId="9" fontId="0" fillId="0" borderId="4" xfId="1" applyFont="1" applyBorder="1"/>
    <xf numFmtId="0" fontId="2" fillId="0" borderId="8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9" fontId="0" fillId="0" borderId="2" xfId="1" applyFont="1" applyBorder="1"/>
    <xf numFmtId="9" fontId="0" fillId="0" borderId="12" xfId="1" applyFont="1" applyFill="1" applyBorder="1" applyAlignment="1">
      <alignment horizontal="center"/>
    </xf>
    <xf numFmtId="9" fontId="0" fillId="0" borderId="13" xfId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9" fontId="0" fillId="0" borderId="0" xfId="1" applyFont="1" applyFill="1" applyBorder="1" applyAlignment="1">
      <alignment horizontal="center"/>
    </xf>
    <xf numFmtId="9" fontId="0" fillId="0" borderId="1" xfId="1" applyFont="1" applyFill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2" fillId="0" borderId="12" xfId="0" applyFont="1" applyBorder="1"/>
    <xf numFmtId="0" fontId="0" fillId="0" borderId="13" xfId="0" applyBorder="1"/>
    <xf numFmtId="0" fontId="0" fillId="0" borderId="14" xfId="0" applyBorder="1"/>
    <xf numFmtId="0" fontId="2" fillId="0" borderId="1" xfId="0" applyFont="1" applyBorder="1"/>
    <xf numFmtId="0" fontId="0" fillId="0" borderId="0" xfId="0" applyNumberFormat="1" applyBorder="1"/>
    <xf numFmtId="0" fontId="0" fillId="0" borderId="2" xfId="0" applyNumberFormat="1" applyBorder="1"/>
    <xf numFmtId="0" fontId="0" fillId="0" borderId="0" xfId="0" applyBorder="1"/>
    <xf numFmtId="0" fontId="0" fillId="0" borderId="2" xfId="0" applyBorder="1"/>
    <xf numFmtId="0" fontId="2" fillId="0" borderId="1" xfId="0" applyFont="1" applyFill="1" applyBorder="1"/>
    <xf numFmtId="44" fontId="0" fillId="0" borderId="0" xfId="2" applyFont="1" applyBorder="1"/>
    <xf numFmtId="44" fontId="0" fillId="0" borderId="2" xfId="2" applyFont="1" applyBorder="1"/>
    <xf numFmtId="0" fontId="2" fillId="0" borderId="3" xfId="0" applyFont="1" applyFill="1" applyBorder="1"/>
    <xf numFmtId="44" fontId="0" fillId="0" borderId="10" xfId="2" applyFont="1" applyBorder="1"/>
    <xf numFmtId="44" fontId="0" fillId="0" borderId="4" xfId="2" applyFont="1" applyBorder="1"/>
    <xf numFmtId="0" fontId="2" fillId="0" borderId="11" xfId="0" applyFont="1" applyBorder="1" applyAlignment="1">
      <alignment horizontal="center"/>
    </xf>
    <xf numFmtId="0" fontId="2" fillId="0" borderId="8" xfId="0" applyFont="1" applyFill="1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12" xfId="0" applyFont="1" applyBorder="1" applyAlignment="1"/>
    <xf numFmtId="0" fontId="2" fillId="0" borderId="1" xfId="0" applyFont="1" applyBorder="1" applyAlignment="1"/>
    <xf numFmtId="0" fontId="2" fillId="0" borderId="3" xfId="0" applyFont="1" applyBorder="1" applyAlignment="1"/>
    <xf numFmtId="44" fontId="0" fillId="0" borderId="15" xfId="0" applyNumberFormat="1" applyBorder="1"/>
    <xf numFmtId="44" fontId="0" fillId="0" borderId="5" xfId="0" applyNumberFormat="1" applyBorder="1"/>
    <xf numFmtId="44" fontId="0" fillId="0" borderId="6" xfId="0" applyNumberFormat="1" applyBorder="1"/>
    <xf numFmtId="0" fontId="0" fillId="0" borderId="15" xfId="0" applyBorder="1"/>
    <xf numFmtId="0" fontId="0" fillId="0" borderId="5" xfId="0" applyBorder="1"/>
    <xf numFmtId="2" fontId="0" fillId="0" borderId="6" xfId="0" applyNumberFormat="1" applyBorder="1"/>
    <xf numFmtId="0" fontId="3" fillId="0" borderId="8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tabSelected="1" zoomScale="98" zoomScaleNormal="98" workbookViewId="0">
      <selection activeCell="N2" sqref="N2"/>
    </sheetView>
  </sheetViews>
  <sheetFormatPr defaultRowHeight="15" x14ac:dyDescent="0.25"/>
  <cols>
    <col min="1" max="1" width="12.42578125" bestFit="1" customWidth="1"/>
    <col min="2" max="2" width="23" bestFit="1" customWidth="1"/>
    <col min="3" max="5" width="23" customWidth="1"/>
    <col min="6" max="6" width="8.28515625" bestFit="1" customWidth="1"/>
    <col min="7" max="7" width="16.42578125" bestFit="1" customWidth="1"/>
    <col min="8" max="9" width="15.28515625" bestFit="1" customWidth="1"/>
    <col min="10" max="10" width="17" bestFit="1" customWidth="1"/>
    <col min="11" max="11" width="37.28515625" bestFit="1" customWidth="1"/>
    <col min="12" max="12" width="41" bestFit="1" customWidth="1"/>
    <col min="13" max="13" width="24.140625" bestFit="1" customWidth="1"/>
    <col min="14" max="14" width="27.5703125" bestFit="1" customWidth="1"/>
    <col min="15" max="15" width="18.42578125" bestFit="1" customWidth="1"/>
    <col min="16" max="16" width="24.140625" bestFit="1" customWidth="1"/>
    <col min="17" max="17" width="12.85546875" bestFit="1" customWidth="1"/>
  </cols>
  <sheetData>
    <row r="1" spans="1:14" x14ac:dyDescent="0.25">
      <c r="A1" s="4" t="s">
        <v>104</v>
      </c>
      <c r="B1" s="4" t="s">
        <v>0</v>
      </c>
      <c r="C1" s="4" t="s">
        <v>250</v>
      </c>
      <c r="D1" s="4" t="s">
        <v>251</v>
      </c>
      <c r="E1" s="4" t="s">
        <v>252</v>
      </c>
      <c r="F1" s="4" t="s">
        <v>10</v>
      </c>
      <c r="G1" s="4" t="s">
        <v>182</v>
      </c>
      <c r="H1" s="4" t="s">
        <v>11</v>
      </c>
      <c r="I1" s="4" t="s">
        <v>12</v>
      </c>
      <c r="J1" s="4" t="s">
        <v>193</v>
      </c>
      <c r="K1" s="4" t="s">
        <v>253</v>
      </c>
      <c r="L1" s="4" t="s">
        <v>254</v>
      </c>
      <c r="M1" s="4" t="s">
        <v>255</v>
      </c>
      <c r="N1" s="4" t="s">
        <v>256</v>
      </c>
    </row>
    <row r="2" spans="1:14" x14ac:dyDescent="0.25">
      <c r="A2" t="s">
        <v>107</v>
      </c>
      <c r="B2" t="s">
        <v>13</v>
      </c>
      <c r="C2" t="str">
        <f>IF(LEFT(A2,4)=Controls!$F$2,Controls!$G$2, IF(LEFT(A2,4)=Controls!$F$3,Controls!$G$3,IF(LEFT(A2,4)=Controls!$F$4,Controls!$G$4,IF(LEFT(A2,4)=Controls!$F$5,Controls!$G$5,IF(LEFT(A2,4)=Controls!$F$6,Controls!$G$6)))))</f>
        <v>Central</v>
      </c>
      <c r="D2" t="str">
        <f>MID(A2,5,2)</f>
        <v>ON</v>
      </c>
      <c r="E2" t="str">
        <f>RIGHT(A2,4)</f>
        <v>1967</v>
      </c>
      <c r="F2" t="s">
        <v>14</v>
      </c>
      <c r="G2">
        <v>630.21</v>
      </c>
      <c r="H2">
        <v>2615060</v>
      </c>
      <c r="I2">
        <v>2385421</v>
      </c>
      <c r="J2">
        <f>H2/2</f>
        <v>1307530</v>
      </c>
      <c r="K2" s="26">
        <f>IF(F2=Controls!$A$2,Controls!$B$2*Controls!$C$2,IF(F2=Controls!$A$3,Controls!$B$3*Controls!$C$3,IF(F2=Controls!$A$4,Controls!$B$4*Controls!$C$4,"")))*J2</f>
        <v>1830542000</v>
      </c>
      <c r="L2" s="27">
        <f>(H2-I2)/I2</f>
        <v>9.6267702849937187E-2</v>
      </c>
      <c r="M2" s="28">
        <f>H2/G2</f>
        <v>4149.5057203154502</v>
      </c>
      <c r="N2" t="str">
        <f t="shared" ref="N2:N65" si="0" xml:space="preserve"> IF(M2 &lt; 1000, "Very Small",IF(AND(M2 &gt;= 1000,M2 &lt; 2000), "Small",IF(AND(M2 &gt;= 2000,M2 &lt; 3000), "Medium",IF(AND(M2 &gt;= 3000,M2 &lt; 6000), "Large","Very Large"))))</f>
        <v>Large</v>
      </c>
    </row>
    <row r="3" spans="1:14" x14ac:dyDescent="0.25">
      <c r="A3" t="s">
        <v>108</v>
      </c>
      <c r="B3" t="s">
        <v>15</v>
      </c>
      <c r="C3" t="str">
        <f>IF(LEFT(A3,4)=Controls!$F$2,Controls!$G$2, IF(LEFT(A3,4)=Controls!$F$3,Controls!$G$3,IF(LEFT(A3,4)=Controls!$F$4,Controls!$G$4,IF(LEFT(A3,4)=Controls!$F$5,Controls!$G$5,IF(LEFT(A3,4)=Controls!$F$6,Controls!$G$6)))))</f>
        <v>Central</v>
      </c>
      <c r="D3" t="str">
        <f t="shared" ref="D3:D66" si="1">MID(A3,5,2)</f>
        <v>QC</v>
      </c>
      <c r="E3" t="str">
        <f t="shared" ref="E3:E66" si="2">RIGHT(A3,4)</f>
        <v>1832</v>
      </c>
      <c r="F3" t="s">
        <v>14</v>
      </c>
      <c r="G3">
        <v>365.13</v>
      </c>
      <c r="H3">
        <v>1649519</v>
      </c>
      <c r="I3">
        <v>1547030</v>
      </c>
      <c r="J3">
        <f t="shared" ref="J3:J66" si="3">H3/2</f>
        <v>824759.5</v>
      </c>
      <c r="K3" s="26">
        <f>IF(F3=Controls!$A$2,Controls!$B$2*Controls!$C$2,IF(F3=Controls!$A$3,Controls!$B$3*Controls!$C$3,IF(F3=Controls!$A$4,Controls!$B$4*Controls!$C$4,"")))*J3</f>
        <v>1154663300</v>
      </c>
      <c r="L3" s="27">
        <f t="shared" ref="L3:L66" si="4">(H3-I3)/I3</f>
        <v>6.6248876880215635E-2</v>
      </c>
      <c r="M3" s="28">
        <f t="shared" ref="M3:M66" si="5">H3/G3</f>
        <v>4517.6211212444887</v>
      </c>
      <c r="N3" t="str">
        <f t="shared" si="0"/>
        <v>Large</v>
      </c>
    </row>
    <row r="4" spans="1:14" x14ac:dyDescent="0.25">
      <c r="A4" t="s">
        <v>183</v>
      </c>
      <c r="B4" t="s">
        <v>6</v>
      </c>
      <c r="C4" t="str">
        <f>IF(LEFT(A4,4)=Controls!$F$2,Controls!$G$2, IF(LEFT(A4,4)=Controls!$F$3,Controls!$G$3,IF(LEFT(A4,4)=Controls!$F$4,Controls!$G$4,IF(LEFT(A4,4)=Controls!$F$5,Controls!$G$5,IF(LEFT(A4,4)=Controls!$F$6,Controls!$G$6)))))</f>
        <v>Prairies</v>
      </c>
      <c r="D4" t="str">
        <f t="shared" si="1"/>
        <v>AB</v>
      </c>
      <c r="E4" t="str">
        <f t="shared" si="2"/>
        <v>1894</v>
      </c>
      <c r="F4" t="s">
        <v>14</v>
      </c>
      <c r="G4">
        <v>825.29</v>
      </c>
      <c r="H4">
        <v>1096833</v>
      </c>
      <c r="I4">
        <v>768082</v>
      </c>
      <c r="J4">
        <f t="shared" si="3"/>
        <v>548416.5</v>
      </c>
      <c r="K4" s="26">
        <f>IF(F4=Controls!$A$2,Controls!$B$2*Controls!$C$2,IF(F4=Controls!$A$3,Controls!$B$3*Controls!$C$3,IF(F4=Controls!$A$4,Controls!$B$4*Controls!$C$4,"")))*J4</f>
        <v>767783100</v>
      </c>
      <c r="L4" s="27">
        <f t="shared" si="4"/>
        <v>0.42801549834522878</v>
      </c>
      <c r="M4" s="28">
        <f t="shared" si="5"/>
        <v>1329.0273721964402</v>
      </c>
      <c r="N4" t="str">
        <f xml:space="preserve"> IF(M4 &lt; 1000, "Very Small",IF(AND(M4 &gt;= 1000,M4 &lt; 2000), "Small",IF(AND(M4 &gt;= 2000,M4 &lt; 3000), "Medium",IF(AND(M4 &gt;= 3000,M4 &lt; 6000), "Large","Very Large"))))</f>
        <v>Small</v>
      </c>
    </row>
    <row r="5" spans="1:14" x14ac:dyDescent="0.25">
      <c r="A5" t="s">
        <v>109</v>
      </c>
      <c r="B5" t="s">
        <v>16</v>
      </c>
      <c r="C5" t="str">
        <f>IF(LEFT(A5,4)=Controls!$F$2,Controls!$G$2, IF(LEFT(A5,4)=Controls!$F$3,Controls!$G$3,IF(LEFT(A5,4)=Controls!$F$4,Controls!$G$4,IF(LEFT(A5,4)=Controls!$F$5,Controls!$G$5,IF(LEFT(A5,4)=Controls!$F$6,Controls!$G$6)))))</f>
        <v>Central</v>
      </c>
      <c r="D5" t="str">
        <f t="shared" si="1"/>
        <v>ON</v>
      </c>
      <c r="E5" t="str">
        <f t="shared" si="2"/>
        <v>1969</v>
      </c>
      <c r="F5" t="s">
        <v>14</v>
      </c>
      <c r="G5">
        <v>2790.22</v>
      </c>
      <c r="H5">
        <v>883391</v>
      </c>
      <c r="I5">
        <v>721136</v>
      </c>
      <c r="J5">
        <f t="shared" si="3"/>
        <v>441695.5</v>
      </c>
      <c r="K5" s="26">
        <f>IF(F5=Controls!$A$2,Controls!$B$2*Controls!$C$2,IF(F5=Controls!$A$3,Controls!$B$3*Controls!$C$3,IF(F5=Controls!$A$4,Controls!$B$4*Controls!$C$4,"")))*J5</f>
        <v>618373700</v>
      </c>
      <c r="L5" s="27">
        <f t="shared" si="4"/>
        <v>0.22499916797941028</v>
      </c>
      <c r="M5" s="28">
        <f t="shared" si="5"/>
        <v>316.60263348409808</v>
      </c>
      <c r="N5" t="str">
        <f t="shared" si="0"/>
        <v>Very Small</v>
      </c>
    </row>
    <row r="6" spans="1:14" x14ac:dyDescent="0.25">
      <c r="A6" t="s">
        <v>169</v>
      </c>
      <c r="B6" t="s">
        <v>7</v>
      </c>
      <c r="C6" t="str">
        <f>IF(LEFT(A6,4)=Controls!$F$2,Controls!$G$2, IF(LEFT(A6,4)=Controls!$F$3,Controls!$G$3,IF(LEFT(A6,4)=Controls!$F$4,Controls!$G$4,IF(LEFT(A6,4)=Controls!$F$5,Controls!$G$5,IF(LEFT(A6,4)=Controls!$F$6,Controls!$G$6)))))</f>
        <v>Prairies</v>
      </c>
      <c r="D6" t="str">
        <f t="shared" si="1"/>
        <v>AB</v>
      </c>
      <c r="E6" t="str">
        <f t="shared" si="2"/>
        <v>1904</v>
      </c>
      <c r="F6" t="s">
        <v>14</v>
      </c>
      <c r="G6">
        <v>684.37</v>
      </c>
      <c r="H6">
        <v>812201</v>
      </c>
      <c r="I6">
        <v>616306</v>
      </c>
      <c r="J6">
        <f t="shared" si="3"/>
        <v>406100.5</v>
      </c>
      <c r="K6" s="26">
        <f>IF(F6=Controls!$A$2,Controls!$B$2*Controls!$C$2,IF(F6=Controls!$A$3,Controls!$B$3*Controls!$C$3,IF(F6=Controls!$A$4,Controls!$B$4*Controls!$C$4,"")))*J6</f>
        <v>568540700</v>
      </c>
      <c r="L6" s="27">
        <f t="shared" si="4"/>
        <v>0.31785346889369892</v>
      </c>
      <c r="M6" s="28">
        <f t="shared" si="5"/>
        <v>1186.7863874804564</v>
      </c>
      <c r="N6" t="str">
        <f t="shared" si="0"/>
        <v>Small</v>
      </c>
    </row>
    <row r="7" spans="1:14" x14ac:dyDescent="0.25">
      <c r="A7" t="s">
        <v>110</v>
      </c>
      <c r="B7" t="s">
        <v>17</v>
      </c>
      <c r="C7" t="str">
        <f>IF(LEFT(A7,4)=Controls!$F$2,Controls!$G$2, IF(LEFT(A7,4)=Controls!$F$3,Controls!$G$3,IF(LEFT(A7,4)=Controls!$F$4,Controls!$G$4,IF(LEFT(A7,4)=Controls!$F$5,Controls!$G$5,IF(LEFT(A7,4)=Controls!$F$6,Controls!$G$6)))))</f>
        <v>Central</v>
      </c>
      <c r="D7" t="str">
        <f t="shared" si="1"/>
        <v>ON</v>
      </c>
      <c r="E7" t="str">
        <f t="shared" si="2"/>
        <v>1974</v>
      </c>
      <c r="F7" t="s">
        <v>14</v>
      </c>
      <c r="G7">
        <v>292.39999999999998</v>
      </c>
      <c r="H7">
        <v>713443</v>
      </c>
      <c r="I7">
        <v>544382</v>
      </c>
      <c r="J7">
        <f t="shared" si="3"/>
        <v>356721.5</v>
      </c>
      <c r="K7" s="26">
        <f>IF(F7=Controls!$A$2,Controls!$B$2*Controls!$C$2,IF(F7=Controls!$A$3,Controls!$B$3*Controls!$C$3,IF(F7=Controls!$A$4,Controls!$B$4*Controls!$C$4,"")))*J7</f>
        <v>499410100</v>
      </c>
      <c r="L7" s="27">
        <f t="shared" si="4"/>
        <v>0.31055582293316092</v>
      </c>
      <c r="M7" s="28">
        <f t="shared" si="5"/>
        <v>2439.9555403556774</v>
      </c>
      <c r="N7" t="str">
        <f t="shared" si="0"/>
        <v>Medium</v>
      </c>
    </row>
    <row r="8" spans="1:14" x14ac:dyDescent="0.25">
      <c r="A8" t="s">
        <v>111</v>
      </c>
      <c r="B8" t="s">
        <v>18</v>
      </c>
      <c r="C8" t="str">
        <f>IF(LEFT(A8,4)=Controls!$F$2,Controls!$G$2, IF(LEFT(A8,4)=Controls!$F$3,Controls!$G$3,IF(LEFT(A8,4)=Controls!$F$4,Controls!$G$4,IF(LEFT(A8,4)=Controls!$F$5,Controls!$G$5,IF(LEFT(A8,4)=Controls!$F$6,Controls!$G$6)))))</f>
        <v>Prairies</v>
      </c>
      <c r="D8" t="str">
        <f t="shared" si="1"/>
        <v>MB</v>
      </c>
      <c r="E8" t="str">
        <f t="shared" si="2"/>
        <v>1873</v>
      </c>
      <c r="F8" t="s">
        <v>14</v>
      </c>
      <c r="G8">
        <v>464.08</v>
      </c>
      <c r="H8">
        <v>663617</v>
      </c>
      <c r="I8">
        <v>618477</v>
      </c>
      <c r="J8">
        <f t="shared" si="3"/>
        <v>331808.5</v>
      </c>
      <c r="K8" s="26">
        <f>IF(F8=Controls!$A$2,Controls!$B$2*Controls!$C$2,IF(F8=Controls!$A$3,Controls!$B$3*Controls!$C$3,IF(F8=Controls!$A$4,Controls!$B$4*Controls!$C$4,"")))*J8</f>
        <v>464531900</v>
      </c>
      <c r="L8" s="27">
        <f t="shared" si="4"/>
        <v>7.2985737545616089E-2</v>
      </c>
      <c r="M8" s="28">
        <f t="shared" si="5"/>
        <v>1429.9625064644028</v>
      </c>
      <c r="N8" t="str">
        <f t="shared" si="0"/>
        <v>Small</v>
      </c>
    </row>
    <row r="9" spans="1:14" x14ac:dyDescent="0.25">
      <c r="A9" t="s">
        <v>112</v>
      </c>
      <c r="B9" t="s">
        <v>19</v>
      </c>
      <c r="C9" t="str">
        <f>IF(LEFT(A9,4)=Controls!$F$2,Controls!$G$2, IF(LEFT(A9,4)=Controls!$F$3,Controls!$G$3,IF(LEFT(A9,4)=Controls!$F$4,Controls!$G$4,IF(LEFT(A9,4)=Controls!$F$5,Controls!$G$5,IF(LEFT(A9,4)=Controls!$F$6,Controls!$G$6)))))</f>
        <v>West Coast</v>
      </c>
      <c r="D9" t="str">
        <f t="shared" si="1"/>
        <v>BC</v>
      </c>
      <c r="E9" t="str">
        <f t="shared" si="2"/>
        <v>1905</v>
      </c>
      <c r="F9" t="s">
        <v>14</v>
      </c>
      <c r="G9">
        <v>114.97</v>
      </c>
      <c r="H9">
        <v>603502</v>
      </c>
      <c r="I9">
        <v>514008</v>
      </c>
      <c r="J9">
        <f t="shared" si="3"/>
        <v>301751</v>
      </c>
      <c r="K9" s="26">
        <f>IF(F9=Controls!$A$2,Controls!$B$2*Controls!$C$2,IF(F9=Controls!$A$3,Controls!$B$3*Controls!$C$3,IF(F9=Controls!$A$4,Controls!$B$4*Controls!$C$4,"")))*J9</f>
        <v>422451400</v>
      </c>
      <c r="L9" s="27">
        <f t="shared" si="4"/>
        <v>0.17411013058162519</v>
      </c>
      <c r="M9" s="28">
        <f t="shared" si="5"/>
        <v>5249.212838131687</v>
      </c>
      <c r="N9" t="str">
        <f t="shared" si="0"/>
        <v>Large</v>
      </c>
    </row>
    <row r="10" spans="1:14" x14ac:dyDescent="0.25">
      <c r="A10" t="s">
        <v>110</v>
      </c>
      <c r="B10" t="s">
        <v>20</v>
      </c>
      <c r="C10" t="str">
        <f>IF(LEFT(A10,4)=Controls!$F$2,Controls!$G$2, IF(LEFT(A10,4)=Controls!$F$3,Controls!$G$3,IF(LEFT(A10,4)=Controls!$F$4,Controls!$G$4,IF(LEFT(A10,4)=Controls!$F$5,Controls!$G$5,IF(LEFT(A10,4)=Controls!$F$6,Controls!$G$6)))))</f>
        <v>Central</v>
      </c>
      <c r="D10" t="str">
        <f t="shared" si="1"/>
        <v>ON</v>
      </c>
      <c r="E10" t="str">
        <f t="shared" si="2"/>
        <v>1974</v>
      </c>
      <c r="F10" t="s">
        <v>14</v>
      </c>
      <c r="G10">
        <v>266.33999999999997</v>
      </c>
      <c r="H10">
        <v>523911</v>
      </c>
      <c r="I10">
        <v>268251</v>
      </c>
      <c r="J10">
        <f t="shared" si="3"/>
        <v>261955.5</v>
      </c>
      <c r="K10" s="26">
        <f>IF(F10=Controls!$A$2,Controls!$B$2*Controls!$C$2,IF(F10=Controls!$A$3,Controls!$B$3*Controls!$C$3,IF(F10=Controls!$A$4,Controls!$B$4*Controls!$C$4,"")))*J10</f>
        <v>366737700</v>
      </c>
      <c r="L10" s="27">
        <f t="shared" si="4"/>
        <v>0.95306261672836257</v>
      </c>
      <c r="M10" s="28">
        <f t="shared" si="5"/>
        <v>1967.0759179995496</v>
      </c>
      <c r="N10" t="str">
        <f t="shared" si="0"/>
        <v>Small</v>
      </c>
    </row>
    <row r="11" spans="1:14" x14ac:dyDescent="0.25">
      <c r="A11" t="s">
        <v>113</v>
      </c>
      <c r="B11" t="s">
        <v>21</v>
      </c>
      <c r="C11" t="str">
        <f>IF(LEFT(A11,4)=Controls!$F$2,Controls!$G$2, IF(LEFT(A11,4)=Controls!$F$3,Controls!$G$3,IF(LEFT(A11,4)=Controls!$F$4,Controls!$G$4,IF(LEFT(A11,4)=Controls!$F$5,Controls!$G$5,IF(LEFT(A11,4)=Controls!$F$6,Controls!$G$6)))))</f>
        <v>Central</v>
      </c>
      <c r="D11" t="str">
        <f t="shared" si="1"/>
        <v>ON</v>
      </c>
      <c r="E11" t="str">
        <f t="shared" si="2"/>
        <v>2001</v>
      </c>
      <c r="F11" t="s">
        <v>14</v>
      </c>
      <c r="G11">
        <v>1117.23</v>
      </c>
      <c r="H11">
        <v>519949</v>
      </c>
      <c r="I11">
        <v>467799</v>
      </c>
      <c r="J11">
        <f t="shared" si="3"/>
        <v>259974.5</v>
      </c>
      <c r="K11" s="26">
        <f>IF(F11=Controls!$A$2,Controls!$B$2*Controls!$C$2,IF(F11=Controls!$A$3,Controls!$B$3*Controls!$C$3,IF(F11=Controls!$A$4,Controls!$B$4*Controls!$C$4,"")))*J11</f>
        <v>363964300</v>
      </c>
      <c r="L11" s="27">
        <f t="shared" si="4"/>
        <v>0.11147950294891609</v>
      </c>
      <c r="M11" s="28">
        <f t="shared" si="5"/>
        <v>465.3911907127449</v>
      </c>
      <c r="N11" t="str">
        <f t="shared" si="0"/>
        <v>Very Small</v>
      </c>
    </row>
    <row r="12" spans="1:14" x14ac:dyDescent="0.25">
      <c r="A12" t="s">
        <v>114</v>
      </c>
      <c r="B12" t="s">
        <v>22</v>
      </c>
      <c r="C12" t="str">
        <f>IF(LEFT(A12,4)=Controls!$F$2,Controls!$G$2, IF(LEFT(A12,4)=Controls!$F$3,Controls!$G$3,IF(LEFT(A12,4)=Controls!$F$4,Controls!$G$4,IF(LEFT(A12,4)=Controls!$F$5,Controls!$G$5,IF(LEFT(A12,4)=Controls!$F$6,Controls!$G$6)))))</f>
        <v>Central</v>
      </c>
      <c r="D12" t="str">
        <f t="shared" si="1"/>
        <v>QC</v>
      </c>
      <c r="E12" t="str">
        <f t="shared" si="2"/>
        <v>2002</v>
      </c>
      <c r="F12" t="s">
        <v>14</v>
      </c>
      <c r="G12">
        <v>454.1</v>
      </c>
      <c r="H12">
        <v>516622</v>
      </c>
      <c r="I12">
        <v>467728</v>
      </c>
      <c r="J12">
        <f t="shared" si="3"/>
        <v>258311</v>
      </c>
      <c r="K12" s="26">
        <f>IF(F12=Controls!$A$2,Controls!$B$2*Controls!$C$2,IF(F12=Controls!$A$3,Controls!$B$3*Controls!$C$3,IF(F12=Controls!$A$4,Controls!$B$4*Controls!$C$4,"")))*J12</f>
        <v>361635400</v>
      </c>
      <c r="L12" s="27">
        <f t="shared" si="4"/>
        <v>0.10453511442547805</v>
      </c>
      <c r="M12" s="28">
        <f t="shared" si="5"/>
        <v>1137.6833296630698</v>
      </c>
      <c r="N12" t="str">
        <f t="shared" si="0"/>
        <v>Small</v>
      </c>
    </row>
    <row r="13" spans="1:14" x14ac:dyDescent="0.25">
      <c r="A13" t="s">
        <v>115</v>
      </c>
      <c r="B13" t="s">
        <v>23</v>
      </c>
      <c r="C13" t="str">
        <f>IF(LEFT(A13,4)=Controls!$F$2,Controls!$G$2, IF(LEFT(A13,4)=Controls!$F$3,Controls!$G$3,IF(LEFT(A13,4)=Controls!$F$4,Controls!$G$4,IF(LEFT(A13,4)=Controls!$F$5,Controls!$G$5,IF(LEFT(A13,4)=Controls!$F$6,Controls!$G$6)))))</f>
        <v>West Coast</v>
      </c>
      <c r="D13" t="str">
        <f t="shared" si="1"/>
        <v>BC</v>
      </c>
      <c r="E13" t="str">
        <f t="shared" si="2"/>
        <v>1879</v>
      </c>
      <c r="F13" t="s">
        <v>14</v>
      </c>
      <c r="G13">
        <v>316.41000000000003</v>
      </c>
      <c r="H13">
        <v>468251</v>
      </c>
      <c r="I13">
        <v>304477</v>
      </c>
      <c r="J13">
        <f t="shared" si="3"/>
        <v>234125.5</v>
      </c>
      <c r="K13" s="26">
        <f>IF(F13=Controls!$A$2,Controls!$B$2*Controls!$C$2,IF(F13=Controls!$A$3,Controls!$B$3*Controls!$C$3,IF(F13=Controls!$A$4,Controls!$B$4*Controls!$C$4,"")))*J13</f>
        <v>327775700</v>
      </c>
      <c r="L13" s="27">
        <f t="shared" si="4"/>
        <v>0.53788627712438053</v>
      </c>
      <c r="M13" s="28">
        <f t="shared" si="5"/>
        <v>1479.8868556619575</v>
      </c>
      <c r="N13" t="str">
        <f t="shared" si="0"/>
        <v>Small</v>
      </c>
    </row>
    <row r="14" spans="1:14" x14ac:dyDescent="0.25">
      <c r="A14" t="s">
        <v>116</v>
      </c>
      <c r="B14" t="s">
        <v>24</v>
      </c>
      <c r="C14" t="str">
        <f>IF(LEFT(A14,4)=Controls!$F$2,Controls!$G$2, IF(LEFT(A14,4)=Controls!$F$3,Controls!$G$3,IF(LEFT(A14,4)=Controls!$F$4,Controls!$G$4,IF(LEFT(A14,4)=Controls!$F$5,Controls!$G$5,IF(LEFT(A14,4)=Controls!$F$6,Controls!$G$6)))))</f>
        <v>Central</v>
      </c>
      <c r="D14" t="str">
        <f t="shared" si="1"/>
        <v>QC</v>
      </c>
      <c r="E14" t="str">
        <f t="shared" si="2"/>
        <v>1965</v>
      </c>
      <c r="F14" t="s">
        <v>14</v>
      </c>
      <c r="G14">
        <v>247.09</v>
      </c>
      <c r="H14">
        <v>401553</v>
      </c>
      <c r="I14">
        <v>330393</v>
      </c>
      <c r="J14">
        <f t="shared" si="3"/>
        <v>200776.5</v>
      </c>
      <c r="K14" s="26">
        <f>IF(F14=Controls!$A$2,Controls!$B$2*Controls!$C$2,IF(F14=Controls!$A$3,Controls!$B$3*Controls!$C$3,IF(F14=Controls!$A$4,Controls!$B$4*Controls!$C$4,"")))*J14</f>
        <v>281087100</v>
      </c>
      <c r="L14" s="27">
        <f t="shared" si="4"/>
        <v>0.21537986579618817</v>
      </c>
      <c r="M14" s="28">
        <f t="shared" si="5"/>
        <v>1625.1284956898296</v>
      </c>
      <c r="N14" t="str">
        <f t="shared" si="0"/>
        <v>Small</v>
      </c>
    </row>
    <row r="15" spans="1:14" x14ac:dyDescent="0.25">
      <c r="A15" t="s">
        <v>186</v>
      </c>
      <c r="B15" t="s">
        <v>9</v>
      </c>
      <c r="C15" t="str">
        <f>IF(LEFT(A15,4)=Controls!$F$2,Controls!$G$2, IF(LEFT(A15,4)=Controls!$F$3,Controls!$G$3,IF(LEFT(A15,4)=Controls!$F$4,Controls!$G$4,IF(LEFT(A15,4)=Controls!$F$5,Controls!$G$5,IF(LEFT(A15,4)=Controls!$F$6,Controls!$G$6)))))</f>
        <v>Atlantic</v>
      </c>
      <c r="D15" t="str">
        <f t="shared" si="1"/>
        <v>NS</v>
      </c>
      <c r="E15" t="str">
        <f t="shared" si="2"/>
        <v>1996</v>
      </c>
      <c r="F15" t="s">
        <v>106</v>
      </c>
      <c r="G15">
        <v>5490.28</v>
      </c>
      <c r="H15">
        <v>390096</v>
      </c>
      <c r="I15">
        <v>342851</v>
      </c>
      <c r="J15">
        <f t="shared" si="3"/>
        <v>195048</v>
      </c>
      <c r="K15" s="26">
        <f>IF(F15=Controls!$A$2,Controls!$B$2*Controls!$C$2,IF(F15=Controls!$A$3,Controls!$B$3*Controls!$C$3,IF(F15=Controls!$A$4,Controls!$B$4*Controls!$C$4,"")))*J15</f>
        <v>204800400</v>
      </c>
      <c r="L15" s="27">
        <f t="shared" si="4"/>
        <v>0.13780038559024183</v>
      </c>
      <c r="M15" s="28">
        <f t="shared" si="5"/>
        <v>71.052113917687265</v>
      </c>
      <c r="N15" t="str">
        <f t="shared" si="0"/>
        <v>Very Small</v>
      </c>
    </row>
    <row r="16" spans="1:14" x14ac:dyDescent="0.25">
      <c r="A16" t="s">
        <v>117</v>
      </c>
      <c r="B16" t="s">
        <v>25</v>
      </c>
      <c r="C16" t="str">
        <f>IF(LEFT(A16,4)=Controls!$F$2,Controls!$G$2, IF(LEFT(A16,4)=Controls!$F$3,Controls!$G$3,IF(LEFT(A16,4)=Controls!$F$4,Controls!$G$4,IF(LEFT(A16,4)=Controls!$F$5,Controls!$G$5,IF(LEFT(A16,4)=Controls!$F$6,Controls!$G$6)))))</f>
        <v>Central</v>
      </c>
      <c r="D16" t="str">
        <f t="shared" si="1"/>
        <v>ON</v>
      </c>
      <c r="E16" t="str">
        <f t="shared" si="2"/>
        <v>1855</v>
      </c>
      <c r="F16" t="s">
        <v>14</v>
      </c>
      <c r="G16">
        <v>420.57</v>
      </c>
      <c r="H16">
        <v>366151</v>
      </c>
      <c r="I16">
        <v>325669</v>
      </c>
      <c r="J16">
        <f t="shared" si="3"/>
        <v>183075.5</v>
      </c>
      <c r="K16" s="26">
        <f>IF(F16=Controls!$A$2,Controls!$B$2*Controls!$C$2,IF(F16=Controls!$A$3,Controls!$B$3*Controls!$C$3,IF(F16=Controls!$A$4,Controls!$B$4*Controls!$C$4,"")))*J16</f>
        <v>256305700</v>
      </c>
      <c r="L16" s="27">
        <f t="shared" si="4"/>
        <v>0.12430412474015028</v>
      </c>
      <c r="M16" s="28">
        <f t="shared" si="5"/>
        <v>870.6065577668403</v>
      </c>
      <c r="N16" t="str">
        <f t="shared" si="0"/>
        <v>Very Small</v>
      </c>
    </row>
    <row r="17" spans="1:14" x14ac:dyDescent="0.25">
      <c r="A17" t="s">
        <v>118</v>
      </c>
      <c r="B17" t="s">
        <v>26</v>
      </c>
      <c r="C17" t="str">
        <f>IF(LEFT(A17,4)=Controls!$F$2,Controls!$G$2, IF(LEFT(A17,4)=Controls!$F$3,Controls!$G$3,IF(LEFT(A17,4)=Controls!$F$4,Controls!$G$4,IF(LEFT(A17,4)=Controls!$F$5,Controls!$G$5,IF(LEFT(A17,4)=Controls!$F$6,Controls!$G$6)))))</f>
        <v>Central</v>
      </c>
      <c r="D17" t="str">
        <f t="shared" si="1"/>
        <v>ON</v>
      </c>
      <c r="E17" t="str">
        <f t="shared" si="2"/>
        <v>2012</v>
      </c>
      <c r="F17" t="s">
        <v>14</v>
      </c>
      <c r="G17">
        <v>212.58</v>
      </c>
      <c r="H17">
        <v>301709</v>
      </c>
      <c r="I17">
        <v>173383</v>
      </c>
      <c r="J17">
        <f t="shared" si="3"/>
        <v>150854.5</v>
      </c>
      <c r="K17" s="26">
        <f>IF(F17=Controls!$A$2,Controls!$B$2*Controls!$C$2,IF(F17=Controls!$A$3,Controls!$B$3*Controls!$C$3,IF(F17=Controls!$A$4,Controls!$B$4*Controls!$C$4,"")))*J17</f>
        <v>211196300</v>
      </c>
      <c r="L17" s="27">
        <f t="shared" si="4"/>
        <v>0.74013023191431682</v>
      </c>
      <c r="M17" s="28">
        <f t="shared" si="5"/>
        <v>1419.2727443785868</v>
      </c>
      <c r="N17" t="str">
        <f t="shared" si="0"/>
        <v>Small</v>
      </c>
    </row>
    <row r="18" spans="1:14" x14ac:dyDescent="0.25">
      <c r="A18" t="s">
        <v>119</v>
      </c>
      <c r="B18" t="s">
        <v>105</v>
      </c>
      <c r="C18" t="str">
        <f>IF(LEFT(A18,4)=Controls!$F$2,Controls!$G$2, IF(LEFT(A18,4)=Controls!$F$3,Controls!$G$3,IF(LEFT(A18,4)=Controls!$F$4,Controls!$G$4,IF(LEFT(A18,4)=Controls!$F$5,Controls!$G$5,IF(LEFT(A18,4)=Controls!$F$6,Controls!$G$6)))))</f>
        <v>Central</v>
      </c>
      <c r="D18" t="str">
        <f t="shared" si="1"/>
        <v>ON</v>
      </c>
      <c r="E18" t="str">
        <f t="shared" si="2"/>
        <v>1991</v>
      </c>
      <c r="F18" t="s">
        <v>14</v>
      </c>
      <c r="G18">
        <v>273.52</v>
      </c>
      <c r="H18">
        <v>288301</v>
      </c>
      <c r="I18">
        <v>132549</v>
      </c>
      <c r="J18">
        <f t="shared" si="3"/>
        <v>144150.5</v>
      </c>
      <c r="K18" s="26">
        <f>IF(F18=Controls!$A$2,Controls!$B$2*Controls!$C$2,IF(F18=Controls!$A$3,Controls!$B$3*Controls!$C$3,IF(F18=Controls!$A$4,Controls!$B$4*Controls!$C$4,"")))*J18</f>
        <v>201810700</v>
      </c>
      <c r="L18" s="27">
        <f t="shared" si="4"/>
        <v>1.1750522448302136</v>
      </c>
      <c r="M18" s="28">
        <f t="shared" si="5"/>
        <v>1054.0399239543726</v>
      </c>
      <c r="N18" t="str">
        <f t="shared" si="0"/>
        <v>Small</v>
      </c>
    </row>
    <row r="19" spans="1:14" x14ac:dyDescent="0.25">
      <c r="A19" t="s">
        <v>114</v>
      </c>
      <c r="B19" t="s">
        <v>27</v>
      </c>
      <c r="C19" t="str">
        <f>IF(LEFT(A19,4)=Controls!$F$2,Controls!$G$2, IF(LEFT(A19,4)=Controls!$F$3,Controls!$G$3,IF(LEFT(A19,4)=Controls!$F$4,Controls!$G$4,IF(LEFT(A19,4)=Controls!$F$5,Controls!$G$5,IF(LEFT(A19,4)=Controls!$F$6,Controls!$G$6)))))</f>
        <v>Central</v>
      </c>
      <c r="D19" t="str">
        <f t="shared" si="1"/>
        <v>QC</v>
      </c>
      <c r="E19" t="str">
        <f t="shared" si="2"/>
        <v>2002</v>
      </c>
      <c r="F19" t="s">
        <v>14</v>
      </c>
      <c r="G19">
        <v>342.98</v>
      </c>
      <c r="H19">
        <v>265349</v>
      </c>
      <c r="I19">
        <v>217591</v>
      </c>
      <c r="J19">
        <f t="shared" si="3"/>
        <v>132674.5</v>
      </c>
      <c r="K19" s="26">
        <f>IF(F19=Controls!$A$2,Controls!$B$2*Controls!$C$2,IF(F19=Controls!$A$3,Controls!$B$3*Controls!$C$3,IF(F19=Controls!$A$4,Controls!$B$4*Controls!$C$4,"")))*J19</f>
        <v>185744300</v>
      </c>
      <c r="L19" s="27">
        <f t="shared" si="4"/>
        <v>0.21948518091281349</v>
      </c>
      <c r="M19" s="28">
        <f t="shared" si="5"/>
        <v>773.6573561140591</v>
      </c>
      <c r="N19" t="str">
        <f t="shared" si="0"/>
        <v>Very Small</v>
      </c>
    </row>
    <row r="20" spans="1:14" x14ac:dyDescent="0.25">
      <c r="A20" t="s">
        <v>114</v>
      </c>
      <c r="B20" t="s">
        <v>28</v>
      </c>
      <c r="C20" t="str">
        <f>IF(LEFT(A20,4)=Controls!$F$2,Controls!$G$2, IF(LEFT(A20,4)=Controls!$F$3,Controls!$G$3,IF(LEFT(A20,4)=Controls!$F$4,Controls!$G$4,IF(LEFT(A20,4)=Controls!$F$5,Controls!$G$5,IF(LEFT(A20,4)=Controls!$F$6,Controls!$G$6)))))</f>
        <v>Central</v>
      </c>
      <c r="D20" t="str">
        <f t="shared" si="1"/>
        <v>QC</v>
      </c>
      <c r="E20" t="str">
        <f t="shared" si="2"/>
        <v>2002</v>
      </c>
      <c r="F20" t="s">
        <v>14</v>
      </c>
      <c r="G20">
        <v>115.59</v>
      </c>
      <c r="H20">
        <v>231409</v>
      </c>
      <c r="I20">
        <v>225722</v>
      </c>
      <c r="J20">
        <f t="shared" si="3"/>
        <v>115704.5</v>
      </c>
      <c r="K20" s="26">
        <f>IF(F20=Controls!$A$2,Controls!$B$2*Controls!$C$2,IF(F20=Controls!$A$3,Controls!$B$3*Controls!$C$3,IF(F20=Controls!$A$4,Controls!$B$4*Controls!$C$4,"")))*J20</f>
        <v>161986300</v>
      </c>
      <c r="L20" s="27">
        <f t="shared" si="4"/>
        <v>2.5194708535277908E-2</v>
      </c>
      <c r="M20" s="28">
        <f t="shared" si="5"/>
        <v>2001.9811402370447</v>
      </c>
      <c r="N20" t="str">
        <f t="shared" si="0"/>
        <v>Medium</v>
      </c>
    </row>
    <row r="21" spans="1:14" x14ac:dyDescent="0.25">
      <c r="A21" t="s">
        <v>120</v>
      </c>
      <c r="B21" t="s">
        <v>29</v>
      </c>
      <c r="C21" t="str">
        <f>IF(LEFT(A21,4)=Controls!$F$2,Controls!$G$2, IF(LEFT(A21,4)=Controls!$F$3,Controls!$G$3,IF(LEFT(A21,4)=Controls!$F$4,Controls!$G$4,IF(LEFT(A21,4)=Controls!$F$5,Controls!$G$5,IF(LEFT(A21,4)=Controls!$F$6,Controls!$G$6)))))</f>
        <v>West Coast</v>
      </c>
      <c r="D21" t="str">
        <f t="shared" si="1"/>
        <v>BC</v>
      </c>
      <c r="E21" t="str">
        <f t="shared" si="2"/>
        <v>1892</v>
      </c>
      <c r="F21" t="s">
        <v>14</v>
      </c>
      <c r="G21">
        <v>90.61</v>
      </c>
      <c r="H21">
        <v>223218</v>
      </c>
      <c r="I21">
        <v>179209</v>
      </c>
      <c r="J21">
        <f t="shared" si="3"/>
        <v>111609</v>
      </c>
      <c r="K21" s="26">
        <f>IF(F21=Controls!$A$2,Controls!$B$2*Controls!$C$2,IF(F21=Controls!$A$3,Controls!$B$3*Controls!$C$3,IF(F21=Controls!$A$4,Controls!$B$4*Controls!$C$4,"")))*J21</f>
        <v>156252600</v>
      </c>
      <c r="L21" s="27">
        <f t="shared" si="4"/>
        <v>0.24557360400426317</v>
      </c>
      <c r="M21" s="28">
        <f t="shared" si="5"/>
        <v>2463.5029246220065</v>
      </c>
      <c r="N21" t="str">
        <f t="shared" si="0"/>
        <v>Medium</v>
      </c>
    </row>
    <row r="22" spans="1:14" x14ac:dyDescent="0.25">
      <c r="A22" t="s">
        <v>121</v>
      </c>
      <c r="B22" t="s">
        <v>30</v>
      </c>
      <c r="C22" t="str">
        <f>IF(LEFT(A22,4)=Controls!$F$2,Controls!$G$2, IF(LEFT(A22,4)=Controls!$F$3,Controls!$G$3,IF(LEFT(A22,4)=Controls!$F$4,Controls!$G$4,IF(LEFT(A22,4)=Controls!$F$5,Controls!$G$5,IF(LEFT(A22,4)=Controls!$F$6,Controls!$G$6)))))</f>
        <v>Prairies</v>
      </c>
      <c r="D22" t="str">
        <f t="shared" si="1"/>
        <v>SK</v>
      </c>
      <c r="E22" t="str">
        <f t="shared" si="2"/>
        <v>1906</v>
      </c>
      <c r="F22" t="s">
        <v>14</v>
      </c>
      <c r="G22">
        <v>209.56</v>
      </c>
      <c r="H22">
        <v>222189</v>
      </c>
      <c r="I22">
        <v>193653</v>
      </c>
      <c r="J22">
        <f t="shared" si="3"/>
        <v>111094.5</v>
      </c>
      <c r="K22" s="26">
        <f>IF(F22=Controls!$A$2,Controls!$B$2*Controls!$C$2,IF(F22=Controls!$A$3,Controls!$B$3*Controls!$C$3,IF(F22=Controls!$A$4,Controls!$B$4*Controls!$C$4,"")))*J22</f>
        <v>155532300</v>
      </c>
      <c r="L22" s="27">
        <f t="shared" si="4"/>
        <v>0.14735635389072207</v>
      </c>
      <c r="M22" s="28">
        <f t="shared" si="5"/>
        <v>1060.2643634281351</v>
      </c>
      <c r="N22" t="str">
        <f t="shared" si="0"/>
        <v>Small</v>
      </c>
    </row>
    <row r="23" spans="1:14" x14ac:dyDescent="0.25">
      <c r="A23" t="s">
        <v>122</v>
      </c>
      <c r="B23" t="s">
        <v>31</v>
      </c>
      <c r="C23" t="str">
        <f>IF(LEFT(A23,4)=Controls!$F$2,Controls!$G$2, IF(LEFT(A23,4)=Controls!$F$3,Controls!$G$3,IF(LEFT(A23,4)=Controls!$F$4,Controls!$G$4,IF(LEFT(A23,4)=Controls!$F$5,Controls!$G$5,IF(LEFT(A23,4)=Controls!$F$6,Controls!$G$6)))))</f>
        <v>Central</v>
      </c>
      <c r="D23" t="str">
        <f t="shared" si="1"/>
        <v>ON</v>
      </c>
      <c r="E23" t="str">
        <f t="shared" si="2"/>
        <v>1912</v>
      </c>
      <c r="F23" t="s">
        <v>14</v>
      </c>
      <c r="G23">
        <v>136.79</v>
      </c>
      <c r="H23">
        <v>219153</v>
      </c>
      <c r="I23">
        <v>178420</v>
      </c>
      <c r="J23">
        <f t="shared" si="3"/>
        <v>109576.5</v>
      </c>
      <c r="K23" s="26">
        <f>IF(F23=Controls!$A$2,Controls!$B$2*Controls!$C$2,IF(F23=Controls!$A$3,Controls!$B$3*Controls!$C$3,IF(F23=Controls!$A$4,Controls!$B$4*Controls!$C$4,"")))*J23</f>
        <v>153407100</v>
      </c>
      <c r="L23" s="27">
        <f t="shared" si="4"/>
        <v>0.22829839704069049</v>
      </c>
      <c r="M23" s="28">
        <f t="shared" si="5"/>
        <v>1602.1127275385629</v>
      </c>
      <c r="N23" t="str">
        <f t="shared" si="0"/>
        <v>Small</v>
      </c>
    </row>
    <row r="24" spans="1:14" x14ac:dyDescent="0.25">
      <c r="A24" t="s">
        <v>123</v>
      </c>
      <c r="B24" t="s">
        <v>32</v>
      </c>
      <c r="C24" t="str">
        <f>IF(LEFT(A24,4)=Controls!$F$2,Controls!$G$2, IF(LEFT(A24,4)=Controls!$F$3,Controls!$G$3,IF(LEFT(A24,4)=Controls!$F$4,Controls!$G$4,IF(LEFT(A24,4)=Controls!$F$5,Controls!$G$5,IF(LEFT(A24,4)=Controls!$F$6,Controls!$G$6)))))</f>
        <v>Central</v>
      </c>
      <c r="D24" t="str">
        <f t="shared" si="1"/>
        <v>ON</v>
      </c>
      <c r="E24" t="str">
        <f t="shared" si="2"/>
        <v>1854</v>
      </c>
      <c r="F24" t="s">
        <v>14</v>
      </c>
      <c r="G24">
        <v>146.32</v>
      </c>
      <c r="H24">
        <v>210891</v>
      </c>
      <c r="I24">
        <v>197694</v>
      </c>
      <c r="J24">
        <f t="shared" si="3"/>
        <v>105445.5</v>
      </c>
      <c r="K24" s="26">
        <f>IF(F24=Controls!$A$2,Controls!$B$2*Controls!$C$2,IF(F24=Controls!$A$3,Controls!$B$3*Controls!$C$3,IF(F24=Controls!$A$4,Controls!$B$4*Controls!$C$4,"")))*J24</f>
        <v>147623700</v>
      </c>
      <c r="L24" s="27">
        <f t="shared" si="4"/>
        <v>6.6754681477434824E-2</v>
      </c>
      <c r="M24" s="28">
        <f t="shared" si="5"/>
        <v>1441.2998906506289</v>
      </c>
      <c r="N24" t="str">
        <f t="shared" si="0"/>
        <v>Small</v>
      </c>
    </row>
    <row r="25" spans="1:14" x14ac:dyDescent="0.25">
      <c r="A25" t="s">
        <v>124</v>
      </c>
      <c r="B25" t="s">
        <v>33</v>
      </c>
      <c r="C25" t="str">
        <f>IF(LEFT(A25,4)=Controls!$F$2,Controls!$G$2, IF(LEFT(A25,4)=Controls!$F$3,Controls!$G$3,IF(LEFT(A25,4)=Controls!$F$4,Controls!$G$4,IF(LEFT(A25,4)=Controls!$F$5,Controls!$G$5,IF(LEFT(A25,4)=Controls!$F$6,Controls!$G$6)))))</f>
        <v>Prairies</v>
      </c>
      <c r="D25" t="str">
        <f t="shared" si="1"/>
        <v>SK</v>
      </c>
      <c r="E25" t="str">
        <f t="shared" si="2"/>
        <v>1882</v>
      </c>
      <c r="F25" t="s">
        <v>14</v>
      </c>
      <c r="G25">
        <v>145.44999999999999</v>
      </c>
      <c r="H25">
        <v>193100</v>
      </c>
      <c r="I25">
        <v>180404</v>
      </c>
      <c r="J25">
        <f t="shared" si="3"/>
        <v>96550</v>
      </c>
      <c r="K25" s="26">
        <f>IF(F25=Controls!$A$2,Controls!$B$2*Controls!$C$2,IF(F25=Controls!$A$3,Controls!$B$3*Controls!$C$3,IF(F25=Controls!$A$4,Controls!$B$4*Controls!$C$4,"")))*J25</f>
        <v>135170000</v>
      </c>
      <c r="L25" s="27">
        <f t="shared" si="4"/>
        <v>7.0375379703332519E-2</v>
      </c>
      <c r="M25" s="28">
        <f t="shared" si="5"/>
        <v>1327.6039876246134</v>
      </c>
      <c r="N25" t="str">
        <f t="shared" si="0"/>
        <v>Small</v>
      </c>
    </row>
    <row r="26" spans="1:14" x14ac:dyDescent="0.25">
      <c r="A26" t="s">
        <v>115</v>
      </c>
      <c r="B26" t="s">
        <v>34</v>
      </c>
      <c r="C26" t="str">
        <f>IF(LEFT(A26,4)=Controls!$F$2,Controls!$G$2, IF(LEFT(A26,4)=Controls!$F$3,Controls!$G$3,IF(LEFT(A26,4)=Controls!$F$4,Controls!$G$4,IF(LEFT(A26,4)=Controls!$F$5,Controls!$G$5,IF(LEFT(A26,4)=Controls!$F$6,Controls!$G$6)))))</f>
        <v>West Coast</v>
      </c>
      <c r="D26" t="str">
        <f t="shared" si="1"/>
        <v>BC</v>
      </c>
      <c r="E26" t="str">
        <f t="shared" si="2"/>
        <v>1879</v>
      </c>
      <c r="F26" t="s">
        <v>14</v>
      </c>
      <c r="G26">
        <v>129.27000000000001</v>
      </c>
      <c r="H26">
        <v>190473</v>
      </c>
      <c r="I26">
        <v>148867</v>
      </c>
      <c r="J26">
        <f t="shared" si="3"/>
        <v>95236.5</v>
      </c>
      <c r="K26" s="26">
        <f>IF(F26=Controls!$A$2,Controls!$B$2*Controls!$C$2,IF(F26=Controls!$A$3,Controls!$B$3*Controls!$C$3,IF(F26=Controls!$A$4,Controls!$B$4*Controls!$C$4,"")))*J26</f>
        <v>133331100</v>
      </c>
      <c r="L26" s="27">
        <f t="shared" si="4"/>
        <v>0.27948437195617565</v>
      </c>
      <c r="M26" s="28">
        <f t="shared" si="5"/>
        <v>1473.4509166860059</v>
      </c>
      <c r="N26" t="str">
        <f t="shared" si="0"/>
        <v>Small</v>
      </c>
    </row>
    <row r="27" spans="1:14" x14ac:dyDescent="0.25">
      <c r="A27" t="s">
        <v>125</v>
      </c>
      <c r="B27" t="s">
        <v>35</v>
      </c>
      <c r="C27" t="str">
        <f>IF(LEFT(A27,4)=Controls!$F$2,Controls!$G$2, IF(LEFT(A27,4)=Controls!$F$3,Controls!$G$3,IF(LEFT(A27,4)=Controls!$F$4,Controls!$G$4,IF(LEFT(A27,4)=Controls!$F$5,Controls!$G$5,IF(LEFT(A27,4)=Controls!$F$6,Controls!$G$6)))))</f>
        <v>Central</v>
      </c>
      <c r="D27" t="str">
        <f t="shared" si="1"/>
        <v>ON</v>
      </c>
      <c r="E27" t="str">
        <f t="shared" si="2"/>
        <v>1957</v>
      </c>
      <c r="F27" t="s">
        <v>36</v>
      </c>
      <c r="G27">
        <v>100.95</v>
      </c>
      <c r="H27">
        <v>185541</v>
      </c>
      <c r="I27">
        <v>101725</v>
      </c>
      <c r="J27">
        <f t="shared" si="3"/>
        <v>92770.5</v>
      </c>
      <c r="K27" s="26">
        <f>IF(F27=Controls!$A$2,Controls!$B$2*Controls!$C$2,IF(F27=Controls!$A$3,Controls!$B$3*Controls!$C$3,IF(F27=Controls!$A$4,Controls!$B$4*Controls!$C$4,"")))*J27</f>
        <v>92770500</v>
      </c>
      <c r="L27" s="27">
        <f t="shared" si="4"/>
        <v>0.82394691570410417</v>
      </c>
      <c r="M27" s="28">
        <f t="shared" si="5"/>
        <v>1837.9494799405645</v>
      </c>
      <c r="N27" t="str">
        <f t="shared" si="0"/>
        <v>Small</v>
      </c>
    </row>
    <row r="28" spans="1:14" x14ac:dyDescent="0.25">
      <c r="A28" t="s">
        <v>126</v>
      </c>
      <c r="B28" t="s">
        <v>37</v>
      </c>
      <c r="C28" t="str">
        <f>IF(LEFT(A28,4)=Controls!$F$2,Controls!$G$2, IF(LEFT(A28,4)=Controls!$F$3,Controls!$G$3,IF(LEFT(A28,4)=Controls!$F$4,Controls!$G$4,IF(LEFT(A28,4)=Controls!$F$5,Controls!$G$5,IF(LEFT(A28,4)=Controls!$F$6,Controls!$G$6)))))</f>
        <v>Central</v>
      </c>
      <c r="D28" t="str">
        <f t="shared" si="1"/>
        <v>ON</v>
      </c>
      <c r="E28" t="str">
        <f t="shared" si="2"/>
        <v>1857</v>
      </c>
      <c r="F28" t="s">
        <v>36</v>
      </c>
      <c r="G28">
        <v>138.88</v>
      </c>
      <c r="H28">
        <v>182520</v>
      </c>
      <c r="I28">
        <v>128405</v>
      </c>
      <c r="J28">
        <f t="shared" si="3"/>
        <v>91260</v>
      </c>
      <c r="K28" s="26">
        <f>IF(F28=Controls!$A$2,Controls!$B$2*Controls!$C$2,IF(F28=Controls!$A$3,Controls!$B$3*Controls!$C$3,IF(F28=Controls!$A$4,Controls!$B$4*Controls!$C$4,"")))*J28</f>
        <v>91260000</v>
      </c>
      <c r="L28" s="27">
        <f t="shared" si="4"/>
        <v>0.42143997507885206</v>
      </c>
      <c r="M28" s="28">
        <f t="shared" si="5"/>
        <v>1314.2281105990785</v>
      </c>
      <c r="N28" t="str">
        <f t="shared" si="0"/>
        <v>Small</v>
      </c>
    </row>
    <row r="29" spans="1:14" x14ac:dyDescent="0.25">
      <c r="A29" t="s">
        <v>110</v>
      </c>
      <c r="B29" t="s">
        <v>38</v>
      </c>
      <c r="C29" t="str">
        <f>IF(LEFT(A29,4)=Controls!$F$2,Controls!$G$2, IF(LEFT(A29,4)=Controls!$F$3,Controls!$G$3,IF(LEFT(A29,4)=Controls!$F$4,Controls!$G$4,IF(LEFT(A29,4)=Controls!$F$5,Controls!$G$5,IF(LEFT(A29,4)=Controls!$F$6,Controls!$G$6)))))</f>
        <v>Central</v>
      </c>
      <c r="D29" t="str">
        <f t="shared" si="1"/>
        <v>ON</v>
      </c>
      <c r="E29" t="str">
        <f t="shared" si="2"/>
        <v>1974</v>
      </c>
      <c r="F29" t="s">
        <v>14</v>
      </c>
      <c r="G29">
        <v>185.66</v>
      </c>
      <c r="H29">
        <v>175779</v>
      </c>
      <c r="I29">
        <v>136976</v>
      </c>
      <c r="J29">
        <f t="shared" si="3"/>
        <v>87889.5</v>
      </c>
      <c r="K29" s="26">
        <f>IF(F29=Controls!$A$2,Controls!$B$2*Controls!$C$2,IF(F29=Controls!$A$3,Controls!$B$3*Controls!$C$3,IF(F29=Controls!$A$4,Controls!$B$4*Controls!$C$4,"")))*J29</f>
        <v>123045300</v>
      </c>
      <c r="L29" s="27">
        <f t="shared" si="4"/>
        <v>0.28328320289685782</v>
      </c>
      <c r="M29" s="28">
        <f t="shared" si="5"/>
        <v>946.77905849402134</v>
      </c>
      <c r="N29" t="str">
        <f t="shared" si="0"/>
        <v>Very Small</v>
      </c>
    </row>
    <row r="30" spans="1:14" x14ac:dyDescent="0.25">
      <c r="A30" t="s">
        <v>113</v>
      </c>
      <c r="B30" t="s">
        <v>39</v>
      </c>
      <c r="C30" t="str">
        <f>IF(LEFT(A30,4)=Controls!$F$2,Controls!$G$2, IF(LEFT(A30,4)=Controls!$F$3,Controls!$G$3,IF(LEFT(A30,4)=Controls!$F$4,Controls!$G$4,IF(LEFT(A30,4)=Controls!$F$5,Controls!$G$5,IF(LEFT(A30,4)=Controls!$F$6,Controls!$G$6)))))</f>
        <v>Central</v>
      </c>
      <c r="D30" t="str">
        <f t="shared" si="1"/>
        <v>ON</v>
      </c>
      <c r="E30" t="str">
        <f t="shared" si="2"/>
        <v>2001</v>
      </c>
      <c r="F30" t="s">
        <v>14</v>
      </c>
      <c r="G30">
        <v>3227.38</v>
      </c>
      <c r="H30">
        <v>160274</v>
      </c>
      <c r="I30">
        <v>165336</v>
      </c>
      <c r="J30">
        <f t="shared" si="3"/>
        <v>80137</v>
      </c>
      <c r="K30" s="26">
        <f>IF(F30=Controls!$A$2,Controls!$B$2*Controls!$C$2,IF(F30=Controls!$A$3,Controls!$B$3*Controls!$C$3,IF(F30=Controls!$A$4,Controls!$B$4*Controls!$C$4,"")))*J30</f>
        <v>112191800</v>
      </c>
      <c r="L30" s="27">
        <f t="shared" si="4"/>
        <v>-3.061644167029564E-2</v>
      </c>
      <c r="M30" s="28">
        <f t="shared" si="5"/>
        <v>49.660715502977645</v>
      </c>
      <c r="N30" t="str">
        <f t="shared" si="0"/>
        <v>Very Small</v>
      </c>
    </row>
    <row r="31" spans="1:14" x14ac:dyDescent="0.25">
      <c r="A31" t="s">
        <v>114</v>
      </c>
      <c r="B31" t="s">
        <v>40</v>
      </c>
      <c r="C31" t="str">
        <f>IF(LEFT(A31,4)=Controls!$F$2,Controls!$G$2, IF(LEFT(A31,4)=Controls!$F$3,Controls!$G$3,IF(LEFT(A31,4)=Controls!$F$4,Controls!$G$4,IF(LEFT(A31,4)=Controls!$F$5,Controls!$G$5,IF(LEFT(A31,4)=Controls!$F$6,Controls!$G$6)))))</f>
        <v>Central</v>
      </c>
      <c r="D31" t="str">
        <f t="shared" si="1"/>
        <v>QC</v>
      </c>
      <c r="E31" t="str">
        <f t="shared" si="2"/>
        <v>2002</v>
      </c>
      <c r="F31" t="s">
        <v>14</v>
      </c>
      <c r="G31">
        <v>353.49</v>
      </c>
      <c r="H31">
        <v>154601</v>
      </c>
      <c r="I31">
        <v>136883</v>
      </c>
      <c r="J31">
        <f t="shared" si="3"/>
        <v>77300.5</v>
      </c>
      <c r="K31" s="26">
        <f>IF(F31=Controls!$A$2,Controls!$B$2*Controls!$C$2,IF(F31=Controls!$A$3,Controls!$B$3*Controls!$C$3,IF(F31=Controls!$A$4,Controls!$B$4*Controls!$C$4,"")))*J31</f>
        <v>108220700</v>
      </c>
      <c r="L31" s="27">
        <f t="shared" si="4"/>
        <v>0.12943900995740887</v>
      </c>
      <c r="M31" s="28">
        <f t="shared" si="5"/>
        <v>437.35607796543042</v>
      </c>
      <c r="N31" t="str">
        <f t="shared" si="0"/>
        <v>Very Small</v>
      </c>
    </row>
    <row r="32" spans="1:14" x14ac:dyDescent="0.25">
      <c r="A32" t="s">
        <v>129</v>
      </c>
      <c r="B32" t="s">
        <v>41</v>
      </c>
      <c r="C32" t="str">
        <f>IF(LEFT(A32,4)=Controls!$F$2,Controls!$G$2, IF(LEFT(A32,4)=Controls!$F$3,Controls!$G$3,IF(LEFT(A32,4)=Controls!$F$4,Controls!$G$4,IF(LEFT(A32,4)=Controls!$F$5,Controls!$G$5,IF(LEFT(A32,4)=Controls!$F$6,Controls!$G$6)))))</f>
        <v>Central</v>
      </c>
      <c r="D32" t="str">
        <f t="shared" si="1"/>
        <v>ON</v>
      </c>
      <c r="E32" t="str">
        <f t="shared" si="2"/>
        <v>1850</v>
      </c>
      <c r="F32" t="s">
        <v>14</v>
      </c>
      <c r="G32">
        <v>145.68</v>
      </c>
      <c r="H32">
        <v>149607</v>
      </c>
      <c r="I32">
        <v>134464</v>
      </c>
      <c r="J32">
        <f t="shared" si="3"/>
        <v>74803.5</v>
      </c>
      <c r="K32" s="26">
        <f>IF(F32=Controls!$A$2,Controls!$B$2*Controls!$C$2,IF(F32=Controls!$A$3,Controls!$B$3*Controls!$C$3,IF(F32=Controls!$A$4,Controls!$B$4*Controls!$C$4,"")))*J32</f>
        <v>104724900</v>
      </c>
      <c r="L32" s="27">
        <f t="shared" si="4"/>
        <v>0.1126175035697287</v>
      </c>
      <c r="M32" s="28">
        <f t="shared" si="5"/>
        <v>1026.9563426688633</v>
      </c>
      <c r="N32" t="str">
        <f t="shared" si="0"/>
        <v>Small</v>
      </c>
    </row>
    <row r="33" spans="1:14" x14ac:dyDescent="0.25">
      <c r="A33" t="s">
        <v>130</v>
      </c>
      <c r="B33" t="s">
        <v>42</v>
      </c>
      <c r="C33" t="str">
        <f>IF(LEFT(A33,4)=Controls!$F$2,Controls!$G$2, IF(LEFT(A33,4)=Controls!$F$3,Controls!$G$3,IF(LEFT(A33,4)=Controls!$F$4,Controls!$G$4,IF(LEFT(A33,4)=Controls!$F$5,Controls!$G$5,IF(LEFT(A33,4)=Controls!$F$6,Controls!$G$6)))))</f>
        <v>Central</v>
      </c>
      <c r="D33" t="str">
        <f t="shared" si="1"/>
        <v>ON</v>
      </c>
      <c r="E33" t="str">
        <f t="shared" si="2"/>
        <v>2002</v>
      </c>
      <c r="F33" t="s">
        <v>14</v>
      </c>
      <c r="G33">
        <v>1126.48</v>
      </c>
      <c r="H33">
        <v>144746</v>
      </c>
      <c r="I33">
        <v>152811</v>
      </c>
      <c r="J33">
        <f t="shared" si="3"/>
        <v>72373</v>
      </c>
      <c r="K33" s="26">
        <f>IF(F33=Controls!$A$2,Controls!$B$2*Controls!$C$2,IF(F33=Controls!$A$3,Controls!$B$3*Controls!$C$3,IF(F33=Controls!$A$4,Controls!$B$4*Controls!$C$4,"")))*J33</f>
        <v>101322200</v>
      </c>
      <c r="L33" s="27">
        <f t="shared" si="4"/>
        <v>-5.2777614176989875E-2</v>
      </c>
      <c r="M33" s="28">
        <f t="shared" si="5"/>
        <v>128.49407002343582</v>
      </c>
      <c r="N33" t="str">
        <f t="shared" si="0"/>
        <v>Very Small</v>
      </c>
    </row>
    <row r="34" spans="1:14" x14ac:dyDescent="0.25">
      <c r="A34" t="s">
        <v>114</v>
      </c>
      <c r="B34" t="s">
        <v>43</v>
      </c>
      <c r="C34" t="str">
        <f>IF(LEFT(A34,4)=Controls!$F$2,Controls!$G$2, IF(LEFT(A34,4)=Controls!$F$3,Controls!$G$3,IF(LEFT(A34,4)=Controls!$F$4,Controls!$G$4,IF(LEFT(A34,4)=Controls!$F$5,Controls!$G$5,IF(LEFT(A34,4)=Controls!$F$6,Controls!$G$6)))))</f>
        <v>Central</v>
      </c>
      <c r="D34" t="str">
        <f t="shared" si="1"/>
        <v>QC</v>
      </c>
      <c r="E34" t="str">
        <f t="shared" si="2"/>
        <v>2002</v>
      </c>
      <c r="F34" t="s">
        <v>14</v>
      </c>
      <c r="G34">
        <v>449.31</v>
      </c>
      <c r="H34">
        <v>138769</v>
      </c>
      <c r="I34">
        <v>103750</v>
      </c>
      <c r="J34">
        <f t="shared" si="3"/>
        <v>69384.5</v>
      </c>
      <c r="K34" s="26">
        <f>IF(F34=Controls!$A$2,Controls!$B$2*Controls!$C$2,IF(F34=Controls!$A$3,Controls!$B$3*Controls!$C$3,IF(F34=Controls!$A$4,Controls!$B$4*Controls!$C$4,"")))*J34</f>
        <v>97138300</v>
      </c>
      <c r="L34" s="27">
        <f t="shared" si="4"/>
        <v>0.33753253012048196</v>
      </c>
      <c r="M34" s="28">
        <f t="shared" si="5"/>
        <v>308.84912421268166</v>
      </c>
      <c r="N34" t="str">
        <f t="shared" si="0"/>
        <v>Very Small</v>
      </c>
    </row>
    <row r="35" spans="1:14" x14ac:dyDescent="0.25">
      <c r="A35" t="s">
        <v>131</v>
      </c>
      <c r="B35" t="s">
        <v>44</v>
      </c>
      <c r="C35" t="str">
        <f>IF(LEFT(A35,4)=Controls!$F$2,Controls!$G$2, IF(LEFT(A35,4)=Controls!$F$3,Controls!$G$3,IF(LEFT(A35,4)=Controls!$F$4,Controls!$G$4,IF(LEFT(A35,4)=Controls!$F$5,Controls!$G$5,IF(LEFT(A35,4)=Controls!$F$6,Controls!$G$6)))))</f>
        <v>Central</v>
      </c>
      <c r="D35" t="str">
        <f t="shared" si="1"/>
        <v>ON</v>
      </c>
      <c r="E35" t="str">
        <f t="shared" si="2"/>
        <v>1853</v>
      </c>
      <c r="F35" t="s">
        <v>14</v>
      </c>
      <c r="G35">
        <v>77.39</v>
      </c>
      <c r="H35">
        <v>135711</v>
      </c>
      <c r="I35">
        <v>79191</v>
      </c>
      <c r="J35">
        <f t="shared" si="3"/>
        <v>67855.5</v>
      </c>
      <c r="K35" s="26">
        <f>IF(F35=Controls!$A$2,Controls!$B$2*Controls!$C$2,IF(F35=Controls!$A$3,Controls!$B$3*Controls!$C$3,IF(F35=Controls!$A$4,Controls!$B$4*Controls!$C$4,"")))*J35</f>
        <v>94997700</v>
      </c>
      <c r="L35" s="27">
        <f t="shared" si="4"/>
        <v>0.71371746789407886</v>
      </c>
      <c r="M35" s="28">
        <f t="shared" si="5"/>
        <v>1753.5986561571262</v>
      </c>
      <c r="N35" t="str">
        <f t="shared" si="0"/>
        <v>Small</v>
      </c>
    </row>
    <row r="36" spans="1:14" x14ac:dyDescent="0.25">
      <c r="A36" t="s">
        <v>133</v>
      </c>
      <c r="B36" t="s">
        <v>45</v>
      </c>
      <c r="C36" t="str">
        <f>IF(LEFT(A36,4)=Controls!$F$2,Controls!$G$2, IF(LEFT(A36,4)=Controls!$F$3,Controls!$G$3,IF(LEFT(A36,4)=Controls!$F$4,Controls!$G$4,IF(LEFT(A36,4)=Controls!$F$5,Controls!$G$5,IF(LEFT(A36,4)=Controls!$F$6,Controls!$G$6)))))</f>
        <v>Central</v>
      </c>
      <c r="D36" t="str">
        <f t="shared" si="1"/>
        <v>BC</v>
      </c>
      <c r="E36" t="str">
        <f t="shared" si="2"/>
        <v>1995</v>
      </c>
      <c r="F36" t="s">
        <v>14</v>
      </c>
      <c r="G36">
        <v>375.55</v>
      </c>
      <c r="H36">
        <v>133497</v>
      </c>
      <c r="I36">
        <v>105403</v>
      </c>
      <c r="J36">
        <f t="shared" si="3"/>
        <v>66748.5</v>
      </c>
      <c r="K36" s="26">
        <f>IF(F36=Controls!$A$2,Controls!$B$2*Controls!$C$2,IF(F36=Controls!$A$3,Controls!$B$3*Controls!$C$3,IF(F36=Controls!$A$4,Controls!$B$4*Controls!$C$4,"")))*J36</f>
        <v>93447900</v>
      </c>
      <c r="L36" s="27">
        <f t="shared" si="4"/>
        <v>0.26653890306727512</v>
      </c>
      <c r="M36" s="28">
        <f t="shared" si="5"/>
        <v>355.47064305684995</v>
      </c>
      <c r="N36" t="str">
        <f t="shared" si="0"/>
        <v>Very Small</v>
      </c>
    </row>
    <row r="37" spans="1:14" x14ac:dyDescent="0.25">
      <c r="A37" t="s">
        <v>134</v>
      </c>
      <c r="B37" t="s">
        <v>46</v>
      </c>
      <c r="C37" t="str">
        <f>IF(LEFT(A37,4)=Controls!$F$2,Controls!$G$2, IF(LEFT(A37,4)=Controls!$F$3,Controls!$G$3,IF(LEFT(A37,4)=Controls!$F$4,Controls!$G$4,IF(LEFT(A37,4)=Controls!$F$5,Controls!$G$5,IF(LEFT(A37,4)=Controls!$F$6,Controls!$G$6)))))</f>
        <v>Central</v>
      </c>
      <c r="D37" t="str">
        <f t="shared" si="1"/>
        <v>ON</v>
      </c>
      <c r="E37" t="str">
        <f t="shared" si="2"/>
        <v>1876</v>
      </c>
      <c r="F37" t="s">
        <v>14</v>
      </c>
      <c r="G37">
        <v>96.11</v>
      </c>
      <c r="H37">
        <v>131400</v>
      </c>
      <c r="I37">
        <v>130926</v>
      </c>
      <c r="J37">
        <f t="shared" si="3"/>
        <v>65700</v>
      </c>
      <c r="K37" s="26">
        <f>IF(F37=Controls!$A$2,Controls!$B$2*Controls!$C$2,IF(F37=Controls!$A$3,Controls!$B$3*Controls!$C$3,IF(F37=Controls!$A$4,Controls!$B$4*Controls!$C$4,"")))*J37</f>
        <v>91980000</v>
      </c>
      <c r="L37" s="27">
        <f t="shared" si="4"/>
        <v>3.620365702763393E-3</v>
      </c>
      <c r="M37" s="28">
        <f t="shared" si="5"/>
        <v>1367.183435646655</v>
      </c>
      <c r="N37" t="str">
        <f t="shared" si="0"/>
        <v>Small</v>
      </c>
    </row>
    <row r="38" spans="1:14" x14ac:dyDescent="0.25">
      <c r="A38" t="s">
        <v>114</v>
      </c>
      <c r="B38" t="s">
        <v>47</v>
      </c>
      <c r="C38" t="str">
        <f>IF(LEFT(A38,4)=Controls!$F$2,Controls!$G$2, IF(LEFT(A38,4)=Controls!$F$3,Controls!$G$3,IF(LEFT(A38,4)=Controls!$F$4,Controls!$G$4,IF(LEFT(A38,4)=Controls!$F$5,Controls!$G$5,IF(LEFT(A38,4)=Controls!$F$6,Controls!$G$6)))))</f>
        <v>Central</v>
      </c>
      <c r="D38" t="str">
        <f t="shared" si="1"/>
        <v>QC</v>
      </c>
      <c r="E38" t="str">
        <f t="shared" si="2"/>
        <v>2002</v>
      </c>
      <c r="F38" t="s">
        <v>14</v>
      </c>
      <c r="G38">
        <v>288.89999999999998</v>
      </c>
      <c r="H38">
        <v>131338</v>
      </c>
      <c r="I38">
        <v>124417</v>
      </c>
      <c r="J38">
        <f t="shared" si="3"/>
        <v>65669</v>
      </c>
      <c r="K38" s="26">
        <f>IF(F38=Controls!$A$2,Controls!$B$2*Controls!$C$2,IF(F38=Controls!$A$3,Controls!$B$3*Controls!$C$3,IF(F38=Controls!$A$4,Controls!$B$4*Controls!$C$4,"")))*J38</f>
        <v>91936600</v>
      </c>
      <c r="L38" s="27">
        <f t="shared" si="4"/>
        <v>5.5627446410056507E-2</v>
      </c>
      <c r="M38" s="28">
        <f t="shared" si="5"/>
        <v>454.61405330564213</v>
      </c>
      <c r="N38" t="str">
        <f t="shared" si="0"/>
        <v>Very Small</v>
      </c>
    </row>
    <row r="39" spans="1:14" x14ac:dyDescent="0.25">
      <c r="A39" t="s">
        <v>135</v>
      </c>
      <c r="B39" t="s">
        <v>48</v>
      </c>
      <c r="C39" t="str">
        <f>IF(LEFT(A39,4)=Controls!$F$2,Controls!$G$2, IF(LEFT(A39,4)=Controls!$F$3,Controls!$G$3,IF(LEFT(A39,4)=Controls!$F$4,Controls!$G$4,IF(LEFT(A39,4)=Controls!$F$5,Controls!$G$5,IF(LEFT(A39,4)=Controls!$F$6,Controls!$G$6)))))</f>
        <v>Central</v>
      </c>
      <c r="D39" t="str">
        <f t="shared" si="1"/>
        <v>ON</v>
      </c>
      <c r="E39" t="str">
        <f t="shared" si="2"/>
        <v>1973</v>
      </c>
      <c r="F39" t="s">
        <v>14</v>
      </c>
      <c r="G39">
        <v>113</v>
      </c>
      <c r="H39">
        <v>126748</v>
      </c>
      <c r="I39">
        <v>101429</v>
      </c>
      <c r="J39">
        <f t="shared" si="3"/>
        <v>63374</v>
      </c>
      <c r="K39" s="26">
        <f>IF(F39=Controls!$A$2,Controls!$B$2*Controls!$C$2,IF(F39=Controls!$A$3,Controls!$B$3*Controls!$C$3,IF(F39=Controls!$A$4,Controls!$B$4*Controls!$C$4,"")))*J39</f>
        <v>88723600</v>
      </c>
      <c r="L39" s="27">
        <f t="shared" si="4"/>
        <v>0.24962288891737078</v>
      </c>
      <c r="M39" s="28">
        <f t="shared" si="5"/>
        <v>1121.6637168141592</v>
      </c>
      <c r="N39" t="str">
        <f t="shared" si="0"/>
        <v>Small</v>
      </c>
    </row>
    <row r="40" spans="1:14" x14ac:dyDescent="0.25">
      <c r="A40" t="s">
        <v>136</v>
      </c>
      <c r="B40" t="s">
        <v>49</v>
      </c>
      <c r="C40" t="str">
        <f>IF(LEFT(A40,4)=Controls!$F$2,Controls!$G$2, IF(LEFT(A40,4)=Controls!$F$3,Controls!$G$3,IF(LEFT(A40,4)=Controls!$F$4,Controls!$G$4,IF(LEFT(A40,4)=Controls!$F$5,Controls!$G$5,IF(LEFT(A40,4)=Controls!$F$6,Controls!$G$6)))))</f>
        <v>West Coast</v>
      </c>
      <c r="D40" t="str">
        <f t="shared" si="1"/>
        <v>BC</v>
      </c>
      <c r="E40" t="str">
        <f t="shared" si="2"/>
        <v>1908</v>
      </c>
      <c r="F40" t="s">
        <v>14</v>
      </c>
      <c r="G40">
        <v>122.3</v>
      </c>
      <c r="H40">
        <v>126456</v>
      </c>
      <c r="I40">
        <v>101820</v>
      </c>
      <c r="J40">
        <f t="shared" si="3"/>
        <v>63228</v>
      </c>
      <c r="K40" s="26">
        <f>IF(F40=Controls!$A$2,Controls!$B$2*Controls!$C$2,IF(F40=Controls!$A$3,Controls!$B$3*Controls!$C$3,IF(F40=Controls!$A$4,Controls!$B$4*Controls!$C$4,"")))*J40</f>
        <v>88519200</v>
      </c>
      <c r="L40" s="27">
        <f t="shared" si="4"/>
        <v>0.24195639363582794</v>
      </c>
      <c r="M40" s="28">
        <f t="shared" si="5"/>
        <v>1033.9820114472609</v>
      </c>
      <c r="N40" t="str">
        <f t="shared" si="0"/>
        <v>Small</v>
      </c>
    </row>
    <row r="41" spans="1:14" x14ac:dyDescent="0.25">
      <c r="A41" t="s">
        <v>137</v>
      </c>
      <c r="B41" t="s">
        <v>50</v>
      </c>
      <c r="C41" t="str">
        <f>IF(LEFT(A41,4)=Controls!$F$2,Controls!$G$2, IF(LEFT(A41,4)=Controls!$F$3,Controls!$G$3,IF(LEFT(A41,4)=Controls!$F$4,Controls!$G$4,IF(LEFT(A41,4)=Controls!$F$5,Controls!$G$5,IF(LEFT(A41,4)=Controls!$F$6,Controls!$G$6)))))</f>
        <v>Central</v>
      </c>
      <c r="D41" t="str">
        <f t="shared" si="1"/>
        <v>ON</v>
      </c>
      <c r="E41" t="str">
        <f t="shared" si="2"/>
        <v>1998</v>
      </c>
      <c r="F41" t="s">
        <v>14</v>
      </c>
      <c r="G41">
        <v>451.17</v>
      </c>
      <c r="H41">
        <v>123363</v>
      </c>
      <c r="I41">
        <v>112605</v>
      </c>
      <c r="J41">
        <f t="shared" si="3"/>
        <v>61681.5</v>
      </c>
      <c r="K41" s="26">
        <f>IF(F41=Controls!$A$2,Controls!$B$2*Controls!$C$2,IF(F41=Controls!$A$3,Controls!$B$3*Controls!$C$3,IF(F41=Controls!$A$4,Controls!$B$4*Controls!$C$4,"")))*J41</f>
        <v>86354100</v>
      </c>
      <c r="L41" s="27">
        <f t="shared" si="4"/>
        <v>9.5537498334887436E-2</v>
      </c>
      <c r="M41" s="28">
        <f t="shared" si="5"/>
        <v>273.42908438061039</v>
      </c>
      <c r="N41" t="str">
        <f t="shared" si="0"/>
        <v>Very Small</v>
      </c>
    </row>
    <row r="42" spans="1:14" x14ac:dyDescent="0.25">
      <c r="A42" t="s">
        <v>117</v>
      </c>
      <c r="B42" t="s">
        <v>51</v>
      </c>
      <c r="C42" t="str">
        <f>IF(LEFT(A42,4)=Controls!$F$2,Controls!$G$2, IF(LEFT(A42,4)=Controls!$F$3,Controls!$G$3,IF(LEFT(A42,4)=Controls!$F$4,Controls!$G$4,IF(LEFT(A42,4)=Controls!$F$5,Controls!$G$5,IF(LEFT(A42,4)=Controls!$F$6,Controls!$G$6)))))</f>
        <v>Central</v>
      </c>
      <c r="D42" t="str">
        <f t="shared" si="1"/>
        <v>ON</v>
      </c>
      <c r="E42" t="str">
        <f t="shared" si="2"/>
        <v>1855</v>
      </c>
      <c r="F42" t="s">
        <v>36</v>
      </c>
      <c r="G42">
        <v>146.53</v>
      </c>
      <c r="H42">
        <v>122022</v>
      </c>
      <c r="I42">
        <v>73794</v>
      </c>
      <c r="J42">
        <f t="shared" si="3"/>
        <v>61011</v>
      </c>
      <c r="K42" s="26">
        <f>IF(F42=Controls!$A$2,Controls!$B$2*Controls!$C$2,IF(F42=Controls!$A$3,Controls!$B$3*Controls!$C$3,IF(F42=Controls!$A$4,Controls!$B$4*Controls!$C$4,"")))*J42</f>
        <v>61011000</v>
      </c>
      <c r="L42" s="27">
        <f t="shared" si="4"/>
        <v>0.65354906903000243</v>
      </c>
      <c r="M42" s="28">
        <f t="shared" si="5"/>
        <v>832.74414795604991</v>
      </c>
      <c r="N42" t="str">
        <f t="shared" si="0"/>
        <v>Very Small</v>
      </c>
    </row>
    <row r="43" spans="1:14" x14ac:dyDescent="0.25">
      <c r="A43" t="s">
        <v>138</v>
      </c>
      <c r="B43" t="s">
        <v>52</v>
      </c>
      <c r="C43" t="str">
        <f>IF(LEFT(A43,4)=Controls!$F$2,Controls!$G$2, IF(LEFT(A43,4)=Controls!$F$3,Controls!$G$3,IF(LEFT(A43,4)=Controls!$F$4,Controls!$G$4,IF(LEFT(A43,4)=Controls!$F$5,Controls!$G$5,IF(LEFT(A43,4)=Controls!$F$6,Controls!$G$6)))))</f>
        <v>Central</v>
      </c>
      <c r="D43" t="str">
        <f t="shared" si="1"/>
        <v>ON</v>
      </c>
      <c r="E43" t="str">
        <f t="shared" si="2"/>
        <v>1879</v>
      </c>
      <c r="F43" t="s">
        <v>14</v>
      </c>
      <c r="G43">
        <v>87.2</v>
      </c>
      <c r="H43">
        <v>121688</v>
      </c>
      <c r="I43">
        <v>95821</v>
      </c>
      <c r="J43">
        <f t="shared" si="3"/>
        <v>60844</v>
      </c>
      <c r="K43" s="26">
        <f>IF(F43=Controls!$A$2,Controls!$B$2*Controls!$C$2,IF(F43=Controls!$A$3,Controls!$B$3*Controls!$C$3,IF(F43=Controls!$A$4,Controls!$B$4*Controls!$C$4,"")))*J43</f>
        <v>85181600</v>
      </c>
      <c r="L43" s="27">
        <f t="shared" si="4"/>
        <v>0.26995126329301511</v>
      </c>
      <c r="M43" s="28">
        <f t="shared" si="5"/>
        <v>1395.5045871559632</v>
      </c>
      <c r="N43" t="str">
        <f t="shared" si="0"/>
        <v>Small</v>
      </c>
    </row>
    <row r="44" spans="1:14" x14ac:dyDescent="0.25">
      <c r="A44" t="s">
        <v>112</v>
      </c>
      <c r="B44" t="s">
        <v>53</v>
      </c>
      <c r="C44" t="str">
        <f>IF(LEFT(A44,4)=Controls!$F$2,Controls!$G$2, IF(LEFT(A44,4)=Controls!$F$3,Controls!$G$3,IF(LEFT(A44,4)=Controls!$F$4,Controls!$G$4,IF(LEFT(A44,4)=Controls!$F$5,Controls!$G$5,IF(LEFT(A44,4)=Controls!$F$6,Controls!$G$6)))))</f>
        <v>West Coast</v>
      </c>
      <c r="D44" t="str">
        <f t="shared" si="1"/>
        <v>BC</v>
      </c>
      <c r="E44" t="str">
        <f t="shared" si="2"/>
        <v>1905</v>
      </c>
      <c r="F44" t="s">
        <v>14</v>
      </c>
      <c r="G44">
        <v>211.62</v>
      </c>
      <c r="H44">
        <v>117312</v>
      </c>
      <c r="I44">
        <v>89442</v>
      </c>
      <c r="J44">
        <f t="shared" si="3"/>
        <v>58656</v>
      </c>
      <c r="K44" s="26">
        <f>IF(F44=Controls!$A$2,Controls!$B$2*Controls!$C$2,IF(F44=Controls!$A$3,Controls!$B$3*Controls!$C$3,IF(F44=Controls!$A$4,Controls!$B$4*Controls!$C$4,"")))*J44</f>
        <v>82118400</v>
      </c>
      <c r="L44" s="27">
        <f t="shared" si="4"/>
        <v>0.31159857784933254</v>
      </c>
      <c r="M44" s="28">
        <f t="shared" si="5"/>
        <v>554.3521406294301</v>
      </c>
      <c r="N44" t="str">
        <f t="shared" si="0"/>
        <v>Very Small</v>
      </c>
    </row>
    <row r="45" spans="1:14" x14ac:dyDescent="0.25">
      <c r="A45" t="s">
        <v>139</v>
      </c>
      <c r="B45" t="s">
        <v>54</v>
      </c>
      <c r="C45" t="str">
        <f>IF(LEFT(A45,4)=Controls!$F$2,Controls!$G$2, IF(LEFT(A45,4)=Controls!$F$3,Controls!$G$3,IF(LEFT(A45,4)=Controls!$F$4,Controls!$G$4,IF(LEFT(A45,4)=Controls!$F$5,Controls!$G$5,IF(LEFT(A45,4)=Controls!$F$6,Controls!$G$6)))))</f>
        <v>West Coast</v>
      </c>
      <c r="D45" t="str">
        <f t="shared" si="1"/>
        <v>BC</v>
      </c>
      <c r="E45" t="str">
        <f t="shared" si="2"/>
        <v>1906</v>
      </c>
      <c r="F45" t="s">
        <v>106</v>
      </c>
      <c r="G45">
        <v>103.78</v>
      </c>
      <c r="H45">
        <v>109752</v>
      </c>
      <c r="I45">
        <v>101388</v>
      </c>
      <c r="J45">
        <f t="shared" si="3"/>
        <v>54876</v>
      </c>
      <c r="K45" s="26">
        <f>IF(F45=Controls!$A$2,Controls!$B$2*Controls!$C$2,IF(F45=Controls!$A$3,Controls!$B$3*Controls!$C$3,IF(F45=Controls!$A$4,Controls!$B$4*Controls!$C$4,"")))*J45</f>
        <v>57619800</v>
      </c>
      <c r="L45" s="27">
        <f t="shared" si="4"/>
        <v>8.249496981891348E-2</v>
      </c>
      <c r="M45" s="28">
        <f t="shared" si="5"/>
        <v>1057.5448063210638</v>
      </c>
      <c r="N45" t="str">
        <f t="shared" si="0"/>
        <v>Small</v>
      </c>
    </row>
    <row r="46" spans="1:14" x14ac:dyDescent="0.25">
      <c r="A46" t="s">
        <v>140</v>
      </c>
      <c r="B46" t="s">
        <v>55</v>
      </c>
      <c r="C46" t="str">
        <f>IF(LEFT(A46,4)=Controls!$F$2,Controls!$G$2, IF(LEFT(A46,4)=Controls!$F$3,Controls!$G$3,IF(LEFT(A46,4)=Controls!$F$4,Controls!$G$4,IF(LEFT(A46,4)=Controls!$F$5,Controls!$G$5,IF(LEFT(A46,4)=Controls!$F$6,Controls!$G$6)))))</f>
        <v>Central</v>
      </c>
      <c r="D46" t="str">
        <f t="shared" si="1"/>
        <v>ON</v>
      </c>
      <c r="E46" t="str">
        <f t="shared" si="2"/>
        <v>1955</v>
      </c>
      <c r="F46" t="s">
        <v>36</v>
      </c>
      <c r="G46">
        <v>67.069999999999993</v>
      </c>
      <c r="H46">
        <v>109600</v>
      </c>
      <c r="I46">
        <v>64430</v>
      </c>
      <c r="J46">
        <f t="shared" si="3"/>
        <v>54800</v>
      </c>
      <c r="K46" s="26">
        <f>IF(F46=Controls!$A$2,Controls!$B$2*Controls!$C$2,IF(F46=Controls!$A$3,Controls!$B$3*Controls!$C$3,IF(F46=Controls!$A$4,Controls!$B$4*Controls!$C$4,"")))*J46</f>
        <v>54800000</v>
      </c>
      <c r="L46" s="27">
        <f t="shared" si="4"/>
        <v>0.70107092969113771</v>
      </c>
      <c r="M46" s="28">
        <f t="shared" si="5"/>
        <v>1634.1136126435069</v>
      </c>
      <c r="N46" t="str">
        <f t="shared" si="0"/>
        <v>Small</v>
      </c>
    </row>
    <row r="47" spans="1:14" x14ac:dyDescent="0.25">
      <c r="A47" t="s">
        <v>141</v>
      </c>
      <c r="B47" t="s">
        <v>56</v>
      </c>
      <c r="C47" t="str">
        <f>IF(LEFT(A47,4)=Controls!$F$2,Controls!$G$2, IF(LEFT(A47,4)=Controls!$F$3,Controls!$G$3,IF(LEFT(A47,4)=Controls!$F$4,Controls!$G$4,IF(LEFT(A47,4)=Controls!$F$5,Controls!$G$5,IF(LEFT(A47,4)=Controls!$F$6,Controls!$G$6)))))</f>
        <v>Central</v>
      </c>
      <c r="D47" t="str">
        <f t="shared" si="1"/>
        <v>ON</v>
      </c>
      <c r="E47" t="str">
        <f t="shared" si="2"/>
        <v>1970</v>
      </c>
      <c r="F47" t="s">
        <v>14</v>
      </c>
      <c r="G47">
        <v>328.24</v>
      </c>
      <c r="H47">
        <v>108359</v>
      </c>
      <c r="I47">
        <v>113662</v>
      </c>
      <c r="J47">
        <f t="shared" si="3"/>
        <v>54179.5</v>
      </c>
      <c r="K47" s="26">
        <f>IF(F47=Controls!$A$2,Controls!$B$2*Controls!$C$2,IF(F47=Controls!$A$3,Controls!$B$3*Controls!$C$3,IF(F47=Controls!$A$4,Controls!$B$4*Controls!$C$4,"")))*J47</f>
        <v>75851300</v>
      </c>
      <c r="L47" s="27">
        <f t="shared" si="4"/>
        <v>-4.6655874434727525E-2</v>
      </c>
      <c r="M47" s="28">
        <f t="shared" si="5"/>
        <v>330.12125274189617</v>
      </c>
      <c r="N47" t="str">
        <f t="shared" si="0"/>
        <v>Very Small</v>
      </c>
    </row>
    <row r="48" spans="1:14" x14ac:dyDescent="0.25">
      <c r="A48" t="s">
        <v>142</v>
      </c>
      <c r="B48" t="s">
        <v>57</v>
      </c>
      <c r="C48" t="str">
        <f>IF(LEFT(A48,4)=Controls!$F$2,Controls!$G$2, IF(LEFT(A48,4)=Controls!$F$3,Controls!$G$3,IF(LEFT(A48,4)=Controls!$F$4,Controls!$G$4,IF(LEFT(A48,4)=Controls!$F$5,Controls!$G$5,IF(LEFT(A48,4)=Controls!$F$6,Controls!$G$6)))))</f>
        <v>Central</v>
      </c>
      <c r="D48" t="str">
        <f t="shared" si="1"/>
        <v>QC</v>
      </c>
      <c r="E48" t="str">
        <f t="shared" si="2"/>
        <v>2001</v>
      </c>
      <c r="F48" t="s">
        <v>14</v>
      </c>
      <c r="G48">
        <v>154.74</v>
      </c>
      <c r="H48">
        <v>106322</v>
      </c>
      <c r="I48">
        <v>75116</v>
      </c>
      <c r="J48">
        <f t="shared" si="3"/>
        <v>53161</v>
      </c>
      <c r="K48" s="26">
        <f>IF(F48=Controls!$A$2,Controls!$B$2*Controls!$C$2,IF(F48=Controls!$A$3,Controls!$B$3*Controls!$C$3,IF(F48=Controls!$A$4,Controls!$B$4*Controls!$C$4,"")))*J48</f>
        <v>74425400</v>
      </c>
      <c r="L48" s="27">
        <f t="shared" si="4"/>
        <v>0.4154374567335854</v>
      </c>
      <c r="M48" s="28">
        <f t="shared" si="5"/>
        <v>687.1009435181594</v>
      </c>
      <c r="N48" t="str">
        <f t="shared" si="0"/>
        <v>Very Small</v>
      </c>
    </row>
    <row r="49" spans="1:14" x14ac:dyDescent="0.25">
      <c r="A49" t="s">
        <v>187</v>
      </c>
      <c r="B49" t="s">
        <v>58</v>
      </c>
      <c r="C49" t="str">
        <f>IF(LEFT(A49,4)=Controls!$F$2,Controls!$G$2, IF(LEFT(A49,4)=Controls!$F$3,Controls!$G$3,IF(LEFT(A49,4)=Controls!$F$4,Controls!$G$4,IF(LEFT(A49,4)=Controls!$F$5,Controls!$G$5,IF(LEFT(A49,4)=Controls!$F$6,Controls!$G$6)))))</f>
        <v>Atlantic</v>
      </c>
      <c r="D49" t="str">
        <f t="shared" si="1"/>
        <v>NL</v>
      </c>
      <c r="E49" t="str">
        <f t="shared" si="2"/>
        <v>1888</v>
      </c>
      <c r="F49" t="s">
        <v>14</v>
      </c>
      <c r="G49">
        <v>446.04</v>
      </c>
      <c r="H49">
        <v>106172</v>
      </c>
      <c r="I49">
        <v>101936</v>
      </c>
      <c r="J49">
        <f t="shared" si="3"/>
        <v>53086</v>
      </c>
      <c r="K49" s="26">
        <f>IF(F49=Controls!$A$2,Controls!$B$2*Controls!$C$2,IF(F49=Controls!$A$3,Controls!$B$3*Controls!$C$3,IF(F49=Controls!$A$4,Controls!$B$4*Controls!$C$4,"")))*J49</f>
        <v>74320400</v>
      </c>
      <c r="L49" s="27">
        <f t="shared" si="4"/>
        <v>4.1555485795008631E-2</v>
      </c>
      <c r="M49" s="28">
        <f t="shared" si="5"/>
        <v>238.03246345619226</v>
      </c>
      <c r="N49" t="str">
        <f t="shared" si="0"/>
        <v>Very Small</v>
      </c>
    </row>
    <row r="50" spans="1:14" x14ac:dyDescent="0.25">
      <c r="A50" t="s">
        <v>191</v>
      </c>
      <c r="B50" t="s">
        <v>59</v>
      </c>
      <c r="C50" t="str">
        <f>IF(LEFT(A50,4)=Controls!$F$2,Controls!$G$2, IF(LEFT(A50,4)=Controls!$F$3,Controls!$G$3,IF(LEFT(A50,4)=Controls!$F$4,Controls!$G$4,IF(LEFT(A50,4)=Controls!$F$5,Controls!$G$5,IF(LEFT(A50,4)=Controls!$F$6,Controls!$G$6)))))</f>
        <v>West Coast</v>
      </c>
      <c r="D50" t="str">
        <f t="shared" si="1"/>
        <v>BC</v>
      </c>
      <c r="E50" t="str">
        <f t="shared" si="2"/>
        <v>1955</v>
      </c>
      <c r="F50" t="s">
        <v>106</v>
      </c>
      <c r="G50">
        <v>308.02999999999997</v>
      </c>
      <c r="H50">
        <v>104177</v>
      </c>
      <c r="I50">
        <v>80179</v>
      </c>
      <c r="J50">
        <f t="shared" si="3"/>
        <v>52088.5</v>
      </c>
      <c r="K50" s="26">
        <f>IF(F50=Controls!$A$2,Controls!$B$2*Controls!$C$2,IF(F50=Controls!$A$3,Controls!$B$3*Controls!$C$3,IF(F50=Controls!$A$4,Controls!$B$4*Controls!$C$4,"")))*J50</f>
        <v>54692925</v>
      </c>
      <c r="L50" s="27">
        <f t="shared" si="4"/>
        <v>0.29930530438144654</v>
      </c>
      <c r="M50" s="28">
        <f t="shared" si="5"/>
        <v>338.20407103204235</v>
      </c>
      <c r="N50" t="str">
        <f t="shared" si="0"/>
        <v>Very Small</v>
      </c>
    </row>
    <row r="51" spans="1:14" x14ac:dyDescent="0.25">
      <c r="A51" t="s">
        <v>137</v>
      </c>
      <c r="B51" t="s">
        <v>60</v>
      </c>
      <c r="C51" t="str">
        <f>IF(LEFT(A51,4)=Controls!$F$2,Controls!$G$2, IF(LEFT(A51,4)=Controls!$F$3,Controls!$G$3,IF(LEFT(A51,4)=Controls!$F$4,Controls!$G$4,IF(LEFT(A51,4)=Controls!$F$5,Controls!$G$5,IF(LEFT(A51,4)=Controls!$F$6,Controls!$G$6)))))</f>
        <v>Central</v>
      </c>
      <c r="D51" t="str">
        <f t="shared" si="1"/>
        <v>ON</v>
      </c>
      <c r="E51" t="str">
        <f t="shared" si="2"/>
        <v>1998</v>
      </c>
      <c r="F51" t="s">
        <v>106</v>
      </c>
      <c r="G51">
        <v>2458.09</v>
      </c>
      <c r="H51">
        <v>103671</v>
      </c>
      <c r="I51">
        <v>109950</v>
      </c>
      <c r="J51">
        <f t="shared" si="3"/>
        <v>51835.5</v>
      </c>
      <c r="K51" s="26">
        <f>IF(F51=Controls!$A$2,Controls!$B$2*Controls!$C$2,IF(F51=Controls!$A$3,Controls!$B$3*Controls!$C$3,IF(F51=Controls!$A$4,Controls!$B$4*Controls!$C$4,"")))*J51</f>
        <v>54427275</v>
      </c>
      <c r="L51" s="27">
        <f t="shared" si="4"/>
        <v>-5.7107776261937242E-2</v>
      </c>
      <c r="M51" s="28">
        <f t="shared" si="5"/>
        <v>42.175428889910457</v>
      </c>
      <c r="N51" t="str">
        <f t="shared" si="0"/>
        <v>Very Small</v>
      </c>
    </row>
    <row r="52" spans="1:14" x14ac:dyDescent="0.25">
      <c r="A52" t="s">
        <v>115</v>
      </c>
      <c r="B52" t="s">
        <v>61</v>
      </c>
      <c r="C52" t="str">
        <f>IF(LEFT(A52,4)=Controls!$F$2,Controls!$G$2, IF(LEFT(A52,4)=Controls!$F$3,Controls!$G$3,IF(LEFT(A52,4)=Controls!$F$4,Controls!$G$4,IF(LEFT(A52,4)=Controls!$F$5,Controls!$G$5,IF(LEFT(A52,4)=Controls!$F$6,Controls!$G$6)))))</f>
        <v>West Coast</v>
      </c>
      <c r="D52" t="str">
        <f t="shared" si="1"/>
        <v>BC</v>
      </c>
      <c r="E52" t="str">
        <f t="shared" si="2"/>
        <v>1879</v>
      </c>
      <c r="F52" t="s">
        <v>106</v>
      </c>
      <c r="G52">
        <v>180.11</v>
      </c>
      <c r="H52">
        <v>99863</v>
      </c>
      <c r="I52">
        <v>95411</v>
      </c>
      <c r="J52">
        <f t="shared" si="3"/>
        <v>49931.5</v>
      </c>
      <c r="K52" s="26">
        <f>IF(F52=Controls!$A$2,Controls!$B$2*Controls!$C$2,IF(F52=Controls!$A$3,Controls!$B$3*Controls!$C$3,IF(F52=Controls!$A$4,Controls!$B$4*Controls!$C$4,"")))*J52</f>
        <v>52428075</v>
      </c>
      <c r="L52" s="27">
        <f t="shared" si="4"/>
        <v>4.6661286434478207E-2</v>
      </c>
      <c r="M52" s="28">
        <f t="shared" si="5"/>
        <v>554.45561046027422</v>
      </c>
      <c r="N52" t="str">
        <f t="shared" si="0"/>
        <v>Very Small</v>
      </c>
    </row>
    <row r="53" spans="1:14" x14ac:dyDescent="0.25">
      <c r="A53" t="s">
        <v>126</v>
      </c>
      <c r="B53" t="s">
        <v>62</v>
      </c>
      <c r="C53" t="str">
        <f>IF(LEFT(A53,4)=Controls!$F$2,Controls!$G$2, IF(LEFT(A53,4)=Controls!$F$3,Controls!$G$3,IF(LEFT(A53,4)=Controls!$F$4,Controls!$G$4,IF(LEFT(A53,4)=Controls!$F$5,Controls!$G$5,IF(LEFT(A53,4)=Controls!$F$6,Controls!$G$6)))))</f>
        <v>Central</v>
      </c>
      <c r="D53" t="str">
        <f t="shared" si="1"/>
        <v>ON</v>
      </c>
      <c r="E53" t="str">
        <f t="shared" si="2"/>
        <v>1857</v>
      </c>
      <c r="F53" t="s">
        <v>14</v>
      </c>
      <c r="G53">
        <v>64.02</v>
      </c>
      <c r="H53">
        <v>98780</v>
      </c>
      <c r="I53">
        <v>77949</v>
      </c>
      <c r="J53">
        <f t="shared" si="3"/>
        <v>49390</v>
      </c>
      <c r="K53" s="26">
        <f>IF(F53=Controls!$A$2,Controls!$B$2*Controls!$C$2,IF(F53=Controls!$A$3,Controls!$B$3*Controls!$C$3,IF(F53=Controls!$A$4,Controls!$B$4*Controls!$C$4,"")))*J53</f>
        <v>69146000</v>
      </c>
      <c r="L53" s="27">
        <f t="shared" si="4"/>
        <v>0.26723883564894996</v>
      </c>
      <c r="M53" s="28">
        <f t="shared" si="5"/>
        <v>1542.9553264604813</v>
      </c>
      <c r="N53" t="str">
        <f t="shared" si="0"/>
        <v>Small</v>
      </c>
    </row>
    <row r="54" spans="1:14" x14ac:dyDescent="0.25">
      <c r="A54" t="s">
        <v>188</v>
      </c>
      <c r="B54" t="s">
        <v>8</v>
      </c>
      <c r="C54" t="str">
        <f>IF(LEFT(A54,4)=Controls!$F$2,Controls!$G$2, IF(LEFT(A54,4)=Controls!$F$3,Controls!$G$3,IF(LEFT(A54,4)=Controls!$F$4,Controls!$G$4,IF(LEFT(A54,4)=Controls!$F$5,Controls!$G$5,IF(LEFT(A54,4)=Controls!$F$6,Controls!$G$6)))))</f>
        <v>Atlantic</v>
      </c>
      <c r="D54" t="str">
        <f t="shared" si="1"/>
        <v>NS</v>
      </c>
      <c r="E54" t="str">
        <f t="shared" si="2"/>
        <v>1995</v>
      </c>
      <c r="F54" t="s">
        <v>106</v>
      </c>
      <c r="G54">
        <v>2433.35</v>
      </c>
      <c r="H54">
        <v>97398</v>
      </c>
      <c r="I54">
        <v>114733</v>
      </c>
      <c r="J54">
        <f t="shared" si="3"/>
        <v>48699</v>
      </c>
      <c r="K54" s="26">
        <f>IF(F54=Controls!$A$2,Controls!$B$2*Controls!$C$2,IF(F54=Controls!$A$3,Controls!$B$3*Controls!$C$3,IF(F54=Controls!$A$4,Controls!$B$4*Controls!$C$4,"")))*J54</f>
        <v>51133950</v>
      </c>
      <c r="L54" s="27">
        <f t="shared" si="4"/>
        <v>-0.15108992181848291</v>
      </c>
      <c r="M54" s="28">
        <f t="shared" si="5"/>
        <v>40.026301189717877</v>
      </c>
      <c r="N54" t="str">
        <f t="shared" si="0"/>
        <v>Very Small</v>
      </c>
    </row>
    <row r="55" spans="1:14" x14ac:dyDescent="0.25">
      <c r="A55" t="s">
        <v>143</v>
      </c>
      <c r="B55" t="s">
        <v>63</v>
      </c>
      <c r="C55" t="str">
        <f>IF(LEFT(A55,4)=Controls!$F$2,Controls!$G$2, IF(LEFT(A55,4)=Controls!$F$3,Controls!$G$3,IF(LEFT(A55,4)=Controls!$F$4,Controls!$G$4,IF(LEFT(A55,4)=Controls!$F$5,Controls!$G$5,IF(LEFT(A55,4)=Controls!$F$6,Controls!$G$6)))))</f>
        <v>Central</v>
      </c>
      <c r="D55" t="str">
        <f t="shared" si="1"/>
        <v>ON</v>
      </c>
      <c r="E55" t="str">
        <f t="shared" si="2"/>
        <v>1877</v>
      </c>
      <c r="F55" t="s">
        <v>14</v>
      </c>
      <c r="G55">
        <v>72.47</v>
      </c>
      <c r="H55">
        <v>93650</v>
      </c>
      <c r="I55">
        <v>86417</v>
      </c>
      <c r="J55">
        <f t="shared" si="3"/>
        <v>46825</v>
      </c>
      <c r="K55" s="26">
        <f>IF(F55=Controls!$A$2,Controls!$B$2*Controls!$C$2,IF(F55=Controls!$A$3,Controls!$B$3*Controls!$C$3,IF(F55=Controls!$A$4,Controls!$B$4*Controls!$C$4,"")))*J55</f>
        <v>65555000</v>
      </c>
      <c r="L55" s="27">
        <f t="shared" si="4"/>
        <v>8.3698809262066493E-2</v>
      </c>
      <c r="M55" s="28">
        <f t="shared" si="5"/>
        <v>1292.2588657375466</v>
      </c>
      <c r="N55" t="str">
        <f t="shared" si="0"/>
        <v>Small</v>
      </c>
    </row>
    <row r="56" spans="1:14" x14ac:dyDescent="0.25">
      <c r="A56" t="s">
        <v>203</v>
      </c>
      <c r="B56" t="s">
        <v>64</v>
      </c>
      <c r="C56" t="str">
        <f>IF(LEFT(A56,4)=Controls!$F$2,Controls!$G$2, IF(LEFT(A56,4)=Controls!$F$3,Controls!$G$3,IF(LEFT(A56,4)=Controls!$F$4,Controls!$G$4,IF(LEFT(A56,4)=Controls!$F$5,Controls!$G$5,IF(LEFT(A56,4)=Controls!$F$6,Controls!$G$6)))))</f>
        <v>Prairies</v>
      </c>
      <c r="D56" t="str">
        <f t="shared" si="1"/>
        <v>AB</v>
      </c>
      <c r="E56" t="str">
        <f t="shared" si="2"/>
        <v>1996</v>
      </c>
      <c r="F56" t="s">
        <v>106</v>
      </c>
      <c r="G56">
        <v>1180.56</v>
      </c>
      <c r="H56">
        <v>92490</v>
      </c>
      <c r="I56">
        <v>64176</v>
      </c>
      <c r="J56">
        <f t="shared" si="3"/>
        <v>46245</v>
      </c>
      <c r="K56" s="26">
        <f>IF(F56=Controls!$A$2,Controls!$B$2*Controls!$C$2,IF(F56=Controls!$A$3,Controls!$B$3*Controls!$C$3,IF(F56=Controls!$A$4,Controls!$B$4*Controls!$C$4,"")))*J56</f>
        <v>48557250</v>
      </c>
      <c r="L56" s="27">
        <f t="shared" si="4"/>
        <v>0.44119296933433061</v>
      </c>
      <c r="M56" s="28">
        <f t="shared" si="5"/>
        <v>78.344175645456403</v>
      </c>
      <c r="N56" t="str">
        <f t="shared" si="0"/>
        <v>Very Small</v>
      </c>
    </row>
    <row r="57" spans="1:14" x14ac:dyDescent="0.25">
      <c r="A57" t="s">
        <v>142</v>
      </c>
      <c r="B57" t="s">
        <v>65</v>
      </c>
      <c r="C57" t="str">
        <f>IF(LEFT(A57,4)=Controls!$F$2,Controls!$G$2, IF(LEFT(A57,4)=Controls!$F$3,Controls!$G$3,IF(LEFT(A57,4)=Controls!$F$4,Controls!$G$4,IF(LEFT(A57,4)=Controls!$F$5,Controls!$G$5,IF(LEFT(A57,4)=Controls!$F$6,Controls!$G$6)))))</f>
        <v>Central</v>
      </c>
      <c r="D57" t="str">
        <f t="shared" si="1"/>
        <v>QC</v>
      </c>
      <c r="E57" t="str">
        <f t="shared" si="2"/>
        <v>2001</v>
      </c>
      <c r="F57" t="s">
        <v>14</v>
      </c>
      <c r="G57">
        <v>225.78</v>
      </c>
      <c r="H57">
        <v>92394</v>
      </c>
      <c r="I57">
        <v>76461</v>
      </c>
      <c r="J57">
        <f t="shared" si="3"/>
        <v>46197</v>
      </c>
      <c r="K57" s="26">
        <f>IF(F57=Controls!$A$2,Controls!$B$2*Controls!$C$2,IF(F57=Controls!$A$3,Controls!$B$3*Controls!$C$3,IF(F57=Controls!$A$4,Controls!$B$4*Controls!$C$4,"")))*J57</f>
        <v>64675800</v>
      </c>
      <c r="L57" s="27">
        <f t="shared" si="4"/>
        <v>0.20838074312394553</v>
      </c>
      <c r="M57" s="28">
        <f t="shared" si="5"/>
        <v>409.22136593143767</v>
      </c>
      <c r="N57" t="str">
        <f t="shared" si="0"/>
        <v>Very Small</v>
      </c>
    </row>
    <row r="58" spans="1:14" x14ac:dyDescent="0.25">
      <c r="A58" t="s">
        <v>170</v>
      </c>
      <c r="B58" t="s">
        <v>4</v>
      </c>
      <c r="C58" t="str">
        <f>IF(LEFT(A58,4)=Controls!$F$2,Controls!$G$2, IF(LEFT(A58,4)=Controls!$F$3,Controls!$G$3,IF(LEFT(A58,4)=Controls!$F$4,Controls!$G$4,IF(LEFT(A58,4)=Controls!$F$5,Controls!$G$5,IF(LEFT(A58,4)=Controls!$F$6,Controls!$G$6)))))</f>
        <v>Prairies</v>
      </c>
      <c r="D58" t="str">
        <f t="shared" si="1"/>
        <v>AB</v>
      </c>
      <c r="E58" t="str">
        <f t="shared" si="2"/>
        <v>1913</v>
      </c>
      <c r="F58" t="s">
        <v>14</v>
      </c>
      <c r="G58">
        <v>104.29</v>
      </c>
      <c r="H58">
        <v>90564</v>
      </c>
      <c r="I58">
        <v>60080</v>
      </c>
      <c r="J58">
        <f t="shared" si="3"/>
        <v>45282</v>
      </c>
      <c r="K58" s="26">
        <f>IF(F58=Controls!$A$2,Controls!$B$2*Controls!$C$2,IF(F58=Controls!$A$3,Controls!$B$3*Controls!$C$3,IF(F58=Controls!$A$4,Controls!$B$4*Controls!$C$4,"")))*J58</f>
        <v>63394800</v>
      </c>
      <c r="L58" s="27">
        <f t="shared" si="4"/>
        <v>0.50739014647137148</v>
      </c>
      <c r="M58" s="28">
        <f t="shared" si="5"/>
        <v>868.3862307028478</v>
      </c>
      <c r="N58" t="str">
        <f t="shared" si="0"/>
        <v>Very Small</v>
      </c>
    </row>
    <row r="59" spans="1:14" x14ac:dyDescent="0.25">
      <c r="A59" t="s">
        <v>144</v>
      </c>
      <c r="B59" t="s">
        <v>66</v>
      </c>
      <c r="C59" t="str">
        <f>IF(LEFT(A59,4)=Controls!$F$2,Controls!$G$2, IF(LEFT(A59,4)=Controls!$F$3,Controls!$G$3,IF(LEFT(A59,4)=Controls!$F$4,Controls!$G$4,IF(LEFT(A59,4)=Controls!$F$5,Controls!$G$5,IF(LEFT(A59,4)=Controls!$F$6,Controls!$G$6)))))</f>
        <v>Central</v>
      </c>
      <c r="D59" t="str">
        <f t="shared" si="1"/>
        <v>ON</v>
      </c>
      <c r="E59" t="str">
        <f t="shared" si="2"/>
        <v>2000</v>
      </c>
      <c r="F59" t="s">
        <v>14</v>
      </c>
      <c r="G59">
        <v>231.59</v>
      </c>
      <c r="H59">
        <v>88721</v>
      </c>
      <c r="I59">
        <v>78989</v>
      </c>
      <c r="J59">
        <f t="shared" si="3"/>
        <v>44360.5</v>
      </c>
      <c r="K59" s="26">
        <f>IF(F59=Controls!$A$2,Controls!$B$2*Controls!$C$2,IF(F59=Controls!$A$3,Controls!$B$3*Controls!$C$3,IF(F59=Controls!$A$4,Controls!$B$4*Controls!$C$4,"")))*J59</f>
        <v>62104700</v>
      </c>
      <c r="L59" s="27">
        <f t="shared" si="4"/>
        <v>0.12320702882679867</v>
      </c>
      <c r="M59" s="28">
        <f t="shared" si="5"/>
        <v>383.09512500539745</v>
      </c>
      <c r="N59" t="str">
        <f t="shared" si="0"/>
        <v>Very Small</v>
      </c>
    </row>
    <row r="60" spans="1:14" x14ac:dyDescent="0.25">
      <c r="A60" t="s">
        <v>145</v>
      </c>
      <c r="B60" t="s">
        <v>67</v>
      </c>
      <c r="C60" t="str">
        <f>IF(LEFT(A60,4)=Controls!$F$2,Controls!$G$2, IF(LEFT(A60,4)=Controls!$F$3,Controls!$G$3,IF(LEFT(A60,4)=Controls!$F$4,Controls!$G$4,IF(LEFT(A60,4)=Controls!$F$5,Controls!$G$5,IF(LEFT(A60,4)=Controls!$F$6,Controls!$G$6)))))</f>
        <v>West Coast</v>
      </c>
      <c r="D60" t="str">
        <f t="shared" si="1"/>
        <v>BC</v>
      </c>
      <c r="E60" t="str">
        <f t="shared" si="2"/>
        <v>1893</v>
      </c>
      <c r="F60" t="s">
        <v>14</v>
      </c>
      <c r="G60">
        <v>299.23</v>
      </c>
      <c r="H60">
        <v>85678</v>
      </c>
      <c r="I60">
        <v>76394</v>
      </c>
      <c r="J60">
        <f t="shared" si="3"/>
        <v>42839</v>
      </c>
      <c r="K60" s="26">
        <f>IF(F60=Controls!$A$2,Controls!$B$2*Controls!$C$2,IF(F60=Controls!$A$3,Controls!$B$3*Controls!$C$3,IF(F60=Controls!$A$4,Controls!$B$4*Controls!$C$4,"")))*J60</f>
        <v>59974600</v>
      </c>
      <c r="L60" s="27">
        <f t="shared" si="4"/>
        <v>0.12152786868078645</v>
      </c>
      <c r="M60" s="28">
        <f t="shared" si="5"/>
        <v>286.32824248905524</v>
      </c>
      <c r="N60" t="str">
        <f t="shared" si="0"/>
        <v>Very Small</v>
      </c>
    </row>
    <row r="61" spans="1:14" x14ac:dyDescent="0.25">
      <c r="A61" t="s">
        <v>110</v>
      </c>
      <c r="B61" t="s">
        <v>68</v>
      </c>
      <c r="C61" t="str">
        <f>IF(LEFT(A61,4)=Controls!$F$2,Controls!$G$2, IF(LEFT(A61,4)=Controls!$F$3,Controls!$G$3,IF(LEFT(A61,4)=Controls!$F$4,Controls!$G$4,IF(LEFT(A61,4)=Controls!$F$5,Controls!$G$5,IF(LEFT(A61,4)=Controls!$F$6,Controls!$G$6)))))</f>
        <v>Central</v>
      </c>
      <c r="D61" t="str">
        <f t="shared" si="1"/>
        <v>ON</v>
      </c>
      <c r="E61" t="str">
        <f t="shared" si="2"/>
        <v>1974</v>
      </c>
      <c r="F61" t="s">
        <v>106</v>
      </c>
      <c r="G61">
        <v>611.29999999999995</v>
      </c>
      <c r="H61">
        <v>84548</v>
      </c>
      <c r="I61">
        <v>60615</v>
      </c>
      <c r="J61">
        <f t="shared" si="3"/>
        <v>42274</v>
      </c>
      <c r="K61" s="26">
        <f>IF(F61=Controls!$A$2,Controls!$B$2*Controls!$C$2,IF(F61=Controls!$A$3,Controls!$B$3*Controls!$C$3,IF(F61=Controls!$A$4,Controls!$B$4*Controls!$C$4,"")))*J61</f>
        <v>44387700</v>
      </c>
      <c r="L61" s="27">
        <f t="shared" si="4"/>
        <v>0.39483626165140639</v>
      </c>
      <c r="M61" s="28">
        <f t="shared" si="5"/>
        <v>138.30852282021922</v>
      </c>
      <c r="N61" t="str">
        <f t="shared" si="0"/>
        <v>Very Small</v>
      </c>
    </row>
    <row r="62" spans="1:14" x14ac:dyDescent="0.25">
      <c r="A62" t="s">
        <v>127</v>
      </c>
      <c r="B62" t="s">
        <v>69</v>
      </c>
      <c r="C62" t="str">
        <f>IF(LEFT(A62,4)=Controls!$F$2,Controls!$G$2, IF(LEFT(A62,4)=Controls!$F$3,Controls!$G$3,IF(LEFT(A62,4)=Controls!$F$4,Controls!$G$4,IF(LEFT(A62,4)=Controls!$F$5,Controls!$G$5,IF(LEFT(A62,4)=Controls!$F$6,Controls!$G$6)))))</f>
        <v>West Coast</v>
      </c>
      <c r="D62" t="str">
        <f t="shared" si="1"/>
        <v>BC</v>
      </c>
      <c r="E62" t="str">
        <f t="shared" si="2"/>
        <v>1891</v>
      </c>
      <c r="F62" t="s">
        <v>106</v>
      </c>
      <c r="G62">
        <v>160.76</v>
      </c>
      <c r="H62">
        <v>84412</v>
      </c>
      <c r="I62">
        <v>80418</v>
      </c>
      <c r="J62">
        <f t="shared" si="3"/>
        <v>42206</v>
      </c>
      <c r="K62" s="26">
        <f>IF(F62=Controls!$A$2,Controls!$B$2*Controls!$C$2,IF(F62=Controls!$A$3,Controls!$B$3*Controls!$C$3,IF(F62=Controls!$A$4,Controls!$B$4*Controls!$C$4,"")))*J62</f>
        <v>44316300</v>
      </c>
      <c r="L62" s="27">
        <f t="shared" si="4"/>
        <v>4.9665497774130173E-2</v>
      </c>
      <c r="M62" s="28">
        <f t="shared" si="5"/>
        <v>525.08086588703657</v>
      </c>
      <c r="N62" t="str">
        <f t="shared" si="0"/>
        <v>Very Small</v>
      </c>
    </row>
    <row r="63" spans="1:14" x14ac:dyDescent="0.25">
      <c r="A63" t="s">
        <v>126</v>
      </c>
      <c r="B63" t="s">
        <v>70</v>
      </c>
      <c r="C63" t="str">
        <f>IF(LEFT(A63,4)=Controls!$F$2,Controls!$G$2, IF(LEFT(A63,4)=Controls!$F$3,Controls!$G$3,IF(LEFT(A63,4)=Controls!$F$4,Controls!$G$4,IF(LEFT(A63,4)=Controls!$F$5,Controls!$G$5,IF(LEFT(A63,4)=Controls!$F$6,Controls!$G$6)))))</f>
        <v>Central</v>
      </c>
      <c r="D63" t="str">
        <f t="shared" si="1"/>
        <v>ON</v>
      </c>
      <c r="E63" t="str">
        <f t="shared" si="2"/>
        <v>1857</v>
      </c>
      <c r="F63" t="s">
        <v>36</v>
      </c>
      <c r="G63">
        <v>363.22</v>
      </c>
      <c r="H63">
        <v>84362</v>
      </c>
      <c r="I63">
        <v>32104</v>
      </c>
      <c r="J63">
        <f t="shared" si="3"/>
        <v>42181</v>
      </c>
      <c r="K63" s="26">
        <f>IF(F63=Controls!$A$2,Controls!$B$2*Controls!$C$2,IF(F63=Controls!$A$3,Controls!$B$3*Controls!$C$3,IF(F63=Controls!$A$4,Controls!$B$4*Controls!$C$4,"")))*J63</f>
        <v>42181000</v>
      </c>
      <c r="L63" s="27">
        <f t="shared" si="4"/>
        <v>1.6277722402192873</v>
      </c>
      <c r="M63" s="28">
        <f t="shared" si="5"/>
        <v>232.2614393480535</v>
      </c>
      <c r="N63" t="str">
        <f t="shared" si="0"/>
        <v>Very Small</v>
      </c>
    </row>
    <row r="64" spans="1:14" x14ac:dyDescent="0.25">
      <c r="A64" t="s">
        <v>147</v>
      </c>
      <c r="B64" t="s">
        <v>71</v>
      </c>
      <c r="C64" t="str">
        <f>IF(LEFT(A64,4)=Controls!$F$2,Controls!$G$2, IF(LEFT(A64,4)=Controls!$F$3,Controls!$G$3,IF(LEFT(A64,4)=Controls!$F$4,Controls!$G$4,IF(LEFT(A64,4)=Controls!$F$5,Controls!$G$5,IF(LEFT(A64,4)=Controls!$F$6,Controls!$G$6)))))</f>
        <v>West Coast</v>
      </c>
      <c r="D64" t="str">
        <f t="shared" si="1"/>
        <v>BC</v>
      </c>
      <c r="E64" t="str">
        <f t="shared" si="2"/>
        <v>1874</v>
      </c>
      <c r="F64" t="s">
        <v>14</v>
      </c>
      <c r="G64">
        <v>91.3</v>
      </c>
      <c r="H64">
        <v>83810</v>
      </c>
      <c r="I64">
        <v>70130</v>
      </c>
      <c r="J64">
        <f t="shared" si="3"/>
        <v>41905</v>
      </c>
      <c r="K64" s="26">
        <f>IF(F64=Controls!$A$2,Controls!$B$2*Controls!$C$2,IF(F64=Controls!$A$3,Controls!$B$3*Controls!$C$3,IF(F64=Controls!$A$4,Controls!$B$4*Controls!$C$4,"")))*J64</f>
        <v>58667000</v>
      </c>
      <c r="L64" s="27">
        <f t="shared" si="4"/>
        <v>0.19506630543276771</v>
      </c>
      <c r="M64" s="28">
        <f t="shared" si="5"/>
        <v>917.96276013143483</v>
      </c>
      <c r="N64" t="str">
        <f t="shared" si="0"/>
        <v>Very Small</v>
      </c>
    </row>
    <row r="65" spans="1:14" x14ac:dyDescent="0.25">
      <c r="A65" t="s">
        <v>149</v>
      </c>
      <c r="B65" t="s">
        <v>2</v>
      </c>
      <c r="C65" t="str">
        <f>IF(LEFT(A65,4)=Controls!$F$2,Controls!$G$2, IF(LEFT(A65,4)=Controls!$F$3,Controls!$G$3,IF(LEFT(A65,4)=Controls!$F$4,Controls!$G$4,IF(LEFT(A65,4)=Controls!$F$5,Controls!$G$5,IF(LEFT(A65,4)=Controls!$F$6,Controls!$G$6)))))</f>
        <v>Prairies</v>
      </c>
      <c r="D65" t="str">
        <f t="shared" si="1"/>
        <v>AB</v>
      </c>
      <c r="E65" t="str">
        <f t="shared" si="2"/>
        <v>1906</v>
      </c>
      <c r="F65" t="s">
        <v>14</v>
      </c>
      <c r="G65">
        <v>122.36</v>
      </c>
      <c r="H65">
        <v>83517</v>
      </c>
      <c r="I65">
        <v>63053</v>
      </c>
      <c r="J65">
        <f t="shared" si="3"/>
        <v>41758.5</v>
      </c>
      <c r="K65" s="26">
        <f>IF(F65=Controls!$A$2,Controls!$B$2*Controls!$C$2,IF(F65=Controls!$A$3,Controls!$B$3*Controls!$C$3,IF(F65=Controls!$A$4,Controls!$B$4*Controls!$C$4,"")))*J65</f>
        <v>58461900</v>
      </c>
      <c r="L65" s="27">
        <f t="shared" si="4"/>
        <v>0.32455236071241655</v>
      </c>
      <c r="M65" s="28">
        <f t="shared" si="5"/>
        <v>682.55148741418759</v>
      </c>
      <c r="N65" t="str">
        <f t="shared" si="0"/>
        <v>Very Small</v>
      </c>
    </row>
    <row r="66" spans="1:14" x14ac:dyDescent="0.25">
      <c r="A66" t="s">
        <v>150</v>
      </c>
      <c r="B66" t="s">
        <v>72</v>
      </c>
      <c r="C66" t="str">
        <f>IF(LEFT(A66,4)=Controls!$F$2,Controls!$G$2, IF(LEFT(A66,4)=Controls!$F$3,Controls!$G$3,IF(LEFT(A66,4)=Controls!$F$4,Controls!$G$4,IF(LEFT(A66,4)=Controls!$F$5,Controls!$G$5,IF(LEFT(A66,4)=Controls!$F$6,Controls!$G$6)))))</f>
        <v>Central</v>
      </c>
      <c r="D66" t="str">
        <f t="shared" si="1"/>
        <v>ON</v>
      </c>
      <c r="E66" t="str">
        <f t="shared" si="2"/>
        <v>1903</v>
      </c>
      <c r="F66" t="s">
        <v>14</v>
      </c>
      <c r="G66">
        <v>209.71</v>
      </c>
      <c r="H66">
        <v>82997</v>
      </c>
      <c r="I66">
        <v>76917</v>
      </c>
      <c r="J66">
        <f t="shared" si="3"/>
        <v>41498.5</v>
      </c>
      <c r="K66" s="26">
        <f>IF(F66=Controls!$A$2,Controls!$B$2*Controls!$C$2,IF(F66=Controls!$A$3,Controls!$B$3*Controls!$C$3,IF(F66=Controls!$A$4,Controls!$B$4*Controls!$C$4,"")))*J66</f>
        <v>58097900</v>
      </c>
      <c r="L66" s="27">
        <f t="shared" si="4"/>
        <v>7.9046244653327616E-2</v>
      </c>
      <c r="M66" s="28">
        <f t="shared" si="5"/>
        <v>395.77034953030375</v>
      </c>
      <c r="N66" t="str">
        <f t="shared" ref="N66:N101" si="6" xml:space="preserve"> IF(M66 &lt; 1000, "Very Small",IF(AND(M66 &gt;= 1000,M66 &lt; 2000), "Small",IF(AND(M66 &gt;= 2000,M66 &lt; 3000), "Medium",IF(AND(M66 &gt;= 3000,M66 &lt; 6000), "Large","Very Large"))))</f>
        <v>Very Small</v>
      </c>
    </row>
    <row r="67" spans="1:14" x14ac:dyDescent="0.25">
      <c r="A67" t="s">
        <v>114</v>
      </c>
      <c r="B67" t="s">
        <v>73</v>
      </c>
      <c r="C67" t="str">
        <f>IF(LEFT(A67,4)=Controls!$F$2,Controls!$G$2, IF(LEFT(A67,4)=Controls!$F$3,Controls!$G$3,IF(LEFT(A67,4)=Controls!$F$4,Controls!$G$4,IF(LEFT(A67,4)=Controls!$F$5,Controls!$G$5,IF(LEFT(A67,4)=Controls!$F$6,Controls!$G$6)))))</f>
        <v>Central</v>
      </c>
      <c r="D67" t="str">
        <f t="shared" ref="D67:D101" si="7">MID(A67,5,2)</f>
        <v>QC</v>
      </c>
      <c r="E67" t="str">
        <f t="shared" ref="E67:E101" si="8">RIGHT(A67,4)</f>
        <v>2002</v>
      </c>
      <c r="F67" t="s">
        <v>14</v>
      </c>
      <c r="G67">
        <v>61.79</v>
      </c>
      <c r="H67">
        <v>82000</v>
      </c>
      <c r="I67">
        <v>70677</v>
      </c>
      <c r="J67">
        <f t="shared" ref="J67:J101" si="9">H67/2</f>
        <v>41000</v>
      </c>
      <c r="K67" s="26">
        <f>IF(F67=Controls!$A$2,Controls!$B$2*Controls!$C$2,IF(F67=Controls!$A$3,Controls!$B$3*Controls!$C$3,IF(F67=Controls!$A$4,Controls!$B$4*Controls!$C$4,"")))*J67</f>
        <v>57400000</v>
      </c>
      <c r="L67" s="27">
        <f t="shared" ref="L67:L101" si="10">(H67-I67)/I67</f>
        <v>0.16020770547702931</v>
      </c>
      <c r="M67" s="28">
        <f t="shared" ref="M67:M101" si="11">H67/G67</f>
        <v>1327.0755785725846</v>
      </c>
      <c r="N67" t="str">
        <f t="shared" si="6"/>
        <v>Small</v>
      </c>
    </row>
    <row r="68" spans="1:14" x14ac:dyDescent="0.25">
      <c r="A68" t="s">
        <v>192</v>
      </c>
      <c r="B68" t="s">
        <v>74</v>
      </c>
      <c r="C68" t="str">
        <f>IF(LEFT(A68,4)=Controls!$F$2,Controls!$G$2, IF(LEFT(A68,4)=Controls!$F$3,Controls!$G$3,IF(LEFT(A68,4)=Controls!$F$4,Controls!$G$4,IF(LEFT(A68,4)=Controls!$F$5,Controls!$G$5,IF(LEFT(A68,4)=Controls!$F$6,Controls!$G$6)))))</f>
        <v>West Coast</v>
      </c>
      <c r="D68" t="str">
        <f t="shared" si="7"/>
        <v>BC</v>
      </c>
      <c r="E68" t="str">
        <f t="shared" si="8"/>
        <v>1862</v>
      </c>
      <c r="F68" t="s">
        <v>14</v>
      </c>
      <c r="G68">
        <v>19.47</v>
      </c>
      <c r="H68">
        <v>80017</v>
      </c>
      <c r="I68">
        <v>73405</v>
      </c>
      <c r="J68">
        <f t="shared" si="9"/>
        <v>40008.5</v>
      </c>
      <c r="K68" s="26">
        <f>IF(F68=Controls!$A$2,Controls!$B$2*Controls!$C$2,IF(F68=Controls!$A$3,Controls!$B$3*Controls!$C$3,IF(F68=Controls!$A$4,Controls!$B$4*Controls!$C$4,"")))*J68</f>
        <v>56011900</v>
      </c>
      <c r="L68" s="27">
        <f t="shared" si="10"/>
        <v>9.0075607928615214E-2</v>
      </c>
      <c r="M68" s="28">
        <f t="shared" si="11"/>
        <v>4109.7586029789418</v>
      </c>
      <c r="N68" t="str">
        <f t="shared" si="6"/>
        <v>Large</v>
      </c>
    </row>
    <row r="69" spans="1:14" x14ac:dyDescent="0.25">
      <c r="A69" t="s">
        <v>151</v>
      </c>
      <c r="B69" t="s">
        <v>75</v>
      </c>
      <c r="C69" t="str">
        <f>IF(LEFT(A69,4)=Controls!$F$2,Controls!$G$2, IF(LEFT(A69,4)=Controls!$F$3,Controls!$G$3,IF(LEFT(A69,4)=Controls!$F$4,Controls!$G$4,IF(LEFT(A69,4)=Controls!$F$5,Controls!$G$5,IF(LEFT(A69,4)=Controls!$F$6,Controls!$G$6)))))</f>
        <v>Central</v>
      </c>
      <c r="D69" t="str">
        <f t="shared" si="7"/>
        <v>ON</v>
      </c>
      <c r="E69" t="str">
        <f t="shared" si="8"/>
        <v>1880</v>
      </c>
      <c r="F69" t="s">
        <v>36</v>
      </c>
      <c r="G69">
        <v>38.33</v>
      </c>
      <c r="H69">
        <v>79978</v>
      </c>
      <c r="I69">
        <v>57125</v>
      </c>
      <c r="J69">
        <f t="shared" si="9"/>
        <v>39989</v>
      </c>
      <c r="K69" s="26">
        <f>IF(F69=Controls!$A$2,Controls!$B$2*Controls!$C$2,IF(F69=Controls!$A$3,Controls!$B$3*Controls!$C$3,IF(F69=Controls!$A$4,Controls!$B$4*Controls!$C$4,"")))*J69</f>
        <v>39989000</v>
      </c>
      <c r="L69" s="27">
        <f t="shared" si="10"/>
        <v>0.40005251641137857</v>
      </c>
      <c r="M69" s="28">
        <f t="shared" si="11"/>
        <v>2086.5640490477435</v>
      </c>
      <c r="N69" t="str">
        <f t="shared" si="6"/>
        <v>Medium</v>
      </c>
    </row>
    <row r="70" spans="1:14" x14ac:dyDescent="0.25">
      <c r="A70" t="s">
        <v>152</v>
      </c>
      <c r="B70" t="s">
        <v>76</v>
      </c>
      <c r="C70" t="str">
        <f>IF(LEFT(A70,4)=Controls!$F$2,Controls!$G$2, IF(LEFT(A70,4)=Controls!$F$3,Controls!$G$3,IF(LEFT(A70,4)=Controls!$F$4,Controls!$G$4,IF(LEFT(A70,4)=Controls!$F$5,Controls!$G$5,IF(LEFT(A70,4)=Controls!$F$6,Controls!$G$6)))))</f>
        <v>Central</v>
      </c>
      <c r="D70" t="str">
        <f t="shared" si="7"/>
        <v>QC</v>
      </c>
      <c r="E70" t="str">
        <f t="shared" si="8"/>
        <v>2006</v>
      </c>
      <c r="F70" t="s">
        <v>14</v>
      </c>
      <c r="G70">
        <v>45.2</v>
      </c>
      <c r="H70">
        <v>79273</v>
      </c>
      <c r="I70">
        <v>65927</v>
      </c>
      <c r="J70">
        <f t="shared" si="9"/>
        <v>39636.5</v>
      </c>
      <c r="K70" s="26">
        <f>IF(F70=Controls!$A$2,Controls!$B$2*Controls!$C$2,IF(F70=Controls!$A$3,Controls!$B$3*Controls!$C$3,IF(F70=Controls!$A$4,Controls!$B$4*Controls!$C$4,"")))*J70</f>
        <v>55491100</v>
      </c>
      <c r="L70" s="27">
        <f t="shared" si="10"/>
        <v>0.20243602772763813</v>
      </c>
      <c r="M70" s="28">
        <f t="shared" si="11"/>
        <v>1753.8274336283184</v>
      </c>
      <c r="N70" t="str">
        <f t="shared" si="6"/>
        <v>Small</v>
      </c>
    </row>
    <row r="71" spans="1:14" x14ac:dyDescent="0.25">
      <c r="A71" t="s">
        <v>153</v>
      </c>
      <c r="B71" t="s">
        <v>77</v>
      </c>
      <c r="C71" t="str">
        <f>IF(LEFT(A71,4)=Controls!$F$2,Controls!$G$2, IF(LEFT(A71,4)=Controls!$F$3,Controls!$G$3,IF(LEFT(A71,4)=Controls!$F$4,Controls!$G$4,IF(LEFT(A71,4)=Controls!$F$5,Controls!$G$5,IF(LEFT(A71,4)=Controls!$F$6,Controls!$G$6)))))</f>
        <v>Central</v>
      </c>
      <c r="D71" t="str">
        <f t="shared" si="7"/>
        <v>ON</v>
      </c>
      <c r="E71" t="str">
        <f t="shared" si="8"/>
        <v>1905</v>
      </c>
      <c r="F71" t="s">
        <v>14</v>
      </c>
      <c r="G71">
        <v>63.8</v>
      </c>
      <c r="H71">
        <v>78698</v>
      </c>
      <c r="I71">
        <v>69742</v>
      </c>
      <c r="J71">
        <f t="shared" si="9"/>
        <v>39349</v>
      </c>
      <c r="K71" s="26">
        <f>IF(F71=Controls!$A$2,Controls!$B$2*Controls!$C$2,IF(F71=Controls!$A$3,Controls!$B$3*Controls!$C$3,IF(F71=Controls!$A$4,Controls!$B$4*Controls!$C$4,"")))*J71</f>
        <v>55088600</v>
      </c>
      <c r="L71" s="27">
        <f t="shared" si="10"/>
        <v>0.12841616242723181</v>
      </c>
      <c r="M71" s="28">
        <f t="shared" si="11"/>
        <v>1233.5109717868338</v>
      </c>
      <c r="N71" t="str">
        <f t="shared" si="6"/>
        <v>Small</v>
      </c>
    </row>
    <row r="72" spans="1:14" x14ac:dyDescent="0.25">
      <c r="A72" t="s">
        <v>154</v>
      </c>
      <c r="B72" t="s">
        <v>78</v>
      </c>
      <c r="C72" t="str">
        <f>IF(LEFT(A72,4)=Controls!$F$2,Controls!$G$2, IF(LEFT(A72,4)=Controls!$F$3,Controls!$G$3,IF(LEFT(A72,4)=Controls!$F$4,Controls!$G$4,IF(LEFT(A72,4)=Controls!$F$5,Controls!$G$5,IF(LEFT(A72,4)=Controls!$F$6,Controls!$G$6)))))</f>
        <v>West Coast</v>
      </c>
      <c r="D72" t="str">
        <f t="shared" si="7"/>
        <v>BC</v>
      </c>
      <c r="E72" t="str">
        <f t="shared" si="8"/>
        <v>1873</v>
      </c>
      <c r="F72" t="s">
        <v>14</v>
      </c>
      <c r="G72">
        <v>261.5</v>
      </c>
      <c r="H72">
        <v>77936</v>
      </c>
      <c r="I72">
        <v>60186</v>
      </c>
      <c r="J72">
        <f t="shared" si="9"/>
        <v>38968</v>
      </c>
      <c r="K72" s="26">
        <f>IF(F72=Controls!$A$2,Controls!$B$2*Controls!$C$2,IF(F72=Controls!$A$3,Controls!$B$3*Controls!$C$3,IF(F72=Controls!$A$4,Controls!$B$4*Controls!$C$4,"")))*J72</f>
        <v>54555200</v>
      </c>
      <c r="L72" s="27">
        <f t="shared" si="10"/>
        <v>0.29491908417239887</v>
      </c>
      <c r="M72" s="28">
        <f t="shared" si="11"/>
        <v>298.03441682600385</v>
      </c>
      <c r="N72" t="str">
        <f t="shared" si="6"/>
        <v>Very Small</v>
      </c>
    </row>
    <row r="73" spans="1:14" x14ac:dyDescent="0.25">
      <c r="A73" t="s">
        <v>155</v>
      </c>
      <c r="B73" t="s">
        <v>79</v>
      </c>
      <c r="C73" t="str">
        <f>IF(LEFT(A73,4)=Controls!$F$2,Controls!$G$2, IF(LEFT(A73,4)=Controls!$F$3,Controls!$G$3,IF(LEFT(A73,4)=Controls!$F$4,Controls!$G$4,IF(LEFT(A73,4)=Controls!$F$5,Controls!$G$5,IF(LEFT(A73,4)=Controls!$F$6,Controls!$G$6)))))</f>
        <v>West Coast</v>
      </c>
      <c r="D73" t="str">
        <f t="shared" si="7"/>
        <v>BC</v>
      </c>
      <c r="E73" t="str">
        <f t="shared" si="8"/>
        <v>2014</v>
      </c>
      <c r="F73" t="s">
        <v>106</v>
      </c>
      <c r="G73">
        <v>266.77999999999997</v>
      </c>
      <c r="H73">
        <v>76052</v>
      </c>
      <c r="I73">
        <v>56173</v>
      </c>
      <c r="J73">
        <f t="shared" si="9"/>
        <v>38026</v>
      </c>
      <c r="K73" s="26">
        <f>IF(F73=Controls!$A$2,Controls!$B$2*Controls!$C$2,IF(F73=Controls!$A$3,Controls!$B$3*Controls!$C$3,IF(F73=Controls!$A$4,Controls!$B$4*Controls!$C$4,"")))*J73</f>
        <v>39927300</v>
      </c>
      <c r="L73" s="27">
        <f t="shared" si="10"/>
        <v>0.35388887899880728</v>
      </c>
      <c r="M73" s="28">
        <f t="shared" si="11"/>
        <v>285.07384361646302</v>
      </c>
      <c r="N73" t="str">
        <f t="shared" si="6"/>
        <v>Very Small</v>
      </c>
    </row>
    <row r="74" spans="1:14" x14ac:dyDescent="0.25">
      <c r="A74" t="s">
        <v>122</v>
      </c>
      <c r="B74" t="s">
        <v>80</v>
      </c>
      <c r="C74" t="str">
        <f>IF(LEFT(A74,4)=Controls!$F$2,Controls!$G$2, IF(LEFT(A74,4)=Controls!$F$3,Controls!$G$3,IF(LEFT(A74,4)=Controls!$F$4,Controls!$G$4,IF(LEFT(A74,4)=Controls!$F$5,Controls!$G$5,IF(LEFT(A74,4)=Controls!$F$6,Controls!$G$6)))))</f>
        <v>Central</v>
      </c>
      <c r="D74" t="str">
        <f t="shared" si="7"/>
        <v>ON</v>
      </c>
      <c r="E74" t="str">
        <f t="shared" si="8"/>
        <v>1912</v>
      </c>
      <c r="F74" t="s">
        <v>14</v>
      </c>
      <c r="G74">
        <v>223.26</v>
      </c>
      <c r="H74">
        <v>75141</v>
      </c>
      <c r="I74">
        <v>80054</v>
      </c>
      <c r="J74">
        <f t="shared" si="9"/>
        <v>37570.5</v>
      </c>
      <c r="K74" s="26">
        <f>IF(F74=Controls!$A$2,Controls!$B$2*Controls!$C$2,IF(F74=Controls!$A$3,Controls!$B$3*Controls!$C$3,IF(F74=Controls!$A$4,Controls!$B$4*Controls!$C$4,"")))*J74</f>
        <v>52598700</v>
      </c>
      <c r="L74" s="27">
        <f t="shared" si="10"/>
        <v>-6.1371074524695833E-2</v>
      </c>
      <c r="M74" s="28">
        <f t="shared" si="11"/>
        <v>336.562751948401</v>
      </c>
      <c r="N74" t="str">
        <f t="shared" si="6"/>
        <v>Very Small</v>
      </c>
    </row>
    <row r="75" spans="1:14" x14ac:dyDescent="0.25">
      <c r="A75" t="s">
        <v>113</v>
      </c>
      <c r="B75" t="s">
        <v>81</v>
      </c>
      <c r="C75" t="str">
        <f>IF(LEFT(A75,4)=Controls!$F$2,Controls!$G$2, IF(LEFT(A75,4)=Controls!$F$3,Controls!$G$3,IF(LEFT(A75,4)=Controls!$F$4,Controls!$G$4,IF(LEFT(A75,4)=Controls!$F$5,Controls!$G$5,IF(LEFT(A75,4)=Controls!$F$6,Controls!$G$6)))))</f>
        <v>Central</v>
      </c>
      <c r="D75" t="str">
        <f t="shared" si="7"/>
        <v>ON</v>
      </c>
      <c r="E75" t="str">
        <f t="shared" si="8"/>
        <v>2001</v>
      </c>
      <c r="F75" t="s">
        <v>14</v>
      </c>
      <c r="G75">
        <v>3083.06</v>
      </c>
      <c r="H75">
        <v>73214</v>
      </c>
      <c r="I75">
        <v>67926</v>
      </c>
      <c r="J75">
        <f t="shared" si="9"/>
        <v>36607</v>
      </c>
      <c r="K75" s="26">
        <f>IF(F75=Controls!$A$2,Controls!$B$2*Controls!$C$2,IF(F75=Controls!$A$3,Controls!$B$3*Controls!$C$3,IF(F75=Controls!$A$4,Controls!$B$4*Controls!$C$4,"")))*J75</f>
        <v>51249800</v>
      </c>
      <c r="L75" s="27">
        <f t="shared" si="10"/>
        <v>7.7849424373583012E-2</v>
      </c>
      <c r="M75" s="28">
        <f t="shared" si="11"/>
        <v>23.747186237050204</v>
      </c>
      <c r="N75" t="str">
        <f t="shared" si="6"/>
        <v>Very Small</v>
      </c>
    </row>
    <row r="76" spans="1:14" x14ac:dyDescent="0.25">
      <c r="A76" t="s">
        <v>156</v>
      </c>
      <c r="B76" t="s">
        <v>82</v>
      </c>
      <c r="C76" t="str">
        <f>IF(LEFT(A76,4)=Controls!$F$2,Controls!$G$2, IF(LEFT(A76,4)=Controls!$F$3,Controls!$G$3,IF(LEFT(A76,4)=Controls!$F$4,Controls!$G$4,IF(LEFT(A76,4)=Controls!$F$5,Controls!$G$5,IF(LEFT(A76,4)=Controls!$F$6,Controls!$G$6)))))</f>
        <v>Central</v>
      </c>
      <c r="D76" t="str">
        <f t="shared" si="7"/>
        <v>ON</v>
      </c>
      <c r="E76" t="str">
        <f t="shared" si="8"/>
        <v>1914</v>
      </c>
      <c r="F76" t="s">
        <v>14</v>
      </c>
      <c r="G76">
        <v>164.71</v>
      </c>
      <c r="H76">
        <v>72366</v>
      </c>
      <c r="I76">
        <v>72738</v>
      </c>
      <c r="J76">
        <f t="shared" si="9"/>
        <v>36183</v>
      </c>
      <c r="K76" s="26">
        <f>IF(F76=Controls!$A$2,Controls!$B$2*Controls!$C$2,IF(F76=Controls!$A$3,Controls!$B$3*Controls!$C$3,IF(F76=Controls!$A$4,Controls!$B$4*Controls!$C$4,"")))*J76</f>
        <v>50656200</v>
      </c>
      <c r="L76" s="27">
        <f t="shared" si="10"/>
        <v>-5.1142456487668067E-3</v>
      </c>
      <c r="M76" s="28">
        <f t="shared" si="11"/>
        <v>439.35401614959625</v>
      </c>
      <c r="N76" t="str">
        <f t="shared" si="6"/>
        <v>Very Small</v>
      </c>
    </row>
    <row r="77" spans="1:14" x14ac:dyDescent="0.25">
      <c r="A77" t="s">
        <v>157</v>
      </c>
      <c r="B77" t="s">
        <v>83</v>
      </c>
      <c r="C77" t="str">
        <f>IF(LEFT(A77,4)=Controls!$F$2,Controls!$G$2, IF(LEFT(A77,4)=Controls!$F$3,Controls!$G$3,IF(LEFT(A77,4)=Controls!$F$4,Controls!$G$4,IF(LEFT(A77,4)=Controls!$F$5,Controls!$G$5,IF(LEFT(A77,4)=Controls!$F$6,Controls!$G$6)))))</f>
        <v>West Coast</v>
      </c>
      <c r="D77" t="str">
        <f t="shared" si="7"/>
        <v>BC</v>
      </c>
      <c r="E77" t="str">
        <f t="shared" si="8"/>
        <v>1915</v>
      </c>
      <c r="F77" t="s">
        <v>14</v>
      </c>
      <c r="G77">
        <v>318.26</v>
      </c>
      <c r="H77">
        <v>71974</v>
      </c>
      <c r="I77">
        <v>75510</v>
      </c>
      <c r="J77">
        <f t="shared" si="9"/>
        <v>35987</v>
      </c>
      <c r="K77" s="26">
        <f>IF(F77=Controls!$A$2,Controls!$B$2*Controls!$C$2,IF(F77=Controls!$A$3,Controls!$B$3*Controls!$C$3,IF(F77=Controls!$A$4,Controls!$B$4*Controls!$C$4,"")))*J77</f>
        <v>50381800</v>
      </c>
      <c r="L77" s="27">
        <f t="shared" si="10"/>
        <v>-4.6828234670904516E-2</v>
      </c>
      <c r="M77" s="28">
        <f t="shared" si="11"/>
        <v>226.14843209954125</v>
      </c>
      <c r="N77" t="str">
        <f t="shared" si="6"/>
        <v>Very Small</v>
      </c>
    </row>
    <row r="78" spans="1:14" x14ac:dyDescent="0.25">
      <c r="A78" t="s">
        <v>158</v>
      </c>
      <c r="B78" t="s">
        <v>84</v>
      </c>
      <c r="C78" t="str">
        <f>IF(LEFT(A78,4)=Controls!$F$2,Controls!$G$2, IF(LEFT(A78,4)=Controls!$F$3,Controls!$G$3,IF(LEFT(A78,4)=Controls!$F$4,Controls!$G$4,IF(LEFT(A78,4)=Controls!$F$5,Controls!$G$5,IF(LEFT(A78,4)=Controls!$F$6,Controls!$G$6)))))</f>
        <v>Central</v>
      </c>
      <c r="D78" t="str">
        <f t="shared" si="7"/>
        <v>QC</v>
      </c>
      <c r="E78" t="str">
        <f t="shared" si="8"/>
        <v>2004</v>
      </c>
      <c r="F78" t="s">
        <v>14</v>
      </c>
      <c r="G78">
        <v>246.85</v>
      </c>
      <c r="H78">
        <v>71852</v>
      </c>
      <c r="I78">
        <v>58588</v>
      </c>
      <c r="J78">
        <f t="shared" si="9"/>
        <v>35926</v>
      </c>
      <c r="K78" s="26">
        <f>IF(F78=Controls!$A$2,Controls!$B$2*Controls!$C$2,IF(F78=Controls!$A$3,Controls!$B$3*Controls!$C$3,IF(F78=Controls!$A$4,Controls!$B$4*Controls!$C$4,"")))*J78</f>
        <v>50296400</v>
      </c>
      <c r="L78" s="27">
        <f t="shared" si="10"/>
        <v>0.22639448351198196</v>
      </c>
      <c r="M78" s="28">
        <f t="shared" si="11"/>
        <v>291.07555195462834</v>
      </c>
      <c r="N78" t="str">
        <f t="shared" si="6"/>
        <v>Very Small</v>
      </c>
    </row>
    <row r="79" spans="1:14" x14ac:dyDescent="0.25">
      <c r="A79" t="s">
        <v>189</v>
      </c>
      <c r="B79" t="s">
        <v>85</v>
      </c>
      <c r="C79" t="str">
        <f>IF(LEFT(A79,4)=Controls!$F$2,Controls!$G$2, IF(LEFT(A79,4)=Controls!$F$3,Controls!$G$3,IF(LEFT(A79,4)=Controls!$F$4,Controls!$G$4,IF(LEFT(A79,4)=Controls!$F$5,Controls!$G$5,IF(LEFT(A79,4)=Controls!$F$6,Controls!$G$6)))))</f>
        <v>Atlantic</v>
      </c>
      <c r="D79" t="str">
        <f t="shared" si="7"/>
        <v>NB</v>
      </c>
      <c r="E79" t="str">
        <f t="shared" si="8"/>
        <v>1785</v>
      </c>
      <c r="F79" t="s">
        <v>14</v>
      </c>
      <c r="G79">
        <v>315.82</v>
      </c>
      <c r="H79">
        <v>70063</v>
      </c>
      <c r="I79">
        <v>72494</v>
      </c>
      <c r="J79">
        <f t="shared" si="9"/>
        <v>35031.5</v>
      </c>
      <c r="K79" s="26">
        <f>IF(F79=Controls!$A$2,Controls!$B$2*Controls!$C$2,IF(F79=Controls!$A$3,Controls!$B$3*Controls!$C$3,IF(F79=Controls!$A$4,Controls!$B$4*Controls!$C$4,"")))*J79</f>
        <v>49044100</v>
      </c>
      <c r="L79" s="27">
        <f t="shared" si="10"/>
        <v>-3.3533809694595414E-2</v>
      </c>
      <c r="M79" s="28">
        <f t="shared" si="11"/>
        <v>221.84472167690458</v>
      </c>
      <c r="N79" t="str">
        <f t="shared" si="6"/>
        <v>Very Small</v>
      </c>
    </row>
    <row r="80" spans="1:14" x14ac:dyDescent="0.25">
      <c r="A80" t="s">
        <v>190</v>
      </c>
      <c r="B80" t="s">
        <v>86</v>
      </c>
      <c r="C80" t="str">
        <f>IF(LEFT(A80,4)=Controls!$F$2,Controls!$G$2, IF(LEFT(A80,4)=Controls!$F$3,Controls!$G$3,IF(LEFT(A80,4)=Controls!$F$4,Controls!$G$4,IF(LEFT(A80,4)=Controls!$F$5,Controls!$G$5,IF(LEFT(A80,4)=Controls!$F$6,Controls!$G$6)))))</f>
        <v>Atlantic</v>
      </c>
      <c r="D80" t="str">
        <f t="shared" si="7"/>
        <v>NB</v>
      </c>
      <c r="E80" t="str">
        <f t="shared" si="8"/>
        <v>1875</v>
      </c>
      <c r="F80" t="s">
        <v>14</v>
      </c>
      <c r="G80">
        <v>141.16999999999999</v>
      </c>
      <c r="H80">
        <v>69074</v>
      </c>
      <c r="I80">
        <v>59313</v>
      </c>
      <c r="J80">
        <f t="shared" si="9"/>
        <v>34537</v>
      </c>
      <c r="K80" s="26">
        <f>IF(F80=Controls!$A$2,Controls!$B$2*Controls!$C$2,IF(F80=Controls!$A$3,Controls!$B$3*Controls!$C$3,IF(F80=Controls!$A$4,Controls!$B$4*Controls!$C$4,"")))*J80</f>
        <v>48351800</v>
      </c>
      <c r="L80" s="27">
        <f t="shared" si="10"/>
        <v>0.16456763272806973</v>
      </c>
      <c r="M80" s="28">
        <f t="shared" si="11"/>
        <v>489.29659276050154</v>
      </c>
      <c r="N80" t="str">
        <f t="shared" si="6"/>
        <v>Very Small</v>
      </c>
    </row>
    <row r="81" spans="1:14" x14ac:dyDescent="0.25">
      <c r="A81" t="s">
        <v>114</v>
      </c>
      <c r="B81" t="s">
        <v>87</v>
      </c>
      <c r="C81" t="str">
        <f>IF(LEFT(A81,4)=Controls!$F$2,Controls!$G$2, IF(LEFT(A81,4)=Controls!$F$3,Controls!$G$3,IF(LEFT(A81,4)=Controls!$F$4,Controls!$G$4,IF(LEFT(A81,4)=Controls!$F$5,Controls!$G$5,IF(LEFT(A81,4)=Controls!$F$6,Controls!$G$6)))))</f>
        <v>Central</v>
      </c>
      <c r="D81" t="str">
        <f t="shared" si="7"/>
        <v>QC</v>
      </c>
      <c r="E81" t="str">
        <f t="shared" si="8"/>
        <v>2002</v>
      </c>
      <c r="F81" t="s">
        <v>14</v>
      </c>
      <c r="G81">
        <v>90.52</v>
      </c>
      <c r="H81">
        <v>68456</v>
      </c>
      <c r="I81">
        <v>59533</v>
      </c>
      <c r="J81">
        <f t="shared" si="9"/>
        <v>34228</v>
      </c>
      <c r="K81" s="26">
        <f>IF(F81=Controls!$A$2,Controls!$B$2*Controls!$C$2,IF(F81=Controls!$A$3,Controls!$B$3*Controls!$C$3,IF(F81=Controls!$A$4,Controls!$B$4*Controls!$C$4,"")))*J81</f>
        <v>47919200</v>
      </c>
      <c r="L81" s="27">
        <f t="shared" si="10"/>
        <v>0.14988325802496094</v>
      </c>
      <c r="M81" s="28">
        <f t="shared" si="11"/>
        <v>756.25276182059213</v>
      </c>
      <c r="N81" t="str">
        <f t="shared" si="6"/>
        <v>Very Small</v>
      </c>
    </row>
    <row r="82" spans="1:14" x14ac:dyDescent="0.25">
      <c r="A82" t="s">
        <v>159</v>
      </c>
      <c r="B82" t="s">
        <v>88</v>
      </c>
      <c r="C82" t="str">
        <f>IF(LEFT(A82,4)=Controls!$F$2,Controls!$G$2, IF(LEFT(A82,4)=Controls!$F$3,Controls!$G$3,IF(LEFT(A82,4)=Controls!$F$4,Controls!$G$4,IF(LEFT(A82,4)=Controls!$F$5,Controls!$G$5,IF(LEFT(A82,4)=Controls!$F$6,Controls!$G$6)))))</f>
        <v>Central</v>
      </c>
      <c r="D82" t="str">
        <f t="shared" si="7"/>
        <v>BC</v>
      </c>
      <c r="E82" t="str">
        <f t="shared" si="8"/>
        <v>1860</v>
      </c>
      <c r="F82" t="s">
        <v>14</v>
      </c>
      <c r="G82">
        <v>15.63</v>
      </c>
      <c r="H82">
        <v>65976</v>
      </c>
      <c r="I82">
        <v>49350</v>
      </c>
      <c r="J82">
        <f t="shared" si="9"/>
        <v>32988</v>
      </c>
      <c r="K82" s="26">
        <f>IF(F82=Controls!$A$2,Controls!$B$2*Controls!$C$2,IF(F82=Controls!$A$3,Controls!$B$3*Controls!$C$3,IF(F82=Controls!$A$4,Controls!$B$4*Controls!$C$4,"")))*J82</f>
        <v>46183200</v>
      </c>
      <c r="L82" s="27">
        <f t="shared" si="10"/>
        <v>0.33689969604863224</v>
      </c>
      <c r="M82" s="28">
        <f t="shared" si="11"/>
        <v>4221.1132437619963</v>
      </c>
      <c r="N82" t="str">
        <f t="shared" si="6"/>
        <v>Large</v>
      </c>
    </row>
    <row r="83" spans="1:14" x14ac:dyDescent="0.25">
      <c r="A83" t="s">
        <v>160</v>
      </c>
      <c r="B83" t="s">
        <v>89</v>
      </c>
      <c r="C83" t="str">
        <f>IF(LEFT(A83,4)=Controls!$F$2,Controls!$G$2, IF(LEFT(A83,4)=Controls!$F$3,Controls!$G$3,IF(LEFT(A83,4)=Controls!$F$4,Controls!$G$4,IF(LEFT(A83,4)=Controls!$F$5,Controls!$G$5,IF(LEFT(A83,4)=Controls!$F$6,Controls!$G$6)))))</f>
        <v>Prairies</v>
      </c>
      <c r="D83" t="str">
        <f t="shared" si="7"/>
        <v>AB</v>
      </c>
      <c r="E83" t="str">
        <f t="shared" si="8"/>
        <v>1995</v>
      </c>
      <c r="F83" t="s">
        <v>106</v>
      </c>
      <c r="G83">
        <v>63637.47</v>
      </c>
      <c r="H83">
        <v>65565</v>
      </c>
      <c r="I83">
        <v>35213</v>
      </c>
      <c r="J83">
        <f t="shared" si="9"/>
        <v>32782.5</v>
      </c>
      <c r="K83" s="26">
        <f>IF(F83=Controls!$A$2,Controls!$B$2*Controls!$C$2,IF(F83=Controls!$A$3,Controls!$B$3*Controls!$C$3,IF(F83=Controls!$A$4,Controls!$B$4*Controls!$C$4,"")))*J83</f>
        <v>34421625</v>
      </c>
      <c r="L83" s="27">
        <f t="shared" si="10"/>
        <v>0.86195439184392131</v>
      </c>
      <c r="M83" s="28">
        <f t="shared" si="11"/>
        <v>1.030289230542949</v>
      </c>
      <c r="N83" t="str">
        <f t="shared" si="6"/>
        <v>Very Small</v>
      </c>
    </row>
    <row r="84" spans="1:14" x14ac:dyDescent="0.25">
      <c r="A84" t="s">
        <v>161</v>
      </c>
      <c r="B84" t="s">
        <v>90</v>
      </c>
      <c r="C84" t="str">
        <f>IF(LEFT(A84,4)=Controls!$F$2,Controls!$G$2, IF(LEFT(A84,4)=Controls!$F$3,Controls!$G$3,IF(LEFT(A84,4)=Controls!$F$4,Controls!$G$4,IF(LEFT(A84,4)=Controls!$F$5,Controls!$G$5,IF(LEFT(A84,4)=Controls!$F$6,Controls!$G$6)))))</f>
        <v>Central</v>
      </c>
      <c r="D84" t="str">
        <f t="shared" si="7"/>
        <v>QC</v>
      </c>
      <c r="E84" t="str">
        <f t="shared" si="8"/>
        <v>2007</v>
      </c>
      <c r="F84" t="s">
        <v>14</v>
      </c>
      <c r="G84">
        <v>152.72</v>
      </c>
      <c r="H84">
        <v>63433</v>
      </c>
      <c r="I84">
        <v>43316</v>
      </c>
      <c r="J84">
        <f t="shared" si="9"/>
        <v>31716.5</v>
      </c>
      <c r="K84" s="26">
        <f>IF(F84=Controls!$A$2,Controls!$B$2*Controls!$C$2,IF(F84=Controls!$A$3,Controls!$B$3*Controls!$C$3,IF(F84=Controls!$A$4,Controls!$B$4*Controls!$C$4,"")))*J84</f>
        <v>44403100</v>
      </c>
      <c r="L84" s="27">
        <f t="shared" si="10"/>
        <v>0.46442423123095394</v>
      </c>
      <c r="M84" s="28">
        <f t="shared" si="11"/>
        <v>415.35489785227867</v>
      </c>
      <c r="N84" t="str">
        <f t="shared" si="6"/>
        <v>Very Small</v>
      </c>
    </row>
    <row r="85" spans="1:14" x14ac:dyDescent="0.25">
      <c r="A85" t="s">
        <v>113</v>
      </c>
      <c r="B85" t="s">
        <v>91</v>
      </c>
      <c r="C85" t="str">
        <f>IF(LEFT(A85,4)=Controls!$F$2,Controls!$G$2, IF(LEFT(A85,4)=Controls!$F$3,Controls!$G$3,IF(LEFT(A85,4)=Controls!$F$4,Controls!$G$4,IF(LEFT(A85,4)=Controls!$F$5,Controls!$G$5,IF(LEFT(A85,4)=Controls!$F$6,Controls!$G$6)))))</f>
        <v>Central</v>
      </c>
      <c r="D85" t="str">
        <f t="shared" si="7"/>
        <v>ON</v>
      </c>
      <c r="E85" t="str">
        <f t="shared" si="8"/>
        <v>2001</v>
      </c>
      <c r="F85" t="s">
        <v>14</v>
      </c>
      <c r="G85">
        <v>1607.6</v>
      </c>
      <c r="H85">
        <v>63175</v>
      </c>
      <c r="I85">
        <v>60534</v>
      </c>
      <c r="J85">
        <f t="shared" si="9"/>
        <v>31587.5</v>
      </c>
      <c r="K85" s="26">
        <f>IF(F85=Controls!$A$2,Controls!$B$2*Controls!$C$2,IF(F85=Controls!$A$3,Controls!$B$3*Controls!$C$3,IF(F85=Controls!$A$4,Controls!$B$4*Controls!$C$4,"")))*J85</f>
        <v>44222500</v>
      </c>
      <c r="L85" s="27">
        <f t="shared" si="10"/>
        <v>4.362837413684871E-2</v>
      </c>
      <c r="M85" s="28">
        <f t="shared" si="11"/>
        <v>39.297710873351583</v>
      </c>
      <c r="N85" t="str">
        <f t="shared" si="6"/>
        <v>Very Small</v>
      </c>
    </row>
    <row r="86" spans="1:14" x14ac:dyDescent="0.25">
      <c r="A86" t="s">
        <v>162</v>
      </c>
      <c r="B86" t="s">
        <v>5</v>
      </c>
      <c r="C86" t="str">
        <f>IF(LEFT(A86,4)=Controls!$F$2,Controls!$G$2, IF(LEFT(A86,4)=Controls!$F$3,Controls!$G$3,IF(LEFT(A86,4)=Controls!$F$4,Controls!$G$4,IF(LEFT(A86,4)=Controls!$F$5,Controls!$G$5,IF(LEFT(A86,4)=Controls!$F$6,Controls!$G$6)))))</f>
        <v>Prairies</v>
      </c>
      <c r="D86" t="str">
        <f t="shared" si="7"/>
        <v>AB</v>
      </c>
      <c r="E86" t="str">
        <f t="shared" si="8"/>
        <v>1977</v>
      </c>
      <c r="F86" t="s">
        <v>14</v>
      </c>
      <c r="G86">
        <v>48.27</v>
      </c>
      <c r="H86">
        <v>61466</v>
      </c>
      <c r="I86">
        <v>46888</v>
      </c>
      <c r="J86">
        <f t="shared" si="9"/>
        <v>30733</v>
      </c>
      <c r="K86" s="26">
        <f>IF(F86=Controls!$A$2,Controls!$B$2*Controls!$C$2,IF(F86=Controls!$A$3,Controls!$B$3*Controls!$C$3,IF(F86=Controls!$A$4,Controls!$B$4*Controls!$C$4,"")))*J86</f>
        <v>43026200</v>
      </c>
      <c r="L86" s="27">
        <f t="shared" si="10"/>
        <v>0.31091110731957006</v>
      </c>
      <c r="M86" s="28">
        <f t="shared" si="11"/>
        <v>1273.3789102962501</v>
      </c>
      <c r="N86" t="str">
        <f t="shared" si="6"/>
        <v>Small</v>
      </c>
    </row>
    <row r="87" spans="1:14" x14ac:dyDescent="0.25">
      <c r="A87" t="s">
        <v>149</v>
      </c>
      <c r="B87" t="s">
        <v>3</v>
      </c>
      <c r="C87" t="str">
        <f>IF(LEFT(A87,4)=Controls!$F$2,Controls!$G$2, IF(LEFT(A87,4)=Controls!$F$3,Controls!$G$3,IF(LEFT(A87,4)=Controls!$F$4,Controls!$G$4,IF(LEFT(A87,4)=Controls!$F$5,Controls!$G$5,IF(LEFT(A87,4)=Controls!$F$6,Controls!$G$6)))))</f>
        <v>Prairies</v>
      </c>
      <c r="D87" t="str">
        <f t="shared" si="7"/>
        <v>AB</v>
      </c>
      <c r="E87" t="str">
        <f t="shared" si="8"/>
        <v>1906</v>
      </c>
      <c r="F87" t="s">
        <v>14</v>
      </c>
      <c r="G87">
        <v>112.01</v>
      </c>
      <c r="H87">
        <v>60005</v>
      </c>
      <c r="I87">
        <v>46783</v>
      </c>
      <c r="J87">
        <f t="shared" si="9"/>
        <v>30002.5</v>
      </c>
      <c r="K87" s="26">
        <f>IF(F87=Controls!$A$2,Controls!$B$2*Controls!$C$2,IF(F87=Controls!$A$3,Controls!$B$3*Controls!$C$3,IF(F87=Controls!$A$4,Controls!$B$4*Controls!$C$4,"")))*J87</f>
        <v>42003500</v>
      </c>
      <c r="L87" s="27">
        <f t="shared" si="10"/>
        <v>0.28262403009640252</v>
      </c>
      <c r="M87" s="28">
        <f t="shared" si="11"/>
        <v>535.71109722346216</v>
      </c>
      <c r="N87" t="str">
        <f t="shared" si="6"/>
        <v>Very Small</v>
      </c>
    </row>
    <row r="88" spans="1:14" x14ac:dyDescent="0.25">
      <c r="A88" t="s">
        <v>110</v>
      </c>
      <c r="B88" t="s">
        <v>92</v>
      </c>
      <c r="C88" t="str">
        <f>IF(LEFT(A88,4)=Controls!$F$2,Controls!$G$2, IF(LEFT(A88,4)=Controls!$F$3,Controls!$G$3,IF(LEFT(A88,4)=Controls!$F$4,Controls!$G$4,IF(LEFT(A88,4)=Controls!$F$5,Controls!$G$5,IF(LEFT(A88,4)=Controls!$F$6,Controls!$G$6)))))</f>
        <v>Central</v>
      </c>
      <c r="D88" t="str">
        <f t="shared" si="7"/>
        <v>ON</v>
      </c>
      <c r="E88" t="str">
        <f t="shared" si="8"/>
        <v>1974</v>
      </c>
      <c r="F88" t="s">
        <v>36</v>
      </c>
      <c r="G88">
        <v>688.15</v>
      </c>
      <c r="H88">
        <v>59460</v>
      </c>
      <c r="I88">
        <v>39893</v>
      </c>
      <c r="J88">
        <f t="shared" si="9"/>
        <v>29730</v>
      </c>
      <c r="K88" s="26">
        <f>IF(F88=Controls!$A$2,Controls!$B$2*Controls!$C$2,IF(F88=Controls!$A$3,Controls!$B$3*Controls!$C$3,IF(F88=Controls!$A$4,Controls!$B$4*Controls!$C$4,"")))*J88</f>
        <v>29730000</v>
      </c>
      <c r="L88" s="27">
        <f t="shared" si="10"/>
        <v>0.49048705286641769</v>
      </c>
      <c r="M88" s="28">
        <f t="shared" si="11"/>
        <v>86.405580178740109</v>
      </c>
      <c r="N88" t="str">
        <f t="shared" si="6"/>
        <v>Very Small</v>
      </c>
    </row>
    <row r="89" spans="1:14" x14ac:dyDescent="0.25">
      <c r="A89" t="s">
        <v>110</v>
      </c>
      <c r="B89" t="s">
        <v>93</v>
      </c>
      <c r="C89" t="str">
        <f>IF(LEFT(A89,4)=Controls!$F$2,Controls!$G$2, IF(LEFT(A89,4)=Controls!$F$3,Controls!$G$3,IF(LEFT(A89,4)=Controls!$F$4,Controls!$G$4,IF(LEFT(A89,4)=Controls!$F$5,Controls!$G$5,IF(LEFT(A89,4)=Controls!$F$6,Controls!$G$6)))))</f>
        <v>Central</v>
      </c>
      <c r="D89" t="str">
        <f t="shared" si="7"/>
        <v>ON</v>
      </c>
      <c r="E89" t="str">
        <f t="shared" si="8"/>
        <v>1974</v>
      </c>
      <c r="F89" t="s">
        <v>36</v>
      </c>
      <c r="G89">
        <v>276.25</v>
      </c>
      <c r="H89">
        <v>59008</v>
      </c>
      <c r="I89">
        <v>42390</v>
      </c>
      <c r="J89">
        <f t="shared" si="9"/>
        <v>29504</v>
      </c>
      <c r="K89" s="26">
        <f>IF(F89=Controls!$A$2,Controls!$B$2*Controls!$C$2,IF(F89=Controls!$A$3,Controls!$B$3*Controls!$C$3,IF(F89=Controls!$A$4,Controls!$B$4*Controls!$C$4,"")))*J89</f>
        <v>29504000</v>
      </c>
      <c r="L89" s="27">
        <f t="shared" si="10"/>
        <v>0.39202642132578436</v>
      </c>
      <c r="M89" s="28">
        <f t="shared" si="11"/>
        <v>213.60361990950227</v>
      </c>
      <c r="N89" t="str">
        <f t="shared" si="6"/>
        <v>Very Small</v>
      </c>
    </row>
    <row r="90" spans="1:14" x14ac:dyDescent="0.25">
      <c r="A90" t="s">
        <v>128</v>
      </c>
      <c r="B90" t="s">
        <v>94</v>
      </c>
      <c r="C90" t="str">
        <f>IF(LEFT(A90,4)=Controls!$F$2,Controls!$G$2, IF(LEFT(A90,4)=Controls!$F$3,Controls!$G$3,IF(LEFT(A90,4)=Controls!$F$4,Controls!$G$4,IF(LEFT(A90,4)=Controls!$F$5,Controls!$G$5,IF(LEFT(A90,4)=Controls!$F$6,Controls!$G$6)))))</f>
        <v>West Coast</v>
      </c>
      <c r="D90" t="str">
        <f t="shared" si="7"/>
        <v>BC</v>
      </c>
      <c r="E90" t="str">
        <f t="shared" si="8"/>
        <v>1913</v>
      </c>
      <c r="F90" t="s">
        <v>14</v>
      </c>
      <c r="G90">
        <v>29.17</v>
      </c>
      <c r="H90">
        <v>56342</v>
      </c>
      <c r="I90">
        <v>46682</v>
      </c>
      <c r="J90">
        <f t="shared" si="9"/>
        <v>28171</v>
      </c>
      <c r="K90" s="26">
        <f>IF(F90=Controls!$A$2,Controls!$B$2*Controls!$C$2,IF(F90=Controls!$A$3,Controls!$B$3*Controls!$C$3,IF(F90=Controls!$A$4,Controls!$B$4*Controls!$C$4,"")))*J90</f>
        <v>39439400</v>
      </c>
      <c r="L90" s="27">
        <f t="shared" si="10"/>
        <v>0.20693200805449638</v>
      </c>
      <c r="M90" s="28">
        <f t="shared" si="11"/>
        <v>1931.5049708604729</v>
      </c>
      <c r="N90" t="str">
        <f t="shared" si="6"/>
        <v>Small</v>
      </c>
    </row>
    <row r="91" spans="1:14" x14ac:dyDescent="0.25">
      <c r="A91" t="s">
        <v>189</v>
      </c>
      <c r="B91" t="s">
        <v>95</v>
      </c>
      <c r="C91" t="str">
        <f>IF(LEFT(A91,4)=Controls!$F$2,Controls!$G$2, IF(LEFT(A91,4)=Controls!$F$3,Controls!$G$3,IF(LEFT(A91,4)=Controls!$F$4,Controls!$G$4,IF(LEFT(A91,4)=Controls!$F$5,Controls!$G$5,IF(LEFT(A91,4)=Controls!$F$6,Controls!$G$6)))))</f>
        <v>Atlantic</v>
      </c>
      <c r="D91" t="str">
        <f t="shared" si="7"/>
        <v>NB</v>
      </c>
      <c r="E91" t="str">
        <f t="shared" si="8"/>
        <v>1785</v>
      </c>
      <c r="F91" t="s">
        <v>14</v>
      </c>
      <c r="G91">
        <v>131.66999999999999</v>
      </c>
      <c r="H91">
        <v>56224</v>
      </c>
      <c r="I91">
        <v>46507</v>
      </c>
      <c r="J91">
        <f t="shared" si="9"/>
        <v>28112</v>
      </c>
      <c r="K91" s="26">
        <f>IF(F91=Controls!$A$2,Controls!$B$2*Controls!$C$2,IF(F91=Controls!$A$3,Controls!$B$3*Controls!$C$3,IF(F91=Controls!$A$4,Controls!$B$4*Controls!$C$4,"")))*J91</f>
        <v>39356800</v>
      </c>
      <c r="L91" s="27">
        <f t="shared" si="10"/>
        <v>0.2089362891607715</v>
      </c>
      <c r="M91" s="28">
        <f t="shared" si="11"/>
        <v>427.00691121743756</v>
      </c>
      <c r="N91" t="str">
        <f t="shared" si="6"/>
        <v>Very Small</v>
      </c>
    </row>
    <row r="92" spans="1:14" x14ac:dyDescent="0.25">
      <c r="A92" t="s">
        <v>165</v>
      </c>
      <c r="B92" t="s">
        <v>1</v>
      </c>
      <c r="C92" t="str">
        <f>IF(LEFT(A92,4)=Controls!$F$2,Controls!$G$2, IF(LEFT(A92,4)=Controls!$F$3,Controls!$G$3,IF(LEFT(A92,4)=Controls!$F$4,Controls!$G$4,IF(LEFT(A92,4)=Controls!$F$5,Controls!$G$5,IF(LEFT(A92,4)=Controls!$F$6,Controls!$G$6)))))</f>
        <v>Prairies</v>
      </c>
      <c r="D92" t="str">
        <f t="shared" si="7"/>
        <v>AB</v>
      </c>
      <c r="E92" t="str">
        <f t="shared" si="8"/>
        <v>2006</v>
      </c>
      <c r="F92" t="s">
        <v>14</v>
      </c>
      <c r="G92">
        <v>72.8</v>
      </c>
      <c r="H92">
        <v>55032</v>
      </c>
      <c r="I92">
        <v>31353</v>
      </c>
      <c r="J92">
        <f t="shared" si="9"/>
        <v>27516</v>
      </c>
      <c r="K92" s="26">
        <f>IF(F92=Controls!$A$2,Controls!$B$2*Controls!$C$2,IF(F92=Controls!$A$3,Controls!$B$3*Controls!$C$3,IF(F92=Controls!$A$4,Controls!$B$4*Controls!$C$4,"")))*J92</f>
        <v>38522400</v>
      </c>
      <c r="L92" s="27">
        <f t="shared" si="10"/>
        <v>0.75523873313558509</v>
      </c>
      <c r="M92" s="28">
        <f t="shared" si="11"/>
        <v>755.93406593406598</v>
      </c>
      <c r="N92" t="str">
        <f t="shared" si="6"/>
        <v>Very Small</v>
      </c>
    </row>
    <row r="93" spans="1:14" x14ac:dyDescent="0.25">
      <c r="A93" t="s">
        <v>168</v>
      </c>
      <c r="B93" t="s">
        <v>96</v>
      </c>
      <c r="C93" t="str">
        <f>IF(LEFT(A93,4)=Controls!$F$2,Controls!$G$2, IF(LEFT(A93,4)=Controls!$F$3,Controls!$G$3,IF(LEFT(A93,4)=Controls!$F$4,Controls!$G$4,IF(LEFT(A93,4)=Controls!$F$5,Controls!$G$5,IF(LEFT(A93,4)=Controls!$F$6,Controls!$G$6)))))</f>
        <v>Central</v>
      </c>
      <c r="D93" t="str">
        <f t="shared" si="7"/>
        <v>ON</v>
      </c>
      <c r="E93" t="str">
        <f t="shared" si="8"/>
        <v>1891</v>
      </c>
      <c r="F93" t="s">
        <v>14</v>
      </c>
      <c r="G93">
        <v>319.05</v>
      </c>
      <c r="H93">
        <v>53651</v>
      </c>
      <c r="I93">
        <v>54332</v>
      </c>
      <c r="J93">
        <f t="shared" si="9"/>
        <v>26825.5</v>
      </c>
      <c r="K93" s="26">
        <f>IF(F93=Controls!$A$2,Controls!$B$2*Controls!$C$2,IF(F93=Controls!$A$3,Controls!$B$3*Controls!$C$3,IF(F93=Controls!$A$4,Controls!$B$4*Controls!$C$4,"")))*J93</f>
        <v>37555700</v>
      </c>
      <c r="L93" s="27">
        <f>(H93-I93)/I93</f>
        <v>-1.2534049915335346E-2</v>
      </c>
      <c r="M93" s="28">
        <f t="shared" si="11"/>
        <v>168.15859583137438</v>
      </c>
      <c r="N93" t="str">
        <f t="shared" si="6"/>
        <v>Very Small</v>
      </c>
    </row>
    <row r="94" spans="1:14" x14ac:dyDescent="0.25">
      <c r="A94" t="s">
        <v>167</v>
      </c>
      <c r="B94" t="s">
        <v>97</v>
      </c>
      <c r="C94" t="str">
        <f>IF(LEFT(A94,4)=Controls!$F$2,Controls!$G$2, IF(LEFT(A94,4)=Controls!$F$3,Controls!$G$3,IF(LEFT(A94,4)=Controls!$F$4,Controls!$G$4,IF(LEFT(A94,4)=Controls!$F$5,Controls!$G$5,IF(LEFT(A94,4)=Controls!$F$6,Controls!$G$6)))))</f>
        <v>Central</v>
      </c>
      <c r="D94" t="str">
        <f t="shared" si="7"/>
        <v>QC</v>
      </c>
      <c r="E94" t="str">
        <f t="shared" si="8"/>
        <v>1855</v>
      </c>
      <c r="F94" t="s">
        <v>14</v>
      </c>
      <c r="G94">
        <v>55.1</v>
      </c>
      <c r="H94">
        <v>53510</v>
      </c>
      <c r="I94">
        <v>29603</v>
      </c>
      <c r="J94">
        <f t="shared" si="9"/>
        <v>26755</v>
      </c>
      <c r="K94" s="26">
        <f>IF(F94=Controls!$A$2,Controls!$B$2*Controls!$C$2,IF(F94=Controls!$A$3,Controls!$B$3*Controls!$C$3,IF(F94=Controls!$A$4,Controls!$B$4*Controls!$C$4,"")))*J94</f>
        <v>37457000</v>
      </c>
      <c r="L94" s="27">
        <f t="shared" si="10"/>
        <v>0.80758706887815424</v>
      </c>
      <c r="M94" s="28">
        <f t="shared" si="11"/>
        <v>971.14337568058079</v>
      </c>
      <c r="N94" t="str">
        <f t="shared" si="6"/>
        <v>Very Small</v>
      </c>
    </row>
    <row r="95" spans="1:14" x14ac:dyDescent="0.25">
      <c r="A95" t="s">
        <v>142</v>
      </c>
      <c r="B95" t="s">
        <v>98</v>
      </c>
      <c r="C95" t="str">
        <f>IF(LEFT(A95,4)=Controls!$F$2,Controls!$G$2, IF(LEFT(A95,4)=Controls!$F$3,Controls!$G$3,IF(LEFT(A95,4)=Controls!$F$4,Controls!$G$4,IF(LEFT(A95,4)=Controls!$F$5,Controls!$G$5,IF(LEFT(A95,4)=Controls!$F$6,Controls!$G$6)))))</f>
        <v>Central</v>
      </c>
      <c r="D95" t="str">
        <f t="shared" si="7"/>
        <v>QC</v>
      </c>
      <c r="E95" t="str">
        <f t="shared" si="8"/>
        <v>2001</v>
      </c>
      <c r="F95" t="s">
        <v>14</v>
      </c>
      <c r="G95">
        <v>188.69</v>
      </c>
      <c r="H95">
        <v>53236</v>
      </c>
      <c r="I95">
        <v>50027</v>
      </c>
      <c r="J95">
        <f t="shared" si="9"/>
        <v>26618</v>
      </c>
      <c r="K95" s="26">
        <f>IF(F95=Controls!$A$2,Controls!$B$2*Controls!$C$2,IF(F95=Controls!$A$3,Controls!$B$3*Controls!$C$3,IF(F95=Controls!$A$4,Controls!$B$4*Controls!$C$4,"")))*J95</f>
        <v>37265200</v>
      </c>
      <c r="L95" s="27">
        <f t="shared" si="10"/>
        <v>6.4145361504787418E-2</v>
      </c>
      <c r="M95" s="28">
        <f t="shared" si="11"/>
        <v>282.13471832105569</v>
      </c>
      <c r="N95" t="str">
        <f t="shared" si="6"/>
        <v>Very Small</v>
      </c>
    </row>
    <row r="96" spans="1:14" x14ac:dyDescent="0.25">
      <c r="A96" t="s">
        <v>166</v>
      </c>
      <c r="B96" t="s">
        <v>99</v>
      </c>
      <c r="C96" t="str">
        <f>IF(LEFT(A96,4)=Controls!$F$2,Controls!$G$2, IF(LEFT(A96,4)=Controls!$F$3,Controls!$G$3,IF(LEFT(A96,4)=Controls!$F$4,Controls!$G$4,IF(LEFT(A96,4)=Controls!$F$5,Controls!$G$5,IF(LEFT(A96,4)=Controls!$F$6,Controls!$G$6)))))</f>
        <v>Central</v>
      </c>
      <c r="D96" t="str">
        <f t="shared" si="7"/>
        <v>ON</v>
      </c>
      <c r="E96" t="str">
        <f t="shared" si="8"/>
        <v>1888</v>
      </c>
      <c r="F96" t="s">
        <v>36</v>
      </c>
      <c r="G96">
        <v>49.78</v>
      </c>
      <c r="H96">
        <v>53203</v>
      </c>
      <c r="I96">
        <v>34857</v>
      </c>
      <c r="J96">
        <f t="shared" si="9"/>
        <v>26601.5</v>
      </c>
      <c r="K96" s="26">
        <f>IF(F96=Controls!$A$2,Controls!$B$2*Controls!$C$2,IF(F96=Controls!$A$3,Controls!$B$3*Controls!$C$3,IF(F96=Controls!$A$4,Controls!$B$4*Controls!$C$4,"")))*J96</f>
        <v>26601500</v>
      </c>
      <c r="L96" s="27">
        <f t="shared" si="10"/>
        <v>0.52632182918782455</v>
      </c>
      <c r="M96" s="28">
        <f t="shared" si="11"/>
        <v>1068.7625552430695</v>
      </c>
      <c r="N96" t="str">
        <f t="shared" si="6"/>
        <v>Small</v>
      </c>
    </row>
    <row r="97" spans="1:14" x14ac:dyDescent="0.25">
      <c r="A97" t="s">
        <v>164</v>
      </c>
      <c r="B97" t="s">
        <v>100</v>
      </c>
      <c r="C97" t="str">
        <f>IF(LEFT(A97,4)=Controls!$F$2,Controls!$G$2, IF(LEFT(A97,4)=Controls!$F$3,Controls!$G$3,IF(LEFT(A97,4)=Controls!$F$4,Controls!$G$4,IF(LEFT(A97,4)=Controls!$F$5,Controls!$G$5,IF(LEFT(A97,4)=Controls!$F$6,Controls!$G$6)))))</f>
        <v>Central</v>
      </c>
      <c r="D97" t="str">
        <f t="shared" si="7"/>
        <v>ON</v>
      </c>
      <c r="E97" t="str">
        <f t="shared" si="8"/>
        <v>1917</v>
      </c>
      <c r="F97" t="s">
        <v>14</v>
      </c>
      <c r="G97">
        <v>81.09</v>
      </c>
      <c r="H97">
        <v>50631</v>
      </c>
      <c r="I97">
        <v>48411</v>
      </c>
      <c r="J97">
        <f t="shared" si="9"/>
        <v>25315.5</v>
      </c>
      <c r="K97" s="26">
        <f>IF(F97=Controls!$A$2,Controls!$B$2*Controls!$C$2,IF(F97=Controls!$A$3,Controls!$B$3*Controls!$C$3,IF(F97=Controls!$A$4,Controls!$B$4*Controls!$C$4,"")))*J97</f>
        <v>35441700</v>
      </c>
      <c r="L97" s="27">
        <f t="shared" si="10"/>
        <v>4.5857346470843406E-2</v>
      </c>
      <c r="M97" s="28">
        <f t="shared" si="11"/>
        <v>624.38031816500177</v>
      </c>
      <c r="N97" t="str">
        <f t="shared" si="6"/>
        <v>Very Small</v>
      </c>
    </row>
    <row r="98" spans="1:14" x14ac:dyDescent="0.25">
      <c r="A98" t="s">
        <v>114</v>
      </c>
      <c r="B98" t="s">
        <v>101</v>
      </c>
      <c r="C98" t="str">
        <f>IF(LEFT(A98,4)=Controls!$F$2,Controls!$G$2, IF(LEFT(A98,4)=Controls!$F$3,Controls!$G$3,IF(LEFT(A98,4)=Controls!$F$4,Controls!$G$4,IF(LEFT(A98,4)=Controls!$F$5,Controls!$G$5,IF(LEFT(A98,4)=Controls!$F$6,Controls!$G$6)))))</f>
        <v>Central</v>
      </c>
      <c r="D98" t="str">
        <f t="shared" si="7"/>
        <v>QC</v>
      </c>
      <c r="E98" t="str">
        <f t="shared" si="8"/>
        <v>2002</v>
      </c>
      <c r="F98" t="s">
        <v>14</v>
      </c>
      <c r="G98">
        <v>733.48</v>
      </c>
      <c r="H98">
        <v>50060</v>
      </c>
      <c r="I98">
        <v>56721</v>
      </c>
      <c r="J98">
        <f t="shared" si="9"/>
        <v>25030</v>
      </c>
      <c r="K98" s="26">
        <f>IF(F98=Controls!$A$2,Controls!$B$2*Controls!$C$2,IF(F98=Controls!$A$3,Controls!$B$3*Controls!$C$3,IF(F98=Controls!$A$4,Controls!$B$4*Controls!$C$4,"")))*J98</f>
        <v>35042000</v>
      </c>
      <c r="L98" s="27">
        <f t="shared" si="10"/>
        <v>-0.11743445990021333</v>
      </c>
      <c r="M98" s="28">
        <f t="shared" si="11"/>
        <v>68.249986366363089</v>
      </c>
      <c r="N98" t="str">
        <f t="shared" si="6"/>
        <v>Very Small</v>
      </c>
    </row>
    <row r="99" spans="1:14" x14ac:dyDescent="0.25">
      <c r="A99" t="s">
        <v>152</v>
      </c>
      <c r="B99" t="s">
        <v>102</v>
      </c>
      <c r="C99" t="str">
        <f>IF(LEFT(A99,4)=Controls!$F$2,Controls!$G$2, IF(LEFT(A99,4)=Controls!$F$3,Controls!$G$3,IF(LEFT(A99,4)=Controls!$F$4,Controls!$G$4,IF(LEFT(A99,4)=Controls!$F$5,Controls!$G$5,IF(LEFT(A99,4)=Controls!$F$6,Controls!$G$6)))))</f>
        <v>Central</v>
      </c>
      <c r="D99" t="str">
        <f t="shared" si="7"/>
        <v>QC</v>
      </c>
      <c r="E99" t="str">
        <f t="shared" si="8"/>
        <v>2006</v>
      </c>
      <c r="F99" t="s">
        <v>14</v>
      </c>
      <c r="G99">
        <v>15.1</v>
      </c>
      <c r="H99">
        <v>49637</v>
      </c>
      <c r="I99">
        <v>47826</v>
      </c>
      <c r="J99">
        <f t="shared" si="9"/>
        <v>24818.5</v>
      </c>
      <c r="K99" s="26">
        <f>IF(F99=Controls!$A$2,Controls!$B$2*Controls!$C$2,IF(F99=Controls!$A$3,Controls!$B$3*Controls!$C$3,IF(F99=Controls!$A$4,Controls!$B$4*Controls!$C$4,"")))*J99</f>
        <v>34745900</v>
      </c>
      <c r="L99" s="27">
        <f t="shared" si="10"/>
        <v>3.7866432484422702E-2</v>
      </c>
      <c r="M99" s="28">
        <f t="shared" si="11"/>
        <v>3287.2185430463578</v>
      </c>
      <c r="N99" t="str">
        <f t="shared" si="6"/>
        <v>Large</v>
      </c>
    </row>
    <row r="100" spans="1:14" x14ac:dyDescent="0.25">
      <c r="A100" t="s">
        <v>163</v>
      </c>
      <c r="B100" t="s">
        <v>103</v>
      </c>
      <c r="C100" t="str">
        <f>IF(LEFT(A100,4)=Controls!$F$2,Controls!$G$2, IF(LEFT(A100,4)=Controls!$F$3,Controls!$G$3,IF(LEFT(A100,4)=Controls!$F$4,Controls!$G$4,IF(LEFT(A100,4)=Controls!$F$5,Controls!$G$5,IF(LEFT(A100,4)=Controls!$F$6,Controls!$G$6)))))</f>
        <v>Central</v>
      </c>
      <c r="D100" t="str">
        <f t="shared" si="7"/>
        <v>ON</v>
      </c>
      <c r="E100" t="str">
        <f t="shared" si="8"/>
        <v>1878</v>
      </c>
      <c r="F100" t="s">
        <v>14</v>
      </c>
      <c r="G100">
        <v>247.21</v>
      </c>
      <c r="H100">
        <v>49454</v>
      </c>
      <c r="I100">
        <v>46195</v>
      </c>
      <c r="J100">
        <f t="shared" si="9"/>
        <v>24727</v>
      </c>
      <c r="K100" s="26">
        <f>IF(F100=Controls!$A$2,Controls!$B$2*Controls!$C$2,IF(F100=Controls!$A$3,Controls!$B$3*Controls!$C$3,IF(F100=Controls!$A$4,Controls!$B$4*Controls!$C$4,"")))*J100</f>
        <v>34617800</v>
      </c>
      <c r="L100" s="27">
        <f t="shared" si="10"/>
        <v>7.0548760688386183E-2</v>
      </c>
      <c r="M100" s="28">
        <f t="shared" si="11"/>
        <v>200.04854172565834</v>
      </c>
      <c r="N100" t="str">
        <f t="shared" si="6"/>
        <v>Very Small</v>
      </c>
    </row>
    <row r="101" spans="1:14" x14ac:dyDescent="0.25">
      <c r="A101" t="s">
        <v>127</v>
      </c>
      <c r="B101" t="s">
        <v>69</v>
      </c>
      <c r="C101" t="str">
        <f>IF(LEFT(A101,4)=Controls!$F$2,Controls!$G$2, IF(LEFT(A101,4)=Controls!$F$3,Controls!$G$3,IF(LEFT(A101,4)=Controls!$F$4,Controls!$G$4,IF(LEFT(A101,4)=Controls!$F$5,Controls!$G$5,IF(LEFT(A101,4)=Controls!$F$6,Controls!$G$6)))))</f>
        <v>West Coast</v>
      </c>
      <c r="D101" t="str">
        <f t="shared" si="7"/>
        <v>BC</v>
      </c>
      <c r="E101" t="str">
        <f t="shared" si="8"/>
        <v>1891</v>
      </c>
      <c r="F101" t="s">
        <v>14</v>
      </c>
      <c r="G101">
        <v>11.83</v>
      </c>
      <c r="H101">
        <v>48196</v>
      </c>
      <c r="I101">
        <v>41475</v>
      </c>
      <c r="J101">
        <f t="shared" si="9"/>
        <v>24098</v>
      </c>
      <c r="K101" s="26">
        <f>IF(F101=Controls!$A$2,Controls!$B$2*Controls!$C$2,IF(F101=Controls!$A$3,Controls!$B$3*Controls!$C$3,IF(F101=Controls!$A$4,Controls!$B$4*Controls!$C$4,"")))*J101</f>
        <v>33737200</v>
      </c>
      <c r="L101" s="27">
        <f t="shared" si="10"/>
        <v>0.16204942736588307</v>
      </c>
      <c r="M101" s="28">
        <f t="shared" si="11"/>
        <v>4074.0490278951816</v>
      </c>
      <c r="N101" t="str">
        <f t="shared" si="6"/>
        <v>Large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activeCell="G2" sqref="G2"/>
    </sheetView>
  </sheetViews>
  <sheetFormatPr defaultRowHeight="15" x14ac:dyDescent="0.25"/>
  <cols>
    <col min="1" max="1" width="12.42578125" bestFit="1" customWidth="1"/>
    <col min="2" max="2" width="36.7109375" bestFit="1" customWidth="1"/>
    <col min="3" max="3" width="17.140625" customWidth="1"/>
    <col min="4" max="4" width="20" bestFit="1" customWidth="1"/>
    <col min="5" max="5" width="18.85546875" bestFit="1" customWidth="1"/>
    <col min="6" max="6" width="22.85546875" bestFit="1" customWidth="1"/>
    <col min="7" max="7" width="16.28515625" bestFit="1" customWidth="1"/>
  </cols>
  <sheetData>
    <row r="1" spans="1:7" x14ac:dyDescent="0.25">
      <c r="A1" s="4" t="s">
        <v>243</v>
      </c>
      <c r="B1" s="4" t="s">
        <v>244</v>
      </c>
      <c r="C1" s="1" t="s">
        <v>245</v>
      </c>
      <c r="D1" s="1" t="s">
        <v>246</v>
      </c>
      <c r="E1" s="1" t="s">
        <v>247</v>
      </c>
      <c r="F1" s="1" t="s">
        <v>248</v>
      </c>
      <c r="G1" s="1" t="s">
        <v>249</v>
      </c>
    </row>
    <row r="2" spans="1:7" x14ac:dyDescent="0.25">
      <c r="A2" t="s">
        <v>107</v>
      </c>
      <c r="B2" s="30">
        <v>1830542000</v>
      </c>
      <c r="C2" s="29">
        <f>B2*Controls!$H$9</f>
        <v>183054200</v>
      </c>
      <c r="D2" s="26">
        <f>(B2-C2)*Controls!$H$10</f>
        <v>411871950</v>
      </c>
      <c r="E2" s="29">
        <f>(B2-C2-D2)*Controls!$H$11</f>
        <v>494246340</v>
      </c>
      <c r="F2" s="26">
        <f>(B2-C2-D2-E2)*Controls!$H$12</f>
        <v>259479328.49999997</v>
      </c>
      <c r="G2" s="26">
        <f>(B2-C2-D2-E2)*Controls!$H$13</f>
        <v>185342377.5</v>
      </c>
    </row>
    <row r="3" spans="1:7" x14ac:dyDescent="0.25">
      <c r="A3" t="s">
        <v>108</v>
      </c>
      <c r="B3" s="26">
        <v>1154663300</v>
      </c>
      <c r="C3" s="29">
        <f>B3*Controls!$H$9</f>
        <v>115466330</v>
      </c>
      <c r="D3" s="26">
        <f>(B3-C3)*Controls!$H$10</f>
        <v>259799242.5</v>
      </c>
      <c r="E3" s="29">
        <f>(B3-C3-D3)*Controls!$H$11</f>
        <v>311759091</v>
      </c>
      <c r="F3" s="26">
        <f>(B3-C3-D3-E3)*Controls!$H$12</f>
        <v>163673522.77499998</v>
      </c>
      <c r="G3" s="26">
        <f>(B3-C3-D3-E3)*Controls!$H$13</f>
        <v>116909659.125</v>
      </c>
    </row>
    <row r="4" spans="1:7" x14ac:dyDescent="0.25">
      <c r="A4" t="s">
        <v>183</v>
      </c>
      <c r="B4" s="26">
        <v>767783100</v>
      </c>
      <c r="C4" s="29">
        <f>B4*Controls!$H$9</f>
        <v>76778310</v>
      </c>
      <c r="D4" s="26">
        <f>(B4-C4)*Controls!$H$10</f>
        <v>172751197.5</v>
      </c>
      <c r="E4" s="29">
        <f>(B4-C4-D4)*Controls!$H$11</f>
        <v>207301437</v>
      </c>
      <c r="F4" s="26">
        <f>(B4-C4-D4-E4)*Controls!$H$12</f>
        <v>108833254.425</v>
      </c>
      <c r="G4" s="26">
        <f>(B4-C4-D4-E4)*Controls!$H$13</f>
        <v>77738038.875</v>
      </c>
    </row>
    <row r="5" spans="1:7" x14ac:dyDescent="0.25">
      <c r="A5" t="s">
        <v>109</v>
      </c>
      <c r="B5" s="26">
        <v>618373700</v>
      </c>
      <c r="C5" s="29">
        <f>B5*Controls!$H$9</f>
        <v>61837370</v>
      </c>
      <c r="D5" s="26">
        <f>(B5-C5)*Controls!$H$10</f>
        <v>139134082.5</v>
      </c>
      <c r="E5" s="29">
        <f>(B5-C5-D5)*Controls!$H$11</f>
        <v>166960899</v>
      </c>
      <c r="F5" s="26">
        <f>(B5-C5-D5-E5)*Controls!$H$12</f>
        <v>87654471.974999994</v>
      </c>
      <c r="G5" s="26">
        <f>(B5-C5-D5-E5)*Controls!$H$13</f>
        <v>62610337.125</v>
      </c>
    </row>
    <row r="6" spans="1:7" x14ac:dyDescent="0.25">
      <c r="A6" t="s">
        <v>169</v>
      </c>
      <c r="B6" s="26">
        <v>568540700</v>
      </c>
      <c r="C6" s="29">
        <f>B6*Controls!$H$9</f>
        <v>56854070</v>
      </c>
      <c r="D6" s="26">
        <f>(B6-C6)*Controls!$H$10</f>
        <v>127921657.5</v>
      </c>
      <c r="E6" s="29">
        <f>(B6-C6-D6)*Controls!$H$11</f>
        <v>153505989</v>
      </c>
      <c r="F6" s="26">
        <f>(B6-C6-D6-E6)*Controls!$H$12</f>
        <v>80590644.224999994</v>
      </c>
      <c r="G6" s="26">
        <f>(B6-C6-D6-E6)*Controls!$H$13</f>
        <v>57564745.875</v>
      </c>
    </row>
    <row r="7" spans="1:7" x14ac:dyDescent="0.25">
      <c r="A7" t="s">
        <v>110</v>
      </c>
      <c r="B7" s="26">
        <v>499410100</v>
      </c>
      <c r="C7" s="29">
        <f>B7*Controls!$H$9</f>
        <v>49941010</v>
      </c>
      <c r="D7" s="26">
        <f>(B7-C7)*Controls!$H$10</f>
        <v>112367272.5</v>
      </c>
      <c r="E7" s="29">
        <f>(B7-C7-D7)*Controls!$H$11</f>
        <v>134840727</v>
      </c>
      <c r="F7" s="26">
        <f>(B7-C7-D7-E7)*Controls!$H$12</f>
        <v>70791381.674999997</v>
      </c>
      <c r="G7" s="26">
        <f>(B7-C7-D7-E7)*Controls!$H$13</f>
        <v>50565272.625</v>
      </c>
    </row>
    <row r="8" spans="1:7" x14ac:dyDescent="0.25">
      <c r="A8" t="s">
        <v>111</v>
      </c>
      <c r="B8" s="26">
        <v>464531900</v>
      </c>
      <c r="C8" s="29">
        <f>B8*Controls!$H$9</f>
        <v>46453190</v>
      </c>
      <c r="D8" s="26">
        <f>(B8-C8)*Controls!$H$10</f>
        <v>104519677.5</v>
      </c>
      <c r="E8" s="29">
        <f>(B8-C8-D8)*Controls!$H$11</f>
        <v>125423613</v>
      </c>
      <c r="F8" s="26">
        <f>(B8-C8-D8-E8)*Controls!$H$12</f>
        <v>65847396.824999996</v>
      </c>
      <c r="G8" s="26">
        <f>(B8-C8-D8-E8)*Controls!$H$13</f>
        <v>47033854.875</v>
      </c>
    </row>
    <row r="9" spans="1:7" x14ac:dyDescent="0.25">
      <c r="A9" t="s">
        <v>112</v>
      </c>
      <c r="B9" s="26">
        <v>422451400</v>
      </c>
      <c r="C9" s="29">
        <f>B9*Controls!$H$9</f>
        <v>42245140</v>
      </c>
      <c r="D9" s="26">
        <f>(B9-C9)*Controls!$H$10</f>
        <v>95051565</v>
      </c>
      <c r="E9" s="29">
        <f>(B9-C9-D9)*Controls!$H$11</f>
        <v>114061878</v>
      </c>
      <c r="F9" s="26">
        <f>(B9-C9-D9-E9)*Controls!$H$12</f>
        <v>59882485.949999996</v>
      </c>
      <c r="G9" s="26">
        <f>(B9-C9-D9-E9)*Controls!$H$13</f>
        <v>42773204.25</v>
      </c>
    </row>
    <row r="10" spans="1:7" x14ac:dyDescent="0.25">
      <c r="A10" t="s">
        <v>110</v>
      </c>
      <c r="B10" s="26">
        <v>366737700</v>
      </c>
      <c r="C10" s="29">
        <f>B10*Controls!$H$9</f>
        <v>36673770</v>
      </c>
      <c r="D10" s="26">
        <f>(B10-C10)*Controls!$H$10</f>
        <v>82515982.5</v>
      </c>
      <c r="E10" s="29">
        <f>(B10-C10-D10)*Controls!$H$11</f>
        <v>99019179</v>
      </c>
      <c r="F10" s="26">
        <f>(B10-C10-D10-E10)*Controls!$H$12</f>
        <v>51985068.974999994</v>
      </c>
      <c r="G10" s="26">
        <f>(B10-C10-D10-E10)*Controls!$H$13</f>
        <v>37132192.125</v>
      </c>
    </row>
    <row r="11" spans="1:7" x14ac:dyDescent="0.25">
      <c r="A11" t="s">
        <v>113</v>
      </c>
      <c r="B11" s="26">
        <v>363964300</v>
      </c>
      <c r="C11" s="29">
        <f>B11*Controls!$H$9</f>
        <v>36396430</v>
      </c>
      <c r="D11" s="26">
        <f>(B11-C11)*Controls!$H$10</f>
        <v>81891967.5</v>
      </c>
      <c r="E11" s="29">
        <f>(B11-C11-D11)*Controls!$H$11</f>
        <v>98270361</v>
      </c>
      <c r="F11" s="26">
        <f>(B11-C11-D11-E11)*Controls!$H$12</f>
        <v>51591939.524999999</v>
      </c>
      <c r="G11" s="26">
        <f>(B11-C11-D11-E11)*Controls!$H$13</f>
        <v>36851385.375</v>
      </c>
    </row>
    <row r="12" spans="1:7" x14ac:dyDescent="0.25">
      <c r="A12" t="s">
        <v>114</v>
      </c>
      <c r="B12" s="26">
        <v>361635400</v>
      </c>
      <c r="C12" s="29">
        <f>B12*Controls!$H$9</f>
        <v>36163540</v>
      </c>
      <c r="D12" s="26">
        <f>(B12-C12)*Controls!$H$10</f>
        <v>81367965</v>
      </c>
      <c r="E12" s="29">
        <f>(B12-C12-D12)*Controls!$H$11</f>
        <v>97641558</v>
      </c>
      <c r="F12" s="26">
        <f>(B12-C12-D12-E12)*Controls!$H$12</f>
        <v>51261817.949999996</v>
      </c>
      <c r="G12" s="26">
        <f>(B12-C12-D12-E12)*Controls!$H$13</f>
        <v>36615584.25</v>
      </c>
    </row>
    <row r="13" spans="1:7" x14ac:dyDescent="0.25">
      <c r="A13" t="s">
        <v>115</v>
      </c>
      <c r="B13" s="26">
        <v>327775700</v>
      </c>
      <c r="C13" s="29">
        <f>B13*Controls!$H$9</f>
        <v>32777570</v>
      </c>
      <c r="D13" s="26">
        <f>(B13-C13)*Controls!$H$10</f>
        <v>73749532.5</v>
      </c>
      <c r="E13" s="29">
        <f>(B13-C13-D13)*Controls!$H$11</f>
        <v>88499439</v>
      </c>
      <c r="F13" s="26">
        <f>(B13-C13-D13-E13)*Controls!$H$12</f>
        <v>46462205.474999994</v>
      </c>
      <c r="G13" s="26">
        <f>(B13-C13-D13-E13)*Controls!$H$13</f>
        <v>33187289.625</v>
      </c>
    </row>
    <row r="14" spans="1:7" x14ac:dyDescent="0.25">
      <c r="A14" t="s">
        <v>116</v>
      </c>
      <c r="B14" s="26">
        <v>281087100</v>
      </c>
      <c r="C14" s="29">
        <f>B14*Controls!$H$9</f>
        <v>28108710</v>
      </c>
      <c r="D14" s="26">
        <f>(B14-C14)*Controls!$H$10</f>
        <v>63244597.5</v>
      </c>
      <c r="E14" s="29">
        <f>(B14-C14-D14)*Controls!$H$11</f>
        <v>75893517</v>
      </c>
      <c r="F14" s="26">
        <f>(B14-C14-D14-E14)*Controls!$H$12</f>
        <v>39844096.424999997</v>
      </c>
      <c r="G14" s="26">
        <f>(B14-C14-D14-E14)*Controls!$H$13</f>
        <v>28460068.875</v>
      </c>
    </row>
    <row r="15" spans="1:7" x14ac:dyDescent="0.25">
      <c r="A15" t="s">
        <v>186</v>
      </c>
      <c r="B15" s="26">
        <v>204800400</v>
      </c>
      <c r="C15" s="29">
        <f>B15*Controls!$H$9</f>
        <v>20480040</v>
      </c>
      <c r="D15" s="26">
        <f>(B15-C15)*Controls!$H$10</f>
        <v>46080090</v>
      </c>
      <c r="E15" s="29">
        <f>(B15-C15-D15)*Controls!$H$11</f>
        <v>55296108</v>
      </c>
      <c r="F15" s="26">
        <f>(B15-C15-D15-E15)*Controls!$H$12</f>
        <v>29030456.699999999</v>
      </c>
      <c r="G15" s="26">
        <f>(B15-C15-D15-E15)*Controls!$H$13</f>
        <v>20736040.5</v>
      </c>
    </row>
    <row r="16" spans="1:7" x14ac:dyDescent="0.25">
      <c r="A16" t="s">
        <v>117</v>
      </c>
      <c r="B16" s="26">
        <v>256305700</v>
      </c>
      <c r="C16" s="29">
        <f>B16*Controls!$H$9</f>
        <v>25630570</v>
      </c>
      <c r="D16" s="26">
        <f>(B16-C16)*Controls!$H$10</f>
        <v>57668782.5</v>
      </c>
      <c r="E16" s="29">
        <f>(B16-C16-D16)*Controls!$H$11</f>
        <v>69202539</v>
      </c>
      <c r="F16" s="26">
        <f>(B16-C16-D16-E16)*Controls!$H$12</f>
        <v>36331332.974999994</v>
      </c>
      <c r="G16" s="26">
        <f>(B16-C16-D16-E16)*Controls!$H$13</f>
        <v>25950952.125</v>
      </c>
    </row>
    <row r="17" spans="1:7" x14ac:dyDescent="0.25">
      <c r="A17" t="s">
        <v>118</v>
      </c>
      <c r="B17" s="26">
        <v>211196300</v>
      </c>
      <c r="C17" s="29">
        <f>B17*Controls!$H$9</f>
        <v>21119630</v>
      </c>
      <c r="D17" s="26">
        <f>(B17-C17)*Controls!$H$10</f>
        <v>47519167.5</v>
      </c>
      <c r="E17" s="29">
        <f>(B17-C17-D17)*Controls!$H$11</f>
        <v>57023001</v>
      </c>
      <c r="F17" s="26">
        <f>(B17-C17-D17-E17)*Controls!$H$12</f>
        <v>29937075.524999999</v>
      </c>
      <c r="G17" s="26">
        <f>(B17-C17-D17-E17)*Controls!$H$13</f>
        <v>21383625.375</v>
      </c>
    </row>
    <row r="18" spans="1:7" x14ac:dyDescent="0.25">
      <c r="A18" t="s">
        <v>119</v>
      </c>
      <c r="B18" s="26">
        <v>201810700</v>
      </c>
      <c r="C18" s="29">
        <f>B18*Controls!$H$9</f>
        <v>20181070</v>
      </c>
      <c r="D18" s="26">
        <f>(B18-C18)*Controls!$H$10</f>
        <v>45407407.5</v>
      </c>
      <c r="E18" s="29">
        <f>(B18-C18-D18)*Controls!$H$11</f>
        <v>54488889</v>
      </c>
      <c r="F18" s="26">
        <f>(B18-C18-D18-E18)*Controls!$H$12</f>
        <v>28606666.724999998</v>
      </c>
      <c r="G18" s="26">
        <f>(B18-C18-D18-E18)*Controls!$H$13</f>
        <v>20433333.375</v>
      </c>
    </row>
    <row r="19" spans="1:7" x14ac:dyDescent="0.25">
      <c r="A19" t="s">
        <v>114</v>
      </c>
      <c r="B19" s="26">
        <v>185744300</v>
      </c>
      <c r="C19" s="29">
        <f>B19*Controls!$H$9</f>
        <v>18574430</v>
      </c>
      <c r="D19" s="26">
        <f>(B19-C19)*Controls!$H$10</f>
        <v>41792467.5</v>
      </c>
      <c r="E19" s="29">
        <f>(B19-C19-D19)*Controls!$H$11</f>
        <v>50150961</v>
      </c>
      <c r="F19" s="26">
        <f>(B19-C19-D19-E19)*Controls!$H$12</f>
        <v>26329254.524999999</v>
      </c>
      <c r="G19" s="26">
        <f>(B19-C19-D19-E19)*Controls!$H$13</f>
        <v>18806610.375</v>
      </c>
    </row>
    <row r="20" spans="1:7" x14ac:dyDescent="0.25">
      <c r="A20" t="s">
        <v>114</v>
      </c>
      <c r="B20" s="26">
        <v>161986300</v>
      </c>
      <c r="C20" s="29">
        <f>B20*Controls!$H$9</f>
        <v>16198630</v>
      </c>
      <c r="D20" s="26">
        <f>(B20-C20)*Controls!$H$10</f>
        <v>36446917.5</v>
      </c>
      <c r="E20" s="29">
        <f>(B20-C20-D20)*Controls!$H$11</f>
        <v>43736301</v>
      </c>
      <c r="F20" s="26">
        <f>(B20-C20-D20-E20)*Controls!$H$12</f>
        <v>22961558.024999999</v>
      </c>
      <c r="G20" s="26">
        <f>(B20-C20-D20-E20)*Controls!$H$13</f>
        <v>16401112.875</v>
      </c>
    </row>
    <row r="21" spans="1:7" x14ac:dyDescent="0.25">
      <c r="A21" t="s">
        <v>120</v>
      </c>
      <c r="B21" s="26">
        <v>156252600</v>
      </c>
      <c r="C21" s="29">
        <f>B21*Controls!$H$9</f>
        <v>15625260</v>
      </c>
      <c r="D21" s="26">
        <f>(B21-C21)*Controls!$H$10</f>
        <v>35156835</v>
      </c>
      <c r="E21" s="29">
        <f>(B21-C21-D21)*Controls!$H$11</f>
        <v>42188202</v>
      </c>
      <c r="F21" s="26">
        <f>(B21-C21-D21-E21)*Controls!$H$12</f>
        <v>22148806.049999997</v>
      </c>
      <c r="G21" s="26">
        <f>(B21-C21-D21-E21)*Controls!$H$13</f>
        <v>15820575.75</v>
      </c>
    </row>
    <row r="22" spans="1:7" x14ac:dyDescent="0.25">
      <c r="A22" t="s">
        <v>121</v>
      </c>
      <c r="B22" s="26">
        <v>155532300</v>
      </c>
      <c r="C22" s="29">
        <f>B22*Controls!$H$9</f>
        <v>15553230</v>
      </c>
      <c r="D22" s="26">
        <f>(B22-C22)*Controls!$H$10</f>
        <v>34994767.5</v>
      </c>
      <c r="E22" s="29">
        <f>(B22-C22-D22)*Controls!$H$11</f>
        <v>41993721</v>
      </c>
      <c r="F22" s="26">
        <f>(B22-C22-D22-E22)*Controls!$H$12</f>
        <v>22046703.524999999</v>
      </c>
      <c r="G22" s="26">
        <f>(B22-C22-D22-E22)*Controls!$H$13</f>
        <v>15747645.375</v>
      </c>
    </row>
    <row r="23" spans="1:7" x14ac:dyDescent="0.25">
      <c r="A23" t="s">
        <v>122</v>
      </c>
      <c r="B23" s="26">
        <v>153407100</v>
      </c>
      <c r="C23" s="29">
        <f>B23*Controls!$H$9</f>
        <v>15340710</v>
      </c>
      <c r="D23" s="26">
        <f>(B23-C23)*Controls!$H$10</f>
        <v>34516597.5</v>
      </c>
      <c r="E23" s="29">
        <f>(B23-C23-D23)*Controls!$H$11</f>
        <v>41419917</v>
      </c>
      <c r="F23" s="26">
        <f>(B23-C23-D23-E23)*Controls!$H$12</f>
        <v>21745456.424999997</v>
      </c>
      <c r="G23" s="26">
        <f>(B23-C23-D23-E23)*Controls!$H$13</f>
        <v>15532468.875</v>
      </c>
    </row>
    <row r="24" spans="1:7" x14ac:dyDescent="0.25">
      <c r="A24" t="s">
        <v>123</v>
      </c>
      <c r="B24" s="26">
        <v>147623700</v>
      </c>
      <c r="C24" s="29">
        <f>B24*Controls!$H$9</f>
        <v>14762370</v>
      </c>
      <c r="D24" s="26">
        <f>(B24-C24)*Controls!$H$10</f>
        <v>33215332.5</v>
      </c>
      <c r="E24" s="29">
        <f>(B24-C24-D24)*Controls!$H$11</f>
        <v>39858399</v>
      </c>
      <c r="F24" s="26">
        <f>(B24-C24-D24-E24)*Controls!$H$12</f>
        <v>20925659.474999998</v>
      </c>
      <c r="G24" s="26">
        <f>(B24-C24-D24-E24)*Controls!$H$13</f>
        <v>14946899.625</v>
      </c>
    </row>
    <row r="25" spans="1:7" x14ac:dyDescent="0.25">
      <c r="A25" t="s">
        <v>124</v>
      </c>
      <c r="B25" s="26">
        <v>135170000</v>
      </c>
      <c r="C25" s="29">
        <f>B25*Controls!$H$9</f>
        <v>13517000</v>
      </c>
      <c r="D25" s="26">
        <f>(B25-C25)*Controls!$H$10</f>
        <v>30413250</v>
      </c>
      <c r="E25" s="29">
        <f>(B25-C25-D25)*Controls!$H$11</f>
        <v>36495900</v>
      </c>
      <c r="F25" s="26">
        <f>(B25-C25-D25-E25)*Controls!$H$12</f>
        <v>19160347.5</v>
      </c>
      <c r="G25" s="26">
        <f>(B25-C25-D25-E25)*Controls!$H$13</f>
        <v>13685962.5</v>
      </c>
    </row>
    <row r="26" spans="1:7" x14ac:dyDescent="0.25">
      <c r="A26" t="s">
        <v>115</v>
      </c>
      <c r="B26" s="26">
        <v>133331100</v>
      </c>
      <c r="C26" s="29">
        <f>B26*Controls!$H$9</f>
        <v>13333110</v>
      </c>
      <c r="D26" s="26">
        <f>(B26-C26)*Controls!$H$10</f>
        <v>29999497.5</v>
      </c>
      <c r="E26" s="29">
        <f>(B26-C26-D26)*Controls!$H$11</f>
        <v>35999397</v>
      </c>
      <c r="F26" s="26">
        <f>(B26-C26-D26-E26)*Controls!$H$12</f>
        <v>18899683.424999997</v>
      </c>
      <c r="G26" s="26">
        <f>(B26-C26-D26-E26)*Controls!$H$13</f>
        <v>13499773.875</v>
      </c>
    </row>
    <row r="27" spans="1:7" x14ac:dyDescent="0.25">
      <c r="A27" t="s">
        <v>125</v>
      </c>
      <c r="B27" s="26">
        <v>92770500</v>
      </c>
      <c r="C27" s="29">
        <f>B27*Controls!$H$9</f>
        <v>9277050</v>
      </c>
      <c r="D27" s="26">
        <f>(B27-C27)*Controls!$H$10</f>
        <v>20873362.5</v>
      </c>
      <c r="E27" s="29">
        <f>(B27-C27-D27)*Controls!$H$11</f>
        <v>25048035</v>
      </c>
      <c r="F27" s="26">
        <f>(B27-C27-D27-E27)*Controls!$H$12</f>
        <v>13150218.375</v>
      </c>
      <c r="G27" s="26">
        <f>(B27-C27-D27-E27)*Controls!$H$13</f>
        <v>9393013.125</v>
      </c>
    </row>
    <row r="28" spans="1:7" x14ac:dyDescent="0.25">
      <c r="A28" t="s">
        <v>126</v>
      </c>
      <c r="B28" s="26">
        <v>91260000</v>
      </c>
      <c r="C28" s="29">
        <f>B28*Controls!$H$9</f>
        <v>9126000</v>
      </c>
      <c r="D28" s="26">
        <f>(B28-C28)*Controls!$H$10</f>
        <v>20533500</v>
      </c>
      <c r="E28" s="29">
        <f>(B28-C28-D28)*Controls!$H$11</f>
        <v>24640200</v>
      </c>
      <c r="F28" s="26">
        <f>(B28-C28-D28-E28)*Controls!$H$12</f>
        <v>12936105</v>
      </c>
      <c r="G28" s="26">
        <f>(B28-C28-D28-E28)*Controls!$H$13</f>
        <v>9240075</v>
      </c>
    </row>
    <row r="29" spans="1:7" x14ac:dyDescent="0.25">
      <c r="A29" t="s">
        <v>110</v>
      </c>
      <c r="B29" s="26">
        <v>123045300</v>
      </c>
      <c r="C29" s="29">
        <f>B29*Controls!$H$9</f>
        <v>12304530</v>
      </c>
      <c r="D29" s="26">
        <f>(B29-C29)*Controls!$H$10</f>
        <v>27685192.5</v>
      </c>
      <c r="E29" s="29">
        <f>(B29-C29-D29)*Controls!$H$11</f>
        <v>33222231</v>
      </c>
      <c r="F29" s="26">
        <f>(B29-C29-D29-E29)*Controls!$H$12</f>
        <v>17441671.274999999</v>
      </c>
      <c r="G29" s="26">
        <f>(B29-C29-D29-E29)*Controls!$H$13</f>
        <v>12458336.625</v>
      </c>
    </row>
    <row r="30" spans="1:7" x14ac:dyDescent="0.25">
      <c r="A30" t="s">
        <v>113</v>
      </c>
      <c r="B30" s="26">
        <v>112191800</v>
      </c>
      <c r="C30" s="29">
        <f>B30*Controls!$H$9</f>
        <v>11219180</v>
      </c>
      <c r="D30" s="26">
        <f>(B30-C30)*Controls!$H$10</f>
        <v>25243155</v>
      </c>
      <c r="E30" s="29">
        <f>(B30-C30-D30)*Controls!$H$11</f>
        <v>30291786</v>
      </c>
      <c r="F30" s="26">
        <f>(B30-C30-D30-E30)*Controls!$H$12</f>
        <v>15903187.649999999</v>
      </c>
      <c r="G30" s="26">
        <f>(B30-C30-D30-E30)*Controls!$H$13</f>
        <v>11359419.75</v>
      </c>
    </row>
    <row r="31" spans="1:7" x14ac:dyDescent="0.25">
      <c r="A31" t="s">
        <v>114</v>
      </c>
      <c r="B31" s="26">
        <v>108220700</v>
      </c>
      <c r="C31" s="29">
        <f>B31*Controls!$H$9</f>
        <v>10822070</v>
      </c>
      <c r="D31" s="26">
        <f>(B31-C31)*Controls!$H$10</f>
        <v>24349657.5</v>
      </c>
      <c r="E31" s="29">
        <f>(B31-C31-D31)*Controls!$H$11</f>
        <v>29219589</v>
      </c>
      <c r="F31" s="26">
        <f>(B31-C31-D31-E31)*Controls!$H$12</f>
        <v>15340284.225</v>
      </c>
      <c r="G31" s="26">
        <f>(B31-C31-D31-E31)*Controls!$H$13</f>
        <v>10957345.875</v>
      </c>
    </row>
    <row r="32" spans="1:7" x14ac:dyDescent="0.25">
      <c r="A32" t="s">
        <v>129</v>
      </c>
      <c r="B32" s="26">
        <v>104724900</v>
      </c>
      <c r="C32" s="29">
        <f>B32*Controls!$H$9</f>
        <v>10472490</v>
      </c>
      <c r="D32" s="26">
        <f>(B32-C32)*Controls!$H$10</f>
        <v>23563102.5</v>
      </c>
      <c r="E32" s="29">
        <f>(B32-C32-D32)*Controls!$H$11</f>
        <v>28275723</v>
      </c>
      <c r="F32" s="26">
        <f>(B32-C32-D32-E32)*Controls!$H$12</f>
        <v>14844754.574999999</v>
      </c>
      <c r="G32" s="26">
        <f>(B32-C32-D32-E32)*Controls!$H$13</f>
        <v>10603396.125</v>
      </c>
    </row>
    <row r="33" spans="1:7" x14ac:dyDescent="0.25">
      <c r="A33" t="s">
        <v>130</v>
      </c>
      <c r="B33" s="26">
        <v>101322200</v>
      </c>
      <c r="C33" s="29">
        <f>B33*Controls!$H$9</f>
        <v>10132220</v>
      </c>
      <c r="D33" s="26">
        <f>(B33-C33)*Controls!$H$10</f>
        <v>22797495</v>
      </c>
      <c r="E33" s="29">
        <f>(B33-C33-D33)*Controls!$H$11</f>
        <v>27356994</v>
      </c>
      <c r="F33" s="26">
        <f>(B33-C33-D33-E33)*Controls!$H$12</f>
        <v>14362421.85</v>
      </c>
      <c r="G33" s="26">
        <f>(B33-C33-D33-E33)*Controls!$H$13</f>
        <v>10258872.75</v>
      </c>
    </row>
    <row r="34" spans="1:7" x14ac:dyDescent="0.25">
      <c r="A34" t="s">
        <v>114</v>
      </c>
      <c r="B34" s="26">
        <v>97138300</v>
      </c>
      <c r="C34" s="29">
        <f>B34*Controls!$H$9</f>
        <v>9713830</v>
      </c>
      <c r="D34" s="26">
        <f>(B34-C34)*Controls!$H$10</f>
        <v>21856117.5</v>
      </c>
      <c r="E34" s="29">
        <f>(B34-C34-D34)*Controls!$H$11</f>
        <v>26227341</v>
      </c>
      <c r="F34" s="26">
        <f>(B34-C34-D34-E34)*Controls!$H$12</f>
        <v>13769354.024999999</v>
      </c>
      <c r="G34" s="26">
        <f>(B34-C34-D34-E34)*Controls!$H$13</f>
        <v>9835252.875</v>
      </c>
    </row>
    <row r="35" spans="1:7" x14ac:dyDescent="0.25">
      <c r="A35" t="s">
        <v>131</v>
      </c>
      <c r="B35" s="26">
        <v>94997700</v>
      </c>
      <c r="C35" s="29">
        <f>B35*Controls!$H$9</f>
        <v>9499770</v>
      </c>
      <c r="D35" s="26">
        <f>(B35-C35)*Controls!$H$10</f>
        <v>21374482.5</v>
      </c>
      <c r="E35" s="29">
        <f>(B35-C35-D35)*Controls!$H$11</f>
        <v>25649379</v>
      </c>
      <c r="F35" s="26">
        <f>(B35-C35-D35-E35)*Controls!$H$12</f>
        <v>13465923.975</v>
      </c>
      <c r="G35" s="26">
        <f>(B35-C35-D35-E35)*Controls!$H$13</f>
        <v>9618517.125</v>
      </c>
    </row>
    <row r="36" spans="1:7" x14ac:dyDescent="0.25">
      <c r="A36" t="s">
        <v>133</v>
      </c>
      <c r="B36" s="26">
        <v>93447900</v>
      </c>
      <c r="C36" s="29">
        <f>B36*Controls!$H$9</f>
        <v>9344790</v>
      </c>
      <c r="D36" s="26">
        <f>(B36-C36)*Controls!$H$10</f>
        <v>21025777.5</v>
      </c>
      <c r="E36" s="29">
        <f>(B36-C36-D36)*Controls!$H$11</f>
        <v>25230933</v>
      </c>
      <c r="F36" s="26">
        <f>(B36-C36-D36-E36)*Controls!$H$12</f>
        <v>13246239.824999999</v>
      </c>
      <c r="G36" s="26">
        <f>(B36-C36-D36-E36)*Controls!$H$13</f>
        <v>9461599.875</v>
      </c>
    </row>
    <row r="37" spans="1:7" x14ac:dyDescent="0.25">
      <c r="A37" t="s">
        <v>134</v>
      </c>
      <c r="B37" s="26">
        <v>91980000</v>
      </c>
      <c r="C37" s="29">
        <f>B37*Controls!$H$9</f>
        <v>9198000</v>
      </c>
      <c r="D37" s="26">
        <f>(B37-C37)*Controls!$H$10</f>
        <v>20695500</v>
      </c>
      <c r="E37" s="29">
        <f>(B37-C37-D37)*Controls!$H$11</f>
        <v>24834600</v>
      </c>
      <c r="F37" s="26">
        <f>(B37-C37-D37-E37)*Controls!$H$12</f>
        <v>13038165</v>
      </c>
      <c r="G37" s="26">
        <f>(B37-C37-D37-E37)*Controls!$H$13</f>
        <v>9312975</v>
      </c>
    </row>
    <row r="38" spans="1:7" x14ac:dyDescent="0.25">
      <c r="A38" t="s">
        <v>114</v>
      </c>
      <c r="B38" s="26">
        <v>91936600</v>
      </c>
      <c r="C38" s="29">
        <f>B38*Controls!$H$9</f>
        <v>9193660</v>
      </c>
      <c r="D38" s="26">
        <f>(B38-C38)*Controls!$H$10</f>
        <v>20685735</v>
      </c>
      <c r="E38" s="29">
        <f>(B38-C38-D38)*Controls!$H$11</f>
        <v>24822882</v>
      </c>
      <c r="F38" s="26">
        <f>(B38-C38-D38-E38)*Controls!$H$12</f>
        <v>13032013.049999999</v>
      </c>
      <c r="G38" s="26">
        <f>(B38-C38-D38-E38)*Controls!$H$13</f>
        <v>9308580.75</v>
      </c>
    </row>
    <row r="39" spans="1:7" x14ac:dyDescent="0.25">
      <c r="A39" t="s">
        <v>135</v>
      </c>
      <c r="B39" s="26">
        <v>88723600</v>
      </c>
      <c r="C39" s="29">
        <f>B39*Controls!$H$9</f>
        <v>8872360</v>
      </c>
      <c r="D39" s="26">
        <f>(B39-C39)*Controls!$H$10</f>
        <v>19962810</v>
      </c>
      <c r="E39" s="29">
        <f>(B39-C39-D39)*Controls!$H$11</f>
        <v>23955372</v>
      </c>
      <c r="F39" s="26">
        <f>(B39-C39-D39-E39)*Controls!$H$12</f>
        <v>12576570.299999999</v>
      </c>
      <c r="G39" s="26">
        <f>(B39-C39-D39-E39)*Controls!$H$13</f>
        <v>8983264.5</v>
      </c>
    </row>
    <row r="40" spans="1:7" x14ac:dyDescent="0.25">
      <c r="A40" t="s">
        <v>136</v>
      </c>
      <c r="B40" s="26">
        <v>88519200</v>
      </c>
      <c r="C40" s="29">
        <f>B40*Controls!$H$9</f>
        <v>8851920</v>
      </c>
      <c r="D40" s="26">
        <f>(B40-C40)*Controls!$H$10</f>
        <v>19916820</v>
      </c>
      <c r="E40" s="29">
        <f>(B40-C40-D40)*Controls!$H$11</f>
        <v>23900184</v>
      </c>
      <c r="F40" s="26">
        <f>(B40-C40-D40-E40)*Controls!$H$12</f>
        <v>12547596.6</v>
      </c>
      <c r="G40" s="26">
        <f>(B40-C40-D40-E40)*Controls!$H$13</f>
        <v>8962569</v>
      </c>
    </row>
    <row r="41" spans="1:7" x14ac:dyDescent="0.25">
      <c r="A41" t="s">
        <v>137</v>
      </c>
      <c r="B41" s="26">
        <v>86354100</v>
      </c>
      <c r="C41" s="29">
        <f>B41*Controls!$H$9</f>
        <v>8635410</v>
      </c>
      <c r="D41" s="26">
        <f>(B41-C41)*Controls!$H$10</f>
        <v>19429672.5</v>
      </c>
      <c r="E41" s="29">
        <f>(B41-C41-D41)*Controls!$H$11</f>
        <v>23315607</v>
      </c>
      <c r="F41" s="26">
        <f>(B41-C41-D41-E41)*Controls!$H$12</f>
        <v>12240693.674999999</v>
      </c>
      <c r="G41" s="26">
        <f>(B41-C41-D41-E41)*Controls!$H$13</f>
        <v>8743352.625</v>
      </c>
    </row>
    <row r="42" spans="1:7" x14ac:dyDescent="0.25">
      <c r="A42" t="s">
        <v>117</v>
      </c>
      <c r="B42" s="26">
        <v>61011000</v>
      </c>
      <c r="C42" s="29">
        <f>B42*Controls!$H$9</f>
        <v>6101100</v>
      </c>
      <c r="D42" s="26">
        <f>(B42-C42)*Controls!$H$10</f>
        <v>13727475</v>
      </c>
      <c r="E42" s="29">
        <f>(B42-C42-D42)*Controls!$H$11</f>
        <v>16472970</v>
      </c>
      <c r="F42" s="26">
        <f>(B42-C42-D42-E42)*Controls!$H$12</f>
        <v>8648309.25</v>
      </c>
      <c r="G42" s="26">
        <f>(B42-C42-D42-E42)*Controls!$H$13</f>
        <v>6177363.75</v>
      </c>
    </row>
    <row r="43" spans="1:7" x14ac:dyDescent="0.25">
      <c r="A43" t="s">
        <v>138</v>
      </c>
      <c r="B43" s="26">
        <v>85181600</v>
      </c>
      <c r="C43" s="29">
        <f>B43*Controls!$H$9</f>
        <v>8518160</v>
      </c>
      <c r="D43" s="26">
        <f>(B43-C43)*Controls!$H$10</f>
        <v>19165860</v>
      </c>
      <c r="E43" s="29">
        <f>(B43-C43-D43)*Controls!$H$11</f>
        <v>22999032</v>
      </c>
      <c r="F43" s="26">
        <f>(B43-C43-D43-E43)*Controls!$H$12</f>
        <v>12074491.799999999</v>
      </c>
      <c r="G43" s="26">
        <f>(B43-C43-D43-E43)*Controls!$H$13</f>
        <v>8624637</v>
      </c>
    </row>
    <row r="44" spans="1:7" x14ac:dyDescent="0.25">
      <c r="A44" t="s">
        <v>112</v>
      </c>
      <c r="B44" s="26">
        <v>82118400</v>
      </c>
      <c r="C44" s="29">
        <f>B44*Controls!$H$9</f>
        <v>8211840</v>
      </c>
      <c r="D44" s="26">
        <f>(B44-C44)*Controls!$H$10</f>
        <v>18476640</v>
      </c>
      <c r="E44" s="29">
        <f>(B44-C44-D44)*Controls!$H$11</f>
        <v>22171968</v>
      </c>
      <c r="F44" s="26">
        <f>(B44-C44-D44-E44)*Controls!$H$12</f>
        <v>11640283.199999999</v>
      </c>
      <c r="G44" s="26">
        <f>(B44-C44-D44-E44)*Controls!$H$13</f>
        <v>8314488</v>
      </c>
    </row>
    <row r="45" spans="1:7" x14ac:dyDescent="0.25">
      <c r="A45" t="s">
        <v>139</v>
      </c>
      <c r="B45" s="26">
        <v>57619800</v>
      </c>
      <c r="C45" s="29">
        <f>B45*Controls!$H$9</f>
        <v>5761980</v>
      </c>
      <c r="D45" s="26">
        <f>(B45-C45)*Controls!$H$10</f>
        <v>12964455</v>
      </c>
      <c r="E45" s="29">
        <f>(B45-C45-D45)*Controls!$H$11</f>
        <v>15557346</v>
      </c>
      <c r="F45" s="26">
        <f>(B45-C45-D45-E45)*Controls!$H$12</f>
        <v>8167606.6499999994</v>
      </c>
      <c r="G45" s="26">
        <f>(B45-C45-D45-E45)*Controls!$H$13</f>
        <v>5834004.75</v>
      </c>
    </row>
    <row r="46" spans="1:7" x14ac:dyDescent="0.25">
      <c r="A46" t="s">
        <v>140</v>
      </c>
      <c r="B46" s="26">
        <v>54800000</v>
      </c>
      <c r="C46" s="29">
        <f>B46*Controls!$H$9</f>
        <v>5480000</v>
      </c>
      <c r="D46" s="26">
        <f>(B46-C46)*Controls!$H$10</f>
        <v>12330000</v>
      </c>
      <c r="E46" s="29">
        <f>(B46-C46-D46)*Controls!$H$11</f>
        <v>14796000</v>
      </c>
      <c r="F46" s="26">
        <f>(B46-C46-D46-E46)*Controls!$H$12</f>
        <v>7767899.9999999991</v>
      </c>
      <c r="G46" s="26">
        <f>(B46-C46-D46-E46)*Controls!$H$13</f>
        <v>5548500</v>
      </c>
    </row>
    <row r="47" spans="1:7" x14ac:dyDescent="0.25">
      <c r="A47" t="s">
        <v>141</v>
      </c>
      <c r="B47" s="26">
        <v>75851300</v>
      </c>
      <c r="C47" s="29">
        <f>B47*Controls!$H$9</f>
        <v>7585130</v>
      </c>
      <c r="D47" s="26">
        <f>(B47-C47)*Controls!$H$10</f>
        <v>17066542.5</v>
      </c>
      <c r="E47" s="29">
        <f>(B47-C47-D47)*Controls!$H$11</f>
        <v>20479851</v>
      </c>
      <c r="F47" s="26">
        <f>(B47-C47-D47-E47)*Controls!$H$12</f>
        <v>10751921.774999999</v>
      </c>
      <c r="G47" s="26">
        <f>(B47-C47-D47-E47)*Controls!$H$13</f>
        <v>7679944.125</v>
      </c>
    </row>
    <row r="48" spans="1:7" x14ac:dyDescent="0.25">
      <c r="A48" t="s">
        <v>142</v>
      </c>
      <c r="B48" s="26">
        <v>74425400</v>
      </c>
      <c r="C48" s="29">
        <f>B48*Controls!$H$9</f>
        <v>7442540</v>
      </c>
      <c r="D48" s="26">
        <f>(B48-C48)*Controls!$H$10</f>
        <v>16745715</v>
      </c>
      <c r="E48" s="29">
        <f>(B48-C48-D48)*Controls!$H$11</f>
        <v>20094858</v>
      </c>
      <c r="F48" s="26">
        <f>(B48-C48-D48-E48)*Controls!$H$12</f>
        <v>10549800.449999999</v>
      </c>
      <c r="G48" s="26">
        <f>(B48-C48-D48-E48)*Controls!$H$13</f>
        <v>7535571.75</v>
      </c>
    </row>
    <row r="49" spans="1:7" x14ac:dyDescent="0.25">
      <c r="A49" t="s">
        <v>187</v>
      </c>
      <c r="B49" s="26">
        <v>74320400</v>
      </c>
      <c r="C49" s="29">
        <f>B49*Controls!$H$9</f>
        <v>7432040</v>
      </c>
      <c r="D49" s="26">
        <f>(B49-C49)*Controls!$H$10</f>
        <v>16722090</v>
      </c>
      <c r="E49" s="29">
        <f>(B49-C49-D49)*Controls!$H$11</f>
        <v>20066508</v>
      </c>
      <c r="F49" s="26">
        <f>(B49-C49-D49-E49)*Controls!$H$12</f>
        <v>10534916.699999999</v>
      </c>
      <c r="G49" s="26">
        <f>(B49-C49-D49-E49)*Controls!$H$13</f>
        <v>7524940.5</v>
      </c>
    </row>
    <row r="50" spans="1:7" x14ac:dyDescent="0.25">
      <c r="A50" t="s">
        <v>191</v>
      </c>
      <c r="B50" s="26">
        <v>54692925</v>
      </c>
      <c r="C50" s="29">
        <f>B50*Controls!$H$9</f>
        <v>5469292.5</v>
      </c>
      <c r="D50" s="26">
        <f>(B50-C50)*Controls!$H$10</f>
        <v>12305908.125</v>
      </c>
      <c r="E50" s="29">
        <f>(B50-C50-D50)*Controls!$H$11</f>
        <v>14767089.75</v>
      </c>
      <c r="F50" s="26">
        <f>(B50-C50-D50-E50)*Controls!$H$12</f>
        <v>7752722.1187499994</v>
      </c>
      <c r="G50" s="26">
        <f>(B50-C50-D50-E50)*Controls!$H$13</f>
        <v>5537658.65625</v>
      </c>
    </row>
    <row r="51" spans="1:7" x14ac:dyDescent="0.25">
      <c r="A51" t="s">
        <v>137</v>
      </c>
      <c r="B51" s="26">
        <v>54427275</v>
      </c>
      <c r="C51" s="29">
        <f>B51*Controls!$H$9</f>
        <v>5442727.5</v>
      </c>
      <c r="D51" s="26">
        <f>(B51-C51)*Controls!$H$10</f>
        <v>12246136.875</v>
      </c>
      <c r="E51" s="29">
        <f>(B51-C51-D51)*Controls!$H$11</f>
        <v>14695364.25</v>
      </c>
      <c r="F51" s="26">
        <f>(B51-C51-D51-E51)*Controls!$H$12</f>
        <v>7715066.2312499993</v>
      </c>
      <c r="G51" s="26">
        <f>(B51-C51-D51-E51)*Controls!$H$13</f>
        <v>5510761.59375</v>
      </c>
    </row>
    <row r="52" spans="1:7" x14ac:dyDescent="0.25">
      <c r="A52" t="s">
        <v>115</v>
      </c>
      <c r="B52" s="26">
        <v>52428075</v>
      </c>
      <c r="C52" s="29">
        <f>B52*Controls!$H$9</f>
        <v>5242807.5</v>
      </c>
      <c r="D52" s="26">
        <f>(B52-C52)*Controls!$H$10</f>
        <v>11796316.875</v>
      </c>
      <c r="E52" s="29">
        <f>(B52-C52-D52)*Controls!$H$11</f>
        <v>14155580.25</v>
      </c>
      <c r="F52" s="26">
        <f>(B52-C52-D52-E52)*Controls!$H$12</f>
        <v>7431679.6312499996</v>
      </c>
      <c r="G52" s="26">
        <f>(B52-C52-D52-E52)*Controls!$H$13</f>
        <v>5308342.59375</v>
      </c>
    </row>
    <row r="53" spans="1:7" x14ac:dyDescent="0.25">
      <c r="A53" t="s">
        <v>126</v>
      </c>
      <c r="B53" s="26">
        <v>69146000</v>
      </c>
      <c r="C53" s="29">
        <f>B53*Controls!$H$9</f>
        <v>6914600</v>
      </c>
      <c r="D53" s="26">
        <f>(B53-C53)*Controls!$H$10</f>
        <v>15557850</v>
      </c>
      <c r="E53" s="29">
        <f>(B53-C53-D53)*Controls!$H$11</f>
        <v>18669420</v>
      </c>
      <c r="F53" s="26">
        <f>(B53-C53-D53-E53)*Controls!$H$12</f>
        <v>9801445.5</v>
      </c>
      <c r="G53" s="26">
        <f>(B53-C53-D53-E53)*Controls!$H$13</f>
        <v>7001032.5</v>
      </c>
    </row>
    <row r="54" spans="1:7" x14ac:dyDescent="0.25">
      <c r="A54" t="s">
        <v>188</v>
      </c>
      <c r="B54" s="26">
        <v>51133950</v>
      </c>
      <c r="C54" s="29">
        <f>B54*Controls!$H$9</f>
        <v>5113395</v>
      </c>
      <c r="D54" s="26">
        <f>(B54-C54)*Controls!$H$10</f>
        <v>11505138.75</v>
      </c>
      <c r="E54" s="29">
        <f>(B54-C54-D54)*Controls!$H$11</f>
        <v>13806166.5</v>
      </c>
      <c r="F54" s="26">
        <f>(B54-C54-D54-E54)*Controls!$H$12</f>
        <v>7248237.4124999996</v>
      </c>
      <c r="G54" s="26">
        <f>(B54-C54-D54-E54)*Controls!$H$13</f>
        <v>5177312.4375</v>
      </c>
    </row>
    <row r="55" spans="1:7" x14ac:dyDescent="0.25">
      <c r="A55" t="s">
        <v>143</v>
      </c>
      <c r="B55" s="26">
        <v>65555000</v>
      </c>
      <c r="C55" s="29">
        <f>B55*Controls!$H$9</f>
        <v>6555500</v>
      </c>
      <c r="D55" s="26">
        <f>(B55-C55)*Controls!$H$10</f>
        <v>14749875</v>
      </c>
      <c r="E55" s="29">
        <f>(B55-C55-D55)*Controls!$H$11</f>
        <v>17699850</v>
      </c>
      <c r="F55" s="26">
        <f>(B55-C55-D55-E55)*Controls!$H$12</f>
        <v>9292421.25</v>
      </c>
      <c r="G55" s="26">
        <f>(B55-C55-D55-E55)*Controls!$H$13</f>
        <v>6637443.75</v>
      </c>
    </row>
    <row r="56" spans="1:7" x14ac:dyDescent="0.25">
      <c r="A56" t="s">
        <v>203</v>
      </c>
      <c r="B56" s="26">
        <v>48557250</v>
      </c>
      <c r="C56" s="29">
        <f>B56*Controls!$H$9</f>
        <v>4855725</v>
      </c>
      <c r="D56" s="26">
        <f>(B56-C56)*Controls!$H$10</f>
        <v>10925381.25</v>
      </c>
      <c r="E56" s="29">
        <f>(B56-C56-D56)*Controls!$H$11</f>
        <v>13110457.5</v>
      </c>
      <c r="F56" s="26">
        <f>(B56-C56-D56-E56)*Controls!$H$12</f>
        <v>6882990.1875</v>
      </c>
      <c r="G56" s="26">
        <f>(B56-C56-D56-E56)*Controls!$H$13</f>
        <v>4916421.5625</v>
      </c>
    </row>
    <row r="57" spans="1:7" x14ac:dyDescent="0.25">
      <c r="A57" t="s">
        <v>142</v>
      </c>
      <c r="B57" s="26">
        <v>64675800</v>
      </c>
      <c r="C57" s="29">
        <f>B57*Controls!$H$9</f>
        <v>6467580</v>
      </c>
      <c r="D57" s="26">
        <f>(B57-C57)*Controls!$H$10</f>
        <v>14552055</v>
      </c>
      <c r="E57" s="29">
        <f>(B57-C57-D57)*Controls!$H$11</f>
        <v>17462466</v>
      </c>
      <c r="F57" s="26">
        <f>(B57-C57-D57-E57)*Controls!$H$12</f>
        <v>9167794.6499999985</v>
      </c>
      <c r="G57" s="26">
        <f>(B57-C57-D57-E57)*Controls!$H$13</f>
        <v>6548424.75</v>
      </c>
    </row>
    <row r="58" spans="1:7" x14ac:dyDescent="0.25">
      <c r="A58" t="s">
        <v>170</v>
      </c>
      <c r="B58" s="26">
        <v>63394800</v>
      </c>
      <c r="C58" s="29">
        <f>B58*Controls!$H$9</f>
        <v>6339480</v>
      </c>
      <c r="D58" s="26">
        <f>(B58-C58)*Controls!$H$10</f>
        <v>14263830</v>
      </c>
      <c r="E58" s="29">
        <f>(B58-C58-D58)*Controls!$H$11</f>
        <v>17116596</v>
      </c>
      <c r="F58" s="26">
        <f>(B58-C58-D58-E58)*Controls!$H$12</f>
        <v>8986212.8999999985</v>
      </c>
      <c r="G58" s="26">
        <f>(B58-C58-D58-E58)*Controls!$H$13</f>
        <v>6418723.5</v>
      </c>
    </row>
    <row r="59" spans="1:7" x14ac:dyDescent="0.25">
      <c r="A59" t="s">
        <v>144</v>
      </c>
      <c r="B59" s="26">
        <v>62104700</v>
      </c>
      <c r="C59" s="29">
        <f>B59*Controls!$H$9</f>
        <v>6210470</v>
      </c>
      <c r="D59" s="26">
        <f>(B59-C59)*Controls!$H$10</f>
        <v>13973557.5</v>
      </c>
      <c r="E59" s="29">
        <f>(B59-C59-D59)*Controls!$H$11</f>
        <v>16768269</v>
      </c>
      <c r="F59" s="26">
        <f>(B59-C59-D59-E59)*Controls!$H$12</f>
        <v>8803341.2249999996</v>
      </c>
      <c r="G59" s="26">
        <f>(B59-C59-D59-E59)*Controls!$H$13</f>
        <v>6288100.875</v>
      </c>
    </row>
    <row r="60" spans="1:7" x14ac:dyDescent="0.25">
      <c r="A60" t="s">
        <v>145</v>
      </c>
      <c r="B60" s="26">
        <v>59974600</v>
      </c>
      <c r="C60" s="29">
        <f>B60*Controls!$H$9</f>
        <v>5997460</v>
      </c>
      <c r="D60" s="26">
        <f>(B60-C60)*Controls!$H$10</f>
        <v>13494285</v>
      </c>
      <c r="E60" s="29">
        <f>(B60-C60-D60)*Controls!$H$11</f>
        <v>16193142</v>
      </c>
      <c r="F60" s="26">
        <f>(B60-C60-D60-E60)*Controls!$H$12</f>
        <v>8501399.5499999989</v>
      </c>
      <c r="G60" s="26">
        <f>(B60-C60-D60-E60)*Controls!$H$13</f>
        <v>6072428.25</v>
      </c>
    </row>
    <row r="61" spans="1:7" x14ac:dyDescent="0.25">
      <c r="A61" t="s">
        <v>110</v>
      </c>
      <c r="B61" s="26">
        <v>44387700</v>
      </c>
      <c r="C61" s="29">
        <f>B61*Controls!$H$9</f>
        <v>4438770</v>
      </c>
      <c r="D61" s="26">
        <f>(B61-C61)*Controls!$H$10</f>
        <v>9987232.5</v>
      </c>
      <c r="E61" s="29">
        <f>(B61-C61-D61)*Controls!$H$11</f>
        <v>11984679</v>
      </c>
      <c r="F61" s="26">
        <f>(B61-C61-D61-E61)*Controls!$H$12</f>
        <v>6291956.4749999996</v>
      </c>
      <c r="G61" s="26">
        <f>(B61-C61-D61-E61)*Controls!$H$13</f>
        <v>4494254.625</v>
      </c>
    </row>
    <row r="62" spans="1:7" x14ac:dyDescent="0.25">
      <c r="A62" t="s">
        <v>127</v>
      </c>
      <c r="B62" s="26">
        <v>44316300</v>
      </c>
      <c r="C62" s="29">
        <f>B62*Controls!$H$9</f>
        <v>4431630</v>
      </c>
      <c r="D62" s="26">
        <f>(B62-C62)*Controls!$H$10</f>
        <v>9971167.5</v>
      </c>
      <c r="E62" s="29">
        <f>(B62-C62-D62)*Controls!$H$11</f>
        <v>11965401</v>
      </c>
      <c r="F62" s="26">
        <f>(B62-C62-D62-E62)*Controls!$H$12</f>
        <v>6281835.5249999994</v>
      </c>
      <c r="G62" s="26">
        <f>(B62-C62-D62-E62)*Controls!$H$13</f>
        <v>4487025.375</v>
      </c>
    </row>
    <row r="63" spans="1:7" x14ac:dyDescent="0.25">
      <c r="A63" t="s">
        <v>126</v>
      </c>
      <c r="B63" s="26">
        <v>42181000</v>
      </c>
      <c r="C63" s="29">
        <f>B63*Controls!$H$9</f>
        <v>4218100</v>
      </c>
      <c r="D63" s="26">
        <f>(B63-C63)*Controls!$H$10</f>
        <v>9490725</v>
      </c>
      <c r="E63" s="29">
        <f>(B63-C63-D63)*Controls!$H$11</f>
        <v>11388870</v>
      </c>
      <c r="F63" s="26">
        <f>(B63-C63-D63-E63)*Controls!$H$12</f>
        <v>5979156.75</v>
      </c>
      <c r="G63" s="26">
        <f>(B63-C63-D63-E63)*Controls!$H$13</f>
        <v>4270826.25</v>
      </c>
    </row>
    <row r="64" spans="1:7" x14ac:dyDescent="0.25">
      <c r="A64" t="s">
        <v>147</v>
      </c>
      <c r="B64" s="26">
        <v>58667000</v>
      </c>
      <c r="C64" s="29">
        <f>B64*Controls!$H$9</f>
        <v>5866700</v>
      </c>
      <c r="D64" s="26">
        <f>(B64-C64)*Controls!$H$10</f>
        <v>13200075</v>
      </c>
      <c r="E64" s="29">
        <f>(B64-C64-D64)*Controls!$H$11</f>
        <v>15840090</v>
      </c>
      <c r="F64" s="26">
        <f>(B64-C64-D64-E64)*Controls!$H$12</f>
        <v>8316047.2499999991</v>
      </c>
      <c r="G64" s="26">
        <f>(B64-C64-D64-E64)*Controls!$H$13</f>
        <v>5940033.75</v>
      </c>
    </row>
    <row r="65" spans="1:7" x14ac:dyDescent="0.25">
      <c r="A65" t="s">
        <v>149</v>
      </c>
      <c r="B65" s="26">
        <v>58461900</v>
      </c>
      <c r="C65" s="29">
        <f>B65*Controls!$H$9</f>
        <v>5846190</v>
      </c>
      <c r="D65" s="26">
        <f>(B65-C65)*Controls!$H$10</f>
        <v>13153927.5</v>
      </c>
      <c r="E65" s="29">
        <f>(B65-C65-D65)*Controls!$H$11</f>
        <v>15784713</v>
      </c>
      <c r="F65" s="26">
        <f>(B65-C65-D65-E65)*Controls!$H$12</f>
        <v>8286974.3249999993</v>
      </c>
      <c r="G65" s="26">
        <f>(B65-C65-D65-E65)*Controls!$H$13</f>
        <v>5919267.375</v>
      </c>
    </row>
    <row r="66" spans="1:7" x14ac:dyDescent="0.25">
      <c r="A66" t="s">
        <v>150</v>
      </c>
      <c r="B66" s="26">
        <v>58097900</v>
      </c>
      <c r="C66" s="29">
        <f>B66*Controls!$H$9</f>
        <v>5809790</v>
      </c>
      <c r="D66" s="26">
        <f>(B66-C66)*Controls!$H$10</f>
        <v>13072027.5</v>
      </c>
      <c r="E66" s="29">
        <f>(B66-C66-D66)*Controls!$H$11</f>
        <v>15686433</v>
      </c>
      <c r="F66" s="26">
        <f>(B66-C66-D66-E66)*Controls!$H$12</f>
        <v>8235377.3249999993</v>
      </c>
      <c r="G66" s="26">
        <f>(B66-C66-D66-E66)*Controls!$H$13</f>
        <v>5882412.375</v>
      </c>
    </row>
    <row r="67" spans="1:7" x14ac:dyDescent="0.25">
      <c r="A67" t="s">
        <v>114</v>
      </c>
      <c r="B67" s="26">
        <v>57400000</v>
      </c>
      <c r="C67" s="29">
        <f>B67*Controls!$H$9</f>
        <v>5740000</v>
      </c>
      <c r="D67" s="26">
        <f>(B67-C67)*Controls!$H$10</f>
        <v>12915000</v>
      </c>
      <c r="E67" s="29">
        <f>(B67-C67-D67)*Controls!$H$11</f>
        <v>15498000</v>
      </c>
      <c r="F67" s="26">
        <f>(B67-C67-D67-E67)*Controls!$H$12</f>
        <v>8136449.9999999991</v>
      </c>
      <c r="G67" s="26">
        <f>(B67-C67-D67-E67)*Controls!$H$13</f>
        <v>5811750</v>
      </c>
    </row>
    <row r="68" spans="1:7" x14ac:dyDescent="0.25">
      <c r="A68" t="s">
        <v>192</v>
      </c>
      <c r="B68" s="26">
        <v>56011900</v>
      </c>
      <c r="C68" s="29">
        <f>B68*Controls!$H$9</f>
        <v>5601190</v>
      </c>
      <c r="D68" s="26">
        <f>(B68-C68)*Controls!$H$10</f>
        <v>12602677.5</v>
      </c>
      <c r="E68" s="29">
        <f>(B68-C68-D68)*Controls!$H$11</f>
        <v>15123213</v>
      </c>
      <c r="F68" s="26">
        <f>(B68-C68-D68-E68)*Controls!$H$12</f>
        <v>7939686.8249999993</v>
      </c>
      <c r="G68" s="26">
        <f>(B68-C68-D68-E68)*Controls!$H$13</f>
        <v>5671204.875</v>
      </c>
    </row>
    <row r="69" spans="1:7" x14ac:dyDescent="0.25">
      <c r="A69" t="s">
        <v>151</v>
      </c>
      <c r="B69" s="26">
        <v>39989000</v>
      </c>
      <c r="C69" s="29">
        <f>B69*Controls!$H$9</f>
        <v>3998900</v>
      </c>
      <c r="D69" s="26">
        <f>(B69-C69)*Controls!$H$10</f>
        <v>8997525</v>
      </c>
      <c r="E69" s="29">
        <f>(B69-C69-D69)*Controls!$H$11</f>
        <v>10797030</v>
      </c>
      <c r="F69" s="26">
        <f>(B69-C69-D69-E69)*Controls!$H$12</f>
        <v>5668440.75</v>
      </c>
      <c r="G69" s="26">
        <f>(B69-C69-D69-E69)*Controls!$H$13</f>
        <v>4048886.25</v>
      </c>
    </row>
    <row r="70" spans="1:7" x14ac:dyDescent="0.25">
      <c r="A70" t="s">
        <v>152</v>
      </c>
      <c r="B70" s="26">
        <v>55491100</v>
      </c>
      <c r="C70" s="29">
        <f>B70*Controls!$H$9</f>
        <v>5549110</v>
      </c>
      <c r="D70" s="26">
        <f>(B70-C70)*Controls!$H$10</f>
        <v>12485497.5</v>
      </c>
      <c r="E70" s="29">
        <f>(B70-C70-D70)*Controls!$H$11</f>
        <v>14982597</v>
      </c>
      <c r="F70" s="26">
        <f>(B70-C70-D70-E70)*Controls!$H$12</f>
        <v>7865863.4249999998</v>
      </c>
      <c r="G70" s="26">
        <f>(B70-C70-D70-E70)*Controls!$H$13</f>
        <v>5618473.875</v>
      </c>
    </row>
    <row r="71" spans="1:7" x14ac:dyDescent="0.25">
      <c r="A71" t="s">
        <v>153</v>
      </c>
      <c r="B71" s="26">
        <v>55088600</v>
      </c>
      <c r="C71" s="29">
        <f>B71*Controls!$H$9</f>
        <v>5508860</v>
      </c>
      <c r="D71" s="26">
        <f>(B71-C71)*Controls!$H$10</f>
        <v>12394935</v>
      </c>
      <c r="E71" s="29">
        <f>(B71-C71-D71)*Controls!$H$11</f>
        <v>14873922</v>
      </c>
      <c r="F71" s="26">
        <f>(B71-C71-D71-E71)*Controls!$H$12</f>
        <v>7808809.0499999998</v>
      </c>
      <c r="G71" s="26">
        <f>(B71-C71-D71-E71)*Controls!$H$13</f>
        <v>5577720.75</v>
      </c>
    </row>
    <row r="72" spans="1:7" x14ac:dyDescent="0.25">
      <c r="A72" t="s">
        <v>154</v>
      </c>
      <c r="B72" s="26">
        <v>54555200</v>
      </c>
      <c r="C72" s="29">
        <f>B72*Controls!$H$9</f>
        <v>5455520</v>
      </c>
      <c r="D72" s="26">
        <f>(B72-C72)*Controls!$H$10</f>
        <v>12274920</v>
      </c>
      <c r="E72" s="29">
        <f>(B72-C72-D72)*Controls!$H$11</f>
        <v>14729904</v>
      </c>
      <c r="F72" s="26">
        <f>(B72-C72-D72-E72)*Controls!$H$12</f>
        <v>7733199.5999999996</v>
      </c>
      <c r="G72" s="26">
        <f>(B72-C72-D72-E72)*Controls!$H$13</f>
        <v>5523714</v>
      </c>
    </row>
    <row r="73" spans="1:7" x14ac:dyDescent="0.25">
      <c r="A73" t="s">
        <v>155</v>
      </c>
      <c r="B73" s="26">
        <v>39927300</v>
      </c>
      <c r="C73" s="29">
        <f>B73*Controls!$H$9</f>
        <v>3992730</v>
      </c>
      <c r="D73" s="26">
        <f>(B73-C73)*Controls!$H$10</f>
        <v>8983642.5</v>
      </c>
      <c r="E73" s="29">
        <f>(B73-C73-D73)*Controls!$H$11</f>
        <v>10780371</v>
      </c>
      <c r="F73" s="26">
        <f>(B73-C73-D73-E73)*Controls!$H$12</f>
        <v>5659694.7749999994</v>
      </c>
      <c r="G73" s="26">
        <f>(B73-C73-D73-E73)*Controls!$H$13</f>
        <v>4042639.125</v>
      </c>
    </row>
    <row r="74" spans="1:7" x14ac:dyDescent="0.25">
      <c r="A74" t="s">
        <v>122</v>
      </c>
      <c r="B74" s="26">
        <v>52598700</v>
      </c>
      <c r="C74" s="29">
        <f>B74*Controls!$H$9</f>
        <v>5259870</v>
      </c>
      <c r="D74" s="26">
        <f>(B74-C74)*Controls!$H$10</f>
        <v>11834707.5</v>
      </c>
      <c r="E74" s="29">
        <f>(B74-C74-D74)*Controls!$H$11</f>
        <v>14201649</v>
      </c>
      <c r="F74" s="26">
        <f>(B74-C74-D74-E74)*Controls!$H$12</f>
        <v>7455865.7249999996</v>
      </c>
      <c r="G74" s="26">
        <f>(B74-C74-D74-E74)*Controls!$H$13</f>
        <v>5325618.375</v>
      </c>
    </row>
    <row r="75" spans="1:7" x14ac:dyDescent="0.25">
      <c r="A75" t="s">
        <v>113</v>
      </c>
      <c r="B75" s="26">
        <v>51249800</v>
      </c>
      <c r="C75" s="29">
        <f>B75*Controls!$H$9</f>
        <v>5124980</v>
      </c>
      <c r="D75" s="26">
        <f>(B75-C75)*Controls!$H$10</f>
        <v>11531205</v>
      </c>
      <c r="E75" s="29">
        <f>(B75-C75-D75)*Controls!$H$11</f>
        <v>13837446</v>
      </c>
      <c r="F75" s="26">
        <f>(B75-C75-D75-E75)*Controls!$H$12</f>
        <v>7264659.1499999994</v>
      </c>
      <c r="G75" s="26">
        <f>(B75-C75-D75-E75)*Controls!$H$13</f>
        <v>5189042.25</v>
      </c>
    </row>
    <row r="76" spans="1:7" x14ac:dyDescent="0.25">
      <c r="A76" t="s">
        <v>156</v>
      </c>
      <c r="B76" s="26">
        <v>50656200</v>
      </c>
      <c r="C76" s="29">
        <f>B76*Controls!$H$9</f>
        <v>5065620</v>
      </c>
      <c r="D76" s="26">
        <f>(B76-C76)*Controls!$H$10</f>
        <v>11397645</v>
      </c>
      <c r="E76" s="29">
        <f>(B76-C76-D76)*Controls!$H$11</f>
        <v>13677174</v>
      </c>
      <c r="F76" s="26">
        <f>(B76-C76-D76-E76)*Controls!$H$12</f>
        <v>7180516.3499999996</v>
      </c>
      <c r="G76" s="26">
        <f>(B76-C76-D76-E76)*Controls!$H$13</f>
        <v>5128940.25</v>
      </c>
    </row>
    <row r="77" spans="1:7" x14ac:dyDescent="0.25">
      <c r="A77" t="s">
        <v>157</v>
      </c>
      <c r="B77" s="26">
        <v>50381800</v>
      </c>
      <c r="C77" s="29">
        <f>B77*Controls!$H$9</f>
        <v>5038180</v>
      </c>
      <c r="D77" s="26">
        <f>(B77-C77)*Controls!$H$10</f>
        <v>11335905</v>
      </c>
      <c r="E77" s="29">
        <f>(B77-C77-D77)*Controls!$H$11</f>
        <v>13603086</v>
      </c>
      <c r="F77" s="26">
        <f>(B77-C77-D77-E77)*Controls!$H$12</f>
        <v>7141620.1499999994</v>
      </c>
      <c r="G77" s="26">
        <f>(B77-C77-D77-E77)*Controls!$H$13</f>
        <v>5101157.25</v>
      </c>
    </row>
    <row r="78" spans="1:7" x14ac:dyDescent="0.25">
      <c r="A78" t="s">
        <v>158</v>
      </c>
      <c r="B78" s="26">
        <v>50296400</v>
      </c>
      <c r="C78" s="29">
        <f>B78*Controls!$H$9</f>
        <v>5029640</v>
      </c>
      <c r="D78" s="26">
        <f>(B78-C78)*Controls!$H$10</f>
        <v>11316690</v>
      </c>
      <c r="E78" s="29">
        <f>(B78-C78-D78)*Controls!$H$11</f>
        <v>13580028</v>
      </c>
      <c r="F78" s="26">
        <f>(B78-C78-D78-E78)*Controls!$H$12</f>
        <v>7129514.6999999993</v>
      </c>
      <c r="G78" s="26">
        <f>(B78-C78-D78-E78)*Controls!$H$13</f>
        <v>5092510.5</v>
      </c>
    </row>
    <row r="79" spans="1:7" x14ac:dyDescent="0.25">
      <c r="A79" t="s">
        <v>189</v>
      </c>
      <c r="B79" s="26">
        <v>49044100</v>
      </c>
      <c r="C79" s="29">
        <f>B79*Controls!$H$9</f>
        <v>4904410</v>
      </c>
      <c r="D79" s="26">
        <f>(B79-C79)*Controls!$H$10</f>
        <v>11034922.5</v>
      </c>
      <c r="E79" s="29">
        <f>(B79-C79-D79)*Controls!$H$11</f>
        <v>13241907</v>
      </c>
      <c r="F79" s="26">
        <f>(B79-C79-D79-E79)*Controls!$H$12</f>
        <v>6952001.1749999998</v>
      </c>
      <c r="G79" s="26">
        <f>(B79-C79-D79-E79)*Controls!$H$13</f>
        <v>4965715.125</v>
      </c>
    </row>
    <row r="80" spans="1:7" x14ac:dyDescent="0.25">
      <c r="A80" t="s">
        <v>190</v>
      </c>
      <c r="B80" s="26">
        <v>48351800</v>
      </c>
      <c r="C80" s="29">
        <f>B80*Controls!$H$9</f>
        <v>4835180</v>
      </c>
      <c r="D80" s="26">
        <f>(B80-C80)*Controls!$H$10</f>
        <v>10879155</v>
      </c>
      <c r="E80" s="29">
        <f>(B80-C80-D80)*Controls!$H$11</f>
        <v>13054986</v>
      </c>
      <c r="F80" s="26">
        <f>(B80-C80-D80-E80)*Controls!$H$12</f>
        <v>6853867.6499999994</v>
      </c>
      <c r="G80" s="26">
        <f>(B80-C80-D80-E80)*Controls!$H$13</f>
        <v>4895619.75</v>
      </c>
    </row>
    <row r="81" spans="1:7" x14ac:dyDescent="0.25">
      <c r="A81" t="s">
        <v>114</v>
      </c>
      <c r="B81" s="26">
        <v>47919200</v>
      </c>
      <c r="C81" s="29">
        <f>B81*Controls!$H$9</f>
        <v>4791920</v>
      </c>
      <c r="D81" s="26">
        <f>(B81-C81)*Controls!$H$10</f>
        <v>10781820</v>
      </c>
      <c r="E81" s="29">
        <f>(B81-C81-D81)*Controls!$H$11</f>
        <v>12938184</v>
      </c>
      <c r="F81" s="26">
        <f>(B81-C81-D81-E81)*Controls!$H$12</f>
        <v>6792546.5999999996</v>
      </c>
      <c r="G81" s="26">
        <f>(B81-C81-D81-E81)*Controls!$H$13</f>
        <v>4851819</v>
      </c>
    </row>
    <row r="82" spans="1:7" x14ac:dyDescent="0.25">
      <c r="A82" t="s">
        <v>159</v>
      </c>
      <c r="B82" s="26">
        <v>46183200</v>
      </c>
      <c r="C82" s="29">
        <f>B82*Controls!$H$9</f>
        <v>4618320</v>
      </c>
      <c r="D82" s="26">
        <f>(B82-C82)*Controls!$H$10</f>
        <v>10391220</v>
      </c>
      <c r="E82" s="29">
        <f>(B82-C82-D82)*Controls!$H$11</f>
        <v>12469464</v>
      </c>
      <c r="F82" s="26">
        <f>(B82-C82-D82-E82)*Controls!$H$12</f>
        <v>6546468.5999999996</v>
      </c>
      <c r="G82" s="26">
        <f>(B82-C82-D82-E82)*Controls!$H$13</f>
        <v>4676049</v>
      </c>
    </row>
    <row r="83" spans="1:7" x14ac:dyDescent="0.25">
      <c r="A83" t="s">
        <v>160</v>
      </c>
      <c r="B83" s="26">
        <v>34421625</v>
      </c>
      <c r="C83" s="29">
        <f>B83*Controls!$H$9</f>
        <v>3442162.5</v>
      </c>
      <c r="D83" s="26">
        <f>(B83-C83)*Controls!$H$10</f>
        <v>7744865.625</v>
      </c>
      <c r="E83" s="29">
        <f>(B83-C83-D83)*Controls!$H$11</f>
        <v>9293838.75</v>
      </c>
      <c r="F83" s="26">
        <f>(B83-C83-D83-E83)*Controls!$H$12</f>
        <v>4879265.34375</v>
      </c>
      <c r="G83" s="26">
        <f>(B83-C83-D83-E83)*Controls!$H$13</f>
        <v>3485189.53125</v>
      </c>
    </row>
    <row r="84" spans="1:7" x14ac:dyDescent="0.25">
      <c r="A84" t="s">
        <v>161</v>
      </c>
      <c r="B84" s="26">
        <v>44403100</v>
      </c>
      <c r="C84" s="29">
        <f>B84*Controls!$H$9</f>
        <v>4440310</v>
      </c>
      <c r="D84" s="26">
        <f>(B84-C84)*Controls!$H$10</f>
        <v>9990697.5</v>
      </c>
      <c r="E84" s="29">
        <f>(B84-C84-D84)*Controls!$H$11</f>
        <v>11988837</v>
      </c>
      <c r="F84" s="26">
        <f>(B84-C84-D84-E84)*Controls!$H$12</f>
        <v>6294139.4249999998</v>
      </c>
      <c r="G84" s="26">
        <f>(B84-C84-D84-E84)*Controls!$H$13</f>
        <v>4495813.875</v>
      </c>
    </row>
    <row r="85" spans="1:7" x14ac:dyDescent="0.25">
      <c r="A85" t="s">
        <v>113</v>
      </c>
      <c r="B85" s="26">
        <v>44222500</v>
      </c>
      <c r="C85" s="29">
        <f>B85*Controls!$H$9</f>
        <v>4422250</v>
      </c>
      <c r="D85" s="26">
        <f>(B85-C85)*Controls!$H$10</f>
        <v>9950062.5</v>
      </c>
      <c r="E85" s="29">
        <f>(B85-C85-D85)*Controls!$H$11</f>
        <v>11940075</v>
      </c>
      <c r="F85" s="26">
        <f>(B85-C85-D85-E85)*Controls!$H$12</f>
        <v>6268539.375</v>
      </c>
      <c r="G85" s="26">
        <f>(B85-C85-D85-E85)*Controls!$H$13</f>
        <v>4477528.125</v>
      </c>
    </row>
    <row r="86" spans="1:7" x14ac:dyDescent="0.25">
      <c r="A86" t="s">
        <v>162</v>
      </c>
      <c r="B86" s="26">
        <v>43026200</v>
      </c>
      <c r="C86" s="29">
        <f>B86*Controls!$H$9</f>
        <v>4302620</v>
      </c>
      <c r="D86" s="26">
        <f>(B86-C86)*Controls!$H$10</f>
        <v>9680895</v>
      </c>
      <c r="E86" s="29">
        <f>(B86-C86-D86)*Controls!$H$11</f>
        <v>11617074</v>
      </c>
      <c r="F86" s="26">
        <f>(B86-C86-D86-E86)*Controls!$H$12</f>
        <v>6098963.8499999996</v>
      </c>
      <c r="G86" s="26">
        <f>(B86-C86-D86-E86)*Controls!$H$13</f>
        <v>4356402.75</v>
      </c>
    </row>
    <row r="87" spans="1:7" x14ac:dyDescent="0.25">
      <c r="A87" t="s">
        <v>149</v>
      </c>
      <c r="B87" s="26">
        <v>42003500</v>
      </c>
      <c r="C87" s="29">
        <f>B87*Controls!$H$9</f>
        <v>4200350</v>
      </c>
      <c r="D87" s="26">
        <f>(B87-C87)*Controls!$H$10</f>
        <v>9450787.5</v>
      </c>
      <c r="E87" s="29">
        <f>(B87-C87-D87)*Controls!$H$11</f>
        <v>11340945</v>
      </c>
      <c r="F87" s="26">
        <f>(B87-C87-D87-E87)*Controls!$H$12</f>
        <v>5953996.125</v>
      </c>
      <c r="G87" s="26">
        <f>(B87-C87-D87-E87)*Controls!$H$13</f>
        <v>4252854.375</v>
      </c>
    </row>
    <row r="88" spans="1:7" x14ac:dyDescent="0.25">
      <c r="A88" t="s">
        <v>110</v>
      </c>
      <c r="B88" s="26">
        <v>29730000</v>
      </c>
      <c r="C88" s="29">
        <f>B88*Controls!$H$9</f>
        <v>2973000</v>
      </c>
      <c r="D88" s="26">
        <f>(B88-C88)*Controls!$H$10</f>
        <v>6689250</v>
      </c>
      <c r="E88" s="29">
        <f>(B88-C88-D88)*Controls!$H$11</f>
        <v>8027100</v>
      </c>
      <c r="F88" s="26">
        <f>(B88-C88-D88-E88)*Controls!$H$12</f>
        <v>4214227.5</v>
      </c>
      <c r="G88" s="26">
        <f>(B88-C88-D88-E88)*Controls!$H$13</f>
        <v>3010162.5</v>
      </c>
    </row>
    <row r="89" spans="1:7" x14ac:dyDescent="0.25">
      <c r="A89" t="s">
        <v>110</v>
      </c>
      <c r="B89" s="26">
        <v>29504000</v>
      </c>
      <c r="C89" s="29">
        <f>B89*Controls!$H$9</f>
        <v>2950400</v>
      </c>
      <c r="D89" s="26">
        <f>(B89-C89)*Controls!$H$10</f>
        <v>6638400</v>
      </c>
      <c r="E89" s="29">
        <f>(B89-C89-D89)*Controls!$H$11</f>
        <v>7966080</v>
      </c>
      <c r="F89" s="26">
        <f>(B89-C89-D89-E89)*Controls!$H$12</f>
        <v>4182191.9999999995</v>
      </c>
      <c r="G89" s="26">
        <f>(B89-C89-D89-E89)*Controls!$H$13</f>
        <v>2987280</v>
      </c>
    </row>
    <row r="90" spans="1:7" x14ac:dyDescent="0.25">
      <c r="A90" t="s">
        <v>128</v>
      </c>
      <c r="B90" s="26">
        <v>39439400</v>
      </c>
      <c r="C90" s="29">
        <f>B90*Controls!$H$9</f>
        <v>3943940</v>
      </c>
      <c r="D90" s="26">
        <f>(B90-C90)*Controls!$H$10</f>
        <v>8873865</v>
      </c>
      <c r="E90" s="29">
        <f>(B90-C90-D90)*Controls!$H$11</f>
        <v>10648638</v>
      </c>
      <c r="F90" s="26">
        <f>(B90-C90-D90-E90)*Controls!$H$12</f>
        <v>5590534.9499999993</v>
      </c>
      <c r="G90" s="26">
        <f>(B90-C90-D90-E90)*Controls!$H$13</f>
        <v>3993239.25</v>
      </c>
    </row>
    <row r="91" spans="1:7" x14ac:dyDescent="0.25">
      <c r="A91" t="s">
        <v>189</v>
      </c>
      <c r="B91" s="26">
        <v>39356800</v>
      </c>
      <c r="C91" s="29">
        <f>B91*Controls!$H$9</f>
        <v>3935680</v>
      </c>
      <c r="D91" s="26">
        <f>(B91-C91)*Controls!$H$10</f>
        <v>8855280</v>
      </c>
      <c r="E91" s="29">
        <f>(B91-C91-D91)*Controls!$H$11</f>
        <v>10626336</v>
      </c>
      <c r="F91" s="26">
        <f>(B91-C91-D91-E91)*Controls!$H$12</f>
        <v>5578826.3999999994</v>
      </c>
      <c r="G91" s="26">
        <f>(B91-C91-D91-E91)*Controls!$H$13</f>
        <v>3984876</v>
      </c>
    </row>
    <row r="92" spans="1:7" x14ac:dyDescent="0.25">
      <c r="A92" t="s">
        <v>165</v>
      </c>
      <c r="B92" s="26">
        <v>38522400</v>
      </c>
      <c r="C92" s="29">
        <f>B92*Controls!$H$9</f>
        <v>3852240</v>
      </c>
      <c r="D92" s="26">
        <f>(B92-C92)*Controls!$H$10</f>
        <v>8667540</v>
      </c>
      <c r="E92" s="29">
        <f>(B92-C92-D92)*Controls!$H$11</f>
        <v>10401048</v>
      </c>
      <c r="F92" s="26">
        <f>(B92-C92-D92-E92)*Controls!$H$12</f>
        <v>5460550.1999999993</v>
      </c>
      <c r="G92" s="26">
        <f>(B92-C92-D92-E92)*Controls!$H$13</f>
        <v>3900393</v>
      </c>
    </row>
    <row r="93" spans="1:7" x14ac:dyDescent="0.25">
      <c r="A93" t="s">
        <v>168</v>
      </c>
      <c r="B93" s="26">
        <v>37555700</v>
      </c>
      <c r="C93" s="29">
        <f>B93*Controls!$H$9</f>
        <v>3755570</v>
      </c>
      <c r="D93" s="26">
        <f>(B93-C93)*Controls!$H$10</f>
        <v>8450032.5</v>
      </c>
      <c r="E93" s="29">
        <f>(B93-C93-D93)*Controls!$H$11</f>
        <v>10140039</v>
      </c>
      <c r="F93" s="26">
        <f>(B93-C93-D93-E93)*Controls!$H$12</f>
        <v>5323520.4749999996</v>
      </c>
      <c r="G93" s="26">
        <f>(B93-C93-D93-E93)*Controls!$H$13</f>
        <v>3802514.625</v>
      </c>
    </row>
    <row r="94" spans="1:7" x14ac:dyDescent="0.25">
      <c r="A94" t="s">
        <v>167</v>
      </c>
      <c r="B94" s="26">
        <v>37457000</v>
      </c>
      <c r="C94" s="29">
        <f>B94*Controls!$H$9</f>
        <v>3745700</v>
      </c>
      <c r="D94" s="26">
        <f>(B94-C94)*Controls!$H$10</f>
        <v>8427825</v>
      </c>
      <c r="E94" s="29">
        <f>(B94-C94-D94)*Controls!$H$11</f>
        <v>10113390</v>
      </c>
      <c r="F94" s="26">
        <f>(B94-C94-D94-E94)*Controls!$H$12</f>
        <v>5309529.75</v>
      </c>
      <c r="G94" s="26">
        <f>(B94-C94-D94-E94)*Controls!$H$13</f>
        <v>3792521.25</v>
      </c>
    </row>
    <row r="95" spans="1:7" x14ac:dyDescent="0.25">
      <c r="A95" t="s">
        <v>142</v>
      </c>
      <c r="B95" s="26">
        <v>37265200</v>
      </c>
      <c r="C95" s="29">
        <f>B95*Controls!$H$9</f>
        <v>3726520</v>
      </c>
      <c r="D95" s="26">
        <f>(B95-C95)*Controls!$H$10</f>
        <v>8384670</v>
      </c>
      <c r="E95" s="29">
        <f>(B95-C95-D95)*Controls!$H$11</f>
        <v>10061604</v>
      </c>
      <c r="F95" s="26">
        <f>(B95-C95-D95-E95)*Controls!$H$12</f>
        <v>5282342.0999999996</v>
      </c>
      <c r="G95" s="26">
        <f>(B95-C95-D95-E95)*Controls!$H$13</f>
        <v>3773101.5</v>
      </c>
    </row>
    <row r="96" spans="1:7" x14ac:dyDescent="0.25">
      <c r="A96" t="s">
        <v>166</v>
      </c>
      <c r="B96" s="26">
        <v>26601500</v>
      </c>
      <c r="C96" s="29">
        <f>B96*Controls!$H$9</f>
        <v>2660150</v>
      </c>
      <c r="D96" s="26">
        <f>(B96-C96)*Controls!$H$10</f>
        <v>5985337.5</v>
      </c>
      <c r="E96" s="29">
        <f>(B96-C96-D96)*Controls!$H$11</f>
        <v>7182405</v>
      </c>
      <c r="F96" s="26">
        <f>(B96-C96-D96-E96)*Controls!$H$12</f>
        <v>3770762.6249999995</v>
      </c>
      <c r="G96" s="26">
        <f>(B96-C96-D96-E96)*Controls!$H$13</f>
        <v>2693401.875</v>
      </c>
    </row>
    <row r="97" spans="1:7" x14ac:dyDescent="0.25">
      <c r="A97" t="s">
        <v>164</v>
      </c>
      <c r="B97" s="26">
        <v>35441700</v>
      </c>
      <c r="C97" s="29">
        <f>B97*Controls!$H$9</f>
        <v>3544170</v>
      </c>
      <c r="D97" s="26">
        <f>(B97-C97)*Controls!$H$10</f>
        <v>7974382.5</v>
      </c>
      <c r="E97" s="29">
        <f>(B97-C97-D97)*Controls!$H$11</f>
        <v>9569259</v>
      </c>
      <c r="F97" s="26">
        <f>(B97-C97-D97-E97)*Controls!$H$12</f>
        <v>5023860.9749999996</v>
      </c>
      <c r="G97" s="26">
        <f>(B97-C97-D97-E97)*Controls!$H$13</f>
        <v>3588472.125</v>
      </c>
    </row>
    <row r="98" spans="1:7" x14ac:dyDescent="0.25">
      <c r="A98" t="s">
        <v>114</v>
      </c>
      <c r="B98" s="26">
        <v>35042000</v>
      </c>
      <c r="C98" s="29">
        <f>B98*Controls!$H$9</f>
        <v>3504200</v>
      </c>
      <c r="D98" s="26">
        <f>(B98-C98)*Controls!$H$10</f>
        <v>7884450</v>
      </c>
      <c r="E98" s="29">
        <f>(B98-C98-D98)*Controls!$H$11</f>
        <v>9461340</v>
      </c>
      <c r="F98" s="26">
        <f>(B98-C98-D98-E98)*Controls!$H$12</f>
        <v>4967203.5</v>
      </c>
      <c r="G98" s="26">
        <f>(B98-C98-D98-E98)*Controls!$H$13</f>
        <v>3548002.5</v>
      </c>
    </row>
    <row r="99" spans="1:7" x14ac:dyDescent="0.25">
      <c r="A99" t="s">
        <v>152</v>
      </c>
      <c r="B99" s="26">
        <v>34745900</v>
      </c>
      <c r="C99" s="29">
        <f>B99*Controls!$H$9</f>
        <v>3474590</v>
      </c>
      <c r="D99" s="26">
        <f>(B99-C99)*Controls!$H$10</f>
        <v>7817827.5</v>
      </c>
      <c r="E99" s="29">
        <f>(B99-C99-D99)*Controls!$H$11</f>
        <v>9381393</v>
      </c>
      <c r="F99" s="26">
        <f>(B99-C99-D99-E99)*Controls!$H$12</f>
        <v>4925231.3249999993</v>
      </c>
      <c r="G99" s="26">
        <f>(B99-C99-D99-E99)*Controls!$H$13</f>
        <v>3518022.375</v>
      </c>
    </row>
    <row r="100" spans="1:7" x14ac:dyDescent="0.25">
      <c r="A100" t="s">
        <v>163</v>
      </c>
      <c r="B100" s="26">
        <v>34617800</v>
      </c>
      <c r="C100" s="29">
        <f>B100*Controls!$H$9</f>
        <v>3461780</v>
      </c>
      <c r="D100" s="26">
        <f>(B100-C100)*Controls!$H$10</f>
        <v>7789005</v>
      </c>
      <c r="E100" s="29">
        <f>(B100-C100-D100)*Controls!$H$11</f>
        <v>9346806</v>
      </c>
      <c r="F100" s="26">
        <f>(B100-C100-D100-E100)*Controls!$H$12</f>
        <v>4907073.1499999994</v>
      </c>
      <c r="G100" s="26">
        <f>(B100-C100-D100-E100)*Controls!$H$13</f>
        <v>3505052.25</v>
      </c>
    </row>
    <row r="101" spans="1:7" x14ac:dyDescent="0.25">
      <c r="A101" t="s">
        <v>127</v>
      </c>
      <c r="B101" s="26">
        <v>33737200</v>
      </c>
      <c r="C101" s="29">
        <f>B101*Controls!$H$9</f>
        <v>3373720</v>
      </c>
      <c r="D101" s="26">
        <f>(B101-C101)*Controls!$H$10</f>
        <v>7590870</v>
      </c>
      <c r="E101" s="29">
        <f>(B101-C101-D101)*Controls!$H$11</f>
        <v>9109044</v>
      </c>
      <c r="F101" s="26">
        <f>(B101-C101-D101-E101)*Controls!$H$12</f>
        <v>4782248.0999999996</v>
      </c>
      <c r="G101" s="26">
        <f>(B101-C101-D101-E101)*Controls!$H$13</f>
        <v>3415891.5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A30" sqref="A30"/>
    </sheetView>
  </sheetViews>
  <sheetFormatPr defaultRowHeight="15" x14ac:dyDescent="0.25"/>
  <cols>
    <col min="1" max="1" width="47.7109375" bestFit="1" customWidth="1"/>
    <col min="2" max="2" width="19" bestFit="1" customWidth="1"/>
    <col min="3" max="3" width="6.140625" bestFit="1" customWidth="1"/>
    <col min="4" max="4" width="19" bestFit="1" customWidth="1"/>
    <col min="5" max="5" width="16.28515625" bestFit="1" customWidth="1"/>
    <col min="6" max="7" width="18" bestFit="1" customWidth="1"/>
    <col min="8" max="9" width="16.28515625" bestFit="1" customWidth="1"/>
    <col min="10" max="11" width="18" bestFit="1" customWidth="1"/>
    <col min="12" max="14" width="6.140625" bestFit="1" customWidth="1"/>
  </cols>
  <sheetData>
    <row r="1" spans="1:14" ht="15.75" thickBot="1" x14ac:dyDescent="0.3">
      <c r="A1" s="68"/>
      <c r="B1" s="68"/>
    </row>
    <row r="2" spans="1:14" x14ac:dyDescent="0.25">
      <c r="A2" s="70" t="s">
        <v>223</v>
      </c>
      <c r="B2" s="73">
        <f>SUM(Municipalities!K2:K101)</f>
        <v>14617057600</v>
      </c>
    </row>
    <row r="3" spans="1:14" x14ac:dyDescent="0.25">
      <c r="A3" s="71" t="s">
        <v>224</v>
      </c>
      <c r="B3" s="74">
        <f>MAX(Municipalities!K2:K101) - MIN(Municipalities!K2:K101)</f>
        <v>1803940500</v>
      </c>
    </row>
    <row r="4" spans="1:14" ht="15.75" thickBot="1" x14ac:dyDescent="0.3">
      <c r="A4" s="72" t="s">
        <v>225</v>
      </c>
      <c r="B4" s="75">
        <f>AVERAGE(Accounts!E2:E101)</f>
        <v>39466055.520000003</v>
      </c>
    </row>
    <row r="5" spans="1:14" ht="15.75" thickBot="1" x14ac:dyDescent="0.3"/>
    <row r="6" spans="1:14" ht="15.75" thickBot="1" x14ac:dyDescent="0.3">
      <c r="A6" s="24" t="s">
        <v>220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25"/>
    </row>
    <row r="7" spans="1:14" ht="15.75" thickBot="1" x14ac:dyDescent="0.3">
      <c r="A7" s="12" t="s">
        <v>219</v>
      </c>
      <c r="B7" s="47" t="s">
        <v>206</v>
      </c>
      <c r="C7" s="48" t="s">
        <v>215</v>
      </c>
      <c r="D7" s="48" t="s">
        <v>207</v>
      </c>
      <c r="E7" s="48" t="s">
        <v>208</v>
      </c>
      <c r="F7" s="48" t="s">
        <v>209</v>
      </c>
      <c r="G7" s="48" t="s">
        <v>210</v>
      </c>
      <c r="H7" s="48" t="s">
        <v>211</v>
      </c>
      <c r="I7" s="48" t="s">
        <v>212</v>
      </c>
      <c r="J7" s="48" t="s">
        <v>213</v>
      </c>
      <c r="K7" s="48" t="s">
        <v>214</v>
      </c>
      <c r="L7" s="48" t="s">
        <v>216</v>
      </c>
      <c r="M7" s="48" t="s">
        <v>217</v>
      </c>
      <c r="N7" s="49" t="s">
        <v>218</v>
      </c>
    </row>
    <row r="8" spans="1:14" x14ac:dyDescent="0.25">
      <c r="A8" s="50" t="s">
        <v>226</v>
      </c>
      <c r="B8" s="51">
        <f>COUNTIF(Municipalities!$D$2:$D$101,B7)</f>
        <v>1</v>
      </c>
      <c r="C8" s="51">
        <f>COUNTIF(Municipalities!$D$2:$D$101,C7)</f>
        <v>0</v>
      </c>
      <c r="D8" s="51">
        <f>COUNTIF(Municipalities!$D$2:$D$101,D7)</f>
        <v>2</v>
      </c>
      <c r="E8" s="51">
        <f>COUNTIF(Municipalities!$D$2:$D$101,E7)</f>
        <v>3</v>
      </c>
      <c r="F8" s="51">
        <f>COUNTIF(Municipalities!$D$2:$D$101,F7)</f>
        <v>19</v>
      </c>
      <c r="G8" s="51">
        <f>COUNTIF(Municipalities!$D$2:$D$101,G7)</f>
        <v>43</v>
      </c>
      <c r="H8" s="51">
        <f>COUNTIF(Municipalities!$D$2:$D$101,H7)</f>
        <v>1</v>
      </c>
      <c r="I8" s="51">
        <f>COUNTIF(Municipalities!$D$2:$D$101,I7)</f>
        <v>2</v>
      </c>
      <c r="J8" s="51">
        <f>COUNTIF(Municipalities!$D$2:$D$101,J7)</f>
        <v>9</v>
      </c>
      <c r="K8" s="51">
        <f>COUNTIF(Municipalities!$D$2:$D$101,K7)</f>
        <v>20</v>
      </c>
      <c r="L8" s="51">
        <f>COUNTIF(Municipalities!$D$2:$D$101,L7)</f>
        <v>0</v>
      </c>
      <c r="M8" s="51">
        <f>COUNTIF(Municipalities!$D$2:$D$101,M7)</f>
        <v>0</v>
      </c>
      <c r="N8" s="52">
        <f>COUNTIF(Municipalities!$D$2:$D$101,N7)</f>
        <v>0</v>
      </c>
    </row>
    <row r="9" spans="1:14" x14ac:dyDescent="0.25">
      <c r="A9" s="53" t="s">
        <v>227</v>
      </c>
      <c r="B9" s="54">
        <f>SUMIF(Municipalities!$D$2:$D$101,B7,Municipalities!$H$2:$H$101)</f>
        <v>106172</v>
      </c>
      <c r="C9" s="54">
        <f>SUMIF(Municipalities!$D$2:$D$101,C7,Municipalities!$H$2:$H$101)</f>
        <v>0</v>
      </c>
      <c r="D9" s="54">
        <f>SUMIF(Municipalities!$D$2:$D$101,D7,Municipalities!$H$2:$H$101)</f>
        <v>487494</v>
      </c>
      <c r="E9" s="54">
        <f>SUMIF(Municipalities!$D$2:$D$101,E7,Municipalities!$H$2:$H$101)</f>
        <v>195361</v>
      </c>
      <c r="F9" s="54">
        <f>SUMIF(Municipalities!$D$2:$D$101,F7,Municipalities!$H$2:$H$101)</f>
        <v>4259333</v>
      </c>
      <c r="G9" s="54">
        <f>SUMIF(Municipalities!$D$2:$D$101,G7,Municipalities!$H$2:$H$101)</f>
        <v>10024025</v>
      </c>
      <c r="H9" s="54">
        <f>SUMIF(Municipalities!$D$2:$D$101,H7,Municipalities!$H$2:$H$101)</f>
        <v>663617</v>
      </c>
      <c r="I9" s="54">
        <f>SUMIF(Municipalities!$D$2:$D$101,I7,Municipalities!$H$2:$H$101)</f>
        <v>415289</v>
      </c>
      <c r="J9" s="54">
        <f>SUMIF(Municipalities!$D$2:$D$101,J7,Municipalities!$H$2:$H$101)</f>
        <v>2417673</v>
      </c>
      <c r="K9" s="54">
        <f>SUMIF(Municipalities!$D$2:$D$101,K7,Municipalities!$H$2:$H$101)</f>
        <v>2906894</v>
      </c>
      <c r="L9" s="54">
        <f>SUMIF(Municipalities!$D$2:$D$101,L7,Municipalities!$H$2:$H$101)</f>
        <v>0</v>
      </c>
      <c r="M9" s="54">
        <f>SUMIF(Municipalities!$D$2:$D$101,M7,Municipalities!$H$2:$H$101)</f>
        <v>0</v>
      </c>
      <c r="N9" s="55">
        <f>SUMIF(Municipalities!$D$2:$D$101,N7,Municipalities!$H$2:$H$101)</f>
        <v>0</v>
      </c>
    </row>
    <row r="10" spans="1:14" x14ac:dyDescent="0.25">
      <c r="A10" s="53" t="s">
        <v>228</v>
      </c>
      <c r="B10" s="56">
        <f>COUNTIFS(Municipalities!$D$2:$D$101,B7,Municipalities!$F$2:$F$101,"City")</f>
        <v>1</v>
      </c>
      <c r="C10" s="56">
        <f>COUNTIFS(Municipalities!$D$2:$D$101,C7,Municipalities!$F$2:$F$101,"City")</f>
        <v>0</v>
      </c>
      <c r="D10" s="56">
        <f>COUNTIFS(Municipalities!$D$2:$D$101,D7,Municipalities!$F$2:$F$101,"City")</f>
        <v>0</v>
      </c>
      <c r="E10" s="56">
        <f>COUNTIFS(Municipalities!$D$2:$D$101,E7,Municipalities!$F$2:$F$101,"City")</f>
        <v>3</v>
      </c>
      <c r="F10" s="56">
        <f>COUNTIFS(Municipalities!$D$2:$D$101,F7,Municipalities!$F$2:$F$101,"city")</f>
        <v>19</v>
      </c>
      <c r="G10" s="56">
        <f>COUNTIFS(Municipalities!$D$2:$D$101,G7,Municipalities!$F$2:$F$101,"City")</f>
        <v>32</v>
      </c>
      <c r="H10" s="56">
        <f>COUNTIFS(Municipalities!$D$2:$D$101,H7,Municipalities!$F$2:$F$101,"City")</f>
        <v>1</v>
      </c>
      <c r="I10" s="56">
        <f>COUNTIFS(Municipalities!$D$2:$D$101,I7,Municipalities!$F$2:$F$101,"City")</f>
        <v>2</v>
      </c>
      <c r="J10" s="56">
        <f>COUNTIFS(Municipalities!$D$2:$D$101,J7,Municipalities!$F$2:$F$101,"City")</f>
        <v>7</v>
      </c>
      <c r="K10" s="56">
        <f>COUNTIFS(Municipalities!$D$2:$D$101,K7,Municipalities!$F$2:$F$101,"City")</f>
        <v>15</v>
      </c>
      <c r="L10" s="56">
        <f>COUNTIFS(Municipalities!$D$2:$D$101,L7,Municipalities!$F$2:$F$101,"City")</f>
        <v>0</v>
      </c>
      <c r="M10" s="56">
        <f>COUNTIFS(Municipalities!$D$2:$D$101,M7,Municipalities!$F$2:$F$101,"City")</f>
        <v>0</v>
      </c>
      <c r="N10" s="57">
        <f>COUNTIFS(Municipalities!$D$2:$D$101,N7,Municipalities!$F$2:$F$101,"City")</f>
        <v>0</v>
      </c>
    </row>
    <row r="11" spans="1:14" x14ac:dyDescent="0.25">
      <c r="A11" s="58" t="s">
        <v>229</v>
      </c>
      <c r="B11" s="56">
        <f>COUNTIFS(Municipalities!$D$2:$D$101,B7,Municipalities!$F$2:$F$101,"town")</f>
        <v>0</v>
      </c>
      <c r="C11" s="56">
        <f>COUNTIFS(Municipalities!$D$2:$D$101,C7,Municipalities!$F$2:$F$101,"town")</f>
        <v>0</v>
      </c>
      <c r="D11" s="56">
        <f>COUNTIFS(Municipalities!$D$2:$D$101,D7,Municipalities!$F$2:$F$101,"town")</f>
        <v>0</v>
      </c>
      <c r="E11" s="56">
        <f>COUNTIFS(Municipalities!$D$2:$D$101,E7,Municipalities!$F$2:$F$101,"town")</f>
        <v>0</v>
      </c>
      <c r="F11" s="56">
        <f>COUNTIFS(Municipalities!$D$2:$D$101,F7,Municipalities!$F$2:$F$101,"town")</f>
        <v>0</v>
      </c>
      <c r="G11" s="56">
        <f>COUNTIFS(Municipalities!$D$2:$D$101,G7,Municipalities!$F$2:$F$101,"town")</f>
        <v>9</v>
      </c>
      <c r="H11" s="56">
        <f>COUNTIFS(Municipalities!$D$2:$D$101,H7,Municipalities!$F$2:$F$101,"town")</f>
        <v>0</v>
      </c>
      <c r="I11" s="56">
        <f>COUNTIFS(Municipalities!$D$2:$D$101,I7,Municipalities!$F$2:$F$101,"town")</f>
        <v>0</v>
      </c>
      <c r="J11" s="56">
        <f>COUNTIFS(Municipalities!$D$2:$D$101,J7,Municipalities!$F$2:$F$101,"town")</f>
        <v>0</v>
      </c>
      <c r="K11" s="56">
        <f>COUNTIFS(Municipalities!$D$2:$D$101,K7,Municipalities!$F$2:$F$101,"town")</f>
        <v>0</v>
      </c>
      <c r="L11" s="56">
        <f>COUNTIFS(Municipalities!$D$2:$D$101,L7,Municipalities!$F$2:$F$101,"town")</f>
        <v>0</v>
      </c>
      <c r="M11" s="56">
        <f>COUNTIFS(Municipalities!$D$2:$D$101,M7,Municipalities!$F$2:$F$101,"town")</f>
        <v>0</v>
      </c>
      <c r="N11" s="57">
        <f>COUNTIFS(Municipalities!$D$2:$D$101,N7,Municipalities!$F$2:$F$101,"town")</f>
        <v>0</v>
      </c>
    </row>
    <row r="12" spans="1:14" x14ac:dyDescent="0.25">
      <c r="A12" s="58" t="s">
        <v>230</v>
      </c>
      <c r="B12" s="56">
        <f>COUNTIFS(Municipalities!$D$2:$D$101,B7,Municipalities!$F$2:$F$101,"regional")</f>
        <v>0</v>
      </c>
      <c r="C12" s="56">
        <f>COUNTIFS(Municipalities!$D$2:$D$101,C7,Municipalities!$F$2:$F$101,"regional")</f>
        <v>0</v>
      </c>
      <c r="D12" s="56">
        <f>COUNTIFS(Municipalities!$D$2:$D$101,D7,Municipalities!$F$2:$F$101,"regional")</f>
        <v>2</v>
      </c>
      <c r="E12" s="56">
        <f>COUNTIFS(Municipalities!$D$2:$D$101,E7,Municipalities!$F$2:$F$101,"regional")</f>
        <v>0</v>
      </c>
      <c r="F12" s="56">
        <f>COUNTIFS(Municipalities!$D$2:$D$101,F7,Municipalities!$F$2:$F$101,"regional")</f>
        <v>0</v>
      </c>
      <c r="G12" s="56">
        <f>COUNTIFS(Municipalities!$D$2:$D$101,G7,Municipalities!$F$2:$F$101,"regional")</f>
        <v>2</v>
      </c>
      <c r="H12" s="56">
        <f>COUNTIFS(Municipalities!$D$2:$D$101,H7,Municipalities!$F$2:$F$101,"regional")</f>
        <v>0</v>
      </c>
      <c r="I12" s="56">
        <f>COUNTIFS(Municipalities!$D$2:$D$101,I7,Municipalities!$F$2:$F$101,"regional")</f>
        <v>0</v>
      </c>
      <c r="J12" s="56">
        <f>COUNTIFS(Municipalities!$D$2:$D$101,J7,Municipalities!$F$2:$F$101,"regional")</f>
        <v>2</v>
      </c>
      <c r="K12" s="56">
        <f>COUNTIFS(Municipalities!$D$2:$D$101,K7,Municipalities!$F$2:$F$101,"regional")</f>
        <v>5</v>
      </c>
      <c r="L12" s="56">
        <f>COUNTIFS(Municipalities!$D$2:$D$101,L7,Municipalities!$F$2:$F$101,"regional")</f>
        <v>0</v>
      </c>
      <c r="M12" s="56">
        <f>COUNTIFS(Municipalities!$D$2:$D$101,M7,Municipalities!$F$2:$F$101,"regional")</f>
        <v>0</v>
      </c>
      <c r="N12" s="57">
        <f>COUNTIFS(Municipalities!$D$2:$D$101,N7,Municipalities!$F$2:$F$101,"regional")</f>
        <v>0</v>
      </c>
    </row>
    <row r="13" spans="1:14" x14ac:dyDescent="0.25">
      <c r="A13" s="58" t="s">
        <v>231</v>
      </c>
      <c r="B13" s="59">
        <f>SUMIFS(Municipalities!$K$2:$K$101,Municipalities!$D$2:$D$101,B7,Municipalities!$F$2:$F$101,"city")</f>
        <v>74320400</v>
      </c>
      <c r="C13" s="59">
        <f>SUMIFS(Municipalities!$K$2:$K$101,Municipalities!$D$2:$D$101,C7,Municipalities!$F$2:$F$101,"city")</f>
        <v>0</v>
      </c>
      <c r="D13" s="59">
        <f>SUMIFS(Municipalities!$K$2:$K$101,Municipalities!$D$2:$D$101,D7,Municipalities!$F$2:$F$101,"city")</f>
        <v>0</v>
      </c>
      <c r="E13" s="59">
        <f>SUMIFS(Municipalities!$K$2:$K$101,Municipalities!$D$2:$D$101,E7,Municipalities!$F$2:$F$101,"city")</f>
        <v>136752700</v>
      </c>
      <c r="F13" s="59">
        <f>SUMIFS(Municipalities!$K$2:$K$101,Municipalities!$D$2:$D$101,F7,Municipalities!$F$2:$F$101,"city")</f>
        <v>2981533100</v>
      </c>
      <c r="G13" s="59">
        <f>SUMIFS(Municipalities!$K$2:$K$101,Municipalities!$D$2:$D$101,G7,Municipalities!$F$2:$F$101,"city")</f>
        <v>6230078400</v>
      </c>
      <c r="H13" s="59">
        <f>SUMIFS(Municipalities!$K$2:$K$101,Municipalities!$D$2:$D$101,H7,Municipalities!$F$2:$F$101,"city")</f>
        <v>464531900</v>
      </c>
      <c r="I13" s="59">
        <f>SUMIFS(Municipalities!$K$2:$K$101,Municipalities!$D$2:$D$101,I7,Municipalities!$F$2:$F$101,"city")</f>
        <v>290702300</v>
      </c>
      <c r="J13" s="59">
        <f>SUMIFS(Municipalities!$K$2:$K$101,Municipalities!$D$2:$D$101,J7,Municipalities!$F$2:$F$101,"city")</f>
        <v>1581732600</v>
      </c>
      <c r="K13" s="59">
        <f>SUMIFS(Municipalities!$K$2:$K$101,Municipalities!$D$2:$D$101,K7,Municipalities!$F$2:$F$101,"city")</f>
        <v>1702846600</v>
      </c>
      <c r="L13" s="59">
        <f>SUMIFS(Municipalities!$K$2:$K$101,Municipalities!$D$2:$D$101,L7,Municipalities!$F$2:$F$101,"city")</f>
        <v>0</v>
      </c>
      <c r="M13" s="59">
        <f>SUMIFS(Municipalities!$K$2:$K$101,Municipalities!$D$2:$D$101,M7,Municipalities!$F$2:$F$101,"city")</f>
        <v>0</v>
      </c>
      <c r="N13" s="60">
        <f>SUMIFS(Municipalities!$K$2:$K$101,Municipalities!$D$2:$D$101,N7,Municipalities!$F$2:$F$101,"city")</f>
        <v>0</v>
      </c>
    </row>
    <row r="14" spans="1:14" x14ac:dyDescent="0.25">
      <c r="A14" s="58" t="s">
        <v>232</v>
      </c>
      <c r="B14" s="59">
        <f>SUMIFS(Municipalities!$K$2:$K$101,Municipalities!$D$2:$D$101,B7,Municipalities!$F$2:$F$101,"town")</f>
        <v>0</v>
      </c>
      <c r="C14" s="59">
        <f>SUMIFS(Municipalities!$K$2:$K$101,Municipalities!$D$2:$D$101,C7,Municipalities!$F$2:$F$101,"town")</f>
        <v>0</v>
      </c>
      <c r="D14" s="59">
        <f>SUMIFS(Municipalities!$K$2:$K$101,Municipalities!$D$2:$D$101,D7,Municipalities!$F$2:$F$101,"town")</f>
        <v>0</v>
      </c>
      <c r="E14" s="59">
        <f>SUMIFS(Municipalities!$K$2:$K$101,Municipalities!$D$2:$D$101,E7,Municipalities!$F$2:$F$101,"town")</f>
        <v>0</v>
      </c>
      <c r="F14" s="59">
        <f>SUMIFS(Municipalities!$K$2:$K$101,Municipalities!$D$2:$D$101,F7,Municipalities!$F$2:$F$101,"town")</f>
        <v>0</v>
      </c>
      <c r="G14" s="59">
        <f>SUMIFS(Municipalities!$K$2:$K$101,Municipalities!$D$2:$D$101,G7,Municipalities!$F$2:$F$101,"town")</f>
        <v>467847000</v>
      </c>
      <c r="H14" s="59">
        <f>SUMIFS(Municipalities!$K$2:$K$101,Municipalities!$D$2:$D$101,H7,Municipalities!$F$2:$F$101,"town")</f>
        <v>0</v>
      </c>
      <c r="I14" s="59">
        <f>SUMIFS(Municipalities!$K$2:$K$101,Municipalities!$D$2:$D$101,I7,Municipalities!$F$2:$F$101,"town")</f>
        <v>0</v>
      </c>
      <c r="J14" s="59">
        <f>SUMIFS(Municipalities!$K$2:$K$101,Municipalities!$D$2:$D$101,J7,Municipalities!$F$2:$F$101,"town")</f>
        <v>0</v>
      </c>
      <c r="K14" s="59">
        <f>SUMIFS(Municipalities!$K$2:$K$101,Municipalities!$D$2:$D$101,K7,Municipalities!$F$2:$F$101,"town")</f>
        <v>0</v>
      </c>
      <c r="L14" s="59">
        <f>SUMIFS(Municipalities!$K$2:$K$101,Municipalities!$D$2:$D$101,L7,Municipalities!$F$2:$F$101,"town")</f>
        <v>0</v>
      </c>
      <c r="M14" s="59">
        <f>SUMIFS(Municipalities!$K$2:$K$101,Municipalities!$D$2:$D$101,M7,Municipalities!$F$2:$F$101,"town")</f>
        <v>0</v>
      </c>
      <c r="N14" s="60">
        <f>SUMIFS(Municipalities!$K$2:$K$101,Municipalities!$D$2:$D$101,N7,Municipalities!$F$2:$F$101,"town")</f>
        <v>0</v>
      </c>
    </row>
    <row r="15" spans="1:14" ht="15.75" thickBot="1" x14ac:dyDescent="0.3">
      <c r="A15" s="61" t="s">
        <v>233</v>
      </c>
      <c r="B15" s="62">
        <f>SUMIFS(Municipalities!$K$2:$K$101,Municipalities!$D$2:$D$101,B7,Municipalities!$F$2:$F$101,"regional")</f>
        <v>0</v>
      </c>
      <c r="C15" s="62">
        <f>SUMIFS(Municipalities!$K$2:$K$101,Municipalities!$D$2:$D$101,C7,Municipalities!$F$2:$F$101,"regional")</f>
        <v>0</v>
      </c>
      <c r="D15" s="62">
        <f>SUMIFS(Municipalities!$K$2:$K$101,Municipalities!$D$2:$D$101,D7,Municipalities!$F$2:$F$101,"regional")</f>
        <v>255934350</v>
      </c>
      <c r="E15" s="62">
        <f>SUMIFS(Municipalities!$K$2:$K$101,Municipalities!$D$2:$D$101,E7,Municipalities!$F$2:$F$101,"regional")</f>
        <v>0</v>
      </c>
      <c r="F15" s="62">
        <f>SUMIFS(Municipalities!$K$2:$K$101,Municipalities!$D$2:$D$101,F7,Municipalities!$F$2:$F$101,"regional")</f>
        <v>0</v>
      </c>
      <c r="G15" s="62">
        <f>SUMIFS(Municipalities!$K$2:$K$101,Municipalities!$D$2:$D$101,G7,Municipalities!$F$2:$F$101,"regional")</f>
        <v>98814975</v>
      </c>
      <c r="H15" s="62">
        <f>SUMIFS(Municipalities!$K$2:$K$101,Municipalities!$D$2:$D$101,H7,Municipalities!$F$2:$F$101,"regional")</f>
        <v>0</v>
      </c>
      <c r="I15" s="62">
        <f>SUMIFS(Municipalities!$K$2:$K$101,Municipalities!$D$2:$D$101,I7,Municipalities!$F$2:$F$101,"regional")</f>
        <v>0</v>
      </c>
      <c r="J15" s="62">
        <f>SUMIFS(Municipalities!$K$2:$K$101,Municipalities!$D$2:$D$101,J7,Municipalities!$F$2:$F$101,"regional")</f>
        <v>82978875</v>
      </c>
      <c r="K15" s="62">
        <f>SUMIFS(Municipalities!$K$2:$K$101,Municipalities!$D$2:$D$101,K7,Municipalities!$F$2:$F$101,"regional")</f>
        <v>248984400</v>
      </c>
      <c r="L15" s="62">
        <f>SUMIFS(Municipalities!$K$2:$K$101,Municipalities!$D$2:$D$101,L7,Municipalities!$F$2:$F$101,"regional")</f>
        <v>0</v>
      </c>
      <c r="M15" s="62">
        <f>SUMIFS(Municipalities!$K$2:$K$101,Municipalities!$D$2:$D$101,M7,Municipalities!$F$2:$F$101,"regional")</f>
        <v>0</v>
      </c>
      <c r="N15" s="63">
        <f>SUMIFS(Municipalities!$K$2:$K$101,Municipalities!$D$2:$D$101,N7,Municipalities!$F$2:$F$101,"regional")</f>
        <v>0</v>
      </c>
    </row>
    <row r="16" spans="1:14" ht="15.75" thickBot="1" x14ac:dyDescent="0.3"/>
    <row r="17" spans="1:3" ht="15.75" thickBot="1" x14ac:dyDescent="0.3">
      <c r="A17" s="79" t="s">
        <v>234</v>
      </c>
      <c r="B17" s="80"/>
      <c r="C17" s="81"/>
    </row>
    <row r="18" spans="1:3" ht="15.75" thickBot="1" x14ac:dyDescent="0.3">
      <c r="A18" s="65" t="s">
        <v>204</v>
      </c>
      <c r="B18" s="64" t="s">
        <v>221</v>
      </c>
      <c r="C18" s="25"/>
    </row>
    <row r="19" spans="1:3" x14ac:dyDescent="0.25">
      <c r="A19" s="58" t="s">
        <v>185</v>
      </c>
      <c r="B19" s="66">
        <f>COUNTIF(Municipalities!$C$2:$C$101,$A19)</f>
        <v>6</v>
      </c>
      <c r="C19" s="67"/>
    </row>
    <row r="20" spans="1:3" x14ac:dyDescent="0.25">
      <c r="A20" s="58" t="s">
        <v>177</v>
      </c>
      <c r="B20" s="66">
        <f>COUNTIF(Municipalities!$C$2:$C$101,$A20)</f>
        <v>64</v>
      </c>
      <c r="C20" s="67"/>
    </row>
    <row r="21" spans="1:3" x14ac:dyDescent="0.25">
      <c r="A21" s="58" t="s">
        <v>176</v>
      </c>
      <c r="B21" s="66">
        <f>COUNTIF(Municipalities!$C$2:$C$101,$A21)</f>
        <v>12</v>
      </c>
      <c r="C21" s="67"/>
    </row>
    <row r="22" spans="1:3" x14ac:dyDescent="0.25">
      <c r="A22" s="58" t="s">
        <v>178</v>
      </c>
      <c r="B22" s="66">
        <f>COUNTIF(Municipalities!$C$2:$C$101,$A22)</f>
        <v>18</v>
      </c>
      <c r="C22" s="67"/>
    </row>
    <row r="23" spans="1:3" ht="15.75" thickBot="1" x14ac:dyDescent="0.3">
      <c r="A23" s="61" t="s">
        <v>180</v>
      </c>
      <c r="B23" s="68">
        <f>COUNTIF(Municipalities!$C$2:$C$101,$A23)</f>
        <v>0</v>
      </c>
      <c r="C23" s="69"/>
    </row>
    <row r="24" spans="1:3" ht="15.75" thickBot="1" x14ac:dyDescent="0.3"/>
    <row r="25" spans="1:3" ht="15.75" thickBot="1" x14ac:dyDescent="0.3">
      <c r="A25" s="33" t="s">
        <v>222</v>
      </c>
      <c r="B25" s="34"/>
    </row>
    <row r="26" spans="1:3" x14ac:dyDescent="0.25">
      <c r="A26" s="58" t="s">
        <v>235</v>
      </c>
      <c r="B26" s="76" t="str">
        <f>IF(AND(B19 &gt; B20, B19 &gt; B21, B19 &gt; B22, B19 &gt; B23),A19,IF(AND(B20 &gt; B19, B20 &gt; B21, B20 &gt; B22, B20 &gt; B23),A20,IF(AND(B21 &gt; B19, B21 &gt; B20, B21 &gt; B22, B21 &gt; B23),A21,IF(AND(B22 &gt; B19, B22 &gt; B20, B22 &gt; B21, B22 &gt; B23), A22,A23))))</f>
        <v>Central</v>
      </c>
    </row>
    <row r="27" spans="1:3" x14ac:dyDescent="0.25">
      <c r="A27" s="58" t="s">
        <v>236</v>
      </c>
      <c r="B27" s="77">
        <f>COUNTIF(Accounts!$E$2:$E$101,"&lt;50000000")</f>
        <v>82</v>
      </c>
    </row>
    <row r="28" spans="1:3" ht="15.75" thickBot="1" x14ac:dyDescent="0.3">
      <c r="A28" s="61" t="s">
        <v>237</v>
      </c>
      <c r="B28" s="78">
        <f>AVERAGEIF(Municipalities!$C$2:$C$101,"west coast",Municipalities!$M$2:$M$101)</f>
        <v>1492.1407409875478</v>
      </c>
    </row>
  </sheetData>
  <mergeCells count="10">
    <mergeCell ref="B19:C19"/>
    <mergeCell ref="B20:C20"/>
    <mergeCell ref="B21:C21"/>
    <mergeCell ref="B22:C22"/>
    <mergeCell ref="B23:C23"/>
    <mergeCell ref="A25:B25"/>
    <mergeCell ref="A6:N6"/>
    <mergeCell ref="B18:C18"/>
    <mergeCell ref="A1:B1"/>
    <mergeCell ref="A17:C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zoomScaleNormal="100" workbookViewId="0">
      <selection activeCell="F13" sqref="F13:G13"/>
    </sheetView>
  </sheetViews>
  <sheetFormatPr defaultRowHeight="15" x14ac:dyDescent="0.25"/>
  <cols>
    <col min="1" max="1" width="13.7109375" style="2" customWidth="1"/>
    <col min="2" max="2" width="9.42578125" style="2" bestFit="1" customWidth="1"/>
    <col min="3" max="3" width="18.28515625" style="2" bestFit="1" customWidth="1"/>
    <col min="4" max="5" width="9.140625" style="2"/>
    <col min="6" max="6" width="12.5703125" style="2" bestFit="1" customWidth="1"/>
    <col min="7" max="7" width="12.85546875" style="2" bestFit="1" customWidth="1"/>
    <col min="8" max="16384" width="9.140625" style="2"/>
  </cols>
  <sheetData>
    <row r="1" spans="1:8" ht="45.75" thickBot="1" x14ac:dyDescent="0.3">
      <c r="A1" s="21" t="s">
        <v>196</v>
      </c>
      <c r="B1" s="22" t="s">
        <v>197</v>
      </c>
      <c r="C1" s="23" t="s">
        <v>199</v>
      </c>
      <c r="D1" s="1"/>
      <c r="E1" s="1"/>
      <c r="F1" s="19" t="s">
        <v>195</v>
      </c>
      <c r="G1" s="20" t="s">
        <v>194</v>
      </c>
    </row>
    <row r="2" spans="1:8" x14ac:dyDescent="0.25">
      <c r="A2" s="13" t="s">
        <v>14</v>
      </c>
      <c r="B2" s="14">
        <v>4</v>
      </c>
      <c r="C2" s="15">
        <v>350</v>
      </c>
      <c r="F2" s="13" t="s">
        <v>132</v>
      </c>
      <c r="G2" s="15" t="s">
        <v>177</v>
      </c>
    </row>
    <row r="3" spans="1:8" x14ac:dyDescent="0.25">
      <c r="A3" s="13" t="s">
        <v>36</v>
      </c>
      <c r="B3" s="14">
        <v>5</v>
      </c>
      <c r="C3" s="15">
        <v>200</v>
      </c>
      <c r="F3" s="13" t="s">
        <v>148</v>
      </c>
      <c r="G3" s="15" t="s">
        <v>176</v>
      </c>
    </row>
    <row r="4" spans="1:8" ht="15.75" thickBot="1" x14ac:dyDescent="0.3">
      <c r="A4" s="16" t="s">
        <v>106</v>
      </c>
      <c r="B4" s="17">
        <v>6</v>
      </c>
      <c r="C4" s="18">
        <v>175</v>
      </c>
      <c r="F4" s="13" t="s">
        <v>146</v>
      </c>
      <c r="G4" s="15" t="s">
        <v>178</v>
      </c>
    </row>
    <row r="5" spans="1:8" x14ac:dyDescent="0.25">
      <c r="B5" s="3"/>
      <c r="F5" s="13" t="s">
        <v>179</v>
      </c>
      <c r="G5" s="15" t="s">
        <v>180</v>
      </c>
    </row>
    <row r="6" spans="1:8" ht="15.75" thickBot="1" x14ac:dyDescent="0.3">
      <c r="A6" s="1" t="s">
        <v>198</v>
      </c>
      <c r="B6" s="3"/>
      <c r="F6" s="16" t="s">
        <v>184</v>
      </c>
      <c r="G6" s="18" t="s">
        <v>185</v>
      </c>
    </row>
    <row r="7" spans="1:8" ht="15.75" thickBot="1" x14ac:dyDescent="0.3">
      <c r="B7" s="3"/>
    </row>
    <row r="8" spans="1:8" ht="15.75" thickBot="1" x14ac:dyDescent="0.3">
      <c r="A8" s="24" t="s">
        <v>201</v>
      </c>
      <c r="B8" s="25"/>
      <c r="C8" s="12" t="s">
        <v>181</v>
      </c>
      <c r="D8" s="1"/>
      <c r="F8" s="42" t="s">
        <v>205</v>
      </c>
      <c r="G8" s="43"/>
      <c r="H8" s="44"/>
    </row>
    <row r="9" spans="1:8" x14ac:dyDescent="0.25">
      <c r="A9" s="5" t="s">
        <v>174</v>
      </c>
      <c r="B9" s="6">
        <v>1000</v>
      </c>
      <c r="C9" s="9" t="s">
        <v>172</v>
      </c>
      <c r="F9" s="36" t="s">
        <v>238</v>
      </c>
      <c r="G9" s="37"/>
      <c r="H9" s="31">
        <v>0.1</v>
      </c>
    </row>
    <row r="10" spans="1:8" x14ac:dyDescent="0.25">
      <c r="A10" s="5" t="s">
        <v>174</v>
      </c>
      <c r="B10" s="6">
        <v>2000</v>
      </c>
      <c r="C10" s="9" t="s">
        <v>171</v>
      </c>
      <c r="F10" s="46" t="s">
        <v>239</v>
      </c>
      <c r="G10" s="45"/>
      <c r="H10" s="35">
        <v>0.25</v>
      </c>
    </row>
    <row r="11" spans="1:8" x14ac:dyDescent="0.25">
      <c r="A11" s="5" t="s">
        <v>174</v>
      </c>
      <c r="B11" s="6">
        <v>3000</v>
      </c>
      <c r="C11" s="10" t="s">
        <v>173</v>
      </c>
      <c r="F11" s="38" t="s">
        <v>240</v>
      </c>
      <c r="G11" s="39"/>
      <c r="H11" s="35">
        <v>0.4</v>
      </c>
    </row>
    <row r="12" spans="1:8" x14ac:dyDescent="0.25">
      <c r="A12" s="5" t="s">
        <v>174</v>
      </c>
      <c r="B12" s="6">
        <v>6000</v>
      </c>
      <c r="C12" s="10" t="s">
        <v>175</v>
      </c>
      <c r="F12" s="38" t="s">
        <v>241</v>
      </c>
      <c r="G12" s="39"/>
      <c r="H12" s="35">
        <v>0.35</v>
      </c>
    </row>
    <row r="13" spans="1:8" ht="15.75" thickBot="1" x14ac:dyDescent="0.3">
      <c r="A13" s="7" t="s">
        <v>200</v>
      </c>
      <c r="B13" s="8">
        <v>6000</v>
      </c>
      <c r="C13" s="11" t="s">
        <v>202</v>
      </c>
      <c r="F13" s="40" t="s">
        <v>242</v>
      </c>
      <c r="G13" s="41"/>
      <c r="H13" s="32">
        <v>0.25</v>
      </c>
    </row>
    <row r="15" spans="1:8" customFormat="1" x14ac:dyDescent="0.25"/>
    <row r="16" spans="1:8" customFormat="1" x14ac:dyDescent="0.25"/>
    <row r="17" customFormat="1" x14ac:dyDescent="0.25"/>
    <row r="18" customFormat="1" x14ac:dyDescent="0.25"/>
    <row r="19" customFormat="1" x14ac:dyDescent="0.25"/>
    <row r="20" customFormat="1" x14ac:dyDescent="0.25"/>
  </sheetData>
  <mergeCells count="7">
    <mergeCell ref="F11:G11"/>
    <mergeCell ref="F12:G12"/>
    <mergeCell ref="F13:G13"/>
    <mergeCell ref="A8:B8"/>
    <mergeCell ref="F8:H8"/>
    <mergeCell ref="F9:G9"/>
    <mergeCell ref="F10:G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Municipalities</vt:lpstr>
      <vt:lpstr>Accounts</vt:lpstr>
      <vt:lpstr>Summary</vt:lpstr>
      <vt:lpstr>Controls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Radha Gupta</dc:creator>
  <cp:lastModifiedBy>Brandon</cp:lastModifiedBy>
  <dcterms:created xsi:type="dcterms:W3CDTF">2015-12-23T18:26:03Z</dcterms:created>
  <dcterms:modified xsi:type="dcterms:W3CDTF">2017-01-30T00:02:28Z</dcterms:modified>
</cp:coreProperties>
</file>