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abia\Nextcloud\BRC-Fachgruppe\02_LG1\4_G11_Planspiel\01_MySneaker\"/>
    </mc:Choice>
  </mc:AlternateContent>
  <xr:revisionPtr revIDLastSave="0" documentId="13_ncr:1_{30ADDD1F-EFAA-4858-AC05-8268707631C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Werte Vorperiode" sheetId="1" r:id="rId1"/>
    <sheet name="Beschaffung und Lager" sheetId="2" r:id="rId2"/>
    <sheet name="Produktion" sheetId="3" r:id="rId3"/>
    <sheet name="Personal" sheetId="4" r:id="rId4"/>
    <sheet name="Vertrieb und Absatz" sheetId="5" r:id="rId5"/>
    <sheet name="Marketing  F&amp;E" sheetId="6" r:id="rId6"/>
    <sheet name="Statistik &amp; Finanzen" sheetId="7" r:id="rId7"/>
    <sheet name="Dateiabgab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7" l="1"/>
  <c r="D47" i="7" s="1"/>
  <c r="I19" i="2"/>
  <c r="J19" i="2"/>
  <c r="D42" i="7"/>
  <c r="D14" i="8" s="1"/>
  <c r="D13" i="8"/>
  <c r="E11" i="8"/>
  <c r="D11" i="8"/>
  <c r="E10" i="8"/>
  <c r="D10" i="8"/>
  <c r="D40" i="7"/>
  <c r="E40" i="7" s="1"/>
  <c r="E29" i="7"/>
  <c r="D28" i="7"/>
  <c r="D30" i="7" s="1"/>
  <c r="D44" i="7" s="1"/>
  <c r="E26" i="7"/>
  <c r="D26" i="7"/>
  <c r="D10" i="7"/>
  <c r="E10" i="7" s="1"/>
  <c r="D29" i="5"/>
  <c r="K19" i="2" s="1"/>
  <c r="E28" i="5"/>
  <c r="E27" i="5"/>
  <c r="D21" i="5"/>
  <c r="F20" i="5"/>
  <c r="F19" i="5"/>
  <c r="F21" i="5" s="1"/>
  <c r="D46" i="7" s="1"/>
  <c r="D21" i="4"/>
  <c r="E41" i="7" s="1"/>
  <c r="D18" i="4"/>
  <c r="D16" i="8" s="1"/>
  <c r="F29" i="3"/>
  <c r="E29" i="3"/>
  <c r="D29" i="3"/>
  <c r="G29" i="3" s="1"/>
  <c r="G27" i="3"/>
  <c r="F26" i="3"/>
  <c r="E26" i="3"/>
  <c r="D26" i="3"/>
  <c r="D13" i="4" s="1"/>
  <c r="G24" i="3"/>
  <c r="D10" i="5" s="1"/>
  <c r="D13" i="5" s="1"/>
  <c r="F23" i="3"/>
  <c r="F22" i="3"/>
  <c r="F30" i="3"/>
  <c r="E23" i="3"/>
  <c r="E22" i="3"/>
  <c r="E30" i="3" s="1"/>
  <c r="D23" i="3"/>
  <c r="D22" i="3"/>
  <c r="G20" i="3"/>
  <c r="G19" i="3"/>
  <c r="F13" i="3"/>
  <c r="F14" i="3" s="1"/>
  <c r="E13" i="3"/>
  <c r="E14" i="3" s="1"/>
  <c r="J15" i="2"/>
  <c r="I15" i="2"/>
  <c r="E15" i="2"/>
  <c r="D33" i="7" s="1"/>
  <c r="E33" i="7" s="1"/>
  <c r="D15" i="2"/>
  <c r="D32" i="7" s="1"/>
  <c r="E32" i="7" s="1"/>
  <c r="D16" i="2"/>
  <c r="K13" i="2"/>
  <c r="J13" i="2"/>
  <c r="I13" i="2"/>
  <c r="K12" i="2"/>
  <c r="D11" i="5" s="1"/>
  <c r="D14" i="5" s="1"/>
  <c r="J12" i="2"/>
  <c r="I12" i="2"/>
  <c r="D13" i="7"/>
  <c r="D30" i="3"/>
  <c r="D37" i="7"/>
  <c r="E37" i="7" s="1"/>
  <c r="D41" i="7"/>
  <c r="E43" i="7" l="1"/>
  <c r="E47" i="7" s="1"/>
  <c r="D12" i="7"/>
  <c r="E12" i="7" s="1"/>
  <c r="D14" i="4"/>
  <c r="D12" i="4"/>
  <c r="G30" i="3"/>
  <c r="D38" i="7" s="1"/>
  <c r="E38" i="7" s="1"/>
  <c r="F28" i="3"/>
  <c r="K14" i="2"/>
  <c r="K20" i="2" s="1"/>
  <c r="K21" i="2" s="1"/>
  <c r="E34" i="7" s="1"/>
  <c r="G26" i="3"/>
  <c r="D22" i="4"/>
  <c r="E29" i="5"/>
  <c r="E46" i="7" s="1"/>
  <c r="I14" i="2"/>
  <c r="D11" i="3" s="1"/>
  <c r="J14" i="2"/>
  <c r="E28" i="7"/>
  <c r="E30" i="7" s="1"/>
  <c r="E42" i="7"/>
  <c r="K16" i="2"/>
  <c r="K18" i="2" s="1"/>
  <c r="D34" i="7" s="1"/>
  <c r="D22" i="5"/>
  <c r="E28" i="3"/>
  <c r="D28" i="3"/>
  <c r="E13" i="7"/>
  <c r="K15" i="2"/>
  <c r="D15" i="7"/>
  <c r="E15" i="7" s="1"/>
  <c r="D14" i="7"/>
  <c r="E14" i="7" s="1"/>
  <c r="J16" i="2"/>
  <c r="J18" i="2" s="1"/>
  <c r="D36" i="7" s="1"/>
  <c r="D12" i="3"/>
  <c r="D13" i="3" s="1"/>
  <c r="J20" i="2"/>
  <c r="J21" i="2" s="1"/>
  <c r="E36" i="7" s="1"/>
  <c r="I16" i="2" l="1"/>
  <c r="I18" i="2" s="1"/>
  <c r="D35" i="7" s="1"/>
  <c r="I20" i="2"/>
  <c r="I21" i="2" s="1"/>
  <c r="E35" i="7" s="1"/>
  <c r="D16" i="7"/>
  <c r="D18" i="7" s="1"/>
  <c r="E18" i="7" s="1"/>
  <c r="E44" i="7"/>
  <c r="E48" i="7" s="1"/>
  <c r="E49" i="7" s="1"/>
  <c r="D18" i="8"/>
  <c r="D14" i="3"/>
  <c r="E25" i="3" s="1"/>
  <c r="E16" i="7" l="1"/>
  <c r="D48" i="7"/>
  <c r="D49" i="7" s="1"/>
  <c r="D50" i="7" s="1"/>
  <c r="E50" i="7"/>
  <c r="D25" i="3"/>
  <c r="F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Komm</author>
  </authors>
  <commentList>
    <comment ref="C12" authorId="0" shapeId="0" xr:uid="{00000000-0006-0000-0000-000001000000}">
      <text>
        <r>
          <rPr>
            <b/>
            <sz val="9"/>
            <rFont val="Tahoma"/>
          </rPr>
          <t>Fabian Komm:</t>
        </r>
        <r>
          <rPr>
            <sz val="9"/>
            <rFont val="Tahoma"/>
          </rPr>
          <t xml:space="preserve">
Fabian Komm:
Daten sind aus der Datei der Vorperiode zu entnehmen (TB: Beschaffung und Lager; I-K20)</t>
        </r>
      </text>
    </comment>
    <comment ref="C16" authorId="0" shapeId="0" xr:uid="{00000000-0006-0000-0000-000002000000}">
      <text>
        <r>
          <rPr>
            <b/>
            <sz val="9"/>
            <rFont val="Tahoma"/>
          </rPr>
          <t>Fabian Komm:</t>
        </r>
        <r>
          <rPr>
            <sz val="9"/>
            <rFont val="Tahoma"/>
          </rPr>
          <t xml:space="preserve">
Fabian Komm:
Daten sind aus der Datei der Vorperiode zu entnehmen (TB: Finanzen; E48)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2" authorId="0" shapeId="0" xr:uid="{00000000-0006-0000-0100-000001000000}">
      <text>
        <r>
          <rPr>
            <b/>
            <sz val="9"/>
            <rFont val="Tahoma"/>
          </rPr>
          <t>Autor:</t>
        </r>
        <r>
          <rPr>
            <sz val="9"/>
            <rFont val="Tahoma"/>
          </rPr>
          <t xml:space="preserve">
Autor:
Autor:
Wird über Geschäftsbericht kommuniziert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3" authorId="0" shapeId="0" xr:uid="{00000000-0006-0000-0200-000001000000}">
      <text>
        <r>
          <rPr>
            <b/>
            <sz val="9"/>
            <rFont val="Tahoma"/>
          </rPr>
          <t>Autor:</t>
        </r>
        <r>
          <rPr>
            <sz val="9"/>
            <rFont val="Tahoma"/>
          </rPr>
          <t xml:space="preserve">
Autor:
Farbenanpasser, d. h. hier wird die Menge Farben pro Schuh auf die produzierbare Anzahl angepasst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2" authorId="0" shapeId="0" xr:uid="{00000000-0006-0000-0500-000001000000}">
      <text>
        <r>
          <rPr>
            <b/>
            <sz val="9"/>
            <rFont val="Tahoma"/>
          </rPr>
          <t>Autor:</t>
        </r>
        <r>
          <rPr>
            <sz val="9"/>
            <rFont val="Tahoma"/>
          </rPr>
          <t xml:space="preserve">
Autor:
Autor:
Skala in Anleitung integrieren bzw. pptx
</t>
        </r>
      </text>
    </comment>
  </commentList>
</comments>
</file>

<file path=xl/sharedStrings.xml><?xml version="1.0" encoding="utf-8"?>
<sst xmlns="http://schemas.openxmlformats.org/spreadsheetml/2006/main" count="147" uniqueCount="125">
  <si>
    <t>Werte der Vorperiode</t>
  </si>
  <si>
    <t>Lager</t>
  </si>
  <si>
    <t>Sneaker</t>
  </si>
  <si>
    <t>Farben</t>
  </si>
  <si>
    <t>Fertige Sneaker</t>
  </si>
  <si>
    <t>Lager (Ende der Vorperiode)</t>
  </si>
  <si>
    <t>Finanzen</t>
  </si>
  <si>
    <t>Kontostand</t>
  </si>
  <si>
    <t>Kontostand Vorperiode</t>
  </si>
  <si>
    <t>Darlehenstand Vorperiode</t>
  </si>
  <si>
    <t>Beschaffung und Lager</t>
  </si>
  <si>
    <t>Beschaffung</t>
  </si>
  <si>
    <t>Einstandspreis</t>
  </si>
  <si>
    <t>Lager (Vorperiode)</t>
  </si>
  <si>
    <t>Einkauf (Menge)</t>
  </si>
  <si>
    <t>Aktuelle Beschaffung</t>
  </si>
  <si>
    <t>Gesamte Verfügbarkeit</t>
  </si>
  <si>
    <t>Kosten pro Werkstoff</t>
  </si>
  <si>
    <t>Verbrauch Produktion (PLAN)</t>
  </si>
  <si>
    <t>Gesamtkosten Werkstoffe</t>
  </si>
  <si>
    <t>Lager Periodenende (PLAN)</t>
  </si>
  <si>
    <t>Lagerkosten pro Stück</t>
  </si>
  <si>
    <t>Lagerkosten (PLAN)</t>
  </si>
  <si>
    <t>Verbrauch Produktion (IST)</t>
  </si>
  <si>
    <t>Lager Periodenende (IST)</t>
  </si>
  <si>
    <t>Lagerkosten (IST)</t>
  </si>
  <si>
    <t>Produktion</t>
  </si>
  <si>
    <t>Lagerbestand</t>
  </si>
  <si>
    <t>Aktuelle Periode</t>
  </si>
  <si>
    <t>Nächste Periode (PLAN)</t>
  </si>
  <si>
    <t>Nächste Periode (IST)</t>
  </si>
  <si>
    <t>Maximal produzierbare Anzahl</t>
  </si>
  <si>
    <t>Maschinen</t>
  </si>
  <si>
    <t>Sneakerbox 200</t>
  </si>
  <si>
    <t>Gesamtkosten/-kapazität/-MA</t>
  </si>
  <si>
    <t>Produktionskapazität</t>
  </si>
  <si>
    <t>Maschinenkosten p. Per.</t>
  </si>
  <si>
    <t>Fertigungskosten pro Stück</t>
  </si>
  <si>
    <t>Fertigungskosten pro Stück (F&amp;E)</t>
  </si>
  <si>
    <t>Rationalisierung</t>
  </si>
  <si>
    <t>Geplante Produktion</t>
  </si>
  <si>
    <t>Produktionsprüfung (Werkstoffe)</t>
  </si>
  <si>
    <t>Benötigte Mitarbeiter</t>
  </si>
  <si>
    <t>Zugeteilte Mitarbeiter</t>
  </si>
  <si>
    <t>Produktionsprüfung (Mitarbeiter)</t>
  </si>
  <si>
    <t>Auslastung</t>
  </si>
  <si>
    <t>Gesamtkosten Produktion</t>
  </si>
  <si>
    <t>Personalmanagement</t>
  </si>
  <si>
    <t>Personal</t>
  </si>
  <si>
    <t>Mitarbeiter</t>
  </si>
  <si>
    <t>Grundkapazität Stück je MA</t>
  </si>
  <si>
    <t>Verfügbare Kapazität (MA)</t>
  </si>
  <si>
    <t xml:space="preserve">benötigte MA </t>
  </si>
  <si>
    <t xml:space="preserve">Auslastung </t>
  </si>
  <si>
    <t>Neueinstellungen</t>
  </si>
  <si>
    <t>Kosten Neueinstellung</t>
  </si>
  <si>
    <t>Kündigungen/Rente/ etc.</t>
  </si>
  <si>
    <t>Mitarbeiter nächste Periode</t>
  </si>
  <si>
    <t>Kosten pro MA</t>
  </si>
  <si>
    <t>Personalnebenkosten</t>
  </si>
  <si>
    <t>Personalkosten akt. Periode</t>
  </si>
  <si>
    <t>Personalkosten folg. Periode</t>
  </si>
  <si>
    <t>Absatz</t>
  </si>
  <si>
    <t>Planung Umsatzerlöse</t>
  </si>
  <si>
    <t>Maximal Entnahme aus Lager</t>
  </si>
  <si>
    <t>Entnahme aus dem Lager</t>
  </si>
  <si>
    <t>Gesamtproduktion</t>
  </si>
  <si>
    <t>Gesamtproduktion möglich</t>
  </si>
  <si>
    <t>Verkauf (SOLL)</t>
  </si>
  <si>
    <t>Geplante Stückzahl</t>
  </si>
  <si>
    <t>Preis je Einheit (Angebot)</t>
  </si>
  <si>
    <t>Geplanter Umsatz</t>
  </si>
  <si>
    <t>Markt</t>
  </si>
  <si>
    <t>Ausschreibung</t>
  </si>
  <si>
    <t>Gesamt</t>
  </si>
  <si>
    <t>Gesamtverkauf möglich</t>
  </si>
  <si>
    <t>Verkauf (IST)</t>
  </si>
  <si>
    <t>Verkaufte Stück</t>
  </si>
  <si>
    <t>Umsatz</t>
  </si>
  <si>
    <t>Marketing / F &amp; E</t>
  </si>
  <si>
    <t>Marketing</t>
  </si>
  <si>
    <t>Budget</t>
  </si>
  <si>
    <t>Werbung</t>
  </si>
  <si>
    <t>Forschung und Entwicklung</t>
  </si>
  <si>
    <t>Quote</t>
  </si>
  <si>
    <t>Kosten</t>
  </si>
  <si>
    <t>Verbesserung der Maschinen (Rationalisierung)</t>
  </si>
  <si>
    <t>Statistik und Finanzplanung</t>
  </si>
  <si>
    <t>Statistik  (Produktion Plan)</t>
  </si>
  <si>
    <t>pro Stück</t>
  </si>
  <si>
    <t xml:space="preserve">Umsatz </t>
  </si>
  <si>
    <t xml:space="preserve">Werkstoffkosten </t>
  </si>
  <si>
    <t>Fertigungskosten</t>
  </si>
  <si>
    <t xml:space="preserve">Maschinenkosten </t>
  </si>
  <si>
    <t xml:space="preserve">Personalkosten </t>
  </si>
  <si>
    <t xml:space="preserve">Gesamtkosten </t>
  </si>
  <si>
    <t>Gewinn</t>
  </si>
  <si>
    <t>PLAN</t>
  </si>
  <si>
    <t>IST</t>
  </si>
  <si>
    <t>Maximal Darlehenshöhe</t>
  </si>
  <si>
    <t>Darlehensstand (Beginn Periode)</t>
  </si>
  <si>
    <t>Aufnahme Darlehen</t>
  </si>
  <si>
    <t>Darlehensstand (Ende Periode)</t>
  </si>
  <si>
    <t>Einkauf Sneaker</t>
  </si>
  <si>
    <t>Einkauf Farben</t>
  </si>
  <si>
    <t>Lagerkosten Sneaker</t>
  </si>
  <si>
    <t>Lagerkosten Farben</t>
  </si>
  <si>
    <t>Maschinenkosten</t>
  </si>
  <si>
    <t>Produktionskosten</t>
  </si>
  <si>
    <t>Maschinenkauf</t>
  </si>
  <si>
    <t>Löhne/Gehälter</t>
  </si>
  <si>
    <t>Zinsen (Darlehen)</t>
  </si>
  <si>
    <t>Rückzahlung Darlehen</t>
  </si>
  <si>
    <t>Umsatzerlöse</t>
  </si>
  <si>
    <t>Saldo</t>
  </si>
  <si>
    <t>Zinsen (Kontokorrentkredit)</t>
  </si>
  <si>
    <t>Daten für Lehrkraft</t>
  </si>
  <si>
    <t>Daten</t>
  </si>
  <si>
    <t>Stückzahl</t>
  </si>
  <si>
    <t>Preis</t>
  </si>
  <si>
    <t>Änderung der MA</t>
  </si>
  <si>
    <t>Darlehensstand</t>
  </si>
  <si>
    <t>Werbekosten</t>
  </si>
  <si>
    <t>Lgerkosten Fertige Erz.</t>
  </si>
  <si>
    <t>Höhe Kontokorrentkredit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</si>
</sst>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_ ;\-#,##0.00\ "/>
  </numFmts>
  <fonts count="10" x14ac:knownFonts="1">
    <font>
      <sz val="11"/>
      <color theme="1"/>
      <name val="Calibri"/>
      <scheme val="minor"/>
    </font>
    <font>
      <sz val="11"/>
      <color theme="0"/>
      <name val="Calibri"/>
      <scheme val="minor"/>
    </font>
    <font>
      <b/>
      <sz val="14"/>
      <color theme="0"/>
      <name val="Calibri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b/>
      <sz val="14"/>
      <name val="Calibri"/>
      <scheme val="minor"/>
    </font>
    <font>
      <sz val="11"/>
      <color theme="1"/>
      <name val="Calibri"/>
      <scheme val="minor"/>
    </font>
    <font>
      <b/>
      <sz val="9"/>
      <name val="Tahoma"/>
    </font>
    <font>
      <sz val="9"/>
      <name val="Tahoma"/>
    </font>
  </fonts>
  <fills count="13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7" tint="0.39997558519241921"/>
        <bgColor indexed="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/>
    <xf numFmtId="164" fontId="7" fillId="0" borderId="0" applyFont="0" applyFill="0" applyBorder="0"/>
    <xf numFmtId="9" fontId="7" fillId="0" borderId="0" applyFont="0" applyFill="0" applyBorder="0"/>
    <xf numFmtId="44" fontId="7" fillId="0" borderId="0" applyFont="0" applyFill="0" applyBorder="0"/>
  </cellStyleXfs>
  <cellXfs count="79">
    <xf numFmtId="0" fontId="0" fillId="0" borderId="0" xfId="0"/>
    <xf numFmtId="0" fontId="2" fillId="2" borderId="0" xfId="1" applyFont="1" applyFill="1" applyAlignment="1">
      <alignment horizontal="center" vertical="center"/>
    </xf>
    <xf numFmtId="0" fontId="3" fillId="3" borderId="1" xfId="0" applyFont="1" applyFill="1" applyBorder="1"/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/>
    <xf numFmtId="1" fontId="0" fillId="4" borderId="3" xfId="2" applyNumberFormat="1" applyFont="1" applyFill="1" applyBorder="1"/>
    <xf numFmtId="0" fontId="0" fillId="3" borderId="4" xfId="0" applyFill="1" applyBorder="1" applyAlignment="1">
      <alignment horizontal="center" vertical="center"/>
    </xf>
    <xf numFmtId="44" fontId="0" fillId="4" borderId="3" xfId="4" applyNumberFormat="1" applyFont="1" applyFill="1" applyBorder="1"/>
    <xf numFmtId="1" fontId="0" fillId="0" borderId="0" xfId="2" applyNumberFormat="1" applyFont="1"/>
    <xf numFmtId="44" fontId="0" fillId="5" borderId="3" xfId="4" applyNumberFormat="1" applyFont="1" applyFill="1" applyBorder="1"/>
    <xf numFmtId="1" fontId="0" fillId="6" borderId="3" xfId="2" applyNumberFormat="1" applyFont="1" applyFill="1" applyBorder="1"/>
    <xf numFmtId="1" fontId="0" fillId="5" borderId="3" xfId="2" applyNumberFormat="1" applyFont="1" applyFill="1" applyBorder="1"/>
    <xf numFmtId="1" fontId="0" fillId="5" borderId="3" xfId="4" applyNumberFormat="1" applyFont="1" applyFill="1" applyBorder="1"/>
    <xf numFmtId="1" fontId="0" fillId="7" borderId="3" xfId="2" applyNumberFormat="1" applyFont="1" applyFill="1" applyBorder="1"/>
    <xf numFmtId="1" fontId="0" fillId="0" borderId="5" xfId="4" applyNumberFormat="1" applyFont="1" applyBorder="1"/>
    <xf numFmtId="44" fontId="0" fillId="6" borderId="3" xfId="4" applyNumberFormat="1" applyFont="1" applyFill="1" applyBorder="1"/>
    <xf numFmtId="44" fontId="0" fillId="8" borderId="3" xfId="4" applyNumberFormat="1" applyFont="1" applyFill="1" applyBorder="1"/>
    <xf numFmtId="1" fontId="0" fillId="6" borderId="3" xfId="0" applyNumberFormat="1" applyFill="1" applyBorder="1" applyAlignment="1">
      <alignment horizontal="center" vertical="center"/>
    </xf>
    <xf numFmtId="1" fontId="0" fillId="6" borderId="3" xfId="0" applyNumberFormat="1" applyFill="1" applyBorder="1"/>
    <xf numFmtId="0" fontId="0" fillId="6" borderId="3" xfId="0" applyFill="1" applyBorder="1"/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3" fillId="0" borderId="0" xfId="0" applyFont="1"/>
    <xf numFmtId="0" fontId="0" fillId="0" borderId="3" xfId="0" applyBorder="1" applyAlignment="1">
      <alignment horizontal="left" vertical="top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3" fontId="0" fillId="6" borderId="3" xfId="0" applyNumberFormat="1" applyFill="1" applyBorder="1" applyAlignment="1">
      <alignment horizontal="center" vertical="center"/>
    </xf>
    <xf numFmtId="44" fontId="0" fillId="0" borderId="3" xfId="4" applyNumberFormat="1" applyFont="1" applyBorder="1" applyAlignment="1">
      <alignment horizontal="right"/>
    </xf>
    <xf numFmtId="44" fontId="0" fillId="6" borderId="3" xfId="4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3" xfId="3" applyNumberFormat="1" applyFont="1" applyBorder="1" applyAlignment="1">
      <alignment horizontal="right"/>
    </xf>
    <xf numFmtId="1" fontId="0" fillId="4" borderId="3" xfId="3" applyNumberFormat="1" applyFont="1" applyFill="1" applyBorder="1" applyAlignment="1">
      <alignment horizontal="right"/>
    </xf>
    <xf numFmtId="1" fontId="0" fillId="0" borderId="3" xfId="0" applyNumberFormat="1" applyBorder="1" applyAlignment="1">
      <alignment horizontal="center" vertical="center"/>
    </xf>
    <xf numFmtId="1" fontId="0" fillId="0" borderId="3" xfId="3" applyNumberFormat="1" applyFont="1" applyBorder="1" applyAlignment="1">
      <alignment horizontal="right"/>
    </xf>
    <xf numFmtId="9" fontId="0" fillId="6" borderId="3" xfId="3" applyNumberFormat="1" applyFont="1" applyFill="1" applyBorder="1" applyAlignment="1">
      <alignment horizontal="right"/>
    </xf>
    <xf numFmtId="9" fontId="0" fillId="6" borderId="3" xfId="0" applyNumberFormat="1" applyFill="1" applyBorder="1" applyAlignment="1">
      <alignment horizontal="center" vertical="center"/>
    </xf>
    <xf numFmtId="44" fontId="0" fillId="6" borderId="3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9" fontId="0" fillId="6" borderId="3" xfId="3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9" fontId="0" fillId="5" borderId="3" xfId="3" applyNumberFormat="1" applyFont="1" applyFill="1" applyBorder="1"/>
    <xf numFmtId="1" fontId="0" fillId="0" borderId="3" xfId="0" applyNumberFormat="1" applyBorder="1"/>
    <xf numFmtId="0" fontId="0" fillId="5" borderId="3" xfId="0" applyFill="1" applyBorder="1"/>
    <xf numFmtId="0" fontId="0" fillId="3" borderId="2" xfId="0" applyFill="1" applyBorder="1" applyAlignment="1">
      <alignment horizontal="center"/>
    </xf>
    <xf numFmtId="44" fontId="0" fillId="0" borderId="3" xfId="4" applyNumberFormat="1" applyFont="1" applyBorder="1"/>
    <xf numFmtId="0" fontId="0" fillId="0" borderId="5" xfId="0" applyBorder="1"/>
    <xf numFmtId="0" fontId="0" fillId="0" borderId="0" xfId="0"/>
    <xf numFmtId="9" fontId="0" fillId="4" borderId="3" xfId="3" applyNumberFormat="1" applyFont="1" applyFill="1" applyBorder="1" applyAlignment="1">
      <alignment horizontal="center" vertical="center"/>
    </xf>
    <xf numFmtId="44" fontId="0" fillId="0" borderId="3" xfId="0" applyNumberFormat="1" applyBorder="1"/>
    <xf numFmtId="0" fontId="0" fillId="9" borderId="3" xfId="0" applyFill="1" applyBorder="1"/>
    <xf numFmtId="44" fontId="0" fillId="9" borderId="3" xfId="0" applyNumberFormat="1" applyFill="1" applyBorder="1"/>
    <xf numFmtId="0" fontId="0" fillId="9" borderId="0" xfId="0" applyFill="1"/>
    <xf numFmtId="0" fontId="4" fillId="0" borderId="8" xfId="0" applyFont="1" applyBorder="1" applyAlignment="1">
      <alignment wrapText="1"/>
    </xf>
    <xf numFmtId="0" fontId="4" fillId="6" borderId="8" xfId="0" applyFont="1" applyFill="1" applyBorder="1" applyAlignment="1">
      <alignment horizontal="center" wrapText="1"/>
    </xf>
    <xf numFmtId="0" fontId="5" fillId="0" borderId="3" xfId="0" applyFont="1" applyBorder="1" applyAlignment="1">
      <alignment vertical="center" wrapText="1"/>
    </xf>
    <xf numFmtId="44" fontId="5" fillId="0" borderId="3" xfId="4" applyNumberFormat="1" applyFont="1" applyBorder="1" applyAlignment="1">
      <alignment horizontal="right" vertical="center" wrapText="1"/>
    </xf>
    <xf numFmtId="44" fontId="0" fillId="0" borderId="0" xfId="0" applyNumberFormat="1"/>
    <xf numFmtId="44" fontId="5" fillId="4" borderId="3" xfId="4" applyNumberFormat="1" applyFont="1" applyFill="1" applyBorder="1" applyAlignment="1">
      <alignment horizontal="right" vertical="center" wrapText="1"/>
    </xf>
    <xf numFmtId="44" fontId="5" fillId="10" borderId="3" xfId="4" applyNumberFormat="1" applyFont="1" applyFill="1" applyBorder="1" applyAlignment="1">
      <alignment horizontal="right" vertical="center" wrapText="1"/>
    </xf>
    <xf numFmtId="0" fontId="5" fillId="11" borderId="3" xfId="0" applyFont="1" applyFill="1" applyBorder="1" applyAlignment="1">
      <alignment vertical="center" wrapText="1"/>
    </xf>
    <xf numFmtId="44" fontId="5" fillId="11" borderId="3" xfId="4" applyNumberFormat="1" applyFont="1" applyFill="1" applyBorder="1" applyAlignment="1">
      <alignment horizontal="right" vertical="center" wrapText="1"/>
    </xf>
    <xf numFmtId="0" fontId="5" fillId="0" borderId="3" xfId="0" quotePrefix="1" applyFont="1" applyBorder="1" applyAlignment="1">
      <alignment vertical="center" wrapText="1"/>
    </xf>
    <xf numFmtId="0" fontId="6" fillId="6" borderId="3" xfId="0" quotePrefix="1" applyFont="1" applyFill="1" applyBorder="1" applyAlignment="1">
      <alignment vertical="center" wrapText="1"/>
    </xf>
    <xf numFmtId="44" fontId="5" fillId="6" borderId="3" xfId="4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center"/>
    </xf>
    <xf numFmtId="0" fontId="0" fillId="12" borderId="3" xfId="0" applyFill="1" applyBorder="1"/>
    <xf numFmtId="44" fontId="0" fillId="12" borderId="3" xfId="0" applyNumberFormat="1" applyFill="1" applyBorder="1"/>
    <xf numFmtId="0" fontId="0" fillId="12" borderId="3" xfId="0" applyFill="1" applyBorder="1" applyAlignment="1">
      <alignment horizontal="center" vertical="center"/>
    </xf>
    <xf numFmtId="0" fontId="4" fillId="6" borderId="3" xfId="0" quotePrefix="1" applyFont="1" applyFill="1" applyBorder="1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44" fontId="0" fillId="6" borderId="3" xfId="4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44" fontId="0" fillId="4" borderId="6" xfId="4" applyNumberFormat="1" applyFont="1" applyFill="1" applyBorder="1"/>
    <xf numFmtId="44" fontId="0" fillId="4" borderId="7" xfId="4" applyNumberFormat="1" applyFont="1" applyFill="1" applyBorder="1"/>
    <xf numFmtId="44" fontId="0" fillId="12" borderId="3" xfId="4" applyNumberFormat="1" applyFont="1" applyFill="1" applyBorder="1" applyAlignment="1">
      <alignment horizontal="center"/>
    </xf>
    <xf numFmtId="165" fontId="0" fillId="12" borderId="3" xfId="4" applyNumberFormat="1" applyFont="1" applyFill="1" applyBorder="1" applyAlignment="1">
      <alignment horizontal="right"/>
    </xf>
    <xf numFmtId="44" fontId="0" fillId="12" borderId="3" xfId="4" applyNumberFormat="1" applyFont="1" applyFill="1" applyBorder="1"/>
  </cellXfs>
  <cellStyles count="5">
    <cellStyle name="Akzent5" xfId="1" builtinId="45"/>
    <cellStyle name="Komma" xfId="2" builtinId="3"/>
    <cellStyle name="Prozent" xfId="3" builtinId="5"/>
    <cellStyle name="Standard" xfId="0" builtinId="0"/>
    <cellStyle name="Währung" xfId="4" builtinId="4"/>
  </cellStyles>
  <dxfs count="7"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7"/>
  <sheetViews>
    <sheetView zoomScale="85" workbookViewId="0">
      <selection activeCell="D12" sqref="D12"/>
    </sheetView>
  </sheetViews>
  <sheetFormatPr baseColWidth="10" defaultColWidth="10.7109375" defaultRowHeight="15" x14ac:dyDescent="0.25"/>
  <cols>
    <col min="3" max="3" width="32.7109375" bestFit="1" customWidth="1"/>
    <col min="4" max="4" width="20.42578125" bestFit="1" customWidth="1"/>
    <col min="5" max="5" width="12.140625" bestFit="1" customWidth="1"/>
    <col min="6" max="6" width="21.85546875" bestFit="1" customWidth="1"/>
  </cols>
  <sheetData>
    <row r="3" spans="2:9" x14ac:dyDescent="0.25">
      <c r="B3" s="70" t="s">
        <v>0</v>
      </c>
      <c r="C3" s="70"/>
      <c r="D3" s="70"/>
      <c r="E3" s="70"/>
      <c r="F3" s="70"/>
      <c r="G3" s="70"/>
      <c r="H3" s="70"/>
      <c r="I3" s="70"/>
    </row>
    <row r="4" spans="2:9" x14ac:dyDescent="0.25">
      <c r="B4" s="70"/>
      <c r="C4" s="70"/>
      <c r="D4" s="70"/>
      <c r="E4" s="70"/>
      <c r="F4" s="70"/>
      <c r="G4" s="70"/>
      <c r="H4" s="70"/>
      <c r="I4" s="70"/>
    </row>
    <row r="5" spans="2:9" x14ac:dyDescent="0.25">
      <c r="B5" s="70"/>
      <c r="C5" s="70"/>
      <c r="D5" s="70"/>
      <c r="E5" s="70"/>
      <c r="F5" s="70"/>
      <c r="G5" s="70"/>
      <c r="H5" s="70"/>
      <c r="I5" s="70"/>
    </row>
    <row r="10" spans="2:9" x14ac:dyDescent="0.25">
      <c r="B10" s="2" t="s">
        <v>1</v>
      </c>
    </row>
    <row r="11" spans="2:9" x14ac:dyDescent="0.25">
      <c r="B11" s="3"/>
      <c r="D11" s="4" t="s">
        <v>2</v>
      </c>
      <c r="E11" s="4" t="s">
        <v>3</v>
      </c>
      <c r="F11" s="4" t="s">
        <v>4</v>
      </c>
    </row>
    <row r="12" spans="2:9" x14ac:dyDescent="0.25">
      <c r="C12" s="5" t="s">
        <v>5</v>
      </c>
      <c r="D12" s="6"/>
      <c r="E12" s="6"/>
      <c r="F12" s="6"/>
    </row>
    <row r="14" spans="2:9" x14ac:dyDescent="0.25">
      <c r="B14" s="2" t="s">
        <v>6</v>
      </c>
    </row>
    <row r="15" spans="2:9" x14ac:dyDescent="0.25">
      <c r="B15" s="3"/>
      <c r="D15" s="7" t="s">
        <v>7</v>
      </c>
      <c r="E15" s="3"/>
      <c r="F15" s="3"/>
    </row>
    <row r="16" spans="2:9" x14ac:dyDescent="0.25">
      <c r="C16" s="5" t="s">
        <v>8</v>
      </c>
      <c r="D16" s="8">
        <v>15000</v>
      </c>
      <c r="E16" s="9"/>
      <c r="F16" s="9"/>
    </row>
    <row r="17" spans="3:6" x14ac:dyDescent="0.25">
      <c r="C17" s="5" t="s">
        <v>9</v>
      </c>
      <c r="D17" s="8">
        <v>0</v>
      </c>
      <c r="E17" s="9"/>
      <c r="F17" s="9"/>
    </row>
  </sheetData>
  <mergeCells count="1">
    <mergeCell ref="B3:I5"/>
  </mergeCells>
  <pageMargins left="0.7" right="0.7" top="0.78740157500000008" bottom="0.78740157500000008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21"/>
  <sheetViews>
    <sheetView tabSelected="1" zoomScale="85" workbookViewId="0">
      <selection activeCell="F13" sqref="F13"/>
    </sheetView>
  </sheetViews>
  <sheetFormatPr baseColWidth="10" defaultColWidth="10.7109375" defaultRowHeight="15" x14ac:dyDescent="0.25"/>
  <cols>
    <col min="1" max="1" width="7.85546875" bestFit="1" customWidth="1"/>
    <col min="2" max="2" width="18.42578125" bestFit="1" customWidth="1"/>
    <col min="3" max="3" width="28.140625" bestFit="1" customWidth="1"/>
    <col min="4" max="4" width="14.28515625" bestFit="1" customWidth="1"/>
    <col min="5" max="5" width="14.42578125" bestFit="1" customWidth="1"/>
    <col min="6" max="6" width="7.85546875" bestFit="1" customWidth="1"/>
    <col min="7" max="8" width="27.42578125" bestFit="1" customWidth="1"/>
    <col min="9" max="10" width="14.42578125" bestFit="1" customWidth="1"/>
    <col min="11" max="11" width="15.42578125" bestFit="1" customWidth="1"/>
  </cols>
  <sheetData>
    <row r="3" spans="2:11" ht="15" customHeight="1" x14ac:dyDescent="0.25">
      <c r="B3" s="70" t="s">
        <v>10</v>
      </c>
      <c r="C3" s="70"/>
      <c r="D3" s="70"/>
      <c r="E3" s="70"/>
      <c r="F3" s="70"/>
      <c r="G3" s="70"/>
      <c r="H3" s="70"/>
      <c r="I3" s="70"/>
      <c r="J3" s="70"/>
      <c r="K3" s="70"/>
    </row>
    <row r="4" spans="2:11" ht="15" customHeight="1" x14ac:dyDescent="0.25">
      <c r="B4" s="70"/>
      <c r="C4" s="70"/>
      <c r="D4" s="70"/>
      <c r="E4" s="70"/>
      <c r="F4" s="70"/>
      <c r="G4" s="70"/>
      <c r="H4" s="70"/>
      <c r="I4" s="70"/>
      <c r="J4" s="70"/>
      <c r="K4" s="70"/>
    </row>
    <row r="5" spans="2:11" ht="15" customHeight="1" x14ac:dyDescent="0.25">
      <c r="B5" s="70"/>
      <c r="C5" s="70"/>
      <c r="D5" s="70"/>
      <c r="E5" s="70"/>
      <c r="F5" s="70"/>
      <c r="G5" s="70"/>
      <c r="H5" s="70"/>
      <c r="I5" s="70"/>
      <c r="J5" s="70"/>
      <c r="K5" s="70"/>
    </row>
    <row r="10" spans="2:11" x14ac:dyDescent="0.25">
      <c r="B10" s="2" t="s">
        <v>11</v>
      </c>
      <c r="G10" s="2" t="s">
        <v>1</v>
      </c>
    </row>
    <row r="11" spans="2:11" x14ac:dyDescent="0.25">
      <c r="D11" s="4" t="s">
        <v>2</v>
      </c>
      <c r="E11" s="4" t="s">
        <v>3</v>
      </c>
      <c r="G11" s="3"/>
      <c r="I11" s="4" t="s">
        <v>2</v>
      </c>
      <c r="J11" s="4" t="s">
        <v>3</v>
      </c>
      <c r="K11" s="4" t="s">
        <v>4</v>
      </c>
    </row>
    <row r="12" spans="2:11" x14ac:dyDescent="0.25">
      <c r="C12" s="5" t="s">
        <v>12</v>
      </c>
      <c r="D12" s="10">
        <v>60</v>
      </c>
      <c r="E12" s="10">
        <v>10</v>
      </c>
      <c r="H12" s="5" t="s">
        <v>13</v>
      </c>
      <c r="I12" s="11">
        <f>'Werte Vorperiode'!D12</f>
        <v>0</v>
      </c>
      <c r="J12" s="11">
        <f>'Werte Vorperiode'!E12</f>
        <v>0</v>
      </c>
      <c r="K12" s="11">
        <f>'Werte Vorperiode'!F12</f>
        <v>0</v>
      </c>
    </row>
    <row r="13" spans="2:11" x14ac:dyDescent="0.25">
      <c r="C13" s="5" t="s">
        <v>14</v>
      </c>
      <c r="D13" s="12"/>
      <c r="E13" s="13"/>
      <c r="H13" s="5" t="s">
        <v>15</v>
      </c>
      <c r="I13" s="14">
        <f>D13</f>
        <v>0</v>
      </c>
      <c r="J13" s="14">
        <f>E13</f>
        <v>0</v>
      </c>
      <c r="K13" s="14">
        <f>Produktion!D24</f>
        <v>0</v>
      </c>
    </row>
    <row r="14" spans="2:11" x14ac:dyDescent="0.25">
      <c r="C14" s="5"/>
      <c r="D14" s="15"/>
      <c r="E14" s="15"/>
      <c r="H14" s="5" t="s">
        <v>16</v>
      </c>
      <c r="I14" s="14">
        <f>I12+I13</f>
        <v>0</v>
      </c>
      <c r="J14" s="14">
        <f t="shared" ref="J14:K14" si="0">J12+J13</f>
        <v>0</v>
      </c>
      <c r="K14" s="14">
        <f t="shared" si="0"/>
        <v>0</v>
      </c>
    </row>
    <row r="15" spans="2:11" x14ac:dyDescent="0.25">
      <c r="C15" s="5" t="s">
        <v>17</v>
      </c>
      <c r="D15" s="16">
        <f>D13*D12</f>
        <v>0</v>
      </c>
      <c r="E15" s="16">
        <f>E13*E12</f>
        <v>0</v>
      </c>
      <c r="H15" s="5" t="s">
        <v>18</v>
      </c>
      <c r="I15" s="11">
        <f>Produktion!D24</f>
        <v>0</v>
      </c>
      <c r="J15" s="11">
        <f>Produktion!D24*2</f>
        <v>0</v>
      </c>
      <c r="K15" s="11">
        <f>'Vertrieb und Absatz'!D13</f>
        <v>0</v>
      </c>
    </row>
    <row r="16" spans="2:11" x14ac:dyDescent="0.25">
      <c r="C16" s="5" t="s">
        <v>19</v>
      </c>
      <c r="D16" s="71">
        <f>SUM(D15:E15)</f>
        <v>0</v>
      </c>
      <c r="E16" s="71"/>
      <c r="H16" s="5" t="s">
        <v>20</v>
      </c>
      <c r="I16" s="11">
        <f>I14-I15</f>
        <v>0</v>
      </c>
      <c r="J16" s="11">
        <f>J14-J15</f>
        <v>0</v>
      </c>
      <c r="K16" s="11">
        <f>K14-'Vertrieb und Absatz'!D21</f>
        <v>0</v>
      </c>
    </row>
    <row r="17" spans="8:11" x14ac:dyDescent="0.25">
      <c r="H17" s="5" t="s">
        <v>21</v>
      </c>
      <c r="I17" s="17">
        <v>4</v>
      </c>
      <c r="J17" s="17">
        <v>1</v>
      </c>
      <c r="K17" s="17">
        <v>8</v>
      </c>
    </row>
    <row r="18" spans="8:11" x14ac:dyDescent="0.25">
      <c r="H18" s="5" t="s">
        <v>22</v>
      </c>
      <c r="I18" s="16">
        <f>I16*I17</f>
        <v>0</v>
      </c>
      <c r="J18" s="16">
        <f>J16*J17</f>
        <v>0</v>
      </c>
      <c r="K18" s="16">
        <f>K17*K16</f>
        <v>0</v>
      </c>
    </row>
    <row r="19" spans="8:11" x14ac:dyDescent="0.25">
      <c r="H19" s="5" t="s">
        <v>23</v>
      </c>
      <c r="I19" s="11">
        <f>Produktion!D24</f>
        <v>0</v>
      </c>
      <c r="J19" s="11">
        <f>I19*2</f>
        <v>0</v>
      </c>
      <c r="K19" s="11">
        <f>'Vertrieb und Absatz'!D29</f>
        <v>0</v>
      </c>
    </row>
    <row r="20" spans="8:11" x14ac:dyDescent="0.25">
      <c r="H20" s="5" t="s">
        <v>24</v>
      </c>
      <c r="I20" s="11">
        <f>I14-I19</f>
        <v>0</v>
      </c>
      <c r="J20" s="11">
        <f>J14-J19</f>
        <v>0</v>
      </c>
      <c r="K20" s="11">
        <f>K14-'Vertrieb und Absatz'!D29</f>
        <v>0</v>
      </c>
    </row>
    <row r="21" spans="8:11" x14ac:dyDescent="0.25">
      <c r="H21" s="5" t="s">
        <v>25</v>
      </c>
      <c r="I21" s="16">
        <f>I20*I17</f>
        <v>0</v>
      </c>
      <c r="J21" s="16">
        <f>J20*J17</f>
        <v>0</v>
      </c>
      <c r="K21" s="16">
        <f>K20*K17</f>
        <v>0</v>
      </c>
    </row>
  </sheetData>
  <mergeCells count="2">
    <mergeCell ref="B3:K5"/>
    <mergeCell ref="D16:E16"/>
  </mergeCells>
  <pageMargins left="0.7" right="0.7" top="0.78740157500000008" bottom="0.78740157500000008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30"/>
  <sheetViews>
    <sheetView zoomScale="85" workbookViewId="0">
      <selection activeCell="D28" sqref="D28"/>
    </sheetView>
  </sheetViews>
  <sheetFormatPr baseColWidth="10" defaultColWidth="10.7109375" defaultRowHeight="15" x14ac:dyDescent="0.25"/>
  <cols>
    <col min="1" max="1" width="7.42578125" bestFit="1" customWidth="1"/>
    <col min="2" max="2" width="23" bestFit="1" customWidth="1"/>
    <col min="3" max="3" width="32.42578125" bestFit="1" customWidth="1"/>
    <col min="4" max="4" width="32.85546875" bestFit="1" customWidth="1"/>
    <col min="5" max="5" width="32.28515625" bestFit="1" customWidth="1"/>
    <col min="6" max="6" width="31.85546875" bestFit="1" customWidth="1"/>
    <col min="7" max="7" width="29.42578125" bestFit="1" customWidth="1"/>
  </cols>
  <sheetData>
    <row r="3" spans="2:7" ht="15" customHeight="1" x14ac:dyDescent="0.25">
      <c r="B3" s="70" t="s">
        <v>26</v>
      </c>
      <c r="C3" s="70"/>
      <c r="D3" s="70"/>
      <c r="E3" s="70"/>
      <c r="F3" s="70"/>
      <c r="G3" s="70"/>
    </row>
    <row r="4" spans="2:7" ht="15" customHeight="1" x14ac:dyDescent="0.25">
      <c r="B4" s="70"/>
      <c r="C4" s="70"/>
      <c r="D4" s="70"/>
      <c r="E4" s="70"/>
      <c r="F4" s="70"/>
      <c r="G4" s="70"/>
    </row>
    <row r="5" spans="2:7" ht="15" customHeight="1" x14ac:dyDescent="0.25">
      <c r="B5" s="70"/>
      <c r="C5" s="70"/>
      <c r="D5" s="70"/>
      <c r="E5" s="70"/>
      <c r="F5" s="70"/>
      <c r="G5" s="70"/>
    </row>
    <row r="7" spans="2:7" hidden="1" x14ac:dyDescent="0.25"/>
    <row r="8" spans="2:7" hidden="1" x14ac:dyDescent="0.25"/>
    <row r="9" spans="2:7" ht="15.75" hidden="1" customHeight="1" x14ac:dyDescent="0.25">
      <c r="B9" s="2" t="s">
        <v>27</v>
      </c>
    </row>
    <row r="10" spans="2:7" hidden="1" x14ac:dyDescent="0.25">
      <c r="D10" s="4" t="s">
        <v>28</v>
      </c>
      <c r="E10" s="4" t="s">
        <v>29</v>
      </c>
      <c r="F10" s="4" t="s">
        <v>30</v>
      </c>
    </row>
    <row r="11" spans="2:7" hidden="1" x14ac:dyDescent="0.25">
      <c r="C11" s="5" t="s">
        <v>2</v>
      </c>
      <c r="D11" s="18">
        <f>'Beschaffung und Lager'!I14</f>
        <v>0</v>
      </c>
      <c r="E11" s="19"/>
      <c r="F11" s="20"/>
    </row>
    <row r="12" spans="2:7" hidden="1" x14ac:dyDescent="0.25">
      <c r="C12" s="5" t="s">
        <v>3</v>
      </c>
      <c r="D12" s="18">
        <f>'Beschaffung und Lager'!J14</f>
        <v>0</v>
      </c>
      <c r="E12" s="20"/>
      <c r="F12" s="20"/>
    </row>
    <row r="13" spans="2:7" hidden="1" x14ac:dyDescent="0.25">
      <c r="D13" s="3">
        <f>ROUNDDOWN(D12/2,0)</f>
        <v>0</v>
      </c>
      <c r="E13">
        <f>ROUNDDOWN(E12/2,0)</f>
        <v>0</v>
      </c>
      <c r="F13">
        <f>ROUNDDOWN(F12/2,0)</f>
        <v>0</v>
      </c>
    </row>
    <row r="14" spans="2:7" ht="16.5" hidden="1" customHeight="1" x14ac:dyDescent="0.25">
      <c r="C14" s="5" t="s">
        <v>31</v>
      </c>
      <c r="D14" s="21">
        <f>IF(D11&gt;D13,D13,D11)</f>
        <v>0</v>
      </c>
      <c r="E14" s="22">
        <f>IF(E11&gt;E13,E13,E11)</f>
        <v>0</v>
      </c>
      <c r="F14" s="22">
        <f>IF(F11&gt;F13,F13,F11)</f>
        <v>0</v>
      </c>
    </row>
    <row r="15" spans="2:7" hidden="1" x14ac:dyDescent="0.25"/>
    <row r="17" spans="2:7" x14ac:dyDescent="0.25">
      <c r="B17" s="2" t="s">
        <v>32</v>
      </c>
    </row>
    <row r="18" spans="2:7" x14ac:dyDescent="0.25">
      <c r="C18" s="23"/>
      <c r="D18" s="4" t="s">
        <v>33</v>
      </c>
      <c r="E18" s="4"/>
      <c r="F18" s="4"/>
      <c r="G18" s="4" t="s">
        <v>34</v>
      </c>
    </row>
    <row r="19" spans="2:7" x14ac:dyDescent="0.25">
      <c r="C19" s="24" t="s">
        <v>35</v>
      </c>
      <c r="D19" s="25">
        <v>200</v>
      </c>
      <c r="E19" s="26"/>
      <c r="F19" s="26"/>
      <c r="G19" s="27">
        <f t="shared" ref="G19:G27" si="0">SUM(D19:F19)</f>
        <v>200</v>
      </c>
    </row>
    <row r="20" spans="2:7" x14ac:dyDescent="0.25">
      <c r="C20" s="24" t="s">
        <v>36</v>
      </c>
      <c r="D20" s="28">
        <v>4000</v>
      </c>
      <c r="E20" s="28"/>
      <c r="F20" s="28"/>
      <c r="G20" s="29">
        <f t="shared" si="0"/>
        <v>4000</v>
      </c>
    </row>
    <row r="21" spans="2:7" x14ac:dyDescent="0.25">
      <c r="C21" s="24" t="s">
        <v>37</v>
      </c>
      <c r="D21" s="28">
        <v>60</v>
      </c>
      <c r="E21" s="28"/>
      <c r="F21" s="28"/>
      <c r="G21" s="30"/>
    </row>
    <row r="22" spans="2:7" x14ac:dyDescent="0.25">
      <c r="C22" s="24" t="s">
        <v>38</v>
      </c>
      <c r="D22" s="28">
        <f>D21*D23</f>
        <v>60</v>
      </c>
      <c r="E22" s="28">
        <f>E21*E23</f>
        <v>0</v>
      </c>
      <c r="F22" s="28">
        <f>F21*F23</f>
        <v>0</v>
      </c>
      <c r="G22" s="30"/>
    </row>
    <row r="23" spans="2:7" x14ac:dyDescent="0.25">
      <c r="C23" s="5" t="s">
        <v>39</v>
      </c>
      <c r="D23" s="31">
        <f>'Marketing  F&amp;E'!$D$12</f>
        <v>1</v>
      </c>
      <c r="E23" s="31">
        <f>'Marketing  F&amp;E'!$D$12</f>
        <v>1</v>
      </c>
      <c r="F23" s="31">
        <f>'Marketing  F&amp;E'!$D$12</f>
        <v>1</v>
      </c>
      <c r="G23" s="30"/>
    </row>
    <row r="24" spans="2:7" x14ac:dyDescent="0.25">
      <c r="C24" s="5" t="s">
        <v>40</v>
      </c>
      <c r="D24" s="32"/>
      <c r="E24" s="32"/>
      <c r="F24" s="32">
        <v>0</v>
      </c>
      <c r="G24" s="33">
        <f t="shared" si="0"/>
        <v>0</v>
      </c>
    </row>
    <row r="25" spans="2:7" x14ac:dyDescent="0.25">
      <c r="C25" s="5" t="s">
        <v>41</v>
      </c>
      <c r="D25" s="34" t="str">
        <f>IF(AND(D24&lt;=D14,G24&lt;=$D$14),"Ja","Keine ausreichenden Werkstoffe")</f>
        <v>Ja</v>
      </c>
      <c r="E25" s="34" t="str">
        <f>IF(AND(E24&lt;=D14,G24&lt;=$D$14),"Ja","Keine ausreichenden Werkstoffe")</f>
        <v>Ja</v>
      </c>
      <c r="F25" s="34" t="str">
        <f>IF(AND(F24&lt;=D14,G24&lt;=$D$14),"Ja","Keine ausreichenden Werkstoffe")</f>
        <v>Ja</v>
      </c>
      <c r="G25" s="33"/>
    </row>
    <row r="26" spans="2:7" x14ac:dyDescent="0.25">
      <c r="C26" s="5" t="s">
        <v>42</v>
      </c>
      <c r="D26" s="34">
        <f>ROUNDUP(D24/20,0)</f>
        <v>0</v>
      </c>
      <c r="E26" s="34">
        <f>ROUNDUP(E24/20,0)</f>
        <v>0</v>
      </c>
      <c r="F26" s="34">
        <f>ROUNDUP(F24/20,0)</f>
        <v>0</v>
      </c>
      <c r="G26" s="33">
        <f t="shared" si="0"/>
        <v>0</v>
      </c>
    </row>
    <row r="27" spans="2:7" x14ac:dyDescent="0.25">
      <c r="C27" s="5" t="s">
        <v>43</v>
      </c>
      <c r="D27" s="32"/>
      <c r="E27" s="32"/>
      <c r="F27" s="32"/>
      <c r="G27" s="33">
        <f t="shared" si="0"/>
        <v>0</v>
      </c>
    </row>
    <row r="28" spans="2:7" x14ac:dyDescent="0.25">
      <c r="C28" s="5" t="s">
        <v>44</v>
      </c>
      <c r="D28" s="34" t="str">
        <f>IF(AND(D26=D27,$G$27&lt;=Personal!D10),"Ja","Keine passende Mitarbeiteranzahl")</f>
        <v>Ja</v>
      </c>
      <c r="E28" s="34" t="str">
        <f>IF(AND(E26=E27,$G$27&lt;=Personal!$D$10),"Ja","Keine passende Mitarbeiteranzahl")</f>
        <v>Ja</v>
      </c>
      <c r="F28" s="34" t="str">
        <f>IF(AND(F26=F27,$G$27&lt;=Personal!$D$10),"Ja","Keine passende Mitarbeiteranzahl")</f>
        <v>Ja</v>
      </c>
      <c r="G28" s="33"/>
    </row>
    <row r="29" spans="2:7" x14ac:dyDescent="0.25">
      <c r="C29" s="24" t="s">
        <v>45</v>
      </c>
      <c r="D29" s="35">
        <f>D24/D19</f>
        <v>0</v>
      </c>
      <c r="E29" s="35" t="e">
        <f>E24/E19</f>
        <v>#DIV/0!</v>
      </c>
      <c r="F29" s="35" t="e">
        <f>F24/F19</f>
        <v>#DIV/0!</v>
      </c>
      <c r="G29" s="36" t="e">
        <f>SUM(D29:F29)/COUNT(D29:F29)</f>
        <v>#DIV/0!</v>
      </c>
    </row>
    <row r="30" spans="2:7" x14ac:dyDescent="0.25">
      <c r="C30" s="24" t="s">
        <v>46</v>
      </c>
      <c r="D30" s="37">
        <f>D20+D24*D22</f>
        <v>4000</v>
      </c>
      <c r="E30" s="37">
        <f>E20+E24*E22</f>
        <v>0</v>
      </c>
      <c r="F30" s="37">
        <f>F20+F24*F22</f>
        <v>0</v>
      </c>
      <c r="G30" s="37">
        <f>SUM(D30:F30)</f>
        <v>4000</v>
      </c>
    </row>
  </sheetData>
  <mergeCells count="1">
    <mergeCell ref="B3:G5"/>
  </mergeCells>
  <conditionalFormatting sqref="G24:G28">
    <cfRule type="expression" dxfId="6" priority="6">
      <formula>#REF!&gt;#REF!</formula>
    </cfRule>
  </conditionalFormatting>
  <conditionalFormatting sqref="D24:D25 E25:F25">
    <cfRule type="expression" dxfId="5" priority="5">
      <formula>#REF!&gt;#REF!</formula>
    </cfRule>
  </conditionalFormatting>
  <conditionalFormatting sqref="G24:G25">
    <cfRule type="expression" dxfId="4" priority="4">
      <formula>#REF!&gt;#REF!</formula>
    </cfRule>
  </conditionalFormatting>
  <conditionalFormatting sqref="G26:G28">
    <cfRule type="expression" dxfId="3" priority="3">
      <formula>#REF!&gt;#REF!</formula>
    </cfRule>
  </conditionalFormatting>
  <conditionalFormatting sqref="E24">
    <cfRule type="expression" dxfId="2" priority="2">
      <formula>#REF!&gt;#REF!</formula>
    </cfRule>
  </conditionalFormatting>
  <conditionalFormatting sqref="F24">
    <cfRule type="expression" dxfId="1" priority="1">
      <formula>#REF!&gt;#REF!</formula>
    </cfRule>
  </conditionalFormatting>
  <pageMargins left="0.7" right="0.7" top="0.78740157500000008" bottom="0.78740157500000008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22"/>
  <sheetViews>
    <sheetView zoomScale="85" workbookViewId="0">
      <selection activeCell="F20" sqref="F20"/>
    </sheetView>
  </sheetViews>
  <sheetFormatPr baseColWidth="10" defaultColWidth="10.7109375" defaultRowHeight="15" x14ac:dyDescent="0.25"/>
  <cols>
    <col min="2" max="2" width="26.140625" bestFit="1" customWidth="1"/>
    <col min="3" max="3" width="31" bestFit="1" customWidth="1"/>
    <col min="4" max="4" width="16" bestFit="1" customWidth="1"/>
  </cols>
  <sheetData>
    <row r="3" spans="2:9" ht="15" customHeight="1" x14ac:dyDescent="0.25">
      <c r="B3" s="70" t="s">
        <v>47</v>
      </c>
      <c r="C3" s="70"/>
      <c r="D3" s="70"/>
      <c r="E3" s="70"/>
      <c r="F3" s="70"/>
      <c r="G3" s="70"/>
      <c r="H3" s="70"/>
      <c r="I3" s="70"/>
    </row>
    <row r="4" spans="2:9" ht="15" customHeight="1" x14ac:dyDescent="0.25">
      <c r="B4" s="70"/>
      <c r="C4" s="70"/>
      <c r="D4" s="70"/>
      <c r="E4" s="70"/>
      <c r="F4" s="70"/>
      <c r="G4" s="70"/>
      <c r="H4" s="70"/>
      <c r="I4" s="70"/>
    </row>
    <row r="5" spans="2:9" ht="15" customHeight="1" x14ac:dyDescent="0.25">
      <c r="B5" s="70"/>
      <c r="C5" s="70"/>
      <c r="D5" s="70"/>
      <c r="E5" s="70"/>
      <c r="F5" s="70"/>
      <c r="G5" s="70"/>
      <c r="H5" s="70"/>
      <c r="I5" s="70"/>
    </row>
    <row r="9" spans="2:9" x14ac:dyDescent="0.25">
      <c r="B9" s="38" t="s">
        <v>48</v>
      </c>
    </row>
    <row r="10" spans="2:9" x14ac:dyDescent="0.25">
      <c r="C10" s="24" t="s">
        <v>49</v>
      </c>
      <c r="D10" s="40">
        <v>8</v>
      </c>
    </row>
    <row r="11" spans="2:9" x14ac:dyDescent="0.25">
      <c r="C11" s="24" t="s">
        <v>50</v>
      </c>
      <c r="D11" s="21">
        <v>20</v>
      </c>
    </row>
    <row r="12" spans="2:9" x14ac:dyDescent="0.25">
      <c r="C12" s="24" t="s">
        <v>51</v>
      </c>
      <c r="D12" s="18">
        <f>D10-D13</f>
        <v>8</v>
      </c>
    </row>
    <row r="13" spans="2:9" x14ac:dyDescent="0.25">
      <c r="C13" s="24" t="s">
        <v>52</v>
      </c>
      <c r="D13" s="18">
        <f>Produktion!D26</f>
        <v>0</v>
      </c>
    </row>
    <row r="14" spans="2:9" x14ac:dyDescent="0.25">
      <c r="C14" s="24" t="s">
        <v>53</v>
      </c>
      <c r="D14" s="39">
        <f>D13/D10</f>
        <v>0</v>
      </c>
    </row>
    <row r="15" spans="2:9" x14ac:dyDescent="0.25">
      <c r="C15" s="24" t="s">
        <v>54</v>
      </c>
      <c r="D15" s="40"/>
    </row>
    <row r="16" spans="2:9" x14ac:dyDescent="0.25">
      <c r="C16" s="24" t="s">
        <v>55</v>
      </c>
      <c r="D16" s="29">
        <v>100</v>
      </c>
    </row>
    <row r="17" spans="3:4" x14ac:dyDescent="0.25">
      <c r="C17" s="24" t="s">
        <v>56</v>
      </c>
      <c r="D17" s="40"/>
    </row>
    <row r="18" spans="3:4" x14ac:dyDescent="0.25">
      <c r="C18" s="24" t="s">
        <v>57</v>
      </c>
      <c r="D18" s="21">
        <f>D10+D15-D17</f>
        <v>8</v>
      </c>
    </row>
    <row r="19" spans="3:4" x14ac:dyDescent="0.25">
      <c r="C19" s="24" t="s">
        <v>58</v>
      </c>
      <c r="D19" s="16">
        <v>500</v>
      </c>
    </row>
    <row r="20" spans="3:4" x14ac:dyDescent="0.25">
      <c r="C20" s="24" t="s">
        <v>59</v>
      </c>
      <c r="D20" s="41">
        <v>0.2</v>
      </c>
    </row>
    <row r="21" spans="3:4" x14ac:dyDescent="0.25">
      <c r="C21" s="24" t="s">
        <v>60</v>
      </c>
      <c r="D21" s="16">
        <f>D10*(D19*(1+D20))</f>
        <v>4800</v>
      </c>
    </row>
    <row r="22" spans="3:4" x14ac:dyDescent="0.25">
      <c r="C22" s="24" t="s">
        <v>61</v>
      </c>
      <c r="D22" s="16">
        <f>D18*(D19*(1+D20))</f>
        <v>4800</v>
      </c>
    </row>
  </sheetData>
  <mergeCells count="1">
    <mergeCell ref="B3:I5"/>
  </mergeCells>
  <conditionalFormatting sqref="D14">
    <cfRule type="cellIs" dxfId="0" priority="1" operator="greaterThan">
      <formula>1</formula>
    </cfRule>
  </conditionalFormatting>
  <pageMargins left="0.7" right="0.7" top="0.78740157500000008" bottom="0.78740157500000008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9"/>
  <sheetViews>
    <sheetView topLeftCell="B12" zoomScale="125" workbookViewId="0">
      <selection activeCell="D27" sqref="D27"/>
    </sheetView>
  </sheetViews>
  <sheetFormatPr baseColWidth="10" defaultColWidth="10.7109375" defaultRowHeight="15" x14ac:dyDescent="0.25"/>
  <cols>
    <col min="2" max="2" width="23.28515625" bestFit="1" customWidth="1"/>
    <col min="3" max="3" width="28.42578125" bestFit="1" customWidth="1"/>
    <col min="4" max="4" width="18" bestFit="1" customWidth="1"/>
    <col min="5" max="5" width="24" bestFit="1" customWidth="1"/>
    <col min="6" max="6" width="16.85546875" bestFit="1" customWidth="1"/>
  </cols>
  <sheetData>
    <row r="3" spans="2:10" ht="15" customHeight="1" x14ac:dyDescent="0.25">
      <c r="B3" s="70" t="s">
        <v>62</v>
      </c>
      <c r="C3" s="70"/>
      <c r="D3" s="70"/>
      <c r="E3" s="70"/>
      <c r="F3" s="70"/>
      <c r="G3" s="70"/>
      <c r="H3" s="70"/>
      <c r="I3" s="70"/>
      <c r="J3" s="70"/>
    </row>
    <row r="4" spans="2:10" ht="15" customHeight="1" x14ac:dyDescent="0.25">
      <c r="B4" s="70"/>
      <c r="C4" s="70"/>
      <c r="D4" s="70"/>
      <c r="E4" s="70"/>
      <c r="F4" s="70"/>
      <c r="G4" s="70"/>
      <c r="H4" s="70"/>
      <c r="I4" s="70"/>
      <c r="J4" s="70"/>
    </row>
    <row r="5" spans="2:10" ht="15" customHeight="1" x14ac:dyDescent="0.25">
      <c r="B5" s="70"/>
      <c r="C5" s="70"/>
      <c r="D5" s="70"/>
      <c r="E5" s="70"/>
      <c r="F5" s="70"/>
      <c r="G5" s="70"/>
      <c r="H5" s="70"/>
      <c r="I5" s="70"/>
      <c r="J5" s="70"/>
    </row>
    <row r="9" spans="2:10" x14ac:dyDescent="0.25">
      <c r="B9" s="2" t="s">
        <v>63</v>
      </c>
    </row>
    <row r="10" spans="2:10" x14ac:dyDescent="0.25">
      <c r="C10" s="5" t="s">
        <v>40</v>
      </c>
      <c r="D10" s="42">
        <f>Produktion!G24</f>
        <v>0</v>
      </c>
    </row>
    <row r="11" spans="2:10" x14ac:dyDescent="0.25">
      <c r="C11" s="5" t="s">
        <v>64</v>
      </c>
      <c r="D11" s="42">
        <f>'Beschaffung und Lager'!K12</f>
        <v>0</v>
      </c>
    </row>
    <row r="12" spans="2:10" x14ac:dyDescent="0.25">
      <c r="C12" s="5" t="s">
        <v>65</v>
      </c>
      <c r="D12" s="43"/>
    </row>
    <row r="13" spans="2:10" x14ac:dyDescent="0.25">
      <c r="C13" s="5" t="s">
        <v>66</v>
      </c>
      <c r="D13" s="20">
        <f>D10+D12</f>
        <v>0</v>
      </c>
    </row>
    <row r="14" spans="2:10" x14ac:dyDescent="0.25">
      <c r="C14" s="5" t="s">
        <v>67</v>
      </c>
      <c r="D14" s="21" t="str">
        <f>IF(D12&gt;D11,"Nein","Ja")</f>
        <v>Ja</v>
      </c>
    </row>
    <row r="17" spans="2:6" x14ac:dyDescent="0.25">
      <c r="B17" s="2" t="s">
        <v>68</v>
      </c>
    </row>
    <row r="18" spans="2:6" x14ac:dyDescent="0.25">
      <c r="C18" s="23"/>
      <c r="D18" s="44" t="s">
        <v>69</v>
      </c>
      <c r="E18" s="44" t="s">
        <v>70</v>
      </c>
      <c r="F18" s="44" t="s">
        <v>71</v>
      </c>
    </row>
    <row r="19" spans="2:6" x14ac:dyDescent="0.25">
      <c r="C19" s="5" t="s">
        <v>72</v>
      </c>
      <c r="D19" s="43"/>
      <c r="E19" s="10"/>
      <c r="F19" s="45">
        <f t="shared" ref="F19:F20" si="0">E19*D19</f>
        <v>0</v>
      </c>
    </row>
    <row r="20" spans="2:6" x14ac:dyDescent="0.25">
      <c r="C20" s="5" t="s">
        <v>73</v>
      </c>
      <c r="D20" s="43"/>
      <c r="E20" s="10"/>
      <c r="F20" s="45">
        <f t="shared" si="0"/>
        <v>0</v>
      </c>
    </row>
    <row r="21" spans="2:6" x14ac:dyDescent="0.25">
      <c r="C21" s="5" t="s">
        <v>74</v>
      </c>
      <c r="D21" s="5">
        <f>SUM(D19:D20)</f>
        <v>0</v>
      </c>
      <c r="E21" s="46"/>
      <c r="F21" s="16">
        <f>SUM(F19:F20)</f>
        <v>0</v>
      </c>
    </row>
    <row r="22" spans="2:6" x14ac:dyDescent="0.25">
      <c r="C22" s="5" t="s">
        <v>75</v>
      </c>
      <c r="D22" s="21" t="str">
        <f>IF(D21&gt;D13,"Nein","Ja")</f>
        <v>Ja</v>
      </c>
      <c r="E22" s="46"/>
      <c r="F22" s="46"/>
    </row>
    <row r="23" spans="2:6" x14ac:dyDescent="0.25">
      <c r="C23" s="47"/>
      <c r="D23" s="3"/>
      <c r="E23" s="47"/>
      <c r="F23" s="47"/>
    </row>
    <row r="24" spans="2:6" x14ac:dyDescent="0.25">
      <c r="C24" s="47"/>
      <c r="D24" s="3"/>
      <c r="E24" s="47"/>
      <c r="F24" s="47"/>
    </row>
    <row r="25" spans="2:6" x14ac:dyDescent="0.25">
      <c r="B25" s="2" t="s">
        <v>76</v>
      </c>
    </row>
    <row r="26" spans="2:6" x14ac:dyDescent="0.25">
      <c r="C26" s="23"/>
      <c r="D26" s="4" t="s">
        <v>77</v>
      </c>
      <c r="E26" s="4" t="s">
        <v>78</v>
      </c>
    </row>
    <row r="27" spans="2:6" x14ac:dyDescent="0.25">
      <c r="C27" s="5" t="s">
        <v>72</v>
      </c>
      <c r="D27" s="43"/>
      <c r="E27" s="45">
        <f t="shared" ref="E27:E28" si="1">D27*E19</f>
        <v>0</v>
      </c>
    </row>
    <row r="28" spans="2:6" x14ac:dyDescent="0.25">
      <c r="C28" s="5" t="s">
        <v>73</v>
      </c>
      <c r="D28" s="43"/>
      <c r="E28" s="45">
        <f t="shared" si="1"/>
        <v>0</v>
      </c>
    </row>
    <row r="29" spans="2:6" x14ac:dyDescent="0.25">
      <c r="C29" s="5" t="s">
        <v>74</v>
      </c>
      <c r="D29" s="20">
        <f>SUM(D27:D28)</f>
        <v>0</v>
      </c>
      <c r="E29" s="16">
        <f>SUM(E27:E28)</f>
        <v>0</v>
      </c>
    </row>
  </sheetData>
  <mergeCells count="1">
    <mergeCell ref="B3:J5"/>
  </mergeCells>
  <dataValidations count="7">
    <dataValidation type="whole" allowBlank="1" showInputMessage="1" showErrorMessage="1" sqref="D10:D11" xr:uid="{00000000-0002-0000-0400-000000000000}">
      <formula1>0</formula1>
      <formula2>I44</formula2>
    </dataValidation>
    <dataValidation type="whole" allowBlank="1" showInputMessage="1" showErrorMessage="1" sqref="D12" xr:uid="{00000000-0002-0000-0400-000001000000}">
      <formula1>0</formula1>
      <formula2>F37</formula2>
    </dataValidation>
    <dataValidation type="whole" allowBlank="1" showInputMessage="1" showErrorMessage="1" sqref="F21" xr:uid="{00000000-0002-0000-0400-000002000000}">
      <formula1>0</formula1>
      <formula2>E13</formula2>
    </dataValidation>
    <dataValidation type="whole" allowBlank="1" showInputMessage="1" showErrorMessage="1" sqref="D20" xr:uid="{00000000-0002-0000-0400-000003000000}">
      <formula1>0</formula1>
      <formula2>D13</formula2>
    </dataValidation>
    <dataValidation type="whole" allowBlank="1" showInputMessage="1" showErrorMessage="1" sqref="D19" xr:uid="{00000000-0002-0000-0400-000004000000}">
      <formula1>0</formula1>
      <formula2>D13</formula2>
    </dataValidation>
    <dataValidation type="whole" allowBlank="1" showInputMessage="1" showErrorMessage="1" sqref="D21" xr:uid="{00000000-0002-0000-0400-000005000000}">
      <formula1>0</formula1>
      <formula2>D13</formula2>
    </dataValidation>
    <dataValidation type="whole" allowBlank="1" showInputMessage="1" showErrorMessage="1" sqref="E29" xr:uid="{00000000-0002-0000-0400-000006000000}">
      <formula1>0</formula1>
      <formula2>E20</formula2>
    </dataValidation>
  </dataValidations>
  <pageMargins left="0.7" right="0.7" top="0.78740157500000008" bottom="0.78740157500000008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J12"/>
  <sheetViews>
    <sheetView zoomScale="85" workbookViewId="0">
      <selection activeCell="F24" sqref="F24"/>
    </sheetView>
  </sheetViews>
  <sheetFormatPr baseColWidth="10" defaultColWidth="10.7109375" defaultRowHeight="15" x14ac:dyDescent="0.25"/>
  <cols>
    <col min="2" max="2" width="25.28515625" bestFit="1" customWidth="1"/>
    <col min="3" max="3" width="51.42578125" bestFit="1" customWidth="1"/>
    <col min="4" max="4" width="19.42578125" bestFit="1" customWidth="1"/>
    <col min="5" max="5" width="16.42578125" customWidth="1"/>
  </cols>
  <sheetData>
    <row r="3" spans="2:10" ht="15" customHeight="1" x14ac:dyDescent="0.25">
      <c r="B3" s="70" t="s">
        <v>79</v>
      </c>
      <c r="C3" s="70"/>
      <c r="D3" s="70"/>
      <c r="E3" s="70"/>
      <c r="F3" s="70"/>
      <c r="G3" s="70"/>
      <c r="H3" s="70"/>
      <c r="I3" s="70"/>
      <c r="J3" s="70"/>
    </row>
    <row r="4" spans="2:10" ht="15" customHeight="1" x14ac:dyDescent="0.25">
      <c r="B4" s="70"/>
      <c r="C4" s="70"/>
      <c r="D4" s="70"/>
      <c r="E4" s="70"/>
      <c r="F4" s="70"/>
      <c r="G4" s="70"/>
      <c r="H4" s="70"/>
      <c r="I4" s="70"/>
      <c r="J4" s="70"/>
    </row>
    <row r="5" spans="2:10" ht="15" customHeight="1" x14ac:dyDescent="0.25">
      <c r="B5" s="70"/>
      <c r="C5" s="70"/>
      <c r="D5" s="70"/>
      <c r="E5" s="70"/>
      <c r="F5" s="70"/>
      <c r="G5" s="70"/>
      <c r="H5" s="70"/>
      <c r="I5" s="70"/>
      <c r="J5" s="70"/>
    </row>
    <row r="6" spans="2:10" ht="15" customHeight="1" x14ac:dyDescent="0.25">
      <c r="B6" s="1"/>
      <c r="C6" s="1"/>
      <c r="D6" s="1"/>
      <c r="E6" s="1"/>
      <c r="F6" s="1"/>
      <c r="G6" s="1"/>
      <c r="H6" s="1"/>
      <c r="I6" s="1"/>
      <c r="J6" s="1"/>
    </row>
    <row r="8" spans="2:10" x14ac:dyDescent="0.25">
      <c r="B8" s="38" t="s">
        <v>80</v>
      </c>
      <c r="D8" s="72" t="s">
        <v>81</v>
      </c>
      <c r="E8" s="73"/>
    </row>
    <row r="9" spans="2:10" x14ac:dyDescent="0.25">
      <c r="C9" s="5" t="s">
        <v>82</v>
      </c>
      <c r="D9" s="74"/>
      <c r="E9" s="75"/>
    </row>
    <row r="11" spans="2:10" x14ac:dyDescent="0.25">
      <c r="B11" s="38" t="s">
        <v>83</v>
      </c>
      <c r="D11" s="4" t="s">
        <v>84</v>
      </c>
      <c r="E11" s="4" t="s">
        <v>85</v>
      </c>
    </row>
    <row r="12" spans="2:10" x14ac:dyDescent="0.25">
      <c r="C12" s="24" t="s">
        <v>86</v>
      </c>
      <c r="D12" s="48">
        <v>1</v>
      </c>
      <c r="E12" s="45"/>
    </row>
  </sheetData>
  <mergeCells count="4">
    <mergeCell ref="B3:I5"/>
    <mergeCell ref="J3:J5"/>
    <mergeCell ref="D8:E8"/>
    <mergeCell ref="D9:E9"/>
  </mergeCells>
  <pageMargins left="0.7" right="0.7" top="0.78740157500000008" bottom="0.78740157500000008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50"/>
  <sheetViews>
    <sheetView topLeftCell="A16" zoomScale="85" workbookViewId="0">
      <selection activeCell="H37" sqref="H37"/>
    </sheetView>
  </sheetViews>
  <sheetFormatPr baseColWidth="10" defaultColWidth="10.7109375" defaultRowHeight="15" x14ac:dyDescent="0.25"/>
  <cols>
    <col min="2" max="2" width="28.7109375" bestFit="1" customWidth="1"/>
    <col min="3" max="3" width="26.140625" bestFit="1" customWidth="1"/>
    <col min="4" max="4" width="23.140625" bestFit="1" customWidth="1"/>
    <col min="5" max="5" width="21.28515625" bestFit="1" customWidth="1"/>
    <col min="7" max="7" width="12.140625" bestFit="1" customWidth="1"/>
  </cols>
  <sheetData>
    <row r="2" spans="2:10" ht="15" customHeight="1" x14ac:dyDescent="0.25">
      <c r="B2" s="70" t="s">
        <v>87</v>
      </c>
      <c r="C2" s="70"/>
      <c r="D2" s="70"/>
      <c r="E2" s="70"/>
      <c r="F2" s="70"/>
      <c r="G2" s="70"/>
      <c r="H2" s="70"/>
      <c r="I2" s="70"/>
      <c r="J2" s="70"/>
    </row>
    <row r="3" spans="2:10" ht="15" customHeight="1" x14ac:dyDescent="0.25">
      <c r="B3" s="70"/>
      <c r="C3" s="70"/>
      <c r="D3" s="70"/>
      <c r="E3" s="70"/>
      <c r="F3" s="70"/>
      <c r="G3" s="70"/>
      <c r="H3" s="70"/>
      <c r="I3" s="70"/>
      <c r="J3" s="70"/>
    </row>
    <row r="4" spans="2:10" ht="15" customHeight="1" x14ac:dyDescent="0.25">
      <c r="B4" s="70"/>
      <c r="C4" s="70"/>
      <c r="D4" s="70"/>
      <c r="E4" s="70"/>
      <c r="F4" s="70"/>
      <c r="G4" s="70"/>
      <c r="H4" s="70"/>
      <c r="I4" s="70"/>
      <c r="J4" s="70"/>
    </row>
    <row r="9" spans="2:10" x14ac:dyDescent="0.25">
      <c r="B9" s="38" t="s">
        <v>88</v>
      </c>
      <c r="D9" s="22" t="s">
        <v>89</v>
      </c>
      <c r="E9" s="22" t="s">
        <v>74</v>
      </c>
    </row>
    <row r="10" spans="2:10" x14ac:dyDescent="0.25">
      <c r="C10" s="5" t="s">
        <v>90</v>
      </c>
      <c r="D10" s="49">
        <f>'Vertrieb und Absatz'!E19</f>
        <v>0</v>
      </c>
      <c r="E10" s="49">
        <f>D10*'Vertrieb und Absatz'!$D$19</f>
        <v>0</v>
      </c>
    </row>
    <row r="11" spans="2:10" ht="3.75" customHeight="1" x14ac:dyDescent="0.25">
      <c r="C11" s="5"/>
      <c r="D11" s="50"/>
      <c r="E11" s="51"/>
    </row>
    <row r="12" spans="2:10" x14ac:dyDescent="0.25">
      <c r="C12" s="5" t="s">
        <v>91</v>
      </c>
      <c r="D12" s="49" t="e">
        <f>(SUM('Beschaffung und Lager'!D15:E15))/'Vertrieb und Absatz'!D10</f>
        <v>#DIV/0!</v>
      </c>
      <c r="E12" s="49" t="e">
        <f>D12*'Vertrieb und Absatz'!$D$10</f>
        <v>#DIV/0!</v>
      </c>
    </row>
    <row r="13" spans="2:10" x14ac:dyDescent="0.25">
      <c r="C13" s="5" t="s">
        <v>92</v>
      </c>
      <c r="D13" s="49">
        <f>Produktion!D22</f>
        <v>60</v>
      </c>
      <c r="E13" s="49">
        <f>D13*'Vertrieb und Absatz'!$D$10</f>
        <v>0</v>
      </c>
    </row>
    <row r="14" spans="2:10" x14ac:dyDescent="0.25">
      <c r="C14" s="5" t="s">
        <v>93</v>
      </c>
      <c r="D14" s="49" t="e">
        <f>Produktion!G20/'Vertrieb und Absatz'!D10</f>
        <v>#DIV/0!</v>
      </c>
      <c r="E14" s="49" t="e">
        <f>D14*'Vertrieb und Absatz'!$D$10</f>
        <v>#DIV/0!</v>
      </c>
    </row>
    <row r="15" spans="2:10" x14ac:dyDescent="0.25">
      <c r="C15" s="5" t="s">
        <v>94</v>
      </c>
      <c r="D15" s="49" t="e">
        <f>Personal!D21/'Vertrieb und Absatz'!D10</f>
        <v>#DIV/0!</v>
      </c>
      <c r="E15" s="49" t="e">
        <f>D15*'Vertrieb und Absatz'!$D$10</f>
        <v>#DIV/0!</v>
      </c>
    </row>
    <row r="16" spans="2:10" x14ac:dyDescent="0.25">
      <c r="C16" s="5" t="s">
        <v>95</v>
      </c>
      <c r="D16" s="49" t="e">
        <f>SUM(D12:D15)</f>
        <v>#DIV/0!</v>
      </c>
      <c r="E16" s="49" t="e">
        <f>D16*'Vertrieb und Absatz'!$D$10</f>
        <v>#DIV/0!</v>
      </c>
    </row>
    <row r="17" spans="2:7" ht="3.75" customHeight="1" x14ac:dyDescent="0.25">
      <c r="D17" s="52"/>
      <c r="E17" s="51"/>
    </row>
    <row r="18" spans="2:7" x14ac:dyDescent="0.25">
      <c r="C18" s="5" t="s">
        <v>96</v>
      </c>
      <c r="D18" s="49" t="e">
        <f>D10-D16</f>
        <v>#DIV/0!</v>
      </c>
      <c r="E18" s="49" t="e">
        <f>D18*'Vertrieb und Absatz'!$D$10</f>
        <v>#DIV/0!</v>
      </c>
    </row>
    <row r="24" spans="2:7" x14ac:dyDescent="0.25">
      <c r="B24" s="38" t="s">
        <v>6</v>
      </c>
    </row>
    <row r="25" spans="2:7" x14ac:dyDescent="0.25">
      <c r="C25" s="53"/>
      <c r="D25" s="54" t="s">
        <v>97</v>
      </c>
      <c r="E25" s="54" t="s">
        <v>98</v>
      </c>
    </row>
    <row r="26" spans="2:7" x14ac:dyDescent="0.25">
      <c r="C26" s="55" t="s">
        <v>7</v>
      </c>
      <c r="D26" s="56">
        <f>'Werte Vorperiode'!D16</f>
        <v>15000</v>
      </c>
      <c r="E26" s="56">
        <f>'Werte Vorperiode'!D16</f>
        <v>15000</v>
      </c>
    </row>
    <row r="27" spans="2:7" x14ac:dyDescent="0.25">
      <c r="C27" s="55" t="s">
        <v>99</v>
      </c>
      <c r="D27" s="56">
        <v>50000</v>
      </c>
      <c r="E27" s="56">
        <v>50000</v>
      </c>
      <c r="G27" s="57"/>
    </row>
    <row r="28" spans="2:7" ht="30" x14ac:dyDescent="0.25">
      <c r="C28" s="55" t="s">
        <v>100</v>
      </c>
      <c r="D28" s="56">
        <f>'Werte Vorperiode'!D17</f>
        <v>0</v>
      </c>
      <c r="E28" s="56">
        <f t="shared" ref="E28:E29" si="0">D28</f>
        <v>0</v>
      </c>
    </row>
    <row r="29" spans="2:7" x14ac:dyDescent="0.25">
      <c r="C29" s="5" t="s">
        <v>101</v>
      </c>
      <c r="D29" s="58"/>
      <c r="E29" s="59">
        <f t="shared" si="0"/>
        <v>0</v>
      </c>
    </row>
    <row r="30" spans="2:7" ht="30" x14ac:dyDescent="0.25">
      <c r="C30" s="55" t="s">
        <v>102</v>
      </c>
      <c r="D30" s="49">
        <f>D28+D29-D45</f>
        <v>0</v>
      </c>
      <c r="E30" s="49">
        <f>E28+E29-E45</f>
        <v>0</v>
      </c>
    </row>
    <row r="31" spans="2:7" ht="3.75" customHeight="1" x14ac:dyDescent="0.25">
      <c r="C31" s="60"/>
      <c r="D31" s="61"/>
      <c r="E31" s="61"/>
    </row>
    <row r="32" spans="2:7" x14ac:dyDescent="0.25">
      <c r="C32" s="55" t="s">
        <v>103</v>
      </c>
      <c r="D32" s="56">
        <f>'Beschaffung und Lager'!D15</f>
        <v>0</v>
      </c>
      <c r="E32" s="56">
        <f t="shared" ref="E32:E33" si="1">D32</f>
        <v>0</v>
      </c>
    </row>
    <row r="33" spans="3:5" x14ac:dyDescent="0.25">
      <c r="C33" s="62" t="s">
        <v>104</v>
      </c>
      <c r="D33" s="56">
        <f>'Beschaffung und Lager'!E15</f>
        <v>0</v>
      </c>
      <c r="E33" s="56">
        <f t="shared" si="1"/>
        <v>0</v>
      </c>
    </row>
    <row r="34" spans="3:5" s="47" customFormat="1" x14ac:dyDescent="0.25">
      <c r="C34" s="62" t="s">
        <v>123</v>
      </c>
      <c r="D34" s="56">
        <f>'Beschaffung und Lager'!K18</f>
        <v>0</v>
      </c>
      <c r="E34" s="56">
        <f>'Beschaffung und Lager'!K21</f>
        <v>0</v>
      </c>
    </row>
    <row r="35" spans="3:5" x14ac:dyDescent="0.25">
      <c r="C35" s="62" t="s">
        <v>105</v>
      </c>
      <c r="D35" s="56">
        <f>'Beschaffung und Lager'!I18</f>
        <v>0</v>
      </c>
      <c r="E35" s="56">
        <f>'Beschaffung und Lager'!I21</f>
        <v>0</v>
      </c>
    </row>
    <row r="36" spans="3:5" x14ac:dyDescent="0.25">
      <c r="C36" s="62" t="s">
        <v>106</v>
      </c>
      <c r="D36" s="56">
        <f>'Beschaffung und Lager'!J18</f>
        <v>0</v>
      </c>
      <c r="E36" s="56">
        <f>'Beschaffung und Lager'!J21</f>
        <v>0</v>
      </c>
    </row>
    <row r="37" spans="3:5" x14ac:dyDescent="0.25">
      <c r="C37" s="62" t="s">
        <v>107</v>
      </c>
      <c r="D37" s="56">
        <f>SUM(Produktion!G20)</f>
        <v>4000</v>
      </c>
      <c r="E37" s="56">
        <f t="shared" ref="E37:E40" si="2">D37</f>
        <v>4000</v>
      </c>
    </row>
    <row r="38" spans="3:5" x14ac:dyDescent="0.25">
      <c r="C38" s="62" t="s">
        <v>108</v>
      </c>
      <c r="D38" s="56">
        <f>Produktion!G30-Produktion!G20</f>
        <v>0</v>
      </c>
      <c r="E38" s="56">
        <f t="shared" si="2"/>
        <v>0</v>
      </c>
    </row>
    <row r="39" spans="3:5" x14ac:dyDescent="0.25">
      <c r="C39" s="62" t="s">
        <v>109</v>
      </c>
      <c r="D39" s="56"/>
      <c r="E39" s="56"/>
    </row>
    <row r="40" spans="3:5" x14ac:dyDescent="0.25">
      <c r="C40" s="62" t="s">
        <v>55</v>
      </c>
      <c r="D40" s="56">
        <f>Personal!D15*Personal!D16</f>
        <v>0</v>
      </c>
      <c r="E40" s="56">
        <f t="shared" si="2"/>
        <v>0</v>
      </c>
    </row>
    <row r="41" spans="3:5" x14ac:dyDescent="0.25">
      <c r="C41" s="62" t="s">
        <v>110</v>
      </c>
      <c r="D41" s="56">
        <f>Personal!D21</f>
        <v>4800</v>
      </c>
      <c r="E41" s="56">
        <f>Personal!D21</f>
        <v>4800</v>
      </c>
    </row>
    <row r="42" spans="3:5" s="47" customFormat="1" x14ac:dyDescent="0.25">
      <c r="C42" s="62" t="s">
        <v>122</v>
      </c>
      <c r="D42" s="56">
        <f>'Marketing  F&amp;E'!D9:E9</f>
        <v>0</v>
      </c>
      <c r="E42" s="56">
        <f>D42</f>
        <v>0</v>
      </c>
    </row>
    <row r="43" spans="3:5" s="47" customFormat="1" x14ac:dyDescent="0.25">
      <c r="C43" s="62" t="s">
        <v>39</v>
      </c>
      <c r="D43" s="56">
        <f>'Marketing  F&amp;E'!E12</f>
        <v>0</v>
      </c>
      <c r="E43" s="56">
        <f>D43</f>
        <v>0</v>
      </c>
    </row>
    <row r="44" spans="3:5" x14ac:dyDescent="0.25">
      <c r="C44" s="62" t="s">
        <v>111</v>
      </c>
      <c r="D44" s="56">
        <f>D30*0.04</f>
        <v>0</v>
      </c>
      <c r="E44" s="56">
        <f>E30*0.04</f>
        <v>0</v>
      </c>
    </row>
    <row r="45" spans="3:5" x14ac:dyDescent="0.25">
      <c r="C45" s="55" t="s">
        <v>112</v>
      </c>
      <c r="D45" s="58"/>
      <c r="E45" s="58"/>
    </row>
    <row r="46" spans="3:5" x14ac:dyDescent="0.25">
      <c r="C46" s="62" t="s">
        <v>113</v>
      </c>
      <c r="D46" s="56">
        <f>'Vertrieb und Absatz'!F21</f>
        <v>0</v>
      </c>
      <c r="E46" s="56">
        <f>'Vertrieb und Absatz'!E29</f>
        <v>0</v>
      </c>
    </row>
    <row r="47" spans="3:5" x14ac:dyDescent="0.25">
      <c r="C47" s="69" t="s">
        <v>114</v>
      </c>
      <c r="D47" s="64">
        <f>(D26-(SUM(D32:D45))+D46)+D29</f>
        <v>6200</v>
      </c>
      <c r="E47" s="64">
        <f>(E26-(SUM(E32:E45))+E46)+E29</f>
        <v>6200</v>
      </c>
    </row>
    <row r="48" spans="3:5" x14ac:dyDescent="0.25">
      <c r="C48" s="62" t="s">
        <v>124</v>
      </c>
      <c r="D48" s="56">
        <f>IF(D47&lt;0,D47,0)</f>
        <v>0</v>
      </c>
      <c r="E48" s="56">
        <f>IF(E47&lt;0,E47,0)</f>
        <v>0</v>
      </c>
    </row>
    <row r="49" spans="3:5" ht="30" x14ac:dyDescent="0.25">
      <c r="C49" s="62" t="s">
        <v>115</v>
      </c>
      <c r="D49" s="56">
        <f>D48*0.12</f>
        <v>0</v>
      </c>
      <c r="E49" s="56">
        <f>E48*0.12</f>
        <v>0</v>
      </c>
    </row>
    <row r="50" spans="3:5" ht="30" customHeight="1" x14ac:dyDescent="0.25">
      <c r="C50" s="63" t="s">
        <v>7</v>
      </c>
      <c r="D50" s="64">
        <f>D47+D49</f>
        <v>6200</v>
      </c>
      <c r="E50" s="64">
        <f>E47+E49</f>
        <v>6200</v>
      </c>
    </row>
  </sheetData>
  <mergeCells count="2">
    <mergeCell ref="B2:I4"/>
    <mergeCell ref="J2:J4"/>
  </mergeCells>
  <pageMargins left="0.7" right="0.7" top="0.78740157500000008" bottom="0.78740157500000008" header="0.3" footer="0.3"/>
  <pageSetup paperSize="9" orientation="portrait"/>
  <ignoredErrors>
    <ignoredError sqref="E4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18"/>
  <sheetViews>
    <sheetView zoomScale="85" workbookViewId="0">
      <selection activeCell="D13" sqref="D13:E13"/>
    </sheetView>
  </sheetViews>
  <sheetFormatPr baseColWidth="10" defaultColWidth="10.7109375" defaultRowHeight="15" x14ac:dyDescent="0.25"/>
  <cols>
    <col min="2" max="3" width="20.42578125" bestFit="1" customWidth="1"/>
  </cols>
  <sheetData>
    <row r="3" spans="2:9" x14ac:dyDescent="0.25">
      <c r="B3" s="70" t="s">
        <v>116</v>
      </c>
      <c r="C3" s="70"/>
      <c r="D3" s="70"/>
      <c r="E3" s="70"/>
      <c r="F3" s="70"/>
      <c r="G3" s="70"/>
      <c r="H3" s="70"/>
      <c r="I3" s="70"/>
    </row>
    <row r="4" spans="2:9" x14ac:dyDescent="0.25">
      <c r="B4" s="70"/>
      <c r="C4" s="70"/>
      <c r="D4" s="70"/>
      <c r="E4" s="70"/>
      <c r="F4" s="70"/>
      <c r="G4" s="70"/>
      <c r="H4" s="70"/>
      <c r="I4" s="70"/>
    </row>
    <row r="5" spans="2:9" x14ac:dyDescent="0.25">
      <c r="B5" s="70"/>
      <c r="C5" s="70"/>
      <c r="D5" s="70"/>
      <c r="E5" s="70"/>
      <c r="F5" s="70"/>
      <c r="G5" s="70"/>
      <c r="H5" s="70"/>
      <c r="I5" s="70"/>
    </row>
    <row r="9" spans="2:9" x14ac:dyDescent="0.25">
      <c r="B9" s="38" t="s">
        <v>117</v>
      </c>
      <c r="D9" s="65" t="s">
        <v>118</v>
      </c>
      <c r="E9" s="65" t="s">
        <v>119</v>
      </c>
    </row>
    <row r="10" spans="2:9" x14ac:dyDescent="0.25">
      <c r="C10" s="66" t="s">
        <v>72</v>
      </c>
      <c r="D10" s="66">
        <f>'Vertrieb und Absatz'!D19</f>
        <v>0</v>
      </c>
      <c r="E10" s="67">
        <f>'Vertrieb und Absatz'!E19</f>
        <v>0</v>
      </c>
    </row>
    <row r="11" spans="2:9" x14ac:dyDescent="0.25">
      <c r="C11" s="66" t="s">
        <v>73</v>
      </c>
      <c r="D11" s="66">
        <f>'Vertrieb und Absatz'!D20</f>
        <v>0</v>
      </c>
      <c r="E11" s="67">
        <f>'Vertrieb und Absatz'!E20</f>
        <v>0</v>
      </c>
    </row>
    <row r="13" spans="2:9" x14ac:dyDescent="0.25">
      <c r="C13" s="66" t="s">
        <v>39</v>
      </c>
      <c r="D13" s="76">
        <f>'Marketing  F&amp;E'!E12</f>
        <v>0</v>
      </c>
      <c r="E13" s="76"/>
    </row>
    <row r="14" spans="2:9" x14ac:dyDescent="0.25">
      <c r="C14" s="66" t="s">
        <v>82</v>
      </c>
      <c r="D14" s="76">
        <f>'Statistik &amp; Finanzen'!D42</f>
        <v>0</v>
      </c>
      <c r="E14" s="76"/>
    </row>
    <row r="16" spans="2:9" x14ac:dyDescent="0.25">
      <c r="C16" s="68" t="s">
        <v>120</v>
      </c>
      <c r="D16" s="77">
        <f>Personal!D18-Personal!D10</f>
        <v>0</v>
      </c>
      <c r="E16" s="77"/>
    </row>
    <row r="18" spans="3:5" x14ac:dyDescent="0.25">
      <c r="C18" s="68" t="s">
        <v>121</v>
      </c>
      <c r="D18" s="78">
        <f>'Statistik &amp; Finanzen'!E30</f>
        <v>0</v>
      </c>
      <c r="E18" s="78"/>
    </row>
  </sheetData>
  <mergeCells count="5">
    <mergeCell ref="B3:I5"/>
    <mergeCell ref="D13:E13"/>
    <mergeCell ref="D14:E14"/>
    <mergeCell ref="D16:E16"/>
    <mergeCell ref="D18:E18"/>
  </mergeCells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Werte Vorperiode</vt:lpstr>
      <vt:lpstr>Beschaffung und Lager</vt:lpstr>
      <vt:lpstr>Produktion</vt:lpstr>
      <vt:lpstr>Personal</vt:lpstr>
      <vt:lpstr>Vertrieb und Absatz</vt:lpstr>
      <vt:lpstr>Marketing  F&amp;E</vt:lpstr>
      <vt:lpstr>Statistik &amp; Finanzen</vt:lpstr>
      <vt:lpstr>Dateiabgabe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Komm (BBS Haarentor)</cp:lastModifiedBy>
  <cp:revision>2</cp:revision>
  <dcterms:created xsi:type="dcterms:W3CDTF">2015-06-05T18:19:34Z</dcterms:created>
  <dcterms:modified xsi:type="dcterms:W3CDTF">2021-09-29T18:45:58Z</dcterms:modified>
</cp:coreProperties>
</file>