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cam\Documents\MATLAB\"/>
    </mc:Choice>
  </mc:AlternateContent>
  <xr:revisionPtr revIDLastSave="0" documentId="8_{318EF58F-C7FE-4CD5-A42E-811413583379}" xr6:coauthVersionLast="47" xr6:coauthVersionMax="47" xr10:uidLastSave="{00000000-0000-0000-0000-000000000000}"/>
  <bookViews>
    <workbookView xWindow="-96" yWindow="-96" windowWidth="23232" windowHeight="12552" xr2:uid="{FA94614B-6349-424C-BA27-1F705D726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H25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J15" i="1"/>
  <c r="H15" i="1"/>
  <c r="J14" i="1"/>
  <c r="I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J8" i="1"/>
  <c r="I8" i="1"/>
  <c r="H8" i="1"/>
  <c r="J6" i="1"/>
  <c r="H6" i="1"/>
</calcChain>
</file>

<file path=xl/sharedStrings.xml><?xml version="1.0" encoding="utf-8"?>
<sst xmlns="http://schemas.openxmlformats.org/spreadsheetml/2006/main" count="43" uniqueCount="43">
  <si>
    <t>Symbol</t>
  </si>
  <si>
    <t>Rho</t>
  </si>
  <si>
    <t>C0</t>
  </si>
  <si>
    <t>S</t>
  </si>
  <si>
    <t>Tm</t>
  </si>
  <si>
    <t>k</t>
  </si>
  <si>
    <t>cp</t>
  </si>
  <si>
    <t>alpha</t>
  </si>
  <si>
    <t>G</t>
  </si>
  <si>
    <t>UTS</t>
  </si>
  <si>
    <t>C1</t>
  </si>
  <si>
    <t>AA2024T6</t>
  </si>
  <si>
    <t>AA3003H18</t>
  </si>
  <si>
    <t>AA5083O</t>
  </si>
  <si>
    <t>AA6061T6</t>
  </si>
  <si>
    <t>AA6082T6</t>
  </si>
  <si>
    <t>AA7075T6</t>
  </si>
  <si>
    <t>Ag</t>
  </si>
  <si>
    <t>Al1100</t>
  </si>
  <si>
    <t>AZ31B</t>
  </si>
  <si>
    <t>Brass</t>
  </si>
  <si>
    <t>Co</t>
  </si>
  <si>
    <t>Cr</t>
  </si>
  <si>
    <t>Cu</t>
  </si>
  <si>
    <t>DuplexSUS821L1</t>
  </si>
  <si>
    <t>Fe</t>
  </si>
  <si>
    <t>Hf</t>
  </si>
  <si>
    <t>Mg</t>
  </si>
  <si>
    <t>Mo</t>
  </si>
  <si>
    <t>Nb</t>
  </si>
  <si>
    <t>Ni</t>
  </si>
  <si>
    <t>Pb</t>
  </si>
  <si>
    <t>Sn</t>
  </si>
  <si>
    <t>SS304</t>
  </si>
  <si>
    <t>Steel</t>
  </si>
  <si>
    <t>Steel1006</t>
  </si>
  <si>
    <t>Ta</t>
  </si>
  <si>
    <t>Ti</t>
  </si>
  <si>
    <t>Ti64</t>
  </si>
  <si>
    <t>V</t>
  </si>
  <si>
    <t>W</t>
  </si>
  <si>
    <t>Zn</t>
  </si>
  <si>
    <t>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</si>
</sst>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1" fontId="0" fillId="3" borderId="0" xfId="0" applyNumberFormat="1" applyFill="1"/>
    <xf numFmtId="0" fontId="0" fillId="3" borderId="2" xfId="0" applyFill="1" applyBorder="1"/>
    <xf numFmtId="11" fontId="0" fillId="0" borderId="0" xfId="0" applyNumberForma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FE9D0-36D5-414E-8773-AC4077E5C754}" name="Table1" displayName="Table1" ref="A1:K33" totalsRowShown="0" headerRowDxfId="2">
  <autoFilter ref="A1:K33" xr:uid="{940FE9D0-36D5-414E-8773-AC4077E5C754}"/>
  <sortState xmlns:xlrd2="http://schemas.microsoft.com/office/spreadsheetml/2017/richdata2" ref="A2:K33">
    <sortCondition ref="A1:A33"/>
  </sortState>
  <tableColumns count="11">
    <tableColumn id="1" xr3:uid="{5A551769-985C-4411-8CFC-CE38337BA310}" name="Symbol"/>
    <tableColumn id="2" xr3:uid="{36C05BC5-659E-47A3-918B-83B4796DFD0B}" name="Rho"/>
    <tableColumn id="3" xr3:uid="{33C76769-5411-4526-965D-92BD530E1277}" name="C0"/>
    <tableColumn id="4" xr3:uid="{3C802E79-E7FA-4C22-A624-3B71C05E73C6}" name="S"/>
    <tableColumn id="5" xr3:uid="{DDDECDEC-6D96-424D-B7C4-81523551AE07}" name="Tm"/>
    <tableColumn id="6" xr3:uid="{25EE4BFC-A30E-4BEC-BA32-4E04E7979BA4}" name="k"/>
    <tableColumn id="7" xr3:uid="{9508B036-7A0C-4AFA-9ABD-56A53F80D02C}" name="cp"/>
    <tableColumn id="8" xr3:uid="{81161B04-30A1-4F92-A3EB-B4D290D5C48D}" name="alpha"/>
    <tableColumn id="9" xr3:uid="{C84A0282-4E41-4E81-BC58-499CD7507D3A}" name="G" dataDxfId="1"/>
    <tableColumn id="11" xr3:uid="{2E98F5CC-E752-4F4C-A2CD-24B08838EF71}" name="UTS" dataDxfId="0"/>
    <tableColumn id="12" xr3:uid="{69B3F3DE-A15D-46F9-AAD9-D061E8DDBCBA}" name="C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A5DF-52D8-454A-97F0-8BCD28836618}">
  <dimension ref="A1:K33"/>
  <sheetViews>
    <sheetView tabSelected="1" workbookViewId="0">
      <selection activeCell="A2" sqref="A2"/>
    </sheetView>
  </sheetViews>
  <sheetFormatPr defaultRowHeight="14.4" x14ac:dyDescent="0.55000000000000004"/>
  <sheetData>
    <row r="1" spans="1:1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 x14ac:dyDescent="0.55000000000000004">
      <c r="A2" s="3" t="s">
        <v>11</v>
      </c>
      <c r="B2" s="3">
        <v>2784</v>
      </c>
      <c r="C2" s="3">
        <v>5370</v>
      </c>
      <c r="D2" s="3">
        <v>1.29</v>
      </c>
      <c r="E2" s="3">
        <v>638</v>
      </c>
      <c r="F2" s="3">
        <v>121</v>
      </c>
      <c r="G2" s="3">
        <v>875</v>
      </c>
      <c r="H2" s="3">
        <v>4.9671592775041048E-5</v>
      </c>
      <c r="I2" s="4">
        <v>28000000000</v>
      </c>
      <c r="J2" s="4">
        <v>475000000</v>
      </c>
      <c r="K2" s="5">
        <v>6420</v>
      </c>
    </row>
    <row r="3" spans="1:11" x14ac:dyDescent="0.55000000000000004">
      <c r="A3" t="s">
        <v>12</v>
      </c>
      <c r="B3">
        <v>2730</v>
      </c>
      <c r="C3">
        <v>4800</v>
      </c>
      <c r="D3">
        <v>1.74</v>
      </c>
      <c r="E3">
        <v>654</v>
      </c>
      <c r="F3">
        <v>154</v>
      </c>
      <c r="G3">
        <v>893</v>
      </c>
      <c r="H3">
        <v>6.3169380078674593E-5</v>
      </c>
      <c r="I3" s="6">
        <v>25900000000</v>
      </c>
      <c r="J3" s="6">
        <v>200000000</v>
      </c>
      <c r="K3" s="7">
        <v>6420</v>
      </c>
    </row>
    <row r="4" spans="1:11" x14ac:dyDescent="0.55000000000000004">
      <c r="A4" s="3" t="s">
        <v>13</v>
      </c>
      <c r="B4" s="3">
        <v>2664</v>
      </c>
      <c r="C4" s="3">
        <v>6510</v>
      </c>
      <c r="D4" s="3">
        <v>1.6917</v>
      </c>
      <c r="E4" s="3">
        <v>638</v>
      </c>
      <c r="F4" s="3">
        <v>117</v>
      </c>
      <c r="G4" s="3">
        <v>900</v>
      </c>
      <c r="H4" s="3">
        <v>4.8798798798798797E-5</v>
      </c>
      <c r="I4" s="4">
        <v>26400000000</v>
      </c>
      <c r="J4" s="4">
        <v>290000000</v>
      </c>
      <c r="K4" s="5">
        <v>6394</v>
      </c>
    </row>
    <row r="5" spans="1:11" x14ac:dyDescent="0.55000000000000004">
      <c r="A5" t="s">
        <v>14</v>
      </c>
      <c r="B5">
        <v>2703</v>
      </c>
      <c r="C5">
        <v>5350</v>
      </c>
      <c r="D5">
        <v>1.34</v>
      </c>
      <c r="E5">
        <v>652</v>
      </c>
      <c r="F5">
        <v>167</v>
      </c>
      <c r="G5">
        <v>896</v>
      </c>
      <c r="H5">
        <v>6.8954468579884777E-5</v>
      </c>
      <c r="I5" s="6">
        <v>26200000000</v>
      </c>
      <c r="J5" s="6">
        <v>310000000</v>
      </c>
      <c r="K5" s="7">
        <v>6420</v>
      </c>
    </row>
    <row r="6" spans="1:11" x14ac:dyDescent="0.55000000000000004">
      <c r="A6" s="3" t="s">
        <v>15</v>
      </c>
      <c r="B6" s="3">
        <v>2710</v>
      </c>
      <c r="C6" s="3">
        <v>5350</v>
      </c>
      <c r="D6" s="3">
        <v>1.34</v>
      </c>
      <c r="E6" s="3">
        <v>555</v>
      </c>
      <c r="F6" s="3">
        <v>160</v>
      </c>
      <c r="G6" s="3">
        <v>896</v>
      </c>
      <c r="H6" s="3">
        <f>Table1[[#This Row],[k]]/(Table1[[#This Row],[Rho]]*Table1[[#This Row],[cp]])</f>
        <v>6.5893516078017927E-5</v>
      </c>
      <c r="I6" s="4">
        <v>26000000000</v>
      </c>
      <c r="J6" s="4">
        <f>330000000</f>
        <v>330000000</v>
      </c>
      <c r="K6" s="5">
        <v>6420</v>
      </c>
    </row>
    <row r="7" spans="1:11" x14ac:dyDescent="0.55000000000000004">
      <c r="A7" s="3" t="s">
        <v>16</v>
      </c>
      <c r="B7" s="3">
        <v>2804</v>
      </c>
      <c r="C7" s="3">
        <v>5200</v>
      </c>
      <c r="D7" s="3">
        <v>1.36</v>
      </c>
      <c r="E7" s="3">
        <v>635</v>
      </c>
      <c r="F7" s="3">
        <v>130</v>
      </c>
      <c r="G7" s="3">
        <v>960</v>
      </c>
      <c r="H7" s="3">
        <v>4.8294103661436045E-5</v>
      </c>
      <c r="I7" s="4">
        <v>26900000000</v>
      </c>
      <c r="J7" s="4">
        <v>538000000</v>
      </c>
      <c r="K7" s="7">
        <v>6420</v>
      </c>
    </row>
    <row r="8" spans="1:11" x14ac:dyDescent="0.55000000000000004">
      <c r="A8" t="s">
        <v>17</v>
      </c>
      <c r="B8">
        <v>10490</v>
      </c>
      <c r="C8">
        <v>3270</v>
      </c>
      <c r="D8">
        <v>1.55</v>
      </c>
      <c r="E8">
        <v>962</v>
      </c>
      <c r="F8">
        <v>419</v>
      </c>
      <c r="G8">
        <v>234</v>
      </c>
      <c r="H8">
        <f>Table1[[#This Row],[k]]/(Table1[[#This Row],[Rho]]*Table1[[#This Row],[cp]])</f>
        <v>1.7069573790260158E-4</v>
      </c>
      <c r="I8" s="6">
        <f>27800000000</f>
        <v>27800000000</v>
      </c>
      <c r="J8" s="6">
        <f>140000000</f>
        <v>140000000</v>
      </c>
      <c r="K8" s="5">
        <v>3650</v>
      </c>
    </row>
    <row r="9" spans="1:11" x14ac:dyDescent="0.55000000000000004">
      <c r="A9" t="s">
        <v>18</v>
      </c>
      <c r="B9">
        <v>2714</v>
      </c>
      <c r="C9">
        <v>5392</v>
      </c>
      <c r="D9">
        <v>1.341</v>
      </c>
      <c r="E9">
        <v>660</v>
      </c>
      <c r="F9">
        <v>237</v>
      </c>
      <c r="G9">
        <v>910</v>
      </c>
      <c r="H9">
        <v>9.5961518216492421E-5</v>
      </c>
      <c r="I9" s="6">
        <v>25900000000</v>
      </c>
      <c r="J9" s="6">
        <f>120000000</f>
        <v>120000000</v>
      </c>
      <c r="K9" s="7">
        <v>6420</v>
      </c>
    </row>
    <row r="10" spans="1:11" x14ac:dyDescent="0.55000000000000004">
      <c r="A10" t="s">
        <v>19</v>
      </c>
      <c r="B10">
        <v>1775</v>
      </c>
      <c r="C10">
        <v>4570</v>
      </c>
      <c r="D10">
        <v>1.21</v>
      </c>
      <c r="E10">
        <v>630</v>
      </c>
      <c r="F10">
        <v>96</v>
      </c>
      <c r="G10">
        <v>1000</v>
      </c>
      <c r="H10">
        <f>Table1[[#This Row],[k]]/(Table1[[#This Row],[Rho]]*Table1[[#This Row],[cp]])</f>
        <v>5.408450704225352E-5</v>
      </c>
      <c r="I10" s="6">
        <f>17000000000</f>
        <v>17000000000</v>
      </c>
      <c r="J10" s="6">
        <f>290000000</f>
        <v>290000000</v>
      </c>
      <c r="K10" s="5">
        <v>5770</v>
      </c>
    </row>
    <row r="11" spans="1:11" x14ac:dyDescent="0.55000000000000004">
      <c r="A11" t="s">
        <v>20</v>
      </c>
      <c r="B11">
        <v>8413</v>
      </c>
      <c r="C11">
        <v>3740</v>
      </c>
      <c r="D11">
        <v>1.55</v>
      </c>
      <c r="E11">
        <v>900</v>
      </c>
      <c r="F11">
        <v>123</v>
      </c>
      <c r="G11">
        <v>375</v>
      </c>
      <c r="H11">
        <f>Table1[[#This Row],[k]]/(Table1[[#This Row],[Rho]]*Table1[[#This Row],[cp]])</f>
        <v>3.8987281588018546E-5</v>
      </c>
      <c r="I11" s="6">
        <f>39000000000</f>
        <v>39000000000</v>
      </c>
      <c r="J11" s="6">
        <f>485000000</f>
        <v>485000000</v>
      </c>
      <c r="K11" s="7">
        <v>4700</v>
      </c>
    </row>
    <row r="12" spans="1:11" x14ac:dyDescent="0.55000000000000004">
      <c r="A12" t="s">
        <v>21</v>
      </c>
      <c r="B12">
        <v>8820</v>
      </c>
      <c r="C12">
        <v>4770</v>
      </c>
      <c r="D12">
        <v>1.28</v>
      </c>
      <c r="E12">
        <v>1495</v>
      </c>
      <c r="F12">
        <v>100</v>
      </c>
      <c r="G12">
        <v>421</v>
      </c>
      <c r="H12">
        <f>Table1[[#This Row],[k]]/(Table1[[#This Row],[Rho]]*Table1[[#This Row],[cp]])</f>
        <v>2.6930803992222385E-5</v>
      </c>
      <c r="I12" s="6">
        <f>75000000000</f>
        <v>75000000000</v>
      </c>
      <c r="J12" s="6">
        <f>800000000</f>
        <v>800000000</v>
      </c>
      <c r="K12" s="7">
        <v>5730</v>
      </c>
    </row>
    <row r="13" spans="1:11" x14ac:dyDescent="0.55000000000000004">
      <c r="A13" t="s">
        <v>22</v>
      </c>
      <c r="B13">
        <v>7119</v>
      </c>
      <c r="C13">
        <v>5200</v>
      </c>
      <c r="D13">
        <v>1.43</v>
      </c>
      <c r="E13">
        <v>1860</v>
      </c>
      <c r="F13">
        <v>69.099999999999994</v>
      </c>
      <c r="G13">
        <v>461</v>
      </c>
      <c r="H13">
        <f>Table1[[#This Row],[k]]/(Table1[[#This Row],[Rho]]*Table1[[#This Row],[cp]])</f>
        <v>2.1055139785103503E-5</v>
      </c>
      <c r="I13" s="6">
        <f>115000000000</f>
        <v>115000000000</v>
      </c>
      <c r="J13" s="6">
        <f>282000000</f>
        <v>282000000</v>
      </c>
      <c r="K13" s="5">
        <v>6608</v>
      </c>
    </row>
    <row r="14" spans="1:11" x14ac:dyDescent="0.55000000000000004">
      <c r="A14" t="s">
        <v>23</v>
      </c>
      <c r="B14">
        <v>8924</v>
      </c>
      <c r="C14">
        <v>3910</v>
      </c>
      <c r="D14">
        <v>1.51</v>
      </c>
      <c r="E14">
        <v>1084</v>
      </c>
      <c r="F14">
        <v>400</v>
      </c>
      <c r="G14">
        <v>390</v>
      </c>
      <c r="H14">
        <v>1.1493063935914676E-4</v>
      </c>
      <c r="I14" s="6">
        <f>46500000000</f>
        <v>46500000000</v>
      </c>
      <c r="J14" s="6">
        <f>220000000</f>
        <v>220000000</v>
      </c>
      <c r="K14" s="7">
        <v>5010</v>
      </c>
    </row>
    <row r="15" spans="1:11" x14ac:dyDescent="0.55000000000000004">
      <c r="A15" t="s">
        <v>24</v>
      </c>
      <c r="B15">
        <v>7800</v>
      </c>
      <c r="C15">
        <v>4470</v>
      </c>
      <c r="D15">
        <v>1.4410000000000001</v>
      </c>
      <c r="E15">
        <v>1650</v>
      </c>
      <c r="F15">
        <v>16</v>
      </c>
      <c r="G15">
        <v>500</v>
      </c>
      <c r="H15" s="3">
        <f>Table1[[#This Row],[k]]/(Table1[[#This Row],[Rho]]*Table1[[#This Row],[cp]])</f>
        <v>4.1025641025641027E-6</v>
      </c>
      <c r="I15" s="6">
        <v>86000000000</v>
      </c>
      <c r="J15" s="6">
        <f>600000000</f>
        <v>600000000</v>
      </c>
      <c r="K15" s="5">
        <v>5790</v>
      </c>
    </row>
    <row r="16" spans="1:11" x14ac:dyDescent="0.55000000000000004">
      <c r="A16" t="s">
        <v>25</v>
      </c>
      <c r="B16">
        <v>7856</v>
      </c>
      <c r="C16">
        <v>3935</v>
      </c>
      <c r="D16">
        <v>1.607</v>
      </c>
      <c r="E16">
        <v>1538</v>
      </c>
      <c r="F16">
        <v>84</v>
      </c>
      <c r="G16">
        <v>450</v>
      </c>
      <c r="H16">
        <v>2.3761031907671419E-5</v>
      </c>
      <c r="I16" s="6">
        <f>77500000000</f>
        <v>77500000000</v>
      </c>
      <c r="J16" s="6">
        <f>350000000</f>
        <v>350000000</v>
      </c>
      <c r="K16" s="5">
        <v>5950</v>
      </c>
    </row>
    <row r="17" spans="1:11" x14ac:dyDescent="0.55000000000000004">
      <c r="A17" t="s">
        <v>26</v>
      </c>
      <c r="B17">
        <v>12890</v>
      </c>
      <c r="C17">
        <v>2984</v>
      </c>
      <c r="D17">
        <v>1.0123</v>
      </c>
      <c r="E17">
        <v>2247</v>
      </c>
      <c r="F17">
        <v>22</v>
      </c>
      <c r="G17">
        <v>144</v>
      </c>
      <c r="H17">
        <f>Table1[[#This Row],[k]]/(Table1[[#This Row],[Rho]]*Table1[[#This Row],[cp]])</f>
        <v>1.1852426514955608E-5</v>
      </c>
      <c r="I17" s="6">
        <f>30000000000</f>
        <v>30000000000</v>
      </c>
      <c r="J17" s="6">
        <f>460000000</f>
        <v>460000000</v>
      </c>
      <c r="K17" s="7">
        <v>3010</v>
      </c>
    </row>
    <row r="18" spans="1:11" x14ac:dyDescent="0.55000000000000004">
      <c r="A18" t="s">
        <v>27</v>
      </c>
      <c r="B18">
        <v>1740</v>
      </c>
      <c r="C18">
        <v>4500</v>
      </c>
      <c r="D18">
        <v>1.26</v>
      </c>
      <c r="E18">
        <v>649</v>
      </c>
      <c r="F18">
        <v>159</v>
      </c>
      <c r="G18">
        <v>1025</v>
      </c>
      <c r="H18">
        <f>Table1[[#This Row],[k]]/(Table1[[#This Row],[Rho]]*Table1[[#This Row],[cp]])</f>
        <v>8.9150546677880575E-5</v>
      </c>
      <c r="I18" s="6">
        <f>16300000000</f>
        <v>16300000000</v>
      </c>
      <c r="J18" s="6">
        <f>220000000</f>
        <v>220000000</v>
      </c>
      <c r="K18" s="5">
        <v>5770</v>
      </c>
    </row>
    <row r="19" spans="1:11" x14ac:dyDescent="0.55000000000000004">
      <c r="A19" t="s">
        <v>28</v>
      </c>
      <c r="B19">
        <v>10208</v>
      </c>
      <c r="C19">
        <v>5140</v>
      </c>
      <c r="D19">
        <v>1.22</v>
      </c>
      <c r="E19">
        <v>2617</v>
      </c>
      <c r="F19">
        <v>138</v>
      </c>
      <c r="G19">
        <v>255</v>
      </c>
      <c r="H19">
        <f>Table1[[#This Row],[k]]/(Table1[[#This Row],[Rho]]*Table1[[#This Row],[cp]])</f>
        <v>5.301493638207634E-5</v>
      </c>
      <c r="I19" s="6">
        <f>120000000000</f>
        <v>120000000000</v>
      </c>
      <c r="J19" s="6">
        <f>414000000</f>
        <v>414000000</v>
      </c>
      <c r="K19" s="7">
        <v>6250</v>
      </c>
    </row>
    <row r="20" spans="1:11" x14ac:dyDescent="0.55000000000000004">
      <c r="A20" t="s">
        <v>29</v>
      </c>
      <c r="B20">
        <v>8587</v>
      </c>
      <c r="C20">
        <v>4460</v>
      </c>
      <c r="D20">
        <v>1.2</v>
      </c>
      <c r="E20">
        <v>2468</v>
      </c>
      <c r="F20">
        <v>52.3</v>
      </c>
      <c r="G20">
        <v>272</v>
      </c>
      <c r="H20">
        <f>Table1[[#This Row],[k]]/(Table1[[#This Row],[Rho]]*Table1[[#This Row],[cp]])</f>
        <v>2.2391919385665062E-5</v>
      </c>
      <c r="I20" s="6">
        <f>37500000000</f>
        <v>37500000000</v>
      </c>
      <c r="J20" s="6">
        <f>600000000</f>
        <v>600000000</v>
      </c>
      <c r="K20" s="5">
        <v>3480</v>
      </c>
    </row>
    <row r="21" spans="1:11" x14ac:dyDescent="0.55000000000000004">
      <c r="A21" t="s">
        <v>30</v>
      </c>
      <c r="B21">
        <v>8875</v>
      </c>
      <c r="C21">
        <v>4590</v>
      </c>
      <c r="D21">
        <v>1.44</v>
      </c>
      <c r="E21">
        <v>1455</v>
      </c>
      <c r="F21">
        <v>60.7</v>
      </c>
      <c r="G21">
        <v>460</v>
      </c>
      <c r="H21">
        <f>Table1[[#This Row],[k]]/(Table1[[#This Row],[Rho]]*Table1[[#This Row],[cp]])</f>
        <v>1.48683404776485E-5</v>
      </c>
      <c r="I21" s="6">
        <f>76000000000</f>
        <v>76000000000</v>
      </c>
      <c r="J21" s="6">
        <f>317000000</f>
        <v>317000000</v>
      </c>
      <c r="K21" s="7">
        <v>6040</v>
      </c>
    </row>
    <row r="22" spans="1:11" x14ac:dyDescent="0.55000000000000004">
      <c r="A22" t="s">
        <v>31</v>
      </c>
      <c r="B22">
        <v>11346</v>
      </c>
      <c r="C22">
        <v>2030</v>
      </c>
      <c r="D22">
        <v>1.47</v>
      </c>
      <c r="E22">
        <v>328</v>
      </c>
      <c r="F22">
        <v>33</v>
      </c>
      <c r="G22">
        <v>129</v>
      </c>
      <c r="H22">
        <f>Table1[[#This Row],[k]]/(Table1[[#This Row],[Rho]]*Table1[[#This Row],[cp]])</f>
        <v>2.2546620261622782E-5</v>
      </c>
      <c r="I22" s="6">
        <f>4900000000</f>
        <v>4900000000</v>
      </c>
      <c r="J22" s="6">
        <f>18000000</f>
        <v>18000000</v>
      </c>
      <c r="K22" s="5">
        <v>2160</v>
      </c>
    </row>
    <row r="23" spans="1:11" x14ac:dyDescent="0.55000000000000004">
      <c r="A23" t="s">
        <v>32</v>
      </c>
      <c r="B23">
        <v>7287</v>
      </c>
      <c r="C23">
        <v>2590</v>
      </c>
      <c r="D23">
        <v>1.49</v>
      </c>
      <c r="E23">
        <v>232</v>
      </c>
      <c r="F23">
        <v>63.2</v>
      </c>
      <c r="G23">
        <v>256</v>
      </c>
      <c r="H23">
        <f>Table1[[#This Row],[k]]/(Table1[[#This Row],[Rho]]*Table1[[#This Row],[cp]])</f>
        <v>3.3878825305338274E-5</v>
      </c>
      <c r="I23" s="6">
        <f>15600000000</f>
        <v>15600000000</v>
      </c>
      <c r="J23" s="6">
        <f>220000000</f>
        <v>220000000</v>
      </c>
      <c r="K23" s="7">
        <v>3320</v>
      </c>
    </row>
    <row r="24" spans="1:11" x14ac:dyDescent="0.55000000000000004">
      <c r="A24" t="s">
        <v>33</v>
      </c>
      <c r="B24">
        <v>7850</v>
      </c>
      <c r="C24">
        <v>4470</v>
      </c>
      <c r="D24">
        <v>1.4410000000000001</v>
      </c>
      <c r="E24">
        <v>1673</v>
      </c>
      <c r="F24">
        <v>14</v>
      </c>
      <c r="G24">
        <v>452</v>
      </c>
      <c r="H24">
        <v>3.9456625894819913E-6</v>
      </c>
      <c r="I24" s="6">
        <v>86000000000</v>
      </c>
      <c r="J24" s="6">
        <v>505000000</v>
      </c>
      <c r="K24" s="5">
        <v>5790</v>
      </c>
    </row>
    <row r="25" spans="1:11" x14ac:dyDescent="0.55000000000000004">
      <c r="A25" t="s">
        <v>34</v>
      </c>
      <c r="B25">
        <v>7850</v>
      </c>
      <c r="C25">
        <v>3570</v>
      </c>
      <c r="D25">
        <v>1.92</v>
      </c>
      <c r="E25">
        <v>1538</v>
      </c>
      <c r="F25">
        <v>54</v>
      </c>
      <c r="G25">
        <v>465</v>
      </c>
      <c r="H25">
        <f>Table1[[#This Row],[k]]/(Table1[[#This Row],[Rho]]*Table1[[#This Row],[cp]])</f>
        <v>1.4793507294020958E-5</v>
      </c>
      <c r="I25" s="6">
        <v>80000000000</v>
      </c>
      <c r="J25" s="6">
        <v>635000000</v>
      </c>
      <c r="K25" s="7">
        <v>5940</v>
      </c>
    </row>
    <row r="26" spans="1:11" x14ac:dyDescent="0.55000000000000004">
      <c r="A26" t="s">
        <v>35</v>
      </c>
      <c r="B26">
        <v>7896</v>
      </c>
      <c r="C26">
        <v>4596</v>
      </c>
      <c r="D26">
        <v>1.49</v>
      </c>
      <c r="E26">
        <v>1811</v>
      </c>
      <c r="F26">
        <v>54</v>
      </c>
      <c r="G26">
        <v>452</v>
      </c>
      <c r="H26" s="3">
        <f>Table1[[#This Row],[k]]/(Table1[[#This Row],[Rho]]*Table1[[#This Row],[cp]])</f>
        <v>1.5130322511230062E-5</v>
      </c>
      <c r="I26" s="6">
        <f>80000000000</f>
        <v>80000000000</v>
      </c>
      <c r="J26" s="6">
        <f>330000000</f>
        <v>330000000</v>
      </c>
      <c r="K26" s="7">
        <v>5940</v>
      </c>
    </row>
    <row r="27" spans="1:11" x14ac:dyDescent="0.55000000000000004">
      <c r="A27" t="s">
        <v>36</v>
      </c>
      <c r="B27">
        <v>16656</v>
      </c>
      <c r="C27">
        <v>3430</v>
      </c>
      <c r="D27">
        <v>1.19</v>
      </c>
      <c r="E27">
        <v>2996</v>
      </c>
      <c r="F27">
        <v>57</v>
      </c>
      <c r="G27">
        <v>140</v>
      </c>
      <c r="H27">
        <f>Table1[[#This Row],[k]]/(Table1[[#This Row],[Rho]]*Table1[[#This Row],[cp]])</f>
        <v>2.4444215726636477E-5</v>
      </c>
      <c r="I27" s="6">
        <f>69000000000</f>
        <v>69000000000</v>
      </c>
      <c r="J27" s="6">
        <f>276000000</f>
        <v>276000000</v>
      </c>
      <c r="K27" s="5">
        <v>3400</v>
      </c>
    </row>
    <row r="28" spans="1:11" x14ac:dyDescent="0.55000000000000004">
      <c r="A28" s="3" t="s">
        <v>37</v>
      </c>
      <c r="B28" s="3">
        <v>4527</v>
      </c>
      <c r="C28" s="3">
        <v>5025</v>
      </c>
      <c r="D28" s="3">
        <v>0.97340000000000004</v>
      </c>
      <c r="E28" s="3">
        <v>1670</v>
      </c>
      <c r="F28" s="3">
        <v>22</v>
      </c>
      <c r="G28" s="3">
        <v>540</v>
      </c>
      <c r="H28">
        <f>Table1[[#This Row],[k]]/(Table1[[#This Row],[Rho]]*Table1[[#This Row],[cp]])</f>
        <v>8.9995009367662345E-6</v>
      </c>
      <c r="I28" s="4">
        <f>37500000000</f>
        <v>37500000000</v>
      </c>
      <c r="J28" s="4">
        <f>(((370+246)/2)*1000000)</f>
        <v>308000000</v>
      </c>
      <c r="K28" s="7">
        <v>6070</v>
      </c>
    </row>
    <row r="29" spans="1:11" x14ac:dyDescent="0.55000000000000004">
      <c r="A29" t="s">
        <v>38</v>
      </c>
      <c r="B29">
        <v>4419</v>
      </c>
      <c r="C29">
        <v>4950</v>
      </c>
      <c r="D29">
        <v>1.083</v>
      </c>
      <c r="E29">
        <v>1632</v>
      </c>
      <c r="F29">
        <v>6.7</v>
      </c>
      <c r="G29">
        <v>526</v>
      </c>
      <c r="H29">
        <f>Table1[[#This Row],[k]]/(Table1[[#This Row],[Rho]]*Table1[[#This Row],[cp]])</f>
        <v>2.8824717324171378E-6</v>
      </c>
      <c r="I29" s="6">
        <f>41900000000</f>
        <v>41900000000</v>
      </c>
      <c r="J29" s="6">
        <f>895000000</f>
        <v>895000000</v>
      </c>
      <c r="K29" s="5">
        <v>6070</v>
      </c>
    </row>
    <row r="30" spans="1:11" x14ac:dyDescent="0.55000000000000004">
      <c r="A30" t="s">
        <v>39</v>
      </c>
      <c r="B30">
        <v>6099</v>
      </c>
      <c r="C30">
        <v>5070</v>
      </c>
      <c r="D30">
        <v>1.19</v>
      </c>
      <c r="E30">
        <v>1735</v>
      </c>
      <c r="F30">
        <v>31</v>
      </c>
      <c r="G30">
        <v>502</v>
      </c>
      <c r="H30" s="8">
        <f>Table1[[#This Row],[k]]/(Table1[[#This Row],[Rho]]*Table1[[#This Row],[cp]])</f>
        <v>1.0125100516118834E-5</v>
      </c>
      <c r="I30" s="6">
        <f>46400000000</f>
        <v>46400000000</v>
      </c>
      <c r="J30" s="6">
        <f>800000000</f>
        <v>800000000</v>
      </c>
      <c r="K30" s="7">
        <v>4560</v>
      </c>
    </row>
    <row r="31" spans="1:11" x14ac:dyDescent="0.55000000000000004">
      <c r="A31" t="s">
        <v>40</v>
      </c>
      <c r="B31">
        <v>19200</v>
      </c>
      <c r="C31">
        <v>4040</v>
      </c>
      <c r="D31">
        <v>1.23</v>
      </c>
      <c r="E31">
        <v>3422</v>
      </c>
      <c r="F31">
        <v>750</v>
      </c>
      <c r="G31">
        <v>130</v>
      </c>
      <c r="H31" s="8">
        <f>Table1[[#This Row],[k]]/(Table1[[#This Row],[Rho]]*Table1[[#This Row],[cp]])</f>
        <v>3.0048076923076925E-4</v>
      </c>
      <c r="I31" s="6">
        <f>161000000000</f>
        <v>161000000000</v>
      </c>
      <c r="J31" s="6">
        <f>980000000</f>
        <v>980000000</v>
      </c>
      <c r="K31" s="5">
        <v>5410</v>
      </c>
    </row>
    <row r="32" spans="1:11" x14ac:dyDescent="0.55000000000000004">
      <c r="A32" t="s">
        <v>41</v>
      </c>
      <c r="B32">
        <v>7139</v>
      </c>
      <c r="C32">
        <v>3030</v>
      </c>
      <c r="D32">
        <v>1.55</v>
      </c>
      <c r="E32">
        <v>420</v>
      </c>
      <c r="F32">
        <v>112</v>
      </c>
      <c r="G32">
        <v>390</v>
      </c>
      <c r="H32" s="8">
        <f>Table1[[#This Row],[k]]/(Table1[[#This Row],[Rho]]*Table1[[#This Row],[cp]])</f>
        <v>4.0226850704508638E-5</v>
      </c>
      <c r="I32" s="6">
        <f>43000000000</f>
        <v>43000000000</v>
      </c>
      <c r="J32" s="6">
        <f>37000000</f>
        <v>37000000</v>
      </c>
      <c r="K32">
        <v>4210</v>
      </c>
    </row>
    <row r="33" spans="1:11" x14ac:dyDescent="0.55000000000000004">
      <c r="A33" s="3" t="s">
        <v>42</v>
      </c>
      <c r="B33" s="3">
        <v>6506</v>
      </c>
      <c r="C33" s="3">
        <v>3786</v>
      </c>
      <c r="D33" s="3">
        <v>0.94879999999999998</v>
      </c>
      <c r="E33" s="3">
        <v>1854</v>
      </c>
      <c r="F33" s="3">
        <v>23.2</v>
      </c>
      <c r="G33" s="3">
        <v>270</v>
      </c>
      <c r="H33" s="3">
        <f>Table1[[#This Row],[k]]/(Table1[[#This Row],[Rho]]*Table1[[#This Row],[cp]])</f>
        <v>1.3207181974473705E-5</v>
      </c>
      <c r="I33" s="4">
        <v>35300000</v>
      </c>
      <c r="J33" s="4">
        <v>330000000</v>
      </c>
      <c r="K33" s="3">
        <v>3800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Barnett</dc:creator>
  <cp:lastModifiedBy>Blake Barnett</cp:lastModifiedBy>
  <dcterms:created xsi:type="dcterms:W3CDTF">2023-06-30T20:59:56Z</dcterms:created>
  <dcterms:modified xsi:type="dcterms:W3CDTF">2023-06-30T21:02:21Z</dcterms:modified>
</cp:coreProperties>
</file>