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mberly.bastille\Desktop\Rgghhh\ecodata\data-raw\"/>
    </mc:Choice>
  </mc:AlternateContent>
  <bookViews>
    <workbookView xWindow="0" yWindow="0" windowWidth="22950" windowHeight="11205"/>
  </bookViews>
  <sheets>
    <sheet name="MAFMC ABC_ACL_catch"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 i="1" l="1"/>
  <c r="E12" i="1"/>
  <c r="G12" i="1"/>
  <c r="C12" i="1"/>
  <c r="S14" i="1"/>
  <c r="M14" i="1"/>
  <c r="O14" i="1"/>
  <c r="Q14" i="1"/>
  <c r="S3" i="1"/>
  <c r="Q3" i="1"/>
  <c r="O3" i="1"/>
  <c r="M3" i="1"/>
  <c r="K3" i="1"/>
  <c r="I3" i="1"/>
  <c r="S4" i="1"/>
  <c r="Q4" i="1"/>
  <c r="O4" i="1"/>
  <c r="M4" i="1"/>
  <c r="G4" i="1"/>
  <c r="C3" i="1"/>
  <c r="E3" i="1"/>
  <c r="G3" i="1"/>
  <c r="C4" i="1"/>
  <c r="E4" i="1"/>
  <c r="I4" i="1"/>
  <c r="K4" i="1"/>
  <c r="C6" i="1"/>
  <c r="E6" i="1"/>
  <c r="G6" i="1"/>
  <c r="I6" i="1"/>
  <c r="K6" i="1"/>
  <c r="C8" i="1"/>
  <c r="E8" i="1"/>
  <c r="G8" i="1"/>
  <c r="I8" i="1"/>
  <c r="K8" i="1"/>
  <c r="C10" i="1"/>
  <c r="E10" i="1"/>
  <c r="G10" i="1"/>
  <c r="I10" i="1"/>
</calcChain>
</file>

<file path=xl/sharedStrings.xml><?xml version="1.0" encoding="utf-8"?>
<sst xmlns="http://schemas.openxmlformats.org/spreadsheetml/2006/main" count="64" uniqueCount="61">
  <si>
    <t>Illex squid</t>
  </si>
  <si>
    <t>Notes</t>
  </si>
  <si>
    <t>Species/Sector</t>
  </si>
  <si>
    <t>Chub mackerel</t>
  </si>
  <si>
    <t>-</t>
  </si>
  <si>
    <t>Very prelim. 2020 data; mt; catch is EEZland + MaineFisheryland, plus an additional 5% for incidental mortality applied to total landings</t>
  </si>
  <si>
    <t>Very prelim 2020 data; mt; catch is all landings, plus 12% incidental mortality applied to total landings</t>
  </si>
  <si>
    <t>n/a</t>
  </si>
  <si>
    <t xml:space="preserve">Values are in mil lb. Values under "catch" are actually landings becuase we don't have official estimates of dead discards in weight in either sector. Values are for com and rec combined. TAL through Forage Amendment for 2017- Sept 2020 (applied only to commercial landings). Replaced by ACL through MSB Amend. 21 in Sept 2020 (applies to com and rec catch). Value shown for 2020 is ACL.  ACL = ABC - expected SC-FL catch. </t>
  </si>
  <si>
    <t>Ecosystem Component forage species</t>
  </si>
  <si>
    <t>Values are in mil lb and are for commercial landings only. No official estimates of dead discards in weight. As of 2017, there is a commercial possession limit, but no ABC/ACL/TAL. Because of how landings are reported, can't guarantee that all landings here are only of EC speceis (e.g., these values include "herring (NK)").</t>
  </si>
  <si>
    <t>Summer Flounder Recreational</t>
  </si>
  <si>
    <t>Summer Flounder Commercial</t>
  </si>
  <si>
    <t>Scup Recreational</t>
  </si>
  <si>
    <t>Scup Commercial</t>
  </si>
  <si>
    <t>Black Sea Bass Recreational</t>
  </si>
  <si>
    <t>Black Sea Bass Commercial</t>
  </si>
  <si>
    <t>Atlantic mackerel Rec</t>
  </si>
  <si>
    <t>Atlantic mackerel Comm</t>
  </si>
  <si>
    <t>Butterfish</t>
  </si>
  <si>
    <t>Longfin squid</t>
  </si>
  <si>
    <t>Bluefish</t>
  </si>
  <si>
    <t>Ocean quahog</t>
  </si>
  <si>
    <t>Surfclam</t>
  </si>
  <si>
    <t>Blueline Tilefish Recreational</t>
  </si>
  <si>
    <t>Blueline Tilefish Commercial</t>
  </si>
  <si>
    <t>Spiny dogfish</t>
  </si>
  <si>
    <t>Total (comm and rec) ABC and total (comm and rec) catch</t>
  </si>
  <si>
    <t>Golden Tilefish</t>
  </si>
  <si>
    <t xml:space="preserve">Values in mil lbs; Recreational catch for 2012-2018 is in old MRIP currency due to limits set using assessments utilizing prior time series. Catch for 2019 is based on revised MRIP methodology. Catch for 2020 not available due to lack of dead discard data. </t>
  </si>
  <si>
    <t xml:space="preserve">Values in mil. lbs;Catch for 2020 not available due to lack of dead discard data. </t>
  </si>
  <si>
    <t xml:space="preserve">Values in mil. lbs; Recreational catch for 2012-2018 is in old MRIP currency due to limits set using assessments utilizing prior time series. Catch for 2019 is based on revised MRIP methodology. Catch for 2020 not available due to lack of dead discard data. </t>
  </si>
  <si>
    <t xml:space="preserve">Values in mil lbs; Catch for 2020 not available due to lack of dead discard data. </t>
  </si>
  <si>
    <t>Values in mil. lbs; All catch data in old MRIP units. Should be in new MRIP units for 2020, but 2020 dead catch data not yet available due to discard estimates.</t>
  </si>
  <si>
    <t xml:space="preserve">Values in mil. lbs; Catch for 2020 not available due to lack of dead discard data. </t>
  </si>
  <si>
    <t>Value in MT; Expected Canadian catch deducted from ABC; 2020 com prelim assumes 2019 discards; RH/S cap can shut com</t>
  </si>
  <si>
    <t>Value in MT; 2020 includes ballparked discards</t>
  </si>
  <si>
    <t>Value in MT; uses Ballpark 200  MT discards for 2020</t>
  </si>
  <si>
    <t>Value in MT</t>
  </si>
  <si>
    <t>1.995 mil lbs = TAL; for GTF catch, assummed average discrsds sm/lg mesh OT and gillnet gear. 4 mt for 2012-2016</t>
  </si>
  <si>
    <t>Values in lbs; MAFMC did not begin management until 2017</t>
  </si>
  <si>
    <t>Value in MT; One ABC - need to add comm and rec catch columnsfor total catch compared to ABC; Fishing year starts May 1 but discards estimated calendar year. These catch numbers are calendar year.</t>
  </si>
  <si>
    <t>Value in MT; Just one ABC - need to add comm and rec catch columnsmfor total to compare to ABC; 2019 assessement used new MRIP values, included here</t>
  </si>
  <si>
    <t>ABC/ACL 2012</t>
  </si>
  <si>
    <t>Catch 2012</t>
  </si>
  <si>
    <t>ABC/ACL 2013</t>
  </si>
  <si>
    <t>Catch 2013</t>
  </si>
  <si>
    <t>ABC/ACL 2014</t>
  </si>
  <si>
    <t>Catch 2014</t>
  </si>
  <si>
    <t>ABC/ACL 2015</t>
  </si>
  <si>
    <t>Catch 2015</t>
  </si>
  <si>
    <t>Catch 2016</t>
  </si>
  <si>
    <t>ABC/ACL 2016</t>
  </si>
  <si>
    <t>ABC/ACL 2017</t>
  </si>
  <si>
    <t>Catch 2017</t>
  </si>
  <si>
    <t>ABC/ACL 2018</t>
  </si>
  <si>
    <t>Catch 2018</t>
  </si>
  <si>
    <t>ABC/ACL 2019</t>
  </si>
  <si>
    <t>Catch 2019</t>
  </si>
  <si>
    <t>ABC/ACL 2020</t>
  </si>
  <si>
    <t xml:space="preserve">Catch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</si>
</sst>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3" fontId="0" fillId="0" borderId="4" xfId="0" applyNumberFormat="1" applyFill="1" applyBorder="1" applyAlignment="1">
      <alignment horizontal="center"/>
    </xf>
    <xf numFmtId="0" fontId="0" fillId="0" borderId="4" xfId="0" applyFill="1" applyBorder="1" applyAlignment="1">
      <alignment horizontal="center"/>
    </xf>
    <xf numFmtId="3" fontId="0" fillId="0" borderId="4" xfId="0" quotePrefix="1" applyNumberFormat="1" applyFill="1" applyBorder="1" applyAlignment="1">
      <alignment horizontal="center" vertical="center"/>
    </xf>
    <xf numFmtId="0" fontId="0" fillId="0" borderId="4" xfId="0" applyFill="1" applyBorder="1" applyAlignment="1">
      <alignment horizontal="center" vertical="center"/>
    </xf>
    <xf numFmtId="3" fontId="0" fillId="0" borderId="4" xfId="0" applyNumberFormat="1" applyFill="1" applyBorder="1" applyAlignment="1">
      <alignment horizontal="center" vertical="center"/>
    </xf>
    <xf numFmtId="3" fontId="0" fillId="0" borderId="8" xfId="0" applyNumberFormat="1" applyFill="1" applyBorder="1" applyAlignment="1">
      <alignment horizontal="center"/>
    </xf>
    <xf numFmtId="0" fontId="0" fillId="0" borderId="8" xfId="0" applyFill="1" applyBorder="1" applyAlignment="1">
      <alignment horizontal="center"/>
    </xf>
    <xf numFmtId="3" fontId="0" fillId="0" borderId="8" xfId="0" quotePrefix="1" applyNumberFormat="1" applyFill="1" applyBorder="1" applyAlignment="1">
      <alignment horizontal="center" vertical="center"/>
    </xf>
    <xf numFmtId="0" fontId="0" fillId="0" borderId="8" xfId="0" applyFill="1" applyBorder="1" applyAlignment="1">
      <alignment horizontal="center" vertical="center"/>
    </xf>
    <xf numFmtId="3" fontId="0" fillId="0" borderId="8" xfId="0" applyNumberFormat="1" applyFill="1" applyBorder="1" applyAlignment="1">
      <alignment horizontal="center" vertical="center"/>
    </xf>
    <xf numFmtId="3" fontId="0" fillId="0" borderId="4" xfId="0" applyNumberFormat="1" applyBorder="1" applyAlignment="1">
      <alignment horizontal="center"/>
    </xf>
    <xf numFmtId="0" fontId="0" fillId="0" borderId="4" xfId="0" applyBorder="1" applyAlignment="1">
      <alignment horizontal="center"/>
    </xf>
    <xf numFmtId="3" fontId="0" fillId="0" borderId="3" xfId="0" applyNumberFormat="1" applyFill="1" applyBorder="1" applyAlignment="1">
      <alignment horizontal="center"/>
    </xf>
    <xf numFmtId="0" fontId="0" fillId="0" borderId="0" xfId="0" applyBorder="1" applyAlignment="1">
      <alignment horizontal="center"/>
    </xf>
    <xf numFmtId="0" fontId="0" fillId="0" borderId="0" xfId="0" applyFill="1"/>
    <xf numFmtId="3" fontId="0" fillId="0" borderId="0" xfId="0" applyNumberFormat="1" applyAlignment="1">
      <alignment horizontal="center" vertical="center"/>
    </xf>
    <xf numFmtId="0" fontId="0" fillId="0" borderId="8" xfId="0" applyBorder="1" applyAlignment="1">
      <alignment horizontal="center"/>
    </xf>
    <xf numFmtId="3" fontId="2" fillId="0" borderId="8"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horizontal="center"/>
    </xf>
    <xf numFmtId="3" fontId="0" fillId="0" borderId="11" xfId="0" applyNumberFormat="1" applyBorder="1" applyAlignment="1">
      <alignment horizontal="center"/>
    </xf>
    <xf numFmtId="0" fontId="0" fillId="0" borderId="11" xfId="0" applyFill="1" applyBorder="1" applyAlignment="1">
      <alignment horizontal="center"/>
    </xf>
    <xf numFmtId="3" fontId="0" fillId="0" borderId="11" xfId="0" quotePrefix="1" applyNumberFormat="1" applyFill="1" applyBorder="1" applyAlignment="1">
      <alignment horizontal="center" vertical="center"/>
    </xf>
    <xf numFmtId="3" fontId="0" fillId="0" borderId="11" xfId="0" applyNumberFormat="1" applyFill="1" applyBorder="1" applyAlignment="1">
      <alignment horizontal="center" vertical="center"/>
    </xf>
    <xf numFmtId="0" fontId="0" fillId="0" borderId="11" xfId="0" applyBorder="1" applyAlignment="1">
      <alignment horizontal="center"/>
    </xf>
    <xf numFmtId="3" fontId="2" fillId="0" borderId="11" xfId="0" applyNumberFormat="1" applyFont="1" applyBorder="1" applyAlignment="1">
      <alignment horizontal="center"/>
    </xf>
    <xf numFmtId="0" fontId="0" fillId="0" borderId="11" xfId="0" applyFill="1" applyBorder="1" applyAlignment="1">
      <alignment horizontal="center" vertical="center"/>
    </xf>
    <xf numFmtId="0" fontId="0" fillId="0" borderId="4" xfId="0" applyBorder="1" applyAlignment="1">
      <alignment wrapText="1"/>
    </xf>
    <xf numFmtId="0" fontId="0" fillId="0" borderId="9" xfId="0" applyBorder="1" applyAlignment="1">
      <alignment horizontal="center" vertical="center"/>
    </xf>
    <xf numFmtId="0" fontId="0" fillId="0" borderId="4" xfId="0"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3" fillId="0" borderId="6" xfId="0" applyFont="1" applyFill="1" applyBorder="1" applyAlignment="1">
      <alignment wrapText="1"/>
    </xf>
    <xf numFmtId="0" fontId="0" fillId="0" borderId="4" xfId="0" applyBorder="1" applyAlignment="1">
      <alignment horizontal="center" vertical="center"/>
    </xf>
    <xf numFmtId="0" fontId="0" fillId="2" borderId="0" xfId="0" applyFill="1"/>
    <xf numFmtId="3" fontId="0" fillId="0" borderId="16" xfId="0" applyNumberFormat="1" applyBorder="1" applyAlignment="1">
      <alignment horizontal="center"/>
    </xf>
    <xf numFmtId="0" fontId="0" fillId="0" borderId="4" xfId="0" applyBorder="1" applyAlignment="1">
      <alignment horizontal="center" vertical="center" wrapText="1"/>
    </xf>
    <xf numFmtId="2" fontId="0" fillId="0" borderId="0" xfId="0" applyNumberFormat="1" applyAlignment="1">
      <alignment vertical="center"/>
    </xf>
    <xf numFmtId="0" fontId="0" fillId="0" borderId="1" xfId="0" applyFill="1" applyBorder="1" applyAlignment="1">
      <alignment horizontal="center" vertical="center"/>
    </xf>
    <xf numFmtId="0" fontId="0" fillId="0" borderId="4" xfId="0" applyBorder="1" applyAlignment="1">
      <alignment vertical="center" wrapText="1"/>
    </xf>
    <xf numFmtId="0" fontId="0" fillId="3" borderId="4" xfId="0" applyFill="1" applyBorder="1" applyAlignment="1">
      <alignment horizontal="center"/>
    </xf>
    <xf numFmtId="0" fontId="0" fillId="0" borderId="0" xfId="0" applyAlignment="1">
      <alignment vertical="center"/>
    </xf>
    <xf numFmtId="3" fontId="1" fillId="0" borderId="10" xfId="0" applyNumberFormat="1" applyFont="1" applyFill="1" applyBorder="1" applyAlignment="1">
      <alignment horizontal="center" vertical="top" wrapText="1"/>
    </xf>
    <xf numFmtId="3" fontId="1" fillId="0" borderId="10" xfId="0" applyNumberFormat="1" applyFont="1" applyBorder="1" applyAlignment="1">
      <alignment horizontal="center" vertical="top" wrapText="1"/>
    </xf>
    <xf numFmtId="3" fontId="1" fillId="0" borderId="4" xfId="0" applyNumberFormat="1" applyFont="1" applyBorder="1" applyAlignment="1">
      <alignment horizontal="center" vertical="top" wrapText="1"/>
    </xf>
    <xf numFmtId="3" fontId="0" fillId="0" borderId="4" xfId="0" applyNumberFormat="1" applyBorder="1" applyAlignment="1">
      <alignment horizontal="center" wrapText="1"/>
    </xf>
    <xf numFmtId="3" fontId="1" fillId="0" borderId="12" xfId="0" applyNumberFormat="1" applyFont="1" applyBorder="1" applyAlignment="1">
      <alignment horizontal="center" vertical="top" wrapText="1"/>
    </xf>
    <xf numFmtId="3" fontId="1" fillId="0" borderId="15" xfId="0" applyNumberFormat="1" applyFont="1" applyBorder="1" applyAlignment="1">
      <alignment horizontal="center" vertical="top" wrapText="1"/>
    </xf>
    <xf numFmtId="0" fontId="0" fillId="3" borderId="4" xfId="0"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3" fontId="0" fillId="0" borderId="9" xfId="0" quotePrefix="1" applyNumberFormat="1" applyFill="1" applyBorder="1" applyAlignment="1">
      <alignment horizontal="center" vertical="center"/>
    </xf>
    <xf numFmtId="3" fontId="0" fillId="0" borderId="3" xfId="0" quotePrefix="1" applyNumberFormat="1" applyFill="1" applyBorder="1" applyAlignment="1">
      <alignment horizontal="center" vertical="center"/>
    </xf>
    <xf numFmtId="3" fontId="0" fillId="2" borderId="4" xfId="0" quotePrefix="1" applyNumberFormat="1" applyFill="1" applyBorder="1" applyAlignment="1">
      <alignment horizontal="center" vertical="center"/>
    </xf>
    <xf numFmtId="0" fontId="0" fillId="2" borderId="4" xfId="0" applyFill="1" applyBorder="1" applyAlignment="1">
      <alignment horizontal="center" vertical="center"/>
    </xf>
    <xf numFmtId="0" fontId="0" fillId="2" borderId="4" xfId="0" quotePrefix="1" applyFill="1" applyBorder="1" applyAlignment="1">
      <alignment horizontal="center" vertical="center"/>
    </xf>
    <xf numFmtId="0" fontId="0" fillId="0" borderId="9" xfId="0" applyFill="1" applyBorder="1" applyAlignment="1">
      <alignment horizontal="center" vertical="center"/>
    </xf>
    <xf numFmtId="0" fontId="0" fillId="0" borderId="3" xfId="0" applyFill="1" applyBorder="1" applyAlignment="1">
      <alignment horizontal="center" vertical="center"/>
    </xf>
    <xf numFmtId="0" fontId="0" fillId="0" borderId="3" xfId="0" quotePrefix="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wrapText="1"/>
    </xf>
    <xf numFmtId="0" fontId="0" fillId="0" borderId="3" xfId="0" applyBorder="1" applyAlignment="1">
      <alignment wrapText="1"/>
    </xf>
    <xf numFmtId="0" fontId="0" fillId="2" borderId="9" xfId="0" applyFill="1" applyBorder="1" applyAlignment="1">
      <alignment wrapText="1"/>
    </xf>
    <xf numFmtId="0" fontId="0" fillId="2" borderId="3" xfId="0" applyFill="1" applyBorder="1" applyAlignment="1">
      <alignment wrapText="1"/>
    </xf>
    <xf numFmtId="3" fontId="0" fillId="0" borderId="9" xfId="0" applyNumberFormat="1" applyFill="1" applyBorder="1" applyAlignment="1">
      <alignment horizontal="center" vertical="center"/>
    </xf>
    <xf numFmtId="3" fontId="0" fillId="0" borderId="9" xfId="0" applyNumberForma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zoomScale="80" zoomScaleNormal="80" workbookViewId="0">
      <pane xSplit="1" topLeftCell="B1" activePane="topRight" state="frozen"/>
      <selection pane="topRight" activeCell="S2" sqref="S2"/>
    </sheetView>
  </sheetViews>
  <sheetFormatPr defaultRowHeight="15" x14ac:dyDescent="0.25"/>
  <cols>
    <col min="1" max="1" width="18.28515625" bestFit="1" customWidth="1"/>
    <col min="2" max="2" width="14" customWidth="1"/>
    <col min="3" max="3" width="12" bestFit="1" customWidth="1"/>
    <col min="4" max="4" width="13.28515625" bestFit="1" customWidth="1"/>
    <col min="5" max="5" width="12" bestFit="1" customWidth="1"/>
    <col min="6" max="6" width="13.28515625" bestFit="1" customWidth="1"/>
    <col min="7" max="7" width="12" bestFit="1" customWidth="1"/>
    <col min="8" max="8" width="13.28515625" bestFit="1" customWidth="1"/>
    <col min="9" max="9" width="12" bestFit="1" customWidth="1"/>
    <col min="10" max="10" width="13.5703125" bestFit="1" customWidth="1"/>
    <col min="11" max="11" width="12" bestFit="1" customWidth="1"/>
    <col min="12" max="19" width="12" customWidth="1"/>
    <col min="20" max="20" width="55" style="1" customWidth="1"/>
  </cols>
  <sheetData>
    <row r="1" spans="1:20" x14ac:dyDescent="0.25">
      <c r="A1" s="3"/>
      <c r="B1" s="58">
        <v>2012</v>
      </c>
      <c r="C1" s="61"/>
      <c r="D1" s="58">
        <v>2013</v>
      </c>
      <c r="E1" s="59"/>
      <c r="F1" s="58">
        <v>2014</v>
      </c>
      <c r="G1" s="59"/>
      <c r="H1" s="58">
        <v>2015</v>
      </c>
      <c r="I1" s="59"/>
      <c r="J1" s="58">
        <v>2016</v>
      </c>
      <c r="K1" s="59"/>
      <c r="L1" s="58">
        <v>2017</v>
      </c>
      <c r="M1" s="59"/>
      <c r="N1" s="58">
        <v>2018</v>
      </c>
      <c r="O1" s="60"/>
      <c r="P1" s="58">
        <v>2019</v>
      </c>
      <c r="Q1" s="60"/>
      <c r="R1" s="58">
        <v>2020</v>
      </c>
      <c r="S1" s="61"/>
      <c r="T1" s="2"/>
    </row>
    <row r="2" spans="1:20" ht="15.75" thickBot="1" x14ac:dyDescent="0.3">
      <c r="A2" s="6" t="s">
        <v>2</v>
      </c>
      <c r="B2" s="7" t="s">
        <v>43</v>
      </c>
      <c r="C2" s="8" t="s">
        <v>44</v>
      </c>
      <c r="D2" s="7" t="s">
        <v>45</v>
      </c>
      <c r="E2" s="6" t="s">
        <v>46</v>
      </c>
      <c r="F2" s="7" t="s">
        <v>47</v>
      </c>
      <c r="G2" s="6" t="s">
        <v>48</v>
      </c>
      <c r="H2" s="7" t="s">
        <v>49</v>
      </c>
      <c r="I2" s="6" t="s">
        <v>50</v>
      </c>
      <c r="J2" s="7" t="s">
        <v>52</v>
      </c>
      <c r="K2" s="6" t="s">
        <v>51</v>
      </c>
      <c r="L2" s="7" t="s">
        <v>53</v>
      </c>
      <c r="M2" s="6" t="s">
        <v>54</v>
      </c>
      <c r="N2" s="7" t="s">
        <v>55</v>
      </c>
      <c r="O2" s="6" t="s">
        <v>56</v>
      </c>
      <c r="P2" s="7" t="s">
        <v>57</v>
      </c>
      <c r="Q2" s="6" t="s">
        <v>58</v>
      </c>
      <c r="R2" s="7" t="s">
        <v>59</v>
      </c>
      <c r="S2" s="6" t="s">
        <v>60</v>
      </c>
      <c r="T2" s="41" t="s">
        <v>1</v>
      </c>
    </row>
    <row r="3" spans="1:20" ht="45.75" thickTop="1" x14ac:dyDescent="0.25">
      <c r="A3" s="3" t="s">
        <v>22</v>
      </c>
      <c r="B3" s="5">
        <v>26100</v>
      </c>
      <c r="C3" s="44">
        <f>(15864+226)+(15864+226)*0.05</f>
        <v>16894.5</v>
      </c>
      <c r="D3" s="5">
        <v>26100</v>
      </c>
      <c r="E3" s="44">
        <f>(14721+176)+(14721+176)*0.05</f>
        <v>15641.85</v>
      </c>
      <c r="F3" s="5">
        <v>26100</v>
      </c>
      <c r="G3" s="44">
        <f>(14498+137)+(14498+137)*0.05</f>
        <v>15366.75</v>
      </c>
      <c r="H3" s="5">
        <v>26100</v>
      </c>
      <c r="I3" s="44">
        <f>(13709+125)+(13709+125)*0.05</f>
        <v>14525.7</v>
      </c>
      <c r="J3" s="5">
        <v>26100</v>
      </c>
      <c r="K3" s="44">
        <f>(13965+111)+(13965+111)*0.05</f>
        <v>14779.8</v>
      </c>
      <c r="L3" s="5">
        <v>26100</v>
      </c>
      <c r="M3" s="44">
        <f>(14386+103)+(14386+103)*0.05</f>
        <v>15213.45</v>
      </c>
      <c r="N3" s="21">
        <v>44695</v>
      </c>
      <c r="O3" s="4">
        <f>(14587+89)+(14587+89)*0.05</f>
        <v>15409.8</v>
      </c>
      <c r="P3" s="21">
        <v>46146</v>
      </c>
      <c r="Q3" s="4">
        <f>(11178+70)+(11178+70)*0.05</f>
        <v>11810.4</v>
      </c>
      <c r="R3" s="21">
        <v>44031</v>
      </c>
      <c r="S3" s="4">
        <f>(8939+17)+(8939+17)*0.05</f>
        <v>9403.7999999999993</v>
      </c>
      <c r="T3" s="40" t="s">
        <v>5</v>
      </c>
    </row>
    <row r="4" spans="1:20" ht="42" customHeight="1" x14ac:dyDescent="0.25">
      <c r="A4" s="20" t="s">
        <v>23</v>
      </c>
      <c r="B4" s="19">
        <v>96600</v>
      </c>
      <c r="C4" s="19">
        <f>18054+(18054)*0.12</f>
        <v>20220.48</v>
      </c>
      <c r="D4" s="19">
        <v>96600</v>
      </c>
      <c r="E4" s="19">
        <f>18551+(18551)*0.12</f>
        <v>20777.12</v>
      </c>
      <c r="F4" s="19">
        <v>60313</v>
      </c>
      <c r="G4" s="19">
        <f>18227+(18227)*0.12</f>
        <v>20414.239999999998</v>
      </c>
      <c r="H4" s="19">
        <v>51804</v>
      </c>
      <c r="I4" s="19">
        <f>18154+(18154)*0.12</f>
        <v>20332.48</v>
      </c>
      <c r="J4" s="19">
        <v>48197</v>
      </c>
      <c r="K4" s="19">
        <f>18039+(18039)*0.12</f>
        <v>20203.68</v>
      </c>
      <c r="L4" s="14">
        <v>44469</v>
      </c>
      <c r="M4" s="19">
        <f>16902+(16902)*0.12</f>
        <v>18930.240000000002</v>
      </c>
      <c r="N4" s="9">
        <v>29363</v>
      </c>
      <c r="O4" s="19">
        <f>16269+(16269)*0.12</f>
        <v>18221.28</v>
      </c>
      <c r="P4" s="9">
        <v>56419</v>
      </c>
      <c r="Q4" s="19">
        <f>14986+(14986)*0.12</f>
        <v>16784.32</v>
      </c>
      <c r="R4" s="9">
        <v>56289</v>
      </c>
      <c r="S4" s="29">
        <f>11956+(11956)*0.12</f>
        <v>13390.72</v>
      </c>
      <c r="T4" s="39" t="s">
        <v>6</v>
      </c>
    </row>
    <row r="5" spans="1:20" ht="62.45" customHeight="1" x14ac:dyDescent="0.25">
      <c r="A5" s="45" t="s">
        <v>11</v>
      </c>
      <c r="B5" s="42">
        <v>11.58</v>
      </c>
      <c r="C5" s="42">
        <v>8.16</v>
      </c>
      <c r="D5" s="42">
        <v>10.23</v>
      </c>
      <c r="E5" s="42">
        <v>8.6</v>
      </c>
      <c r="F5" s="42">
        <v>9.07</v>
      </c>
      <c r="G5" s="12">
        <v>9.48</v>
      </c>
      <c r="H5" s="42">
        <v>9.44</v>
      </c>
      <c r="I5" s="42">
        <v>6.11</v>
      </c>
      <c r="J5" s="42">
        <v>6.83</v>
      </c>
      <c r="K5" s="12">
        <v>7.66</v>
      </c>
      <c r="L5" s="17">
        <v>4.72</v>
      </c>
      <c r="M5" s="12">
        <v>4.16</v>
      </c>
      <c r="N5" s="12">
        <v>5.53</v>
      </c>
      <c r="O5" s="12">
        <v>4.32</v>
      </c>
      <c r="P5" s="12">
        <v>11.51</v>
      </c>
      <c r="Q5" s="12">
        <v>10.84</v>
      </c>
      <c r="R5" s="12">
        <v>11.51</v>
      </c>
      <c r="S5" s="35" t="s">
        <v>4</v>
      </c>
      <c r="T5" s="48" t="s">
        <v>29</v>
      </c>
    </row>
    <row r="6" spans="1:20" ht="33" customHeight="1" x14ac:dyDescent="0.25">
      <c r="A6" s="45" t="s">
        <v>12</v>
      </c>
      <c r="B6" s="42">
        <v>14</v>
      </c>
      <c r="C6" s="12">
        <f>13.03+1.58</f>
        <v>14.61</v>
      </c>
      <c r="D6" s="12">
        <v>12.1</v>
      </c>
      <c r="E6" s="12">
        <f>14.49+1.57</f>
        <v>16.059999999999999</v>
      </c>
      <c r="F6" s="12">
        <v>12.9</v>
      </c>
      <c r="G6" s="12">
        <f>11.07+1.73</f>
        <v>12.8</v>
      </c>
      <c r="H6" s="12">
        <v>13.3</v>
      </c>
      <c r="I6" s="12">
        <f>10.68+1.48</f>
        <v>12.16</v>
      </c>
      <c r="J6" s="12">
        <v>9.4</v>
      </c>
      <c r="K6" s="12">
        <f>7.81+1.63</f>
        <v>9.44</v>
      </c>
      <c r="L6" s="17">
        <v>6.57</v>
      </c>
      <c r="M6" s="12">
        <v>7.83</v>
      </c>
      <c r="N6" s="12">
        <v>7.7</v>
      </c>
      <c r="O6" s="12">
        <v>8.3000000000000007</v>
      </c>
      <c r="P6" s="12">
        <v>13.53</v>
      </c>
      <c r="Q6" s="12">
        <v>10.79</v>
      </c>
      <c r="R6" s="12">
        <v>13.53</v>
      </c>
      <c r="S6" s="35" t="s">
        <v>4</v>
      </c>
      <c r="T6" s="36" t="s">
        <v>30</v>
      </c>
    </row>
    <row r="7" spans="1:20" ht="41.25" customHeight="1" x14ac:dyDescent="0.25">
      <c r="A7" s="42" t="s">
        <v>13</v>
      </c>
      <c r="B7" s="42">
        <v>8.99</v>
      </c>
      <c r="C7" s="42">
        <v>4.41</v>
      </c>
      <c r="D7" s="42">
        <v>8.52</v>
      </c>
      <c r="E7" s="42">
        <v>5.95</v>
      </c>
      <c r="F7" s="42">
        <v>7.92</v>
      </c>
      <c r="G7" s="42">
        <v>5.18</v>
      </c>
      <c r="H7" s="42">
        <v>7.43</v>
      </c>
      <c r="I7" s="42">
        <v>5.56</v>
      </c>
      <c r="J7" s="42">
        <v>6.84</v>
      </c>
      <c r="K7" s="42">
        <v>5.04</v>
      </c>
      <c r="L7" s="17">
        <v>6.25</v>
      </c>
      <c r="M7" s="46">
        <v>6.23</v>
      </c>
      <c r="N7" s="12">
        <v>8.61</v>
      </c>
      <c r="O7" s="12">
        <v>6.21</v>
      </c>
      <c r="P7" s="47">
        <v>8.01</v>
      </c>
      <c r="Q7" s="12">
        <v>6.64</v>
      </c>
      <c r="R7" s="47">
        <v>7.87</v>
      </c>
      <c r="S7" s="35" t="s">
        <v>7</v>
      </c>
      <c r="T7" s="36" t="s">
        <v>31</v>
      </c>
    </row>
    <row r="8" spans="1:20" ht="30" x14ac:dyDescent="0.25">
      <c r="A8" s="20" t="s">
        <v>14</v>
      </c>
      <c r="B8" s="20">
        <v>31.89</v>
      </c>
      <c r="C8" s="20">
        <f>14.88+2.21</f>
        <v>17.09</v>
      </c>
      <c r="D8" s="20">
        <v>30.19</v>
      </c>
      <c r="E8" s="20">
        <f>17.87+2.87</f>
        <v>20.740000000000002</v>
      </c>
      <c r="F8" s="20">
        <v>28.07</v>
      </c>
      <c r="G8" s="20">
        <f>15.96+2.21</f>
        <v>18.170000000000002</v>
      </c>
      <c r="H8" s="20">
        <v>26.35</v>
      </c>
      <c r="I8" s="20">
        <f>17.03+3.97</f>
        <v>21</v>
      </c>
      <c r="J8" s="20">
        <v>24.26</v>
      </c>
      <c r="K8" s="20">
        <f>15.76+6.11</f>
        <v>21.87</v>
      </c>
      <c r="L8" s="15">
        <v>22.15</v>
      </c>
      <c r="M8" s="10">
        <v>25.88</v>
      </c>
      <c r="N8" s="10">
        <v>30.53</v>
      </c>
      <c r="O8" s="10">
        <v>20.63</v>
      </c>
      <c r="P8" s="10">
        <v>28.42</v>
      </c>
      <c r="Q8" s="10">
        <v>19.03</v>
      </c>
      <c r="R8" s="10">
        <v>27.9</v>
      </c>
      <c r="S8" s="30" t="s">
        <v>7</v>
      </c>
      <c r="T8" s="36" t="s">
        <v>32</v>
      </c>
    </row>
    <row r="9" spans="1:20" s="50" customFormat="1" ht="45" x14ac:dyDescent="0.25">
      <c r="A9" s="45" t="s">
        <v>15</v>
      </c>
      <c r="B9" s="42">
        <v>2.52</v>
      </c>
      <c r="C9" s="12">
        <v>4.04</v>
      </c>
      <c r="D9" s="12">
        <v>2.9</v>
      </c>
      <c r="E9" s="12">
        <v>3.13</v>
      </c>
      <c r="F9" s="12">
        <v>2.9</v>
      </c>
      <c r="G9" s="12">
        <v>4.6900000000000004</v>
      </c>
      <c r="H9" s="12">
        <v>2.9</v>
      </c>
      <c r="I9" s="12">
        <v>4.93</v>
      </c>
      <c r="J9" s="42">
        <v>3.52</v>
      </c>
      <c r="K9" s="12">
        <v>8.64</v>
      </c>
      <c r="L9" s="17">
        <v>5.38</v>
      </c>
      <c r="M9" s="12">
        <v>5.43</v>
      </c>
      <c r="N9" s="12">
        <v>4.59</v>
      </c>
      <c r="O9" s="12">
        <v>4.92</v>
      </c>
      <c r="P9" s="12">
        <v>4.59</v>
      </c>
      <c r="Q9" s="12">
        <v>0.5</v>
      </c>
      <c r="R9" s="12">
        <v>8.09</v>
      </c>
      <c r="S9" s="35"/>
      <c r="T9" s="48" t="s">
        <v>33</v>
      </c>
    </row>
    <row r="10" spans="1:20" s="50" customFormat="1" ht="30" x14ac:dyDescent="0.25">
      <c r="A10" s="45" t="s">
        <v>16</v>
      </c>
      <c r="B10" s="42">
        <v>1.98</v>
      </c>
      <c r="C10" s="12">
        <f>1.72+0.23</f>
        <v>1.95</v>
      </c>
      <c r="D10" s="12">
        <v>2.6</v>
      </c>
      <c r="E10" s="12">
        <f>2.26+0.47</f>
        <v>2.7299999999999995</v>
      </c>
      <c r="F10" s="12">
        <v>2.6</v>
      </c>
      <c r="G10" s="12">
        <f>2.18+0.92</f>
        <v>3.1</v>
      </c>
      <c r="H10" s="12">
        <v>2.6</v>
      </c>
      <c r="I10" s="12">
        <f>2.29+0.74</f>
        <v>3.0300000000000002</v>
      </c>
      <c r="J10" s="42">
        <v>3.15</v>
      </c>
      <c r="K10" s="12">
        <v>4.26</v>
      </c>
      <c r="L10" s="17">
        <v>5.09</v>
      </c>
      <c r="M10" s="12">
        <v>6.27</v>
      </c>
      <c r="N10" s="12">
        <v>4.3499999999999996</v>
      </c>
      <c r="O10" s="12">
        <v>5.05</v>
      </c>
      <c r="P10" s="12">
        <v>4.3499999999999996</v>
      </c>
      <c r="Q10" s="12">
        <v>5.79</v>
      </c>
      <c r="R10" s="12">
        <v>6.98</v>
      </c>
      <c r="S10" s="35"/>
      <c r="T10" s="48" t="s">
        <v>34</v>
      </c>
    </row>
    <row r="11" spans="1:20" ht="45" x14ac:dyDescent="0.25">
      <c r="A11" s="38" t="s">
        <v>17</v>
      </c>
      <c r="B11" s="62">
        <v>80000</v>
      </c>
      <c r="C11" s="24">
        <v>2670</v>
      </c>
      <c r="D11" s="62">
        <v>80000</v>
      </c>
      <c r="E11" s="24">
        <v>2406</v>
      </c>
      <c r="F11" s="62">
        <v>80000</v>
      </c>
      <c r="G11" s="24">
        <v>2296</v>
      </c>
      <c r="H11" s="62">
        <v>40165</v>
      </c>
      <c r="I11" s="24">
        <v>4274</v>
      </c>
      <c r="J11" s="62">
        <v>19898</v>
      </c>
      <c r="K11" s="16">
        <v>4569</v>
      </c>
      <c r="L11" s="62">
        <v>19898</v>
      </c>
      <c r="M11" s="11">
        <v>4161</v>
      </c>
      <c r="N11" s="62">
        <v>19898</v>
      </c>
      <c r="O11" s="11">
        <v>2394</v>
      </c>
      <c r="P11" s="62">
        <v>29184</v>
      </c>
      <c r="Q11" s="11">
        <v>2117</v>
      </c>
      <c r="R11" s="62">
        <v>29184</v>
      </c>
      <c r="S11" s="31">
        <v>2041</v>
      </c>
      <c r="T11" s="36" t="s">
        <v>42</v>
      </c>
    </row>
    <row r="12" spans="1:20" ht="45" x14ac:dyDescent="0.25">
      <c r="A12" s="38" t="s">
        <v>18</v>
      </c>
      <c r="B12" s="63"/>
      <c r="C12" s="16">
        <f>5333+33</f>
        <v>5366</v>
      </c>
      <c r="D12" s="63"/>
      <c r="E12" s="16">
        <f>4372+20</f>
        <v>4392</v>
      </c>
      <c r="F12" s="63"/>
      <c r="G12" s="16">
        <f>5905+51</f>
        <v>5956</v>
      </c>
      <c r="H12" s="63"/>
      <c r="I12" s="16">
        <v>5629</v>
      </c>
      <c r="J12" s="63"/>
      <c r="K12" s="18">
        <v>5705</v>
      </c>
      <c r="L12" s="63"/>
      <c r="M12" s="12">
        <v>7058</v>
      </c>
      <c r="N12" s="63"/>
      <c r="O12" s="12">
        <v>8894</v>
      </c>
      <c r="P12" s="63"/>
      <c r="Q12" s="12">
        <v>5579</v>
      </c>
      <c r="R12" s="63"/>
      <c r="S12" s="32">
        <v>8219</v>
      </c>
      <c r="T12" s="36" t="s">
        <v>35</v>
      </c>
    </row>
    <row r="13" spans="1:20" x14ac:dyDescent="0.25">
      <c r="A13" s="20" t="s">
        <v>19</v>
      </c>
      <c r="B13" s="9">
        <v>4200</v>
      </c>
      <c r="C13" s="9">
        <v>1634</v>
      </c>
      <c r="D13" s="9">
        <v>8400</v>
      </c>
      <c r="E13" s="9">
        <v>1525</v>
      </c>
      <c r="F13" s="9">
        <v>9100</v>
      </c>
      <c r="G13" s="9">
        <v>4182</v>
      </c>
      <c r="H13" s="9">
        <v>33278</v>
      </c>
      <c r="I13" s="9">
        <v>2930</v>
      </c>
      <c r="J13" s="9">
        <v>31412</v>
      </c>
      <c r="K13" s="9">
        <v>2714</v>
      </c>
      <c r="L13" s="9">
        <v>30922</v>
      </c>
      <c r="M13" s="9">
        <v>4621</v>
      </c>
      <c r="N13" s="9">
        <v>17801</v>
      </c>
      <c r="O13" s="9">
        <v>3053</v>
      </c>
      <c r="P13" s="54">
        <v>27108</v>
      </c>
      <c r="Q13" s="9">
        <v>5082</v>
      </c>
      <c r="R13" s="54">
        <v>32063</v>
      </c>
      <c r="S13" s="55">
        <f>2367+1300</f>
        <v>3667</v>
      </c>
      <c r="T13" s="36" t="s">
        <v>36</v>
      </c>
    </row>
    <row r="14" spans="1:20" s="23" customFormat="1" x14ac:dyDescent="0.25">
      <c r="A14" s="10" t="s">
        <v>20</v>
      </c>
      <c r="B14" s="9">
        <v>23400</v>
      </c>
      <c r="C14" s="9">
        <v>13187</v>
      </c>
      <c r="D14" s="9">
        <v>23400</v>
      </c>
      <c r="E14" s="9">
        <v>11336</v>
      </c>
      <c r="F14" s="9">
        <v>23400</v>
      </c>
      <c r="G14" s="9">
        <v>12278</v>
      </c>
      <c r="H14" s="9">
        <v>23400</v>
      </c>
      <c r="I14" s="9">
        <v>12050</v>
      </c>
      <c r="J14" s="9">
        <v>23400</v>
      </c>
      <c r="K14" s="9">
        <v>18680</v>
      </c>
      <c r="L14" s="9">
        <v>23400</v>
      </c>
      <c r="M14" s="9">
        <f>8187.93+131</f>
        <v>8318.93</v>
      </c>
      <c r="N14" s="9">
        <v>23400</v>
      </c>
      <c r="O14" s="52">
        <f>11632.17+134</f>
        <v>11766.17</v>
      </c>
      <c r="P14" s="9">
        <v>23400</v>
      </c>
      <c r="Q14" s="9">
        <f>12458.42+314</f>
        <v>12772.42</v>
      </c>
      <c r="R14" s="9">
        <v>23400</v>
      </c>
      <c r="S14" s="56">
        <f>9392.05+200</f>
        <v>9592.0499999999993</v>
      </c>
      <c r="T14" s="39" t="s">
        <v>37</v>
      </c>
    </row>
    <row r="15" spans="1:20" x14ac:dyDescent="0.25">
      <c r="A15" s="20" t="s">
        <v>0</v>
      </c>
      <c r="B15" s="9">
        <v>24000</v>
      </c>
      <c r="C15" s="9">
        <v>11709</v>
      </c>
      <c r="D15" s="9">
        <v>24000</v>
      </c>
      <c r="E15" s="9">
        <v>3792</v>
      </c>
      <c r="F15" s="9">
        <v>24000</v>
      </c>
      <c r="G15" s="9">
        <v>8767</v>
      </c>
      <c r="H15" s="9">
        <v>24000</v>
      </c>
      <c r="I15" s="9">
        <v>2422</v>
      </c>
      <c r="J15" s="9">
        <v>24000</v>
      </c>
      <c r="K15" s="51">
        <v>6681.96</v>
      </c>
      <c r="L15" s="9">
        <v>24000</v>
      </c>
      <c r="M15" s="51">
        <v>22516.37</v>
      </c>
      <c r="N15" s="9">
        <v>24000</v>
      </c>
      <c r="O15" s="52">
        <v>24110.1</v>
      </c>
      <c r="P15" s="9">
        <v>26000</v>
      </c>
      <c r="Q15" s="52">
        <v>27163.5</v>
      </c>
      <c r="R15" s="9">
        <v>30000</v>
      </c>
      <c r="S15" s="53">
        <v>28135.15</v>
      </c>
      <c r="T15" s="36" t="s">
        <v>38</v>
      </c>
    </row>
    <row r="16" spans="1:20" ht="30" x14ac:dyDescent="0.25">
      <c r="A16" s="37" t="s">
        <v>28</v>
      </c>
      <c r="B16" s="20">
        <v>1.9950000000000001</v>
      </c>
      <c r="C16" s="10">
        <v>1.8560000000000001</v>
      </c>
      <c r="D16" s="10">
        <v>2.0129999999999999</v>
      </c>
      <c r="E16" s="10">
        <v>1.839</v>
      </c>
      <c r="F16" s="10">
        <v>2.0129999999999999</v>
      </c>
      <c r="G16" s="10">
        <v>1.83</v>
      </c>
      <c r="H16" s="10">
        <v>1.766</v>
      </c>
      <c r="I16" s="10">
        <v>1.3540000000000001</v>
      </c>
      <c r="J16" s="10">
        <v>1.8979999999999999</v>
      </c>
      <c r="K16" s="10">
        <v>1.06</v>
      </c>
      <c r="L16" s="25">
        <v>1.8979999999999999</v>
      </c>
      <c r="M16" s="20">
        <v>1.4870000000000001</v>
      </c>
      <c r="N16" s="20">
        <v>1.6359999999999999</v>
      </c>
      <c r="O16" s="20">
        <v>1.6259999999999999</v>
      </c>
      <c r="P16" s="20">
        <v>1.6359999999999999</v>
      </c>
      <c r="Q16" s="20">
        <v>1.5629999999999999</v>
      </c>
      <c r="R16" s="20">
        <v>1.6359999999999999</v>
      </c>
      <c r="S16" s="33">
        <v>1.403</v>
      </c>
      <c r="T16" s="36" t="s">
        <v>39</v>
      </c>
    </row>
    <row r="17" spans="1:20" ht="30" x14ac:dyDescent="0.25">
      <c r="A17" s="38" t="s">
        <v>24</v>
      </c>
      <c r="B17" s="49"/>
      <c r="C17" s="49"/>
      <c r="D17" s="49"/>
      <c r="E17" s="49"/>
      <c r="F17" s="49"/>
      <c r="G17" s="49"/>
      <c r="H17" s="49"/>
      <c r="I17" s="49"/>
      <c r="J17" s="49"/>
      <c r="K17" s="49"/>
      <c r="L17" s="26">
        <v>63533</v>
      </c>
      <c r="M17" s="27">
        <v>44103</v>
      </c>
      <c r="N17" s="28">
        <v>63533</v>
      </c>
      <c r="O17" s="27">
        <v>76548</v>
      </c>
      <c r="P17" s="27">
        <v>73380</v>
      </c>
      <c r="Q17" s="27">
        <v>69354</v>
      </c>
      <c r="R17" s="27">
        <v>73380</v>
      </c>
      <c r="S17" s="34">
        <v>49658</v>
      </c>
      <c r="T17" s="36" t="s">
        <v>40</v>
      </c>
    </row>
    <row r="18" spans="1:20" ht="30" x14ac:dyDescent="0.25">
      <c r="A18" s="38" t="s">
        <v>25</v>
      </c>
      <c r="B18" s="49"/>
      <c r="C18" s="49"/>
      <c r="D18" s="49"/>
      <c r="E18" s="49"/>
      <c r="F18" s="49"/>
      <c r="G18" s="49"/>
      <c r="H18" s="49"/>
      <c r="I18" s="49"/>
      <c r="J18" s="49"/>
      <c r="K18" s="49"/>
      <c r="L18" s="26">
        <v>23498</v>
      </c>
      <c r="M18" s="27">
        <v>10734</v>
      </c>
      <c r="N18" s="27">
        <v>23498</v>
      </c>
      <c r="O18" s="27">
        <v>13068</v>
      </c>
      <c r="P18" s="27">
        <v>27140</v>
      </c>
      <c r="Q18" s="27">
        <v>22759</v>
      </c>
      <c r="R18" s="27">
        <v>27140</v>
      </c>
      <c r="S18" s="34">
        <v>31270</v>
      </c>
      <c r="T18" s="36" t="s">
        <v>40</v>
      </c>
    </row>
    <row r="19" spans="1:20" x14ac:dyDescent="0.25">
      <c r="A19" s="72" t="s">
        <v>21</v>
      </c>
      <c r="B19" s="67">
        <v>32.04</v>
      </c>
      <c r="C19" s="67">
        <v>19.260000000000002</v>
      </c>
      <c r="D19" s="67">
        <v>27.47</v>
      </c>
      <c r="E19" s="67">
        <v>24.06</v>
      </c>
      <c r="F19" s="67">
        <v>24.43</v>
      </c>
      <c r="G19" s="67">
        <v>17.96</v>
      </c>
      <c r="H19" s="67">
        <v>21.54</v>
      </c>
      <c r="I19" s="67">
        <v>18.649999999999999</v>
      </c>
      <c r="J19" s="67">
        <v>19.45</v>
      </c>
      <c r="K19" s="67">
        <v>16.09</v>
      </c>
      <c r="L19" s="70">
        <v>20.64</v>
      </c>
      <c r="M19" s="70">
        <v>15.65</v>
      </c>
      <c r="N19" s="70">
        <v>21.81</v>
      </c>
      <c r="O19" s="70">
        <v>6.96</v>
      </c>
      <c r="P19" s="70">
        <v>21.81</v>
      </c>
      <c r="Q19" s="70">
        <v>23.5</v>
      </c>
      <c r="R19" s="70">
        <v>16.28</v>
      </c>
      <c r="S19" s="80">
        <v>15.74</v>
      </c>
      <c r="T19" s="74" t="s">
        <v>27</v>
      </c>
    </row>
    <row r="20" spans="1:20" x14ac:dyDescent="0.25">
      <c r="A20" s="73"/>
      <c r="B20" s="68"/>
      <c r="C20" s="68"/>
      <c r="D20" s="68"/>
      <c r="E20" s="68"/>
      <c r="F20" s="68"/>
      <c r="G20" s="68"/>
      <c r="H20" s="68"/>
      <c r="I20" s="68"/>
      <c r="J20" s="68"/>
      <c r="K20" s="68"/>
      <c r="L20" s="71"/>
      <c r="M20" s="71"/>
      <c r="N20" s="71"/>
      <c r="O20" s="71"/>
      <c r="P20" s="71"/>
      <c r="Q20" s="71"/>
      <c r="R20" s="71"/>
      <c r="S20" s="81"/>
      <c r="T20" s="75"/>
    </row>
    <row r="21" spans="1:20" x14ac:dyDescent="0.25">
      <c r="A21" s="67" t="s">
        <v>26</v>
      </c>
      <c r="B21" s="62">
        <v>20352</v>
      </c>
      <c r="C21" s="24">
        <v>10660</v>
      </c>
      <c r="D21" s="62">
        <v>24709</v>
      </c>
      <c r="E21" s="24">
        <v>7312</v>
      </c>
      <c r="F21" s="62">
        <v>27596</v>
      </c>
      <c r="G21" s="24">
        <v>10651</v>
      </c>
      <c r="H21" s="62">
        <v>28310</v>
      </c>
      <c r="I21" s="24">
        <v>8663</v>
      </c>
      <c r="J21" s="62">
        <v>23617</v>
      </c>
      <c r="K21" s="24">
        <v>12097</v>
      </c>
      <c r="L21" s="78">
        <v>23045</v>
      </c>
      <c r="M21" s="24">
        <v>8735</v>
      </c>
      <c r="N21" s="79">
        <v>22635</v>
      </c>
      <c r="O21" s="24">
        <v>6878</v>
      </c>
      <c r="P21" s="79">
        <v>12914</v>
      </c>
      <c r="Q21" s="24">
        <v>8642.7729041739622</v>
      </c>
      <c r="R21" s="79">
        <v>14126</v>
      </c>
      <c r="S21" s="24">
        <v>5790.3715833114102</v>
      </c>
      <c r="T21" s="76" t="s">
        <v>41</v>
      </c>
    </row>
    <row r="22" spans="1:20" x14ac:dyDescent="0.25">
      <c r="A22" s="71"/>
      <c r="B22" s="63"/>
      <c r="C22" s="16">
        <v>45</v>
      </c>
      <c r="D22" s="69"/>
      <c r="E22" s="16">
        <v>67</v>
      </c>
      <c r="F22" s="69"/>
      <c r="G22" s="16">
        <v>108</v>
      </c>
      <c r="H22" s="69"/>
      <c r="I22" s="16">
        <v>44</v>
      </c>
      <c r="J22" s="69"/>
      <c r="K22" s="16">
        <v>141</v>
      </c>
      <c r="L22" s="71"/>
      <c r="M22" s="16">
        <v>130</v>
      </c>
      <c r="N22" s="71"/>
      <c r="O22" s="16">
        <v>35</v>
      </c>
      <c r="P22" s="71"/>
      <c r="Q22" s="16">
        <v>53</v>
      </c>
      <c r="R22" s="71"/>
      <c r="S22" s="16">
        <v>120</v>
      </c>
      <c r="T22" s="77"/>
    </row>
    <row r="23" spans="1:20" ht="120" x14ac:dyDescent="0.25">
      <c r="A23" s="12" t="s">
        <v>3</v>
      </c>
      <c r="B23" s="57"/>
      <c r="C23" s="57"/>
      <c r="D23" s="57"/>
      <c r="E23" s="57"/>
      <c r="F23" s="57"/>
      <c r="G23" s="57"/>
      <c r="H23" s="57"/>
      <c r="I23" s="57"/>
      <c r="J23" s="57"/>
      <c r="K23" s="13">
        <v>612876</v>
      </c>
      <c r="L23" s="12">
        <v>2.86</v>
      </c>
      <c r="M23" s="13">
        <v>17033</v>
      </c>
      <c r="N23" s="12">
        <v>2.86</v>
      </c>
      <c r="O23" s="13">
        <v>151306</v>
      </c>
      <c r="P23" s="12">
        <v>2.86</v>
      </c>
      <c r="Q23" s="13">
        <v>134984</v>
      </c>
      <c r="R23" s="12">
        <v>4.99</v>
      </c>
      <c r="S23" s="13">
        <v>206503</v>
      </c>
      <c r="T23" s="39" t="s">
        <v>8</v>
      </c>
    </row>
    <row r="24" spans="1:20" ht="90" x14ac:dyDescent="0.25">
      <c r="A24" s="38" t="s">
        <v>9</v>
      </c>
      <c r="B24" s="49"/>
      <c r="C24" s="49"/>
      <c r="D24" s="49"/>
      <c r="E24" s="49"/>
      <c r="F24" s="49"/>
      <c r="G24" s="49"/>
      <c r="H24" s="49"/>
      <c r="I24" s="49"/>
      <c r="J24" s="49"/>
      <c r="K24" s="19">
        <v>319820</v>
      </c>
      <c r="L24" s="20"/>
      <c r="M24" s="19">
        <v>284236</v>
      </c>
      <c r="N24" s="20"/>
      <c r="O24" s="19">
        <v>233068</v>
      </c>
      <c r="P24" s="20"/>
      <c r="Q24" s="19">
        <v>255172</v>
      </c>
      <c r="R24" s="20"/>
      <c r="S24" s="19">
        <v>224895</v>
      </c>
      <c r="T24" s="36" t="s">
        <v>10</v>
      </c>
    </row>
    <row r="25" spans="1:20" x14ac:dyDescent="0.25">
      <c r="B25" s="22"/>
      <c r="C25" s="22"/>
      <c r="D25" s="22"/>
      <c r="E25" s="22"/>
      <c r="F25" s="22"/>
      <c r="G25" s="22"/>
      <c r="H25" s="22"/>
      <c r="I25" s="22"/>
      <c r="J25" s="22"/>
      <c r="K25" s="22"/>
      <c r="L25" s="3"/>
      <c r="M25" s="3"/>
      <c r="N25" s="3"/>
      <c r="O25" s="3"/>
      <c r="P25" s="3"/>
      <c r="Q25" s="3"/>
      <c r="R25" s="3"/>
      <c r="S25" s="3"/>
      <c r="T25" s="2"/>
    </row>
    <row r="26" spans="1:20" x14ac:dyDescent="0.25">
      <c r="B26" s="23"/>
    </row>
    <row r="29" spans="1:20" x14ac:dyDescent="0.25">
      <c r="B29" s="43"/>
    </row>
    <row r="35" spans="6:11" x14ac:dyDescent="0.25">
      <c r="F35" s="64"/>
      <c r="G35" s="64"/>
      <c r="H35" s="64"/>
      <c r="I35" s="64"/>
      <c r="J35" s="66"/>
      <c r="K35" s="64"/>
    </row>
    <row r="36" spans="6:11" x14ac:dyDescent="0.25">
      <c r="F36" s="65"/>
      <c r="G36" s="65"/>
      <c r="H36" s="65"/>
      <c r="I36" s="65"/>
      <c r="J36" s="65"/>
      <c r="K36" s="65"/>
    </row>
  </sheetData>
  <mergeCells count="55">
    <mergeCell ref="T19:T20"/>
    <mergeCell ref="T21:T22"/>
    <mergeCell ref="L21:L22"/>
    <mergeCell ref="N21:N22"/>
    <mergeCell ref="P21:P22"/>
    <mergeCell ref="R21:R22"/>
    <mergeCell ref="S19:S20"/>
    <mergeCell ref="A19:A20"/>
    <mergeCell ref="F21:F22"/>
    <mergeCell ref="D21:D22"/>
    <mergeCell ref="B21:B22"/>
    <mergeCell ref="A21:A22"/>
    <mergeCell ref="B19:B20"/>
    <mergeCell ref="C19:C20"/>
    <mergeCell ref="D19:D20"/>
    <mergeCell ref="E19:E20"/>
    <mergeCell ref="K35:K36"/>
    <mergeCell ref="L11:L12"/>
    <mergeCell ref="N11:N12"/>
    <mergeCell ref="P11:P12"/>
    <mergeCell ref="R11:R12"/>
    <mergeCell ref="K19:K20"/>
    <mergeCell ref="L19:L20"/>
    <mergeCell ref="M19:M20"/>
    <mergeCell ref="N19:N20"/>
    <mergeCell ref="O19:O20"/>
    <mergeCell ref="P19:P20"/>
    <mergeCell ref="Q19:Q20"/>
    <mergeCell ref="R19:R20"/>
    <mergeCell ref="J11:J12"/>
    <mergeCell ref="F35:F36"/>
    <mergeCell ref="G35:G36"/>
    <mergeCell ref="H35:H36"/>
    <mergeCell ref="I35:I36"/>
    <mergeCell ref="J35:J36"/>
    <mergeCell ref="F19:F20"/>
    <mergeCell ref="G19:G20"/>
    <mergeCell ref="H19:H20"/>
    <mergeCell ref="I19:I20"/>
    <mergeCell ref="J19:J20"/>
    <mergeCell ref="H21:H22"/>
    <mergeCell ref="J21:J22"/>
    <mergeCell ref="H11:H12"/>
    <mergeCell ref="B1:C1"/>
    <mergeCell ref="D1:E1"/>
    <mergeCell ref="F1:G1"/>
    <mergeCell ref="B11:B12"/>
    <mergeCell ref="D11:D12"/>
    <mergeCell ref="F11:F12"/>
    <mergeCell ref="L1:M1"/>
    <mergeCell ref="N1:O1"/>
    <mergeCell ref="P1:Q1"/>
    <mergeCell ref="R1:S1"/>
    <mergeCell ref="H1:I1"/>
    <mergeCell ref="J1:K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0FF0983EB3C041AF1AEA4B1776CF3D" ma:contentTypeVersion="16" ma:contentTypeDescription="Create a new document." ma:contentTypeScope="" ma:versionID="3b99f1acdc924d307447945f04692928">
  <xsd:schema xmlns:xsd="http://www.w3.org/2001/XMLSchema" xmlns:xs="http://www.w3.org/2001/XMLSchema" xmlns:p="http://schemas.microsoft.com/office/2006/metadata/properties" xmlns:ns2="0828a74d-2a10-4f39-8652-5d70f27fbd04" xmlns:ns3="52a5111d-dddf-4872-8e35-e0441c780081" targetNamespace="http://schemas.microsoft.com/office/2006/metadata/properties" ma:root="true" ma:fieldsID="055eb0b08e289eec5424e56bac43b2d5" ns2:_="" ns3:_="">
    <xsd:import namespace="0828a74d-2a10-4f39-8652-5d70f27fbd04"/>
    <xsd:import namespace="52a5111d-dddf-4872-8e35-e0441c780081"/>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8a74d-2a10-4f39-8652-5d70f27fbd0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2a5111d-dddf-4872-8e35-e0441c780081"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771772-8CA4-410F-9049-719280100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8a74d-2a10-4f39-8652-5d70f27fbd04"/>
    <ds:schemaRef ds:uri="52a5111d-dddf-4872-8e35-e0441c7800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D4F6EF-82E5-49BC-AA19-CDCD9BB9760B}">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2a5111d-dddf-4872-8e35-e0441c780081"/>
    <ds:schemaRef ds:uri="http://purl.org/dc/elements/1.1/"/>
    <ds:schemaRef ds:uri="0828a74d-2a10-4f39-8652-5d70f27fbd04"/>
    <ds:schemaRef ds:uri="http://www.w3.org/XML/1998/namespace"/>
  </ds:schemaRefs>
</ds:datastoreItem>
</file>

<file path=customXml/itemProps3.xml><?xml version="1.0" encoding="utf-8"?>
<ds:datastoreItem xmlns:ds="http://schemas.openxmlformats.org/officeDocument/2006/customXml" ds:itemID="{6D9A4291-A5FA-41C6-97E5-6A144A24C6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MAFMC ABC_ACL_catch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Muffley, Brandon</dc:creator>
  <cp:lastModifiedBy>Kimberly Bastille</cp:lastModifiedBy>
  <dcterms:created xsi:type="dcterms:W3CDTF">2021-11-15T14:46:27Z</dcterms:created>
  <dcterms:modified xsi:type="dcterms:W3CDTF">2021-12-08T16:19:01Z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0x010100CE0FF0983EB3C041AF1AEA4B1776CF3D</vt:lpwstr>
  </property>
</Properties>
</file>