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imberly.bastille\Desktop\Rgghhh\ecodata\data-raw\"/>
    </mc:Choice>
  </mc:AlternateContent>
  <bookViews>
    <workbookView xWindow="0" yWindow="0" windowWidth="28800" windowHeight="12300"/>
  </bookViews>
  <sheets>
    <sheet name="MAFMC ABC_ACL_catch"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3" i="1" l="1"/>
  <c r="R23" i="1"/>
  <c r="Q23" i="1"/>
  <c r="P23" i="1"/>
  <c r="O23" i="1"/>
  <c r="N23" i="1"/>
  <c r="M23" i="1"/>
  <c r="L23" i="1"/>
  <c r="K23" i="1"/>
  <c r="Q21" i="1"/>
  <c r="S21" i="1"/>
  <c r="O21" i="1"/>
  <c r="M21" i="1"/>
  <c r="K21" i="1"/>
  <c r="I21" i="1"/>
  <c r="G21" i="1"/>
  <c r="E21" i="1"/>
  <c r="C21" i="1"/>
  <c r="S11" i="1"/>
  <c r="Q11" i="1"/>
  <c r="O11" i="1"/>
  <c r="M11" i="1"/>
  <c r="K11" i="1"/>
  <c r="I11" i="1"/>
  <c r="G11" i="1"/>
  <c r="E11" i="1"/>
  <c r="C11" i="1"/>
  <c r="S18" i="1"/>
  <c r="R18" i="1"/>
  <c r="Q18" i="1"/>
  <c r="P18" i="1"/>
  <c r="O18" i="1"/>
  <c r="N18" i="1"/>
  <c r="M18" i="1"/>
  <c r="L18" i="1"/>
  <c r="S17" i="1"/>
  <c r="R17" i="1"/>
  <c r="Q17" i="1"/>
  <c r="P17" i="1"/>
  <c r="O17" i="1"/>
  <c r="N17" i="1"/>
  <c r="M17" i="1"/>
  <c r="L17" i="1"/>
  <c r="S16" i="1"/>
  <c r="R16" i="1"/>
  <c r="Q16" i="1"/>
  <c r="P16" i="1"/>
  <c r="O16" i="1"/>
  <c r="N16" i="1"/>
  <c r="M16" i="1"/>
  <c r="L16" i="1"/>
  <c r="K16" i="1"/>
  <c r="J16" i="1"/>
  <c r="I16" i="1"/>
  <c r="H16" i="1"/>
  <c r="G16" i="1"/>
  <c r="F16" i="1"/>
  <c r="E16" i="1"/>
  <c r="D16" i="1"/>
  <c r="C16" i="1"/>
  <c r="B16" i="1"/>
  <c r="R10" i="1"/>
  <c r="Q10" i="1"/>
  <c r="P10" i="1"/>
  <c r="O10" i="1"/>
  <c r="N10" i="1"/>
  <c r="M10" i="1"/>
  <c r="L10" i="1"/>
  <c r="K10" i="1"/>
  <c r="J10" i="1"/>
  <c r="I10" i="1"/>
  <c r="H10" i="1"/>
  <c r="G10" i="1"/>
  <c r="F10" i="1"/>
  <c r="E10" i="1"/>
  <c r="D10" i="1"/>
  <c r="C10" i="1"/>
  <c r="B10" i="1"/>
  <c r="Q9" i="1"/>
  <c r="R9" i="1"/>
  <c r="P9" i="1"/>
  <c r="O9" i="1"/>
  <c r="N9" i="1"/>
  <c r="M9" i="1"/>
  <c r="L9" i="1"/>
  <c r="K9" i="1"/>
  <c r="J9" i="1"/>
  <c r="I9" i="1"/>
  <c r="H9" i="1"/>
  <c r="F9" i="1"/>
  <c r="E9" i="1"/>
  <c r="D9" i="1"/>
  <c r="C9" i="1"/>
  <c r="B9" i="1"/>
  <c r="R8" i="1"/>
  <c r="Q8" i="1"/>
  <c r="P8" i="1"/>
  <c r="O8" i="1"/>
  <c r="N8" i="1"/>
  <c r="M8" i="1"/>
  <c r="L8" i="1"/>
  <c r="K8" i="1"/>
  <c r="J8" i="1"/>
  <c r="I8" i="1"/>
  <c r="H8" i="1"/>
  <c r="F8" i="1"/>
  <c r="E8" i="1"/>
  <c r="D8" i="1"/>
  <c r="C8" i="1"/>
  <c r="B8" i="1"/>
  <c r="R7" i="1"/>
  <c r="Q7" i="1"/>
  <c r="P7" i="1"/>
  <c r="O7" i="1"/>
  <c r="N7" i="1"/>
  <c r="M7" i="1"/>
  <c r="L7" i="1"/>
  <c r="K7" i="1"/>
  <c r="J7" i="1"/>
  <c r="I7" i="1"/>
  <c r="H7" i="1"/>
  <c r="G9" i="1"/>
  <c r="G8" i="1"/>
  <c r="G7" i="1"/>
  <c r="F7" i="1"/>
  <c r="E7" i="1"/>
  <c r="D7" i="1"/>
  <c r="C7" i="1"/>
  <c r="B7" i="1"/>
  <c r="R6" i="1"/>
  <c r="Q6" i="1"/>
  <c r="P6" i="1"/>
  <c r="O6" i="1"/>
  <c r="N6" i="1"/>
  <c r="M6" i="1"/>
  <c r="L6" i="1"/>
  <c r="K6" i="1"/>
  <c r="J6" i="1"/>
  <c r="I6" i="1"/>
  <c r="H6" i="1"/>
  <c r="G6" i="1"/>
  <c r="F6" i="1"/>
  <c r="E6" i="1"/>
  <c r="D6" i="1"/>
  <c r="C6" i="1"/>
  <c r="B6" i="1"/>
  <c r="R5" i="1"/>
  <c r="Q5" i="1"/>
  <c r="P5" i="1"/>
  <c r="O5" i="1"/>
  <c r="N5" i="1"/>
  <c r="M5" i="1"/>
  <c r="L5" i="1"/>
  <c r="K5" i="1"/>
  <c r="J5" i="1"/>
  <c r="I5" i="1"/>
  <c r="H5" i="1"/>
  <c r="G5" i="1"/>
  <c r="F5" i="1"/>
  <c r="E5" i="1"/>
  <c r="D5" i="1"/>
  <c r="C5" i="1"/>
  <c r="B5" i="1"/>
  <c r="S3" i="1"/>
  <c r="S4" i="1"/>
  <c r="S13" i="1"/>
  <c r="S14" i="1"/>
  <c r="M14" i="1"/>
  <c r="O14" i="1"/>
  <c r="Q14" i="1"/>
  <c r="Q3" i="1"/>
  <c r="O3" i="1"/>
  <c r="M3" i="1"/>
  <c r="K3" i="1"/>
  <c r="I3" i="1"/>
  <c r="Q4" i="1"/>
  <c r="O4" i="1"/>
  <c r="M4" i="1"/>
  <c r="G4" i="1"/>
  <c r="C3" i="1"/>
  <c r="E3" i="1"/>
  <c r="G3" i="1"/>
  <c r="C4" i="1"/>
  <c r="E4" i="1"/>
  <c r="I4" i="1"/>
  <c r="K4" i="1"/>
</calcChain>
</file>

<file path=xl/sharedStrings.xml><?xml version="1.0" encoding="utf-8"?>
<sst xmlns="http://schemas.openxmlformats.org/spreadsheetml/2006/main" count="65" uniqueCount="57">
  <si>
    <t>Notes</t>
  </si>
  <si>
    <t>Species/Sector</t>
  </si>
  <si>
    <t>-</t>
  </si>
  <si>
    <t>Ecosystem Component forage species</t>
  </si>
  <si>
    <t>Values are in mil lb and are for commercial landings only. No official estimates of dead discards in weight. As of 2017, there is a commercial possession limit, but no ABC/ACL/TAL. Because of how landings are reported, can't guarantee that all landings here are only of EC speceis (e.g., these values include "herring (NK)").</t>
  </si>
  <si>
    <t>Summer Flounder Recreational</t>
  </si>
  <si>
    <t>Summer Flounder Commercial</t>
  </si>
  <si>
    <t>Scup Recreational</t>
  </si>
  <si>
    <t>Scup Commercial</t>
  </si>
  <si>
    <t>Black Sea Bass Recreational</t>
  </si>
  <si>
    <t>Black Sea Bass Commercial</t>
  </si>
  <si>
    <t>Butterfish</t>
  </si>
  <si>
    <t>Bluefish</t>
  </si>
  <si>
    <t>Surfclam</t>
  </si>
  <si>
    <t>Blueline Tilefish Recreational</t>
  </si>
  <si>
    <t>Blueline Tilefish Commercial</t>
  </si>
  <si>
    <t>Golden Tilefish</t>
  </si>
  <si>
    <t>Value in MT; 2020 includes ballparked discards</t>
  </si>
  <si>
    <t>Value in MT; uses Ballpark 200  MT discards for 2020</t>
  </si>
  <si>
    <t>Value in MT</t>
  </si>
  <si>
    <t xml:space="preserve">Converted values to MT; Recreational catch for 2012-2018 is in old MRIP currency due to limits set using assessments utilizing prior time series. Catch for 2019 is based on revised MRIP methodology. Catch for 2020 not available due to lack of dead discard data. </t>
  </si>
  <si>
    <t>Updated 2020 data; values in MT; catch is EEZland + MaineFisheryland, plus an additional 5% for incidental mortality applied to total landings</t>
  </si>
  <si>
    <t>Updated 2020 data; values in MT; catch is all landings, plus 12% incidental mortality applied to total landings</t>
  </si>
  <si>
    <t xml:space="preserve">Converted values to MT;Catch data for 2020 not available due to lack of dead discard data. </t>
  </si>
  <si>
    <t>Don’t need to include EC species for SOE report</t>
  </si>
  <si>
    <t xml:space="preserve">Converted values to MT; Catch for 2020 not available due to lack of dead discard data. </t>
  </si>
  <si>
    <t>Converted values to MT; Updated catch for some years; All catch data in old MRIP units. Should be in new MRIP units for 2020, but 2020 dead catch data not yet available due to discard estimates.</t>
  </si>
  <si>
    <t>Converted values to MT; ABC is metric included in table and 1.995 mil lbs = TAL; for GTF catch, assummed average discards sm/lg mesh OT and gillnet gear = 17,405 pounds for 2016-2020</t>
  </si>
  <si>
    <t>Converted values to MT; MAFMC did not begin management until 2017</t>
  </si>
  <si>
    <t>Value in MT; ABC not seperated and added commercial and recreational catch here; expected Canadian catch deducted from ABC; 2020 com prelim assumes 2019 discards</t>
  </si>
  <si>
    <t>Values in MT; ABC not seperated by sector and added commercial and recreational catch here; Fishing year starts May 1 but discards estimated calendar year. These catch numbers are calendar year.</t>
  </si>
  <si>
    <t>Values in MT; Total (comm and rec) ABC and total (comm and rec) catch</t>
  </si>
  <si>
    <t xml:space="preserve">Converted values to MT; Values under "catch" are actually landings becuase we don't have official estimates of dead discards in weight in either sector. Values are for com and rec combined. Replaced by ACL through MSB Amend. 21 in Sept 2020 (applies to com and rec catch). Value shown for 2020 is ACL.  ACL = ABC - expected SC-FL catch. </t>
  </si>
  <si>
    <t>Spiny Dogfish</t>
  </si>
  <si>
    <t>Chub Mackerel</t>
  </si>
  <si>
    <t>Illex Squid</t>
  </si>
  <si>
    <t>Longfin Squid</t>
  </si>
  <si>
    <t>Atlantic Mackerel</t>
  </si>
  <si>
    <t>Ocean Quahog</t>
  </si>
  <si>
    <t>ABC or ACL 2012</t>
  </si>
  <si>
    <t>Catch 2012</t>
  </si>
  <si>
    <t>ABC or ACL 2013</t>
  </si>
  <si>
    <t>Catch 2013</t>
  </si>
  <si>
    <t>ABC or ACL 2014</t>
  </si>
  <si>
    <t>Catch 2014</t>
  </si>
  <si>
    <t>ABC or ACL 2015</t>
  </si>
  <si>
    <t>Catch 2015</t>
  </si>
  <si>
    <t>ABC or ACL 2016</t>
  </si>
  <si>
    <t xml:space="preserve">Catch 2016 </t>
  </si>
  <si>
    <t>ABC or ACL 2017</t>
  </si>
  <si>
    <t>Catch 2017</t>
  </si>
  <si>
    <t>ABC or ACL 2018</t>
  </si>
  <si>
    <t>Catch 2018</t>
  </si>
  <si>
    <t>ABC or ACL 2019</t>
  </si>
  <si>
    <t>Catch 2019</t>
  </si>
  <si>
    <t>ABC or ACL 2020</t>
  </si>
  <si>
    <t>Catch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</si>
</sst>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sz val="10"/>
      <color theme="1"/>
      <name val="Calibri"/>
      <family val="2"/>
      <scheme val="minor"/>
    </font>
    <font>
      <sz val="11"/>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diagonal/>
    </border>
    <border>
      <left style="thin">
        <color indexed="64"/>
      </left>
      <right style="thin">
        <color indexed="64"/>
      </right>
      <top style="double">
        <color indexed="64"/>
      </top>
      <bottom style="thin">
        <color indexed="64"/>
      </bottom>
      <diagonal/>
    </border>
  </borders>
  <cellStyleXfs count="1">
    <xf numFmtId="0" fontId="0" fillId="0" borderId="0"/>
  </cellStyleXfs>
  <cellXfs count="83">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horizontal="center"/>
    </xf>
    <xf numFmtId="3" fontId="0" fillId="0" borderId="0" xfId="0" applyNumberFormat="1" applyAlignment="1">
      <alignment horizontal="center"/>
    </xf>
    <xf numFmtId="3" fontId="0" fillId="0" borderId="1" xfId="0" applyNumberForma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3" fontId="0" fillId="0" borderId="4" xfId="0" applyNumberFormat="1" applyFill="1" applyBorder="1" applyAlignment="1">
      <alignment horizontal="center"/>
    </xf>
    <xf numFmtId="0" fontId="0" fillId="0" borderId="4" xfId="0" applyFill="1" applyBorder="1" applyAlignment="1">
      <alignment horizontal="center"/>
    </xf>
    <xf numFmtId="0" fontId="0" fillId="0" borderId="4" xfId="0" applyFill="1" applyBorder="1" applyAlignment="1">
      <alignment horizontal="center" vertical="center"/>
    </xf>
    <xf numFmtId="3" fontId="0" fillId="0" borderId="8" xfId="0" applyNumberFormat="1" applyFill="1" applyBorder="1" applyAlignment="1">
      <alignment horizontal="center"/>
    </xf>
    <xf numFmtId="3" fontId="0" fillId="0" borderId="4" xfId="0" applyNumberFormat="1" applyBorder="1" applyAlignment="1">
      <alignment horizontal="center"/>
    </xf>
    <xf numFmtId="0" fontId="0" fillId="0" borderId="4" xfId="0" applyBorder="1" applyAlignment="1">
      <alignment horizontal="center"/>
    </xf>
    <xf numFmtId="3" fontId="0" fillId="0" borderId="3" xfId="0" applyNumberFormat="1" applyFill="1" applyBorder="1" applyAlignment="1">
      <alignment horizontal="center"/>
    </xf>
    <xf numFmtId="0" fontId="0" fillId="0" borderId="0" xfId="0" applyBorder="1" applyAlignment="1">
      <alignment horizontal="center"/>
    </xf>
    <xf numFmtId="0" fontId="0" fillId="0" borderId="0" xfId="0" applyFill="1"/>
    <xf numFmtId="3" fontId="0" fillId="0" borderId="11" xfId="0" applyNumberFormat="1" applyBorder="1" applyAlignment="1">
      <alignment horizontal="center"/>
    </xf>
    <xf numFmtId="0" fontId="0" fillId="0" borderId="11" xfId="0" applyFill="1" applyBorder="1" applyAlignment="1">
      <alignment horizontal="center" vertical="center"/>
    </xf>
    <xf numFmtId="0" fontId="0" fillId="0" borderId="4" xfId="0" applyBorder="1" applyAlignment="1">
      <alignment wrapText="1"/>
    </xf>
    <xf numFmtId="0" fontId="0" fillId="0" borderId="9" xfId="0" applyBorder="1" applyAlignment="1">
      <alignment horizontal="center" vertical="center"/>
    </xf>
    <xf numFmtId="0" fontId="0" fillId="0" borderId="4" xfId="0" applyBorder="1" applyAlignment="1">
      <alignment horizontal="center" wrapText="1"/>
    </xf>
    <xf numFmtId="0" fontId="0" fillId="0" borderId="4" xfId="0" applyFill="1" applyBorder="1" applyAlignment="1">
      <alignment wrapText="1"/>
    </xf>
    <xf numFmtId="0" fontId="0" fillId="0" borderId="3" xfId="0" applyFill="1" applyBorder="1" applyAlignment="1">
      <alignment wrapText="1"/>
    </xf>
    <xf numFmtId="0" fontId="3" fillId="0" borderId="6" xfId="0" applyFont="1" applyFill="1" applyBorder="1" applyAlignment="1">
      <alignment wrapText="1"/>
    </xf>
    <xf numFmtId="0" fontId="0" fillId="0" borderId="4" xfId="0" applyBorder="1" applyAlignment="1">
      <alignment horizontal="center" vertical="center"/>
    </xf>
    <xf numFmtId="0" fontId="0" fillId="2" borderId="0" xfId="0" applyFill="1"/>
    <xf numFmtId="3" fontId="0" fillId="0" borderId="16" xfId="0" applyNumberFormat="1" applyBorder="1" applyAlignment="1">
      <alignment horizontal="center"/>
    </xf>
    <xf numFmtId="0" fontId="0" fillId="0" borderId="4" xfId="0" applyBorder="1" applyAlignment="1">
      <alignment horizontal="center" vertical="center" wrapText="1"/>
    </xf>
    <xf numFmtId="0" fontId="0" fillId="0" borderId="4" xfId="0" applyBorder="1" applyAlignment="1">
      <alignment vertical="center" wrapText="1"/>
    </xf>
    <xf numFmtId="0" fontId="0" fillId="3" borderId="4" xfId="0" applyFill="1" applyBorder="1" applyAlignment="1">
      <alignment horizontal="center"/>
    </xf>
    <xf numFmtId="0" fontId="0" fillId="0" borderId="0" xfId="0" applyAlignment="1">
      <alignment vertical="center"/>
    </xf>
    <xf numFmtId="3" fontId="1" fillId="0" borderId="10" xfId="0" applyNumberFormat="1" applyFont="1" applyFill="1" applyBorder="1" applyAlignment="1">
      <alignment horizontal="center" vertical="top" wrapText="1"/>
    </xf>
    <xf numFmtId="3" fontId="1" fillId="0" borderId="10" xfId="0" applyNumberFormat="1" applyFont="1" applyBorder="1" applyAlignment="1">
      <alignment horizontal="center" vertical="top" wrapText="1"/>
    </xf>
    <xf numFmtId="3" fontId="1" fillId="0" borderId="4" xfId="0" applyNumberFormat="1" applyFont="1" applyBorder="1" applyAlignment="1">
      <alignment horizontal="center" vertical="top" wrapText="1"/>
    </xf>
    <xf numFmtId="3" fontId="0" fillId="0" borderId="4" xfId="0" applyNumberFormat="1" applyBorder="1" applyAlignment="1">
      <alignment horizontal="center" wrapText="1"/>
    </xf>
    <xf numFmtId="3" fontId="1" fillId="0" borderId="12" xfId="0" applyNumberFormat="1" applyFont="1" applyBorder="1" applyAlignment="1">
      <alignment horizontal="center" vertical="top" wrapText="1"/>
    </xf>
    <xf numFmtId="3" fontId="1" fillId="0" borderId="15" xfId="0" applyNumberFormat="1" applyFont="1" applyBorder="1" applyAlignment="1">
      <alignment horizontal="center" vertical="top" wrapText="1"/>
    </xf>
    <xf numFmtId="0" fontId="0" fillId="3" borderId="4" xfId="0" applyFill="1" applyBorder="1" applyAlignment="1">
      <alignment horizontal="center" vertical="center"/>
    </xf>
    <xf numFmtId="164" fontId="0" fillId="0" borderId="4" xfId="0" applyNumberFormat="1" applyBorder="1" applyAlignment="1">
      <alignment horizontal="center" vertical="center"/>
    </xf>
    <xf numFmtId="164" fontId="0" fillId="0" borderId="4" xfId="0" applyNumberFormat="1" applyFill="1" applyBorder="1" applyAlignment="1">
      <alignment horizontal="center" vertical="center"/>
    </xf>
    <xf numFmtId="164" fontId="0" fillId="0" borderId="8" xfId="0" applyNumberFormat="1" applyFill="1" applyBorder="1" applyAlignment="1">
      <alignment horizontal="center" vertical="center"/>
    </xf>
    <xf numFmtId="0" fontId="0" fillId="0" borderId="0" xfId="0" applyFill="1" applyBorder="1" applyAlignment="1">
      <alignment horizontal="center" vertical="center"/>
    </xf>
    <xf numFmtId="3" fontId="0" fillId="0" borderId="0" xfId="0" applyNumberFormat="1" applyFill="1" applyBorder="1" applyAlignment="1">
      <alignment horizontal="center" vertical="center"/>
    </xf>
    <xf numFmtId="0" fontId="0" fillId="0" borderId="0" xfId="0" applyFill="1" applyBorder="1" applyAlignment="1">
      <alignment wrapText="1"/>
    </xf>
    <xf numFmtId="0" fontId="0" fillId="0" borderId="0" xfId="0" applyFill="1" applyBorder="1"/>
    <xf numFmtId="0" fontId="4" fillId="0" borderId="0" xfId="0" applyFont="1" applyFill="1" applyBorder="1" applyAlignment="1">
      <alignment horizontal="left" vertical="center"/>
    </xf>
    <xf numFmtId="164" fontId="0" fillId="0" borderId="0" xfId="0" applyNumberFormat="1" applyAlignment="1">
      <alignment horizontal="center" vertical="center"/>
    </xf>
    <xf numFmtId="164" fontId="0" fillId="0" borderId="1" xfId="0" applyNumberFormat="1" applyFill="1" applyBorder="1" applyAlignment="1">
      <alignment horizontal="center" vertical="center"/>
    </xf>
    <xf numFmtId="164" fontId="0" fillId="0" borderId="4" xfId="0" applyNumberFormat="1" applyBorder="1" applyAlignment="1">
      <alignment horizontal="center"/>
    </xf>
    <xf numFmtId="164" fontId="0" fillId="0" borderId="8" xfId="0" applyNumberFormat="1" applyFill="1" applyBorder="1" applyAlignment="1">
      <alignment horizontal="center"/>
    </xf>
    <xf numFmtId="164" fontId="0" fillId="0" borderId="4" xfId="0" applyNumberFormat="1" applyFill="1" applyBorder="1" applyAlignment="1">
      <alignment horizontal="center"/>
    </xf>
    <xf numFmtId="164" fontId="0" fillId="0" borderId="8" xfId="0" applyNumberFormat="1" applyBorder="1" applyAlignment="1">
      <alignment horizontal="center"/>
    </xf>
    <xf numFmtId="164" fontId="0" fillId="0" borderId="11" xfId="0" applyNumberFormat="1" applyBorder="1" applyAlignment="1">
      <alignment horizontal="center"/>
    </xf>
    <xf numFmtId="164" fontId="2" fillId="0" borderId="8" xfId="0" applyNumberFormat="1" applyFont="1" applyBorder="1" applyAlignment="1">
      <alignment horizontal="center"/>
    </xf>
    <xf numFmtId="164" fontId="2" fillId="0" borderId="4" xfId="0" applyNumberFormat="1" applyFont="1" applyBorder="1" applyAlignment="1">
      <alignment horizontal="center"/>
    </xf>
    <xf numFmtId="164" fontId="2" fillId="0" borderId="0" xfId="0" applyNumberFormat="1" applyFont="1" applyAlignment="1">
      <alignment horizontal="center"/>
    </xf>
    <xf numFmtId="164" fontId="2" fillId="0" borderId="11" xfId="0" applyNumberFormat="1" applyFont="1" applyBorder="1" applyAlignment="1">
      <alignment horizontal="center"/>
    </xf>
    <xf numFmtId="3" fontId="0" fillId="0" borderId="9" xfId="0" quotePrefix="1" applyNumberFormat="1" applyFill="1" applyBorder="1" applyAlignment="1">
      <alignment horizontal="center" vertical="center"/>
    </xf>
    <xf numFmtId="0" fontId="0" fillId="0" borderId="3" xfId="0" applyBorder="1" applyAlignment="1">
      <alignment horizontal="center" vertical="center"/>
    </xf>
    <xf numFmtId="0" fontId="0" fillId="0" borderId="9" xfId="0" applyBorder="1" applyAlignment="1">
      <alignment wrapText="1"/>
    </xf>
    <xf numFmtId="0" fontId="0" fillId="0" borderId="3" xfId="0" applyBorder="1" applyAlignment="1">
      <alignment wrapText="1"/>
    </xf>
    <xf numFmtId="3" fontId="0" fillId="0" borderId="9" xfId="0" applyNumberFormat="1" applyBorder="1" applyAlignment="1">
      <alignment horizontal="center" vertical="center"/>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3" fontId="0" fillId="0" borderId="3" xfId="0" quotePrefix="1" applyNumberFormat="1" applyFill="1" applyBorder="1" applyAlignment="1">
      <alignment horizontal="center" vertical="center"/>
    </xf>
    <xf numFmtId="3" fontId="0" fillId="2" borderId="4" xfId="0" quotePrefix="1" applyNumberFormat="1" applyFill="1" applyBorder="1" applyAlignment="1">
      <alignment horizontal="center" vertical="center"/>
    </xf>
    <xf numFmtId="0" fontId="0" fillId="2" borderId="4" xfId="0" applyFill="1" applyBorder="1" applyAlignment="1">
      <alignment horizontal="center" vertical="center"/>
    </xf>
    <xf numFmtId="0" fontId="0" fillId="2" borderId="4" xfId="0" quotePrefix="1" applyFill="1" applyBorder="1" applyAlignment="1">
      <alignment horizontal="center" vertical="center"/>
    </xf>
    <xf numFmtId="0" fontId="0" fillId="0" borderId="9" xfId="0" applyFill="1" applyBorder="1" applyAlignment="1">
      <alignment horizontal="center" vertical="center"/>
    </xf>
    <xf numFmtId="0" fontId="0" fillId="0" borderId="3" xfId="0" applyFill="1" applyBorder="1" applyAlignment="1">
      <alignment horizontal="center" vertical="center"/>
    </xf>
    <xf numFmtId="0" fontId="0" fillId="0" borderId="3" xfId="0" quotePrefix="1" applyFill="1" applyBorder="1" applyAlignment="1">
      <alignment horizontal="center" vertical="center"/>
    </xf>
    <xf numFmtId="0" fontId="0" fillId="0" borderId="9" xfId="0" applyBorder="1" applyAlignment="1">
      <alignment horizontal="center" vertical="center"/>
    </xf>
    <xf numFmtId="0" fontId="0" fillId="2" borderId="9" xfId="0" applyFill="1" applyBorder="1" applyAlignment="1">
      <alignment wrapText="1"/>
    </xf>
    <xf numFmtId="0" fontId="0" fillId="2" borderId="3" xfId="0" applyFill="1" applyBorder="1" applyAlignment="1">
      <alignment wrapText="1"/>
    </xf>
    <xf numFmtId="3" fontId="0" fillId="0" borderId="9" xfId="0" applyNumberForma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tabSelected="1" zoomScale="84" zoomScaleNormal="84" workbookViewId="0">
      <pane xSplit="1" topLeftCell="E1" activePane="topRight" state="frozen"/>
      <selection pane="topRight" activeCell="K5" sqref="K5"/>
    </sheetView>
  </sheetViews>
  <sheetFormatPr defaultRowHeight="15" x14ac:dyDescent="0.25"/>
  <cols>
    <col min="1" max="1" width="18.28515625" bestFit="1" customWidth="1"/>
    <col min="2" max="2" width="14" customWidth="1"/>
    <col min="3" max="3" width="12" bestFit="1" customWidth="1"/>
    <col min="4" max="4" width="13.28515625" bestFit="1" customWidth="1"/>
    <col min="5" max="5" width="12" bestFit="1" customWidth="1"/>
    <col min="6" max="6" width="13.28515625" bestFit="1" customWidth="1"/>
    <col min="7" max="7" width="12" bestFit="1" customWidth="1"/>
    <col min="8" max="8" width="13.28515625" bestFit="1" customWidth="1"/>
    <col min="9" max="9" width="12" bestFit="1" customWidth="1"/>
    <col min="10" max="10" width="13.5703125" bestFit="1" customWidth="1"/>
    <col min="11" max="11" width="12" bestFit="1" customWidth="1"/>
    <col min="12" max="19" width="12" customWidth="1"/>
    <col min="20" max="20" width="94.140625" style="1" customWidth="1"/>
  </cols>
  <sheetData>
    <row r="1" spans="1:20" x14ac:dyDescent="0.25">
      <c r="A1" s="3"/>
      <c r="B1" s="66">
        <v>2012</v>
      </c>
      <c r="C1" s="69"/>
      <c r="D1" s="66">
        <v>2013</v>
      </c>
      <c r="E1" s="67"/>
      <c r="F1" s="66">
        <v>2014</v>
      </c>
      <c r="G1" s="67"/>
      <c r="H1" s="66">
        <v>2015</v>
      </c>
      <c r="I1" s="67"/>
      <c r="J1" s="66">
        <v>2016</v>
      </c>
      <c r="K1" s="67"/>
      <c r="L1" s="66">
        <v>2017</v>
      </c>
      <c r="M1" s="67"/>
      <c r="N1" s="66">
        <v>2018</v>
      </c>
      <c r="O1" s="68"/>
      <c r="P1" s="66">
        <v>2019</v>
      </c>
      <c r="Q1" s="68"/>
      <c r="R1" s="66">
        <v>2020</v>
      </c>
      <c r="S1" s="69"/>
      <c r="T1" s="2"/>
    </row>
    <row r="2" spans="1:20" ht="15.75" thickBot="1" x14ac:dyDescent="0.3">
      <c r="A2" s="6" t="s">
        <v>1</v>
      </c>
      <c r="B2" s="7" t="s">
        <v>39</v>
      </c>
      <c r="C2" s="8" t="s">
        <v>40</v>
      </c>
      <c r="D2" s="7" t="s">
        <v>41</v>
      </c>
      <c r="E2" s="6" t="s">
        <v>42</v>
      </c>
      <c r="F2" s="7" t="s">
        <v>43</v>
      </c>
      <c r="G2" s="6" t="s">
        <v>44</v>
      </c>
      <c r="H2" s="7" t="s">
        <v>45</v>
      </c>
      <c r="I2" s="6" t="s">
        <v>46</v>
      </c>
      <c r="J2" s="7" t="s">
        <v>47</v>
      </c>
      <c r="K2" s="6" t="s">
        <v>48</v>
      </c>
      <c r="L2" s="7" t="s">
        <v>49</v>
      </c>
      <c r="M2" s="6" t="s">
        <v>50</v>
      </c>
      <c r="N2" s="7" t="s">
        <v>51</v>
      </c>
      <c r="O2" s="6" t="s">
        <v>52</v>
      </c>
      <c r="P2" s="7" t="s">
        <v>53</v>
      </c>
      <c r="Q2" s="6" t="s">
        <v>54</v>
      </c>
      <c r="R2" s="7" t="s">
        <v>55</v>
      </c>
      <c r="S2" s="6" t="s">
        <v>56</v>
      </c>
      <c r="T2" s="25" t="s">
        <v>0</v>
      </c>
    </row>
    <row r="3" spans="1:20" ht="30.75" thickTop="1" x14ac:dyDescent="0.25">
      <c r="A3" s="3" t="s">
        <v>38</v>
      </c>
      <c r="B3" s="5">
        <v>26100</v>
      </c>
      <c r="C3" s="28">
        <f>(15864+226)+(15864+226)*0.05</f>
        <v>16894.5</v>
      </c>
      <c r="D3" s="5">
        <v>26100</v>
      </c>
      <c r="E3" s="28">
        <f>(14721+176)+(14721+176)*0.05</f>
        <v>15641.85</v>
      </c>
      <c r="F3" s="5">
        <v>26100</v>
      </c>
      <c r="G3" s="28">
        <f>(14498+137)+(14498+137)*0.05</f>
        <v>15366.75</v>
      </c>
      <c r="H3" s="5">
        <v>26100</v>
      </c>
      <c r="I3" s="28">
        <f>(13709+125)+(13709+125)*0.05</f>
        <v>14525.7</v>
      </c>
      <c r="J3" s="5">
        <v>26100</v>
      </c>
      <c r="K3" s="28">
        <f>(13965+111)+(13965+111)*0.05</f>
        <v>14779.8</v>
      </c>
      <c r="L3" s="5">
        <v>26100</v>
      </c>
      <c r="M3" s="28">
        <f>(14386+103)+(14386+103)*0.05</f>
        <v>15213.45</v>
      </c>
      <c r="N3" s="15">
        <v>44695</v>
      </c>
      <c r="O3" s="4">
        <f>(14587+89)+(14587+89)*0.05</f>
        <v>15409.8</v>
      </c>
      <c r="P3" s="15">
        <v>46146</v>
      </c>
      <c r="Q3" s="4">
        <f>(11178+70)+(11178+70)*0.05</f>
        <v>11810.4</v>
      </c>
      <c r="R3" s="15">
        <v>44031</v>
      </c>
      <c r="S3" s="4">
        <f>(9101+17)+(9101+17)*0.05</f>
        <v>9573.9</v>
      </c>
      <c r="T3" s="24" t="s">
        <v>21</v>
      </c>
    </row>
    <row r="4" spans="1:20" ht="42" customHeight="1" x14ac:dyDescent="0.25">
      <c r="A4" s="14" t="s">
        <v>13</v>
      </c>
      <c r="B4" s="13">
        <v>96600</v>
      </c>
      <c r="C4" s="13">
        <f>18054+(18054)*0.12</f>
        <v>20220.48</v>
      </c>
      <c r="D4" s="13">
        <v>96600</v>
      </c>
      <c r="E4" s="13">
        <f>18551+(18551)*0.12</f>
        <v>20777.12</v>
      </c>
      <c r="F4" s="13">
        <v>60313</v>
      </c>
      <c r="G4" s="13">
        <f>18227+(18227)*0.12</f>
        <v>20414.239999999998</v>
      </c>
      <c r="H4" s="13">
        <v>51804</v>
      </c>
      <c r="I4" s="13">
        <f>18154+(18154)*0.12</f>
        <v>20332.48</v>
      </c>
      <c r="J4" s="13">
        <v>48197</v>
      </c>
      <c r="K4" s="13">
        <f>18039+(18039)*0.12</f>
        <v>20203.68</v>
      </c>
      <c r="L4" s="12">
        <v>44469</v>
      </c>
      <c r="M4" s="13">
        <f>16902+(16902)*0.12</f>
        <v>18930.240000000002</v>
      </c>
      <c r="N4" s="9">
        <v>29363</v>
      </c>
      <c r="O4" s="13">
        <f>16269+(16269)*0.12</f>
        <v>18221.28</v>
      </c>
      <c r="P4" s="9">
        <v>56419</v>
      </c>
      <c r="Q4" s="13">
        <f>14986+(14986)*0.12</f>
        <v>16784.32</v>
      </c>
      <c r="R4" s="9">
        <v>56289</v>
      </c>
      <c r="S4" s="18">
        <f>12034+(12034)*0.12</f>
        <v>13478.08</v>
      </c>
      <c r="T4" s="23" t="s">
        <v>22</v>
      </c>
    </row>
    <row r="5" spans="1:20" ht="62.45" customHeight="1" x14ac:dyDescent="0.25">
      <c r="A5" s="29" t="s">
        <v>5</v>
      </c>
      <c r="B5" s="40">
        <f>(11.58*1000000)*0.000453592</f>
        <v>5252.5953600000003</v>
      </c>
      <c r="C5" s="40">
        <f>(8.16*1000000)*0.000453592</f>
        <v>3701.3107199999999</v>
      </c>
      <c r="D5" s="40">
        <f>(10.23*1000000)*0.000453592</f>
        <v>4640.2461599999997</v>
      </c>
      <c r="E5" s="40">
        <f>(8.6*1000000)*0.000453592</f>
        <v>3900.8912</v>
      </c>
      <c r="F5" s="40">
        <f>(9.07*1000000)*0.000453592</f>
        <v>4114.0794400000004</v>
      </c>
      <c r="G5" s="41">
        <f>(9.48*1000000)*0.000453592</f>
        <v>4300.0521600000002</v>
      </c>
      <c r="H5" s="40">
        <f>(9.44*1000000)*0.000453592</f>
        <v>4281.9084800000001</v>
      </c>
      <c r="I5" s="40">
        <f>(6.11*1000000)*0.000453592</f>
        <v>2771.4471199999998</v>
      </c>
      <c r="J5" s="40">
        <f>(6.83*1000000)*0.000453592</f>
        <v>3098.0333599999999</v>
      </c>
      <c r="K5" s="41">
        <f>(7.66*1000000)*0.000453592</f>
        <v>3474.5147200000001</v>
      </c>
      <c r="L5" s="42">
        <f>(4.72*1000000)*0.000453592</f>
        <v>2140.95424</v>
      </c>
      <c r="M5" s="41">
        <f>(4.16*1000000)*0.000453592</f>
        <v>1886.94272</v>
      </c>
      <c r="N5" s="41">
        <f>(5.53*1000000)*0.000453592</f>
        <v>2508.3637600000002</v>
      </c>
      <c r="O5" s="41">
        <f>(4.32*1000000)*0.000453592</f>
        <v>1959.5174400000001</v>
      </c>
      <c r="P5" s="41">
        <f>(11.51*1000000)*0.000453592</f>
        <v>5220.8439200000003</v>
      </c>
      <c r="Q5" s="41">
        <f>(10.84*1000000)*0.000453592</f>
        <v>4916.9372800000001</v>
      </c>
      <c r="R5" s="41">
        <f>(11.51*1000000)*0.000453592</f>
        <v>5220.8439200000003</v>
      </c>
      <c r="S5" s="19" t="s">
        <v>2</v>
      </c>
      <c r="T5" s="30" t="s">
        <v>20</v>
      </c>
    </row>
    <row r="6" spans="1:20" ht="33" customHeight="1" x14ac:dyDescent="0.25">
      <c r="A6" s="29" t="s">
        <v>6</v>
      </c>
      <c r="B6" s="40">
        <f>(14*1000000)*0.000453592</f>
        <v>6350.2880000000005</v>
      </c>
      <c r="C6" s="41">
        <f>((13.03+1.58)*100000)*0.00453592</f>
        <v>6626.97912</v>
      </c>
      <c r="D6" s="41">
        <f>(12.1*1000000)*0.000453592</f>
        <v>5488.4632000000001</v>
      </c>
      <c r="E6" s="41">
        <f>((14.49+1.57)*1000000)*0.000453592</f>
        <v>7284.6875199999995</v>
      </c>
      <c r="F6" s="41">
        <f>(12.9*1000000)*0.000453592</f>
        <v>5851.3368</v>
      </c>
      <c r="G6" s="41">
        <f>((11.07+1.73)*1000000)*0.000453592</f>
        <v>5805.9776000000002</v>
      </c>
      <c r="H6" s="41">
        <f>(13.3*1000000)*0.000453592</f>
        <v>6032.7736000000004</v>
      </c>
      <c r="I6" s="41">
        <f>((10.68+1.48)*1000000)*0.000453592</f>
        <v>5515.6787199999999</v>
      </c>
      <c r="J6" s="41">
        <f>(9.4*1000000)*0.000453592</f>
        <v>4263.7647999999999</v>
      </c>
      <c r="K6" s="41">
        <f>((7.81+1.63)*1000000)*0.000453592</f>
        <v>4281.9084800000001</v>
      </c>
      <c r="L6" s="42">
        <f>(6.57*1000000)*0.000453592</f>
        <v>2980.09944</v>
      </c>
      <c r="M6" s="41">
        <f>(7.83*1000000)*0.000453592</f>
        <v>3551.62536</v>
      </c>
      <c r="N6" s="41">
        <f>(7.7*1000000)*0.000453592</f>
        <v>3492.6583999999998</v>
      </c>
      <c r="O6" s="41">
        <f>(8.3*1000000)*0.000453592</f>
        <v>3764.8136000000004</v>
      </c>
      <c r="P6" s="41">
        <f>(13.53*1000000)*0.000453592</f>
        <v>6137.0997600000001</v>
      </c>
      <c r="Q6" s="41">
        <f>(10.79*1000000)*0.000453592</f>
        <v>4894.2576799999997</v>
      </c>
      <c r="R6" s="41">
        <f>(13.53*1000000)*0.000453592</f>
        <v>6137.0997600000001</v>
      </c>
      <c r="S6" s="19" t="s">
        <v>2</v>
      </c>
      <c r="T6" s="20" t="s">
        <v>23</v>
      </c>
    </row>
    <row r="7" spans="1:20" ht="46.5" customHeight="1" x14ac:dyDescent="0.25">
      <c r="A7" s="26" t="s">
        <v>7</v>
      </c>
      <c r="B7" s="40">
        <f>(8.99*1000000)*0.000453592</f>
        <v>4077.7920800000002</v>
      </c>
      <c r="C7" s="40">
        <f>(4.41*1000000)*0.000453592</f>
        <v>2000.3407199999999</v>
      </c>
      <c r="D7" s="40">
        <f>(8.52*1000000)*0.000453592</f>
        <v>3864.6038400000002</v>
      </c>
      <c r="E7" s="40">
        <f>(5.95*1000000)*0.000453592</f>
        <v>2698.8724000000002</v>
      </c>
      <c r="F7" s="40">
        <f>(7.92*1000000)*0.000453592</f>
        <v>3592.4486400000001</v>
      </c>
      <c r="G7" s="40">
        <f>(5.18*1000000)*0.000453592</f>
        <v>2349.6065600000002</v>
      </c>
      <c r="H7" s="40">
        <f>(7.43*1000000)*0.000453592</f>
        <v>3370.1885600000001</v>
      </c>
      <c r="I7" s="40">
        <f>(5.56*1000000)*0.000453592</f>
        <v>2521.9715200000001</v>
      </c>
      <c r="J7" s="40">
        <f>(6.84*1000000)*0.000453592</f>
        <v>3102.5692800000002</v>
      </c>
      <c r="K7" s="40">
        <f>(5.04*1000000)*0.000453592</f>
        <v>2286.1036800000002</v>
      </c>
      <c r="L7" s="42">
        <f>(6.25*1000000)*0.000453592</f>
        <v>2834.95</v>
      </c>
      <c r="M7" s="48">
        <f>(6.23*1000000)*0.000453592</f>
        <v>2825.8781600000002</v>
      </c>
      <c r="N7" s="41">
        <f>(8.61*1000000)*0.000453592</f>
        <v>3905.4271199999998</v>
      </c>
      <c r="O7" s="41">
        <f>(6.21*1000000)*0.000453592</f>
        <v>2816.8063200000001</v>
      </c>
      <c r="P7" s="49">
        <f>(8.01*1000000)*0.000453592</f>
        <v>3633.2719200000001</v>
      </c>
      <c r="Q7" s="41">
        <f>(6.64*1000000)*0.000453592</f>
        <v>3011.85088</v>
      </c>
      <c r="R7" s="49">
        <f>(7.87*1000000)*0.000453592</f>
        <v>3569.7690400000001</v>
      </c>
      <c r="S7" s="19" t="s">
        <v>2</v>
      </c>
      <c r="T7" s="20" t="s">
        <v>20</v>
      </c>
    </row>
    <row r="8" spans="1:20" ht="18.75" customHeight="1" x14ac:dyDescent="0.25">
      <c r="A8" s="14" t="s">
        <v>8</v>
      </c>
      <c r="B8" s="50">
        <f>(31.89*1000000)*0.000453592</f>
        <v>14465.04888</v>
      </c>
      <c r="C8" s="50">
        <f>((14.88+2.21)*1000000)*0.000453592</f>
        <v>7751.8872799999999</v>
      </c>
      <c r="D8" s="50">
        <f>(30.19*1000000)*0.000453592</f>
        <v>13693.94248</v>
      </c>
      <c r="E8" s="50">
        <f>((17.87+2.87)*1000000)*0.000453592</f>
        <v>9407.4980800000012</v>
      </c>
      <c r="F8" s="50">
        <f>(28.07*1000000)*0.000453592</f>
        <v>12732.327440000001</v>
      </c>
      <c r="G8" s="50">
        <f>((15.96+2.21)*1000000)*0.000453592</f>
        <v>8241.7666399999998</v>
      </c>
      <c r="H8" s="50">
        <f>(26.35*1000000)*0.000453592</f>
        <v>11952.1492</v>
      </c>
      <c r="I8" s="50">
        <f>((17.03+3.97)*1000000)*0.000453592</f>
        <v>9525.4320000000007</v>
      </c>
      <c r="J8" s="50">
        <f>(24.26*1000000)*0.000453592</f>
        <v>11004.14192</v>
      </c>
      <c r="K8" s="50">
        <f>((15.76+6.11)*1000000)*0.000453592</f>
        <v>9920.0570399999997</v>
      </c>
      <c r="L8" s="51">
        <f>(22.15*1000000)*0.000453592</f>
        <v>10047.0628</v>
      </c>
      <c r="M8" s="52">
        <f>(25.88*1000000)*0.000453592</f>
        <v>11738.96096</v>
      </c>
      <c r="N8" s="52">
        <f>(30.53*1000000)*0.000453592</f>
        <v>13848.163759999999</v>
      </c>
      <c r="O8" s="52">
        <f>(20.63*1000000)*0.000453592</f>
        <v>9357.6029600000002</v>
      </c>
      <c r="P8" s="52">
        <f>(28.42*1000000)*0.000453592</f>
        <v>12891.084640000001</v>
      </c>
      <c r="Q8" s="52">
        <f>(19.03*1000000)*0.000453592</f>
        <v>8631.8557600000004</v>
      </c>
      <c r="R8" s="52">
        <f>(27.9*1000000)*0.000453592</f>
        <v>12655.2168</v>
      </c>
      <c r="S8" s="19" t="s">
        <v>2</v>
      </c>
      <c r="T8" s="20" t="s">
        <v>25</v>
      </c>
    </row>
    <row r="9" spans="1:20" s="32" customFormat="1" ht="30" x14ac:dyDescent="0.25">
      <c r="A9" s="29" t="s">
        <v>9</v>
      </c>
      <c r="B9" s="40">
        <f>(2.52*1000000)*0.000453592</f>
        <v>1143.0518400000001</v>
      </c>
      <c r="C9" s="41">
        <f>(4.04*1000000)*0.000453592</f>
        <v>1832.5116800000001</v>
      </c>
      <c r="D9" s="41">
        <f>(2.9*1000000)*0.000453592</f>
        <v>1315.4168</v>
      </c>
      <c r="E9" s="41">
        <f>(3.13*1000000)*0.000453592</f>
        <v>1419.74296</v>
      </c>
      <c r="F9" s="41">
        <f>(2.9*1000000)*0.000453592</f>
        <v>1315.4168</v>
      </c>
      <c r="G9" s="41">
        <f>(4.69*1000000)*0.000453592</f>
        <v>2127.3464800000002</v>
      </c>
      <c r="H9" s="41">
        <f>(2.9*1000000)*0.000453592</f>
        <v>1315.4168</v>
      </c>
      <c r="I9" s="41">
        <f>(4.93*1000000)*0.000453592</f>
        <v>2236.20856</v>
      </c>
      <c r="J9" s="40">
        <f>(3.52*1000000)*0.000453592</f>
        <v>1596.64384</v>
      </c>
      <c r="K9" s="41">
        <f>(8.64*1000000)*0.000453592</f>
        <v>3919.0348800000002</v>
      </c>
      <c r="L9" s="42">
        <f>(5.38*1000000)*0.000453592</f>
        <v>2440.3249599999999</v>
      </c>
      <c r="M9" s="41">
        <f>(5.43*1000000)*0.000453592</f>
        <v>2463.0045599999999</v>
      </c>
      <c r="N9" s="41">
        <f>(4.59*1000000)*0.000453592</f>
        <v>2081.9872799999998</v>
      </c>
      <c r="O9" s="41">
        <f>(4.92*1000000)*0.000453592</f>
        <v>2231.6726400000002</v>
      </c>
      <c r="P9" s="41">
        <f>(4.59*1000000)*0.000453592</f>
        <v>2081.9872799999998</v>
      </c>
      <c r="Q9" s="41">
        <f>(3.96*1000000)*0.000453592</f>
        <v>1796.22432</v>
      </c>
      <c r="R9" s="41">
        <f>(8.09*1000000)*0.000453592</f>
        <v>3669.5592799999999</v>
      </c>
      <c r="S9" s="19" t="s">
        <v>2</v>
      </c>
      <c r="T9" s="30" t="s">
        <v>26</v>
      </c>
    </row>
    <row r="10" spans="1:20" s="32" customFormat="1" ht="30" x14ac:dyDescent="0.25">
      <c r="A10" s="29" t="s">
        <v>10</v>
      </c>
      <c r="B10" s="40">
        <f>(1.98*1000000)*0.000453592</f>
        <v>898.11216000000002</v>
      </c>
      <c r="C10" s="41">
        <f>((1.72+0.23)*1000000)*0.000453592</f>
        <v>884.50440000000003</v>
      </c>
      <c r="D10" s="41">
        <f>(2.6*1000000)*0.000453592</f>
        <v>1179.3392000000001</v>
      </c>
      <c r="E10" s="41">
        <f>((2.26+0.47)*1000000)*0.000453592</f>
        <v>1238.3061599999999</v>
      </c>
      <c r="F10" s="41">
        <f>(2.6*1000000)*0.000453592</f>
        <v>1179.3392000000001</v>
      </c>
      <c r="G10" s="41">
        <f>((2.18+0.92)*1000000)*0.000453592</f>
        <v>1406.1351999999999</v>
      </c>
      <c r="H10" s="41">
        <f>(2.6*1000000)*0.000453592</f>
        <v>1179.3392000000001</v>
      </c>
      <c r="I10" s="41">
        <f>((2.29+0.74)*1000000)*0.000453592</f>
        <v>1374.3837600000002</v>
      </c>
      <c r="J10" s="40">
        <f>(3.15*1000000)*0.000453592</f>
        <v>1428.8148000000001</v>
      </c>
      <c r="K10" s="41">
        <f>(4.26*1000000)*0.000453592</f>
        <v>1932.3019200000001</v>
      </c>
      <c r="L10" s="42">
        <f>(5.09*1000000)*0.000453592</f>
        <v>2308.7832800000001</v>
      </c>
      <c r="M10" s="41">
        <f>(6.27*1000000)*0.000453592</f>
        <v>2844.0218399999999</v>
      </c>
      <c r="N10" s="41">
        <f>(4.35*1000000)*0.000453592</f>
        <v>1973.1251999999999</v>
      </c>
      <c r="O10" s="41">
        <f>(5.05*1000000)*0.000453592</f>
        <v>2290.6396</v>
      </c>
      <c r="P10" s="41">
        <f>(4.35*1000000)*0.000453592</f>
        <v>1973.1251999999999</v>
      </c>
      <c r="Q10" s="41">
        <f>(5.79*1000000)*0.000453592</f>
        <v>2626.2976800000001</v>
      </c>
      <c r="R10" s="41">
        <f>(6.98*1000000)*0.000453592</f>
        <v>3166.0721600000002</v>
      </c>
      <c r="S10" s="19" t="s">
        <v>2</v>
      </c>
      <c r="T10" s="30" t="s">
        <v>25</v>
      </c>
    </row>
    <row r="11" spans="1:20" x14ac:dyDescent="0.25">
      <c r="A11" s="64" t="s">
        <v>37</v>
      </c>
      <c r="B11" s="59">
        <v>80000</v>
      </c>
      <c r="C11" s="63">
        <f>2670+5366</f>
        <v>8036</v>
      </c>
      <c r="D11" s="59">
        <v>80000</v>
      </c>
      <c r="E11" s="63">
        <f>2406+4392</f>
        <v>6798</v>
      </c>
      <c r="F11" s="59">
        <v>80000</v>
      </c>
      <c r="G11" s="63">
        <f>2296+5956</f>
        <v>8252</v>
      </c>
      <c r="H11" s="59">
        <v>40165</v>
      </c>
      <c r="I11" s="63">
        <f>4274+5629</f>
        <v>9903</v>
      </c>
      <c r="J11" s="59">
        <v>19898</v>
      </c>
      <c r="K11" s="59">
        <f>4569+5705</f>
        <v>10274</v>
      </c>
      <c r="L11" s="59">
        <v>19898</v>
      </c>
      <c r="M11" s="59">
        <f>4161+7058</f>
        <v>11219</v>
      </c>
      <c r="N11" s="59">
        <v>19898</v>
      </c>
      <c r="O11" s="59">
        <f>2394+8894</f>
        <v>11288</v>
      </c>
      <c r="P11" s="59">
        <v>29184</v>
      </c>
      <c r="Q11" s="59">
        <f>2117+5579</f>
        <v>7696</v>
      </c>
      <c r="R11" s="59">
        <v>29184</v>
      </c>
      <c r="S11" s="59">
        <f>2041+8219</f>
        <v>10260</v>
      </c>
      <c r="T11" s="61" t="s">
        <v>29</v>
      </c>
    </row>
    <row r="12" spans="1:20" x14ac:dyDescent="0.25">
      <c r="A12" s="65"/>
      <c r="B12" s="70"/>
      <c r="C12" s="60"/>
      <c r="D12" s="70"/>
      <c r="E12" s="60"/>
      <c r="F12" s="70"/>
      <c r="G12" s="60"/>
      <c r="H12" s="70"/>
      <c r="I12" s="60"/>
      <c r="J12" s="70"/>
      <c r="K12" s="60"/>
      <c r="L12" s="70"/>
      <c r="M12" s="60"/>
      <c r="N12" s="70"/>
      <c r="O12" s="60"/>
      <c r="P12" s="70"/>
      <c r="Q12" s="60"/>
      <c r="R12" s="70"/>
      <c r="S12" s="60"/>
      <c r="T12" s="62"/>
    </row>
    <row r="13" spans="1:20" x14ac:dyDescent="0.25">
      <c r="A13" s="14" t="s">
        <v>11</v>
      </c>
      <c r="B13" s="9">
        <v>4200</v>
      </c>
      <c r="C13" s="9">
        <v>1634</v>
      </c>
      <c r="D13" s="9">
        <v>8400</v>
      </c>
      <c r="E13" s="9">
        <v>1525</v>
      </c>
      <c r="F13" s="9">
        <v>9100</v>
      </c>
      <c r="G13" s="9">
        <v>4182</v>
      </c>
      <c r="H13" s="9">
        <v>33278</v>
      </c>
      <c r="I13" s="9">
        <v>2930</v>
      </c>
      <c r="J13" s="9">
        <v>31412</v>
      </c>
      <c r="K13" s="9">
        <v>2714</v>
      </c>
      <c r="L13" s="9">
        <v>30922</v>
      </c>
      <c r="M13" s="9">
        <v>4621</v>
      </c>
      <c r="N13" s="9">
        <v>17801</v>
      </c>
      <c r="O13" s="9">
        <v>3053</v>
      </c>
      <c r="P13" s="36">
        <v>27108</v>
      </c>
      <c r="Q13" s="9">
        <v>5082</v>
      </c>
      <c r="R13" s="36">
        <v>32063</v>
      </c>
      <c r="S13" s="37">
        <f>2367+1300</f>
        <v>3667</v>
      </c>
      <c r="T13" s="20" t="s">
        <v>17</v>
      </c>
    </row>
    <row r="14" spans="1:20" s="17" customFormat="1" x14ac:dyDescent="0.25">
      <c r="A14" s="10" t="s">
        <v>36</v>
      </c>
      <c r="B14" s="9">
        <v>23400</v>
      </c>
      <c r="C14" s="9">
        <v>13187</v>
      </c>
      <c r="D14" s="9">
        <v>23400</v>
      </c>
      <c r="E14" s="9">
        <v>11336</v>
      </c>
      <c r="F14" s="9">
        <v>23400</v>
      </c>
      <c r="G14" s="9">
        <v>12278</v>
      </c>
      <c r="H14" s="9">
        <v>23400</v>
      </c>
      <c r="I14" s="9">
        <v>12050</v>
      </c>
      <c r="J14" s="9">
        <v>23400</v>
      </c>
      <c r="K14" s="9">
        <v>18680</v>
      </c>
      <c r="L14" s="9">
        <v>23400</v>
      </c>
      <c r="M14" s="9">
        <f>8187.93+131</f>
        <v>8318.93</v>
      </c>
      <c r="N14" s="9">
        <v>23400</v>
      </c>
      <c r="O14" s="34">
        <f>11632.17+134</f>
        <v>11766.17</v>
      </c>
      <c r="P14" s="9">
        <v>23400</v>
      </c>
      <c r="Q14" s="9">
        <f>12458.42+314</f>
        <v>12772.42</v>
      </c>
      <c r="R14" s="9">
        <v>23400</v>
      </c>
      <c r="S14" s="38">
        <f>9392.05+200</f>
        <v>9592.0499999999993</v>
      </c>
      <c r="T14" s="23" t="s">
        <v>18</v>
      </c>
    </row>
    <row r="15" spans="1:20" x14ac:dyDescent="0.25">
      <c r="A15" s="14" t="s">
        <v>35</v>
      </c>
      <c r="B15" s="9">
        <v>24000</v>
      </c>
      <c r="C15" s="9">
        <v>11709</v>
      </c>
      <c r="D15" s="9">
        <v>24000</v>
      </c>
      <c r="E15" s="9">
        <v>3792</v>
      </c>
      <c r="F15" s="9">
        <v>24000</v>
      </c>
      <c r="G15" s="9">
        <v>8767</v>
      </c>
      <c r="H15" s="9">
        <v>24000</v>
      </c>
      <c r="I15" s="9">
        <v>2422</v>
      </c>
      <c r="J15" s="9">
        <v>24000</v>
      </c>
      <c r="K15" s="33">
        <v>6681.96</v>
      </c>
      <c r="L15" s="9">
        <v>24000</v>
      </c>
      <c r="M15" s="33">
        <v>22516.37</v>
      </c>
      <c r="N15" s="9">
        <v>24000</v>
      </c>
      <c r="O15" s="34">
        <v>24110.1</v>
      </c>
      <c r="P15" s="9">
        <v>26000</v>
      </c>
      <c r="Q15" s="34">
        <v>27163.5</v>
      </c>
      <c r="R15" s="9">
        <v>30000</v>
      </c>
      <c r="S15" s="35">
        <v>28135.15</v>
      </c>
      <c r="T15" s="20" t="s">
        <v>19</v>
      </c>
    </row>
    <row r="16" spans="1:20" ht="30" x14ac:dyDescent="0.25">
      <c r="A16" s="21" t="s">
        <v>16</v>
      </c>
      <c r="B16" s="50">
        <f>(1.995*1000000)*0.000453592</f>
        <v>904.91603999999995</v>
      </c>
      <c r="C16" s="52">
        <f>(1.873*1000000)*0.000453592</f>
        <v>849.57781599999998</v>
      </c>
      <c r="D16" s="52">
        <f>(2.013*1000000)*0.000453592</f>
        <v>913.08069599999999</v>
      </c>
      <c r="E16" s="52">
        <f>(1.84*1000000)*0.000453592</f>
        <v>834.60928000000001</v>
      </c>
      <c r="F16" s="52">
        <f>(2.013*1000000)*0.000453592</f>
        <v>913.08069599999999</v>
      </c>
      <c r="G16" s="52">
        <f>(1.826*1000000)*0.000453592</f>
        <v>828.25899200000003</v>
      </c>
      <c r="H16" s="52">
        <f>(1.766*1000000)*0.000453592</f>
        <v>801.04347199999995</v>
      </c>
      <c r="I16" s="52">
        <f>(1.351*1000000)*0.000453592</f>
        <v>612.80279199999995</v>
      </c>
      <c r="J16" s="52">
        <f>(1.898*1000000)*0.000453592</f>
        <v>860.91761599999995</v>
      </c>
      <c r="K16" s="52">
        <f>(1.051*1000000)*0.000453592</f>
        <v>476.72519199999999</v>
      </c>
      <c r="L16" s="53">
        <f>(1.898*1000000)*0.000453592</f>
        <v>860.91761599999995</v>
      </c>
      <c r="M16" s="50">
        <f>(1.501*1000000)*0.000453592</f>
        <v>680.84159199999999</v>
      </c>
      <c r="N16" s="50">
        <f>(1.636*1000000)*0.000453592</f>
        <v>742.07651199999998</v>
      </c>
      <c r="O16" s="50">
        <f>(1.624*1000000)*0.000453592</f>
        <v>736.63340800000003</v>
      </c>
      <c r="P16" s="50">
        <f>(1.636*1000000)*0.000453592</f>
        <v>742.07651199999998</v>
      </c>
      <c r="Q16" s="50">
        <f>(1.563*1000000)*0.000453592</f>
        <v>708.96429599999999</v>
      </c>
      <c r="R16" s="50">
        <f>(1.636*1000000)*0.000453592</f>
        <v>742.07651199999998</v>
      </c>
      <c r="S16" s="54">
        <f>(1.403*1000000)*0.000453592</f>
        <v>636.38957600000003</v>
      </c>
      <c r="T16" s="20" t="s">
        <v>27</v>
      </c>
    </row>
    <row r="17" spans="1:21" ht="30" x14ac:dyDescent="0.25">
      <c r="A17" s="22" t="s">
        <v>14</v>
      </c>
      <c r="B17" s="31"/>
      <c r="C17" s="31"/>
      <c r="D17" s="31"/>
      <c r="E17" s="31"/>
      <c r="F17" s="31"/>
      <c r="G17" s="31"/>
      <c r="H17" s="31"/>
      <c r="I17" s="31"/>
      <c r="J17" s="31"/>
      <c r="K17" s="31"/>
      <c r="L17" s="55">
        <f>63533*0.000453592</f>
        <v>28.818060536000001</v>
      </c>
      <c r="M17" s="56">
        <f>44103*0.000453592</f>
        <v>20.004767976</v>
      </c>
      <c r="N17" s="57">
        <f>63533*0.000453592</f>
        <v>28.818060536000001</v>
      </c>
      <c r="O17" s="56">
        <f>76548*0.000453592</f>
        <v>34.721560416000003</v>
      </c>
      <c r="P17" s="56">
        <f>73380*0.000453592</f>
        <v>33.28458096</v>
      </c>
      <c r="Q17" s="56">
        <f>69354*0.000453592</f>
        <v>31.458419568</v>
      </c>
      <c r="R17" s="56">
        <f>73380*0.000453592</f>
        <v>33.28458096</v>
      </c>
      <c r="S17" s="58">
        <f>49658*0.000453592</f>
        <v>22.524471536</v>
      </c>
      <c r="T17" s="20" t="s">
        <v>28</v>
      </c>
    </row>
    <row r="18" spans="1:21" ht="30" x14ac:dyDescent="0.25">
      <c r="A18" s="22" t="s">
        <v>15</v>
      </c>
      <c r="B18" s="31"/>
      <c r="C18" s="31"/>
      <c r="D18" s="31"/>
      <c r="E18" s="31"/>
      <c r="F18" s="31"/>
      <c r="G18" s="31"/>
      <c r="H18" s="31"/>
      <c r="I18" s="31"/>
      <c r="J18" s="31"/>
      <c r="K18" s="31"/>
      <c r="L18" s="55">
        <f>23498*0.000453592</f>
        <v>10.658504816000001</v>
      </c>
      <c r="M18" s="56">
        <f>10734*0.000453592</f>
        <v>4.8688565280000002</v>
      </c>
      <c r="N18" s="56">
        <f>23498*0.000453592</f>
        <v>10.658504816000001</v>
      </c>
      <c r="O18" s="56">
        <f>13068*0.000453592</f>
        <v>5.9275402560000003</v>
      </c>
      <c r="P18" s="56">
        <f>27140*0.000453592</f>
        <v>12.310486880000001</v>
      </c>
      <c r="Q18" s="56">
        <f>22759*0.000453592</f>
        <v>10.323300328</v>
      </c>
      <c r="R18" s="56">
        <f>27140*0.000453592</f>
        <v>12.310486880000001</v>
      </c>
      <c r="S18" s="58">
        <f>31270*0.000453592</f>
        <v>14.18382184</v>
      </c>
      <c r="T18" s="20" t="s">
        <v>28</v>
      </c>
    </row>
    <row r="19" spans="1:21" x14ac:dyDescent="0.25">
      <c r="A19" s="64" t="s">
        <v>12</v>
      </c>
      <c r="B19" s="74">
        <v>32.04</v>
      </c>
      <c r="C19" s="74">
        <v>19.260000000000002</v>
      </c>
      <c r="D19" s="74">
        <v>27.47</v>
      </c>
      <c r="E19" s="74">
        <v>24.06</v>
      </c>
      <c r="F19" s="74">
        <v>24.43</v>
      </c>
      <c r="G19" s="74">
        <v>17.96</v>
      </c>
      <c r="H19" s="74">
        <v>21.54</v>
      </c>
      <c r="I19" s="74">
        <v>18.649999999999999</v>
      </c>
      <c r="J19" s="74">
        <v>19.45</v>
      </c>
      <c r="K19" s="74">
        <v>16.09</v>
      </c>
      <c r="L19" s="77">
        <v>20.64</v>
      </c>
      <c r="M19" s="77">
        <v>15.65</v>
      </c>
      <c r="N19" s="77">
        <v>21.81</v>
      </c>
      <c r="O19" s="77">
        <v>6.96</v>
      </c>
      <c r="P19" s="77">
        <v>21.81</v>
      </c>
      <c r="Q19" s="77">
        <v>23.5</v>
      </c>
      <c r="R19" s="77">
        <v>16.28</v>
      </c>
      <c r="S19" s="81">
        <v>15.74</v>
      </c>
      <c r="T19" s="61" t="s">
        <v>31</v>
      </c>
    </row>
    <row r="20" spans="1:21" x14ac:dyDescent="0.25">
      <c r="A20" s="65"/>
      <c r="B20" s="75"/>
      <c r="C20" s="75"/>
      <c r="D20" s="75"/>
      <c r="E20" s="75"/>
      <c r="F20" s="75"/>
      <c r="G20" s="75"/>
      <c r="H20" s="75"/>
      <c r="I20" s="75"/>
      <c r="J20" s="75"/>
      <c r="K20" s="75"/>
      <c r="L20" s="60"/>
      <c r="M20" s="60"/>
      <c r="N20" s="60"/>
      <c r="O20" s="60"/>
      <c r="P20" s="60"/>
      <c r="Q20" s="60"/>
      <c r="R20" s="60"/>
      <c r="S20" s="82"/>
      <c r="T20" s="62"/>
    </row>
    <row r="21" spans="1:21" x14ac:dyDescent="0.25">
      <c r="A21" s="74" t="s">
        <v>33</v>
      </c>
      <c r="B21" s="59">
        <v>20352</v>
      </c>
      <c r="C21" s="63">
        <f>10660+45</f>
        <v>10705</v>
      </c>
      <c r="D21" s="59">
        <v>24709</v>
      </c>
      <c r="E21" s="63">
        <f>7312+67</f>
        <v>7379</v>
      </c>
      <c r="F21" s="59">
        <v>27596</v>
      </c>
      <c r="G21" s="63">
        <f>10651+108</f>
        <v>10759</v>
      </c>
      <c r="H21" s="59">
        <v>28310</v>
      </c>
      <c r="I21" s="63">
        <f>8663+44</f>
        <v>8707</v>
      </c>
      <c r="J21" s="59">
        <v>23617</v>
      </c>
      <c r="K21" s="63">
        <f>12097+141</f>
        <v>12238</v>
      </c>
      <c r="L21" s="80">
        <v>23045</v>
      </c>
      <c r="M21" s="63">
        <f>8735+130</f>
        <v>8865</v>
      </c>
      <c r="N21" s="63">
        <v>22635</v>
      </c>
      <c r="O21" s="63">
        <f>6878+35</f>
        <v>6913</v>
      </c>
      <c r="P21" s="63">
        <v>12914</v>
      </c>
      <c r="Q21" s="63">
        <f>8643+53</f>
        <v>8696</v>
      </c>
      <c r="R21" s="63">
        <v>14126</v>
      </c>
      <c r="S21" s="63">
        <f>5790+120</f>
        <v>5910</v>
      </c>
      <c r="T21" s="78" t="s">
        <v>30</v>
      </c>
    </row>
    <row r="22" spans="1:21" x14ac:dyDescent="0.25">
      <c r="A22" s="60"/>
      <c r="B22" s="70"/>
      <c r="C22" s="60"/>
      <c r="D22" s="76"/>
      <c r="E22" s="60"/>
      <c r="F22" s="76"/>
      <c r="G22" s="60"/>
      <c r="H22" s="76"/>
      <c r="I22" s="60"/>
      <c r="J22" s="76"/>
      <c r="K22" s="60"/>
      <c r="L22" s="60"/>
      <c r="M22" s="60"/>
      <c r="N22" s="60"/>
      <c r="O22" s="60"/>
      <c r="P22" s="60"/>
      <c r="Q22" s="60"/>
      <c r="R22" s="60"/>
      <c r="S22" s="60"/>
      <c r="T22" s="79"/>
    </row>
    <row r="23" spans="1:21" ht="60" x14ac:dyDescent="0.25">
      <c r="A23" s="11" t="s">
        <v>34</v>
      </c>
      <c r="B23" s="39"/>
      <c r="C23" s="39"/>
      <c r="D23" s="39"/>
      <c r="E23" s="39"/>
      <c r="F23" s="39"/>
      <c r="G23" s="39"/>
      <c r="H23" s="39"/>
      <c r="I23" s="39"/>
      <c r="J23" s="39"/>
      <c r="K23" s="41">
        <f>612876*0.000453592</f>
        <v>277.995650592</v>
      </c>
      <c r="L23" s="41">
        <f>(2.86*1000000)*0.000453592</f>
        <v>1297.2731200000001</v>
      </c>
      <c r="M23" s="41">
        <f>17033*0.000453592</f>
        <v>7.726032536</v>
      </c>
      <c r="N23" s="41">
        <f>(2.86*1000000)*0.000453592</f>
        <v>1297.2731200000001</v>
      </c>
      <c r="O23" s="41">
        <f>151306*0.000453592</f>
        <v>68.631191152</v>
      </c>
      <c r="P23" s="41">
        <f>(2.86*1000000)*0.000453592</f>
        <v>1297.2731200000001</v>
      </c>
      <c r="Q23" s="41">
        <f>134984*0.000453592</f>
        <v>61.227662528000003</v>
      </c>
      <c r="R23" s="41">
        <f>(4.99*1000000)*0.000453592</f>
        <v>2263.4240800000002</v>
      </c>
      <c r="S23" s="41">
        <f>206503*0.000453592</f>
        <v>93.668108775999997</v>
      </c>
      <c r="T23" s="23" t="s">
        <v>32</v>
      </c>
    </row>
    <row r="24" spans="1:21" x14ac:dyDescent="0.25">
      <c r="A24" s="43"/>
      <c r="B24" s="43"/>
      <c r="C24" s="43"/>
      <c r="D24" s="43"/>
      <c r="E24" s="43"/>
      <c r="F24" s="43"/>
      <c r="G24" s="43"/>
      <c r="H24" s="43"/>
      <c r="I24" s="43"/>
      <c r="J24" s="43"/>
      <c r="K24" s="44"/>
      <c r="L24" s="43"/>
      <c r="M24" s="44"/>
      <c r="N24" s="43"/>
      <c r="O24" s="44"/>
      <c r="P24" s="43"/>
      <c r="Q24" s="44"/>
      <c r="R24" s="43"/>
      <c r="S24" s="44"/>
      <c r="T24" s="45"/>
      <c r="U24" s="46"/>
    </row>
    <row r="25" spans="1:21" x14ac:dyDescent="0.25">
      <c r="A25" s="43"/>
      <c r="B25" s="43"/>
      <c r="C25" s="43"/>
      <c r="D25" s="43"/>
      <c r="E25" s="43"/>
      <c r="F25" s="43"/>
      <c r="G25" s="43"/>
      <c r="H25" s="43"/>
      <c r="I25" s="43"/>
      <c r="J25" s="43"/>
      <c r="K25" s="44"/>
      <c r="L25" s="43"/>
      <c r="M25" s="44"/>
      <c r="N25" s="43"/>
      <c r="O25" s="44"/>
      <c r="P25" s="43"/>
      <c r="Q25" s="44"/>
      <c r="R25" s="43"/>
      <c r="S25" s="44"/>
      <c r="T25" s="45"/>
      <c r="U25" s="46"/>
    </row>
    <row r="26" spans="1:21" x14ac:dyDescent="0.25">
      <c r="A26" s="43"/>
      <c r="B26" s="43"/>
      <c r="C26" s="43"/>
      <c r="D26" s="43"/>
      <c r="E26" s="43"/>
      <c r="F26" s="43"/>
      <c r="G26" s="43"/>
      <c r="H26" s="43"/>
      <c r="I26" s="43"/>
      <c r="J26" s="43"/>
      <c r="K26" s="44"/>
      <c r="L26" s="43"/>
      <c r="M26" s="44"/>
      <c r="N26" s="43"/>
      <c r="O26" s="44"/>
      <c r="P26" s="43"/>
      <c r="Q26" s="44"/>
      <c r="R26" s="43"/>
      <c r="S26" s="44"/>
      <c r="T26" s="45"/>
      <c r="U26" s="46"/>
    </row>
    <row r="27" spans="1:21" x14ac:dyDescent="0.25">
      <c r="A27" s="47" t="s">
        <v>24</v>
      </c>
      <c r="B27" s="43"/>
      <c r="C27" s="43"/>
      <c r="D27" s="43"/>
      <c r="E27" s="43"/>
      <c r="F27" s="43"/>
      <c r="G27" s="43"/>
      <c r="H27" s="43"/>
      <c r="I27" s="43"/>
      <c r="J27" s="43"/>
      <c r="K27" s="44"/>
      <c r="L27" s="43"/>
      <c r="M27" s="44"/>
      <c r="N27" s="43"/>
      <c r="O27" s="44"/>
      <c r="P27" s="43"/>
      <c r="Q27" s="44"/>
      <c r="R27" s="43"/>
      <c r="S27" s="44"/>
      <c r="T27" s="45"/>
      <c r="U27" s="46"/>
    </row>
    <row r="28" spans="1:21" ht="60" x14ac:dyDescent="0.25">
      <c r="A28" s="22" t="s">
        <v>3</v>
      </c>
      <c r="B28" s="31"/>
      <c r="C28" s="31"/>
      <c r="D28" s="31"/>
      <c r="E28" s="31"/>
      <c r="F28" s="31"/>
      <c r="G28" s="31"/>
      <c r="H28" s="31"/>
      <c r="I28" s="31"/>
      <c r="J28" s="31"/>
      <c r="K28" s="13">
        <v>319820</v>
      </c>
      <c r="L28" s="14"/>
      <c r="M28" s="13">
        <v>284236</v>
      </c>
      <c r="N28" s="14"/>
      <c r="O28" s="13">
        <v>233068</v>
      </c>
      <c r="P28" s="14"/>
      <c r="Q28" s="13">
        <v>255172</v>
      </c>
      <c r="R28" s="14"/>
      <c r="S28" s="13">
        <v>224895</v>
      </c>
      <c r="T28" s="20" t="s">
        <v>4</v>
      </c>
    </row>
    <row r="29" spans="1:21" x14ac:dyDescent="0.25">
      <c r="B29" s="16"/>
      <c r="C29" s="16"/>
      <c r="D29" s="16"/>
      <c r="E29" s="16"/>
      <c r="F29" s="16"/>
      <c r="G29" s="16"/>
      <c r="H29" s="16"/>
      <c r="I29" s="16"/>
      <c r="J29" s="16"/>
      <c r="K29" s="16"/>
      <c r="L29" s="3"/>
      <c r="M29" s="3"/>
      <c r="N29" s="3"/>
      <c r="O29" s="3"/>
      <c r="P29" s="3"/>
      <c r="Q29" s="3"/>
      <c r="R29" s="3"/>
      <c r="S29" s="3"/>
      <c r="T29" s="2"/>
    </row>
    <row r="30" spans="1:21" x14ac:dyDescent="0.25">
      <c r="B30" s="17"/>
    </row>
    <row r="33" spans="2:11" x14ac:dyDescent="0.25">
      <c r="B33" s="27"/>
    </row>
    <row r="39" spans="2:11" x14ac:dyDescent="0.25">
      <c r="F39" s="71"/>
      <c r="G39" s="71"/>
      <c r="H39" s="71"/>
      <c r="I39" s="71"/>
      <c r="J39" s="73"/>
      <c r="K39" s="71"/>
    </row>
    <row r="40" spans="2:11" x14ac:dyDescent="0.25">
      <c r="F40" s="72"/>
      <c r="G40" s="72"/>
      <c r="H40" s="72"/>
      <c r="I40" s="72"/>
      <c r="J40" s="72"/>
      <c r="K40" s="72"/>
    </row>
  </sheetData>
  <mergeCells count="75">
    <mergeCell ref="T19:T20"/>
    <mergeCell ref="T21:T22"/>
    <mergeCell ref="L21:L22"/>
    <mergeCell ref="N21:N22"/>
    <mergeCell ref="P21:P22"/>
    <mergeCell ref="R21:R22"/>
    <mergeCell ref="S19:S20"/>
    <mergeCell ref="A19:A20"/>
    <mergeCell ref="F21:F22"/>
    <mergeCell ref="D21:D22"/>
    <mergeCell ref="B21:B22"/>
    <mergeCell ref="A21:A22"/>
    <mergeCell ref="B19:B20"/>
    <mergeCell ref="C19:C20"/>
    <mergeCell ref="D19:D20"/>
    <mergeCell ref="E19:E20"/>
    <mergeCell ref="K39:K40"/>
    <mergeCell ref="L11:L12"/>
    <mergeCell ref="N11:N12"/>
    <mergeCell ref="P11:P12"/>
    <mergeCell ref="R11:R12"/>
    <mergeCell ref="K19:K20"/>
    <mergeCell ref="L19:L20"/>
    <mergeCell ref="M19:M20"/>
    <mergeCell ref="N19:N20"/>
    <mergeCell ref="O19:O20"/>
    <mergeCell ref="P19:P20"/>
    <mergeCell ref="Q19:Q20"/>
    <mergeCell ref="R19:R20"/>
    <mergeCell ref="K11:K12"/>
    <mergeCell ref="M11:M12"/>
    <mergeCell ref="O11:O12"/>
    <mergeCell ref="I19:I20"/>
    <mergeCell ref="J19:J20"/>
    <mergeCell ref="H21:H22"/>
    <mergeCell ref="J21:J22"/>
    <mergeCell ref="H11:H12"/>
    <mergeCell ref="F39:F40"/>
    <mergeCell ref="G39:G40"/>
    <mergeCell ref="H39:H40"/>
    <mergeCell ref="I39:I40"/>
    <mergeCell ref="J39:J40"/>
    <mergeCell ref="B1:C1"/>
    <mergeCell ref="D1:E1"/>
    <mergeCell ref="F1:G1"/>
    <mergeCell ref="B11:B12"/>
    <mergeCell ref="D11:D12"/>
    <mergeCell ref="F11:F12"/>
    <mergeCell ref="L1:M1"/>
    <mergeCell ref="N1:O1"/>
    <mergeCell ref="P1:Q1"/>
    <mergeCell ref="R1:S1"/>
    <mergeCell ref="H1:I1"/>
    <mergeCell ref="J1:K1"/>
    <mergeCell ref="A11:A12"/>
    <mergeCell ref="C11:C12"/>
    <mergeCell ref="E11:E12"/>
    <mergeCell ref="G11:G12"/>
    <mergeCell ref="I11:I12"/>
    <mergeCell ref="Q11:Q12"/>
    <mergeCell ref="S11:S12"/>
    <mergeCell ref="T11:T12"/>
    <mergeCell ref="C21:C22"/>
    <mergeCell ref="E21:E22"/>
    <mergeCell ref="G21:G22"/>
    <mergeCell ref="I21:I22"/>
    <mergeCell ref="K21:K22"/>
    <mergeCell ref="M21:M22"/>
    <mergeCell ref="O21:O22"/>
    <mergeCell ref="Q21:Q22"/>
    <mergeCell ref="S21:S22"/>
    <mergeCell ref="J11:J12"/>
    <mergeCell ref="F19:F20"/>
    <mergeCell ref="G19:G20"/>
    <mergeCell ref="H19:H2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828a74d-2a10-4f39-8652-5d70f27fbd04" xsi:nil="true"/>
    <lcf76f155ced4ddcb4097134ff3c332f xmlns="52a5111d-dddf-4872-8e35-e0441c78008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0FF0983EB3C041AF1AEA4B1776CF3D" ma:contentTypeVersion="19" ma:contentTypeDescription="Create a new document." ma:contentTypeScope="" ma:versionID="6d55fca89d9d2d6963909036008498a7">
  <xsd:schema xmlns:xsd="http://www.w3.org/2001/XMLSchema" xmlns:xs="http://www.w3.org/2001/XMLSchema" xmlns:p="http://schemas.microsoft.com/office/2006/metadata/properties" xmlns:ns2="0828a74d-2a10-4f39-8652-5d70f27fbd04" xmlns:ns3="52a5111d-dddf-4872-8e35-e0441c780081" targetNamespace="http://schemas.microsoft.com/office/2006/metadata/properties" ma:root="true" ma:fieldsID="c53036306f5f4ed3a4e8f3fd1a17febc" ns2:_="" ns3:_="">
    <xsd:import namespace="0828a74d-2a10-4f39-8652-5d70f27fbd04"/>
    <xsd:import namespace="52a5111d-dddf-4872-8e35-e0441c780081"/>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8a74d-2a10-4f39-8652-5d70f27fbd0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TaxCatchAll" ma:index="26" nillable="true" ma:displayName="Taxonomy Catch All Column" ma:hidden="true" ma:list="{581c6589-e5d7-45f6-80b0-9dee2715bdd8}" ma:internalName="TaxCatchAll" ma:showField="CatchAllData" ma:web="0828a74d-2a10-4f39-8652-5d70f27fbd0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2a5111d-dddf-4872-8e35-e0441c780081"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d769d857-b826-47db-9965-77d7a5ccc83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D4F6EF-82E5-49BC-AA19-CDCD9BB9760B}">
  <ds:schemaRefs>
    <ds:schemaRef ds:uri="http://schemas.microsoft.com/office/infopath/2007/PartnerControls"/>
    <ds:schemaRef ds:uri="52a5111d-dddf-4872-8e35-e0441c780081"/>
    <ds:schemaRef ds:uri="http://purl.org/dc/terms/"/>
    <ds:schemaRef ds:uri="0828a74d-2a10-4f39-8652-5d70f27fbd04"/>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D9A4291-A5FA-41C6-97E5-6A144A24C689}">
  <ds:schemaRefs>
    <ds:schemaRef ds:uri="http://schemas.microsoft.com/sharepoint/v3/contenttype/forms"/>
  </ds:schemaRefs>
</ds:datastoreItem>
</file>

<file path=customXml/itemProps3.xml><?xml version="1.0" encoding="utf-8"?>
<ds:datastoreItem xmlns:ds="http://schemas.openxmlformats.org/officeDocument/2006/customXml" ds:itemID="{609560A7-7073-4E70-B1AE-FDDD1A345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8a74d-2a10-4f39-8652-5d70f27fbd04"/>
    <ds:schemaRef ds:uri="52a5111d-dddf-4872-8e35-e0441c7800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MAFMC ABC_ACL_catch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Muffley, Brandon</dc:creator>
  <cp:lastModifiedBy>Kimberly Bastille</cp:lastModifiedBy>
  <dcterms:created xsi:type="dcterms:W3CDTF">2021-11-15T14:46:27Z</dcterms:created>
  <dcterms:modified xsi:type="dcterms:W3CDTF">2022-12-13T17:24:46Z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0x010100CE0FF0983EB3C041AF1AEA4B1776CF3D</vt:lpwstr>
  </property>
  <property fmtid="{D5CDD505-2E9C-101B-9397-08002B2CF9AE}" pid="3" name="MediaServiceImageTags">
    <vt:lpwstr/>
  </property>
</Properties>
</file>