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/rwd-xray2/tools/"/>
    </mc:Choice>
  </mc:AlternateContent>
  <xr:revisionPtr revIDLastSave="0" documentId="8_{71C0ABDE-7A2D-254B-AF07-FA310849BAD8}" xr6:coauthVersionLast="45" xr6:coauthVersionMax="45" xr10:uidLastSave="{00000000-0000-0000-0000-000000000000}"/>
  <bookViews>
    <workbookView xWindow="0" yWindow="460" windowWidth="29840" windowHeight="19820" xr2:uid="{9D1BDD93-9EEC-CF4B-915A-8D35D7744A01}"/>
  </bookViews>
  <sheets>
    <sheet name="torque playground" sheetId="4" r:id="rId1"/>
    <sheet name="civic idx" sheetId="2" r:id="rId2"/>
  </sheets>
  <definedNames>
    <definedName name="_xlchart.v1.0" hidden="1">'torque playground'!$AH$63:$AH$67</definedName>
    <definedName name="_xlchart.v1.1" hidden="1">'torque playground'!$AL$63:$AL$67</definedName>
    <definedName name="_xlchart.v1.2" hidden="1">'torque playground'!$AH$63:$AH$67</definedName>
    <definedName name="_xlchart.v1.3" hidden="1">'torque playground'!$AL$63:$AL$67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4" l="1"/>
  <c r="D97" i="4" s="1"/>
  <c r="N58" i="4"/>
  <c r="C34" i="4"/>
  <c r="D18" i="4"/>
  <c r="E18" i="4"/>
  <c r="F18" i="4"/>
  <c r="F17" i="4"/>
  <c r="F16" i="4"/>
  <c r="F15" i="4"/>
  <c r="F14" i="4"/>
  <c r="F13" i="4"/>
  <c r="F12" i="4"/>
  <c r="F11" i="4"/>
  <c r="P66" i="4"/>
  <c r="P65" i="4"/>
  <c r="P64" i="4"/>
  <c r="P63" i="4"/>
  <c r="P62" i="4"/>
  <c r="P61" i="4"/>
  <c r="P60" i="4"/>
  <c r="P59" i="4"/>
  <c r="AL63" i="4"/>
  <c r="AL64" i="4"/>
  <c r="AL65" i="4"/>
  <c r="AL66" i="4"/>
  <c r="AL67" i="4"/>
  <c r="AI66" i="4"/>
  <c r="AJ66" i="4" s="1"/>
  <c r="AM66" i="4" s="1"/>
  <c r="AI67" i="4"/>
  <c r="AK67" i="4" s="1"/>
  <c r="AI65" i="4"/>
  <c r="AK65" i="4" s="1"/>
  <c r="AI64" i="4"/>
  <c r="AK64" i="4" s="1"/>
  <c r="AI63" i="4"/>
  <c r="AK63" i="4" s="1"/>
  <c r="AO63" i="4" s="1"/>
  <c r="AJ67" i="4"/>
  <c r="AM67" i="4" s="1"/>
  <c r="AM62" i="4" s="1"/>
  <c r="E154" i="4"/>
  <c r="D154" i="4"/>
  <c r="D153" i="4"/>
  <c r="C139" i="4"/>
  <c r="K138" i="4"/>
  <c r="D138" i="4"/>
  <c r="B138" i="4"/>
  <c r="E137" i="4"/>
  <c r="F137" i="4" s="1"/>
  <c r="G137" i="4" s="1"/>
  <c r="H137" i="4" s="1"/>
  <c r="K136" i="4"/>
  <c r="E136" i="4"/>
  <c r="F136" i="4" s="1"/>
  <c r="G136" i="4" s="1"/>
  <c r="H136" i="4" s="1"/>
  <c r="D136" i="4"/>
  <c r="K135" i="4"/>
  <c r="E135" i="4"/>
  <c r="F135" i="4" s="1"/>
  <c r="G135" i="4" s="1"/>
  <c r="H135" i="4" s="1"/>
  <c r="D135" i="4"/>
  <c r="K134" i="4"/>
  <c r="D134" i="4"/>
  <c r="K133" i="4"/>
  <c r="E133" i="4"/>
  <c r="F133" i="4" s="1"/>
  <c r="G133" i="4" s="1"/>
  <c r="H133" i="4" s="1"/>
  <c r="K132" i="4"/>
  <c r="E132" i="4"/>
  <c r="F132" i="4" s="1"/>
  <c r="G132" i="4" s="1"/>
  <c r="H132" i="4" s="1"/>
  <c r="D132" i="4"/>
  <c r="K131" i="4"/>
  <c r="E131" i="4"/>
  <c r="F131" i="4" s="1"/>
  <c r="G131" i="4" s="1"/>
  <c r="H131" i="4" s="1"/>
  <c r="H130" i="4"/>
  <c r="D42" i="4"/>
  <c r="C42" i="4" s="1"/>
  <c r="AJ63" i="4" l="1"/>
  <c r="AM63" i="4" s="1"/>
  <c r="AN63" i="4" s="1"/>
  <c r="AK66" i="4"/>
  <c r="AO66" i="4" s="1"/>
  <c r="AN66" i="4"/>
  <c r="AJ65" i="4"/>
  <c r="AM65" i="4" s="1"/>
  <c r="AN65" i="4" s="1"/>
  <c r="AJ64" i="4"/>
  <c r="AM64" i="4" s="1"/>
  <c r="AN64" i="4" s="1"/>
  <c r="AO64" i="4"/>
  <c r="AO65" i="4"/>
  <c r="AO67" i="4"/>
  <c r="AO62" i="4" s="1"/>
  <c r="D155" i="4"/>
  <c r="D156" i="4" s="1"/>
  <c r="E153" i="4"/>
  <c r="E155" i="4" s="1"/>
  <c r="E156" i="4" s="1"/>
  <c r="E157" i="4" s="1"/>
  <c r="D131" i="4"/>
  <c r="E134" i="4"/>
  <c r="F134" i="4" s="1"/>
  <c r="G134" i="4" s="1"/>
  <c r="H134" i="4" s="1"/>
  <c r="E138" i="4"/>
  <c r="F138" i="4" s="1"/>
  <c r="G138" i="4" s="1"/>
  <c r="H138" i="4" s="1"/>
  <c r="E143" i="4"/>
  <c r="D137" i="4"/>
  <c r="D133" i="4"/>
  <c r="E97" i="4"/>
  <c r="F97" i="4" s="1"/>
  <c r="G97" i="4" s="1"/>
  <c r="C98" i="4"/>
  <c r="H89" i="4"/>
  <c r="I90" i="4"/>
  <c r="I91" i="4"/>
  <c r="I92" i="4"/>
  <c r="I93" i="4"/>
  <c r="I94" i="4"/>
  <c r="I95" i="4"/>
  <c r="I96" i="4"/>
  <c r="I97" i="4"/>
  <c r="I89" i="4"/>
  <c r="E113" i="4"/>
  <c r="D113" i="4"/>
  <c r="D112" i="4"/>
  <c r="K97" i="4"/>
  <c r="B97" i="4"/>
  <c r="K95" i="4"/>
  <c r="K94" i="4"/>
  <c r="K93" i="4"/>
  <c r="K92" i="4"/>
  <c r="K91" i="4"/>
  <c r="K90" i="4"/>
  <c r="O66" i="4"/>
  <c r="N66" i="4" s="1"/>
  <c r="O63" i="4"/>
  <c r="N63" i="4" s="1"/>
  <c r="O62" i="4"/>
  <c r="N62" i="4" s="1"/>
  <c r="O61" i="4"/>
  <c r="N61" i="4" s="1"/>
  <c r="O60" i="4"/>
  <c r="N60" i="4" s="1"/>
  <c r="O59" i="4"/>
  <c r="N59" i="4" s="1"/>
  <c r="D16" i="4"/>
  <c r="D15" i="4"/>
  <c r="D14" i="4"/>
  <c r="D13" i="4"/>
  <c r="D12" i="4"/>
  <c r="D11" i="4"/>
  <c r="C18" i="4"/>
  <c r="D38" i="4"/>
  <c r="C38" i="4" s="1"/>
  <c r="D40" i="4"/>
  <c r="C40" i="4" s="1"/>
  <c r="D39" i="4"/>
  <c r="C39" i="4" s="1"/>
  <c r="D37" i="4"/>
  <c r="C37" i="4" s="1"/>
  <c r="D36" i="4"/>
  <c r="C36" i="4" s="1"/>
  <c r="D35" i="4"/>
  <c r="E42" i="4"/>
  <c r="E66" i="4"/>
  <c r="E64" i="4" s="1"/>
  <c r="C66" i="4"/>
  <c r="D66" i="4"/>
  <c r="D64" i="4"/>
  <c r="D63" i="4"/>
  <c r="D62" i="4"/>
  <c r="D61" i="4"/>
  <c r="D60" i="4"/>
  <c r="D59" i="4"/>
  <c r="C35" i="4" l="1"/>
  <c r="D41" i="4"/>
  <c r="C41" i="4" s="1"/>
  <c r="E15" i="4"/>
  <c r="E11" i="4"/>
  <c r="E14" i="4"/>
  <c r="E17" i="4"/>
  <c r="E13" i="4"/>
  <c r="E16" i="4"/>
  <c r="E12" i="4"/>
  <c r="AQ62" i="4"/>
  <c r="AP63" i="4"/>
  <c r="D114" i="4"/>
  <c r="D115" i="4" s="1"/>
  <c r="AP64" i="4"/>
  <c r="AP66" i="4"/>
  <c r="C16" i="4"/>
  <c r="C17" i="4" s="1"/>
  <c r="D17" i="4" s="1"/>
  <c r="E25" i="4" s="1"/>
  <c r="C93" i="4"/>
  <c r="C90" i="4"/>
  <c r="C94" i="4"/>
  <c r="C91" i="4"/>
  <c r="C95" i="4"/>
  <c r="C92" i="4"/>
  <c r="C96" i="4"/>
  <c r="E37" i="4"/>
  <c r="E38" i="4"/>
  <c r="E35" i="4"/>
  <c r="E39" i="4"/>
  <c r="E36" i="4"/>
  <c r="E40" i="4"/>
  <c r="E41" i="4"/>
  <c r="AP65" i="4"/>
  <c r="C12" i="4"/>
  <c r="B136" i="4"/>
  <c r="B137" i="4" s="1"/>
  <c r="K137" i="4" s="1"/>
  <c r="B135" i="4"/>
  <c r="B133" i="4"/>
  <c r="B132" i="4"/>
  <c r="B131" i="4"/>
  <c r="B134" i="4"/>
  <c r="C14" i="4"/>
  <c r="B92" i="4"/>
  <c r="C13" i="4"/>
  <c r="O65" i="4"/>
  <c r="N65" i="4" s="1"/>
  <c r="O64" i="4"/>
  <c r="N64" i="4" s="1"/>
  <c r="H97" i="4"/>
  <c r="C11" i="4"/>
  <c r="C15" i="4"/>
  <c r="B94" i="4"/>
  <c r="B95" i="4"/>
  <c r="B96" i="4" s="1"/>
  <c r="K96" i="4" s="1"/>
  <c r="B91" i="4"/>
  <c r="B90" i="4"/>
  <c r="B93" i="4"/>
  <c r="E61" i="4"/>
  <c r="E62" i="4"/>
  <c r="E65" i="4"/>
  <c r="E59" i="4"/>
  <c r="E63" i="4"/>
  <c r="E60" i="4"/>
  <c r="C60" i="4"/>
  <c r="C59" i="4"/>
  <c r="C62" i="4"/>
  <c r="C61" i="4"/>
  <c r="C63" i="4"/>
  <c r="C64" i="4"/>
  <c r="C65" i="4" s="1"/>
  <c r="D65" i="4" s="1"/>
  <c r="E73" i="4" s="1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B15" i="2"/>
  <c r="C15" i="2"/>
  <c r="D15" i="2"/>
  <c r="E15" i="2"/>
  <c r="F15" i="2"/>
  <c r="G15" i="2"/>
  <c r="B16" i="2"/>
  <c r="C16" i="2"/>
  <c r="D16" i="2"/>
  <c r="E16" i="2"/>
  <c r="F16" i="2"/>
  <c r="G16" i="2"/>
  <c r="A15" i="2"/>
  <c r="A16" i="2"/>
  <c r="E49" i="4" l="1"/>
  <c r="E24" i="4"/>
  <c r="E103" i="4"/>
  <c r="P73" i="4"/>
  <c r="E47" i="4"/>
  <c r="E144" i="4"/>
  <c r="C142" i="4"/>
  <c r="E145" i="4"/>
  <c r="N70" i="4"/>
  <c r="P72" i="4"/>
  <c r="P71" i="4"/>
  <c r="E104" i="4"/>
  <c r="C70" i="4"/>
  <c r="E23" i="4"/>
  <c r="E72" i="4"/>
  <c r="E71" i="4"/>
  <c r="E96" i="4"/>
  <c r="F96" i="4" s="1"/>
  <c r="G96" i="4" s="1"/>
  <c r="H96" i="4" s="1"/>
  <c r="D96" i="4"/>
  <c r="C101" i="4"/>
  <c r="D91" i="4"/>
  <c r="E91" i="4"/>
  <c r="F91" i="4" s="1"/>
  <c r="G91" i="4" s="1"/>
  <c r="H91" i="4" s="1"/>
  <c r="D94" i="4"/>
  <c r="E94" i="4"/>
  <c r="F94" i="4" s="1"/>
  <c r="G94" i="4" s="1"/>
  <c r="H94" i="4" s="1"/>
  <c r="D93" i="4"/>
  <c r="E93" i="4"/>
  <c r="F93" i="4" s="1"/>
  <c r="G93" i="4" s="1"/>
  <c r="H93" i="4" s="1"/>
  <c r="D95" i="4"/>
  <c r="E95" i="4"/>
  <c r="F95" i="4" s="1"/>
  <c r="G95" i="4" s="1"/>
  <c r="H95" i="4" s="1"/>
  <c r="D92" i="4"/>
  <c r="E92" i="4"/>
  <c r="F92" i="4" s="1"/>
  <c r="G92" i="4" s="1"/>
  <c r="H92" i="4" s="1"/>
  <c r="E112" i="4"/>
  <c r="E114" i="4" s="1"/>
  <c r="E115" i="4" s="1"/>
  <c r="E116" i="4" s="1"/>
  <c r="E90" i="4"/>
  <c r="F90" i="4"/>
  <c r="G90" i="4" s="1"/>
  <c r="H90" i="4" s="1"/>
  <c r="D90" i="4"/>
  <c r="E102" i="4"/>
  <c r="E48" i="4"/>
</calcChain>
</file>

<file path=xl/sharedStrings.xml><?xml version="1.0" encoding="utf-8"?>
<sst xmlns="http://schemas.openxmlformats.org/spreadsheetml/2006/main" count="118" uniqueCount="44">
  <si>
    <t>DB</t>
  </si>
  <si>
    <t>1BB</t>
  </si>
  <si>
    <t>67F</t>
  </si>
  <si>
    <t>DE</t>
  </si>
  <si>
    <t>6EE</t>
  </si>
  <si>
    <t>1CB</t>
  </si>
  <si>
    <t>35E</t>
  </si>
  <si>
    <t>60D</t>
  </si>
  <si>
    <t>14D</t>
  </si>
  <si>
    <t>1EF</t>
  </si>
  <si>
    <t>f00</t>
  </si>
  <si>
    <t>TorqueBP</t>
  </si>
  <si>
    <t>Steer Max</t>
  </si>
  <si>
    <t>TorqueV:</t>
  </si>
  <si>
    <t>TorqueBP:</t>
  </si>
  <si>
    <t>Firmware:</t>
  </si>
  <si>
    <t>TorqueV</t>
  </si>
  <si>
    <t>Firmware</t>
  </si>
  <si>
    <t>Torque multiple</t>
  </si>
  <si>
    <t>Civic Hatch</t>
  </si>
  <si>
    <t>Civic Sedan</t>
  </si>
  <si>
    <t>E4 hex</t>
  </si>
  <si>
    <t>e4*ddb4</t>
  </si>
  <si>
    <t>&gt;&gt;0xf</t>
  </si>
  <si>
    <t>&gt;&gt;2</t>
  </si>
  <si>
    <t>DEC</t>
  </si>
  <si>
    <t>CRV 3 positions</t>
  </si>
  <si>
    <t>CRV 2 positions</t>
  </si>
  <si>
    <t>Firmware_val</t>
  </si>
  <si>
    <t>firmwareidx</t>
  </si>
  <si>
    <t>FW IDX</t>
  </si>
  <si>
    <t>FW IDX DEC</t>
  </si>
  <si>
    <t>CRV idx test</t>
  </si>
  <si>
    <t>Civic hatch idx test</t>
  </si>
  <si>
    <t>CRV steer ratio</t>
  </si>
  <si>
    <t>?</t>
  </si>
  <si>
    <t>Ratio</t>
  </si>
  <si>
    <t>Right Ratio</t>
  </si>
  <si>
    <t>Left Ratio</t>
  </si>
  <si>
    <t>Percent</t>
  </si>
  <si>
    <t>Wheel(°)</t>
  </si>
  <si>
    <t>Left Tire(°)</t>
  </si>
  <si>
    <t>Right Tire(°)</t>
  </si>
  <si>
    <t>Avg Tire(°)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</si>
</sst>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7" xfId="0" applyBorder="1" applyAlignment="1">
      <alignment wrapText="1"/>
    </xf>
    <xf numFmtId="0" fontId="0" fillId="3" borderId="0" xfId="0" applyFont="1" applyFill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0" fontId="0" fillId="0" borderId="0" xfId="0" applyAlignment="1">
      <alignment horizontal="center"/>
    </xf>
    <xf numFmtId="167" fontId="0" fillId="0" borderId="0" xfId="0" applyNumberFormat="1"/>
    <xf numFmtId="167" fontId="0" fillId="2" borderId="0" xfId="0" applyNumberFormat="1" applyFill="1"/>
    <xf numFmtId="167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</a:t>
            </a:r>
            <a:r>
              <a:rPr lang="en-US" baseline="0"/>
              <a:t> vs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playground'!$C$58:$C$66</c:f>
              <c:numCache>
                <c:formatCode>General</c:formatCode>
                <c:ptCount val="9"/>
                <c:pt idx="0">
                  <c:v>0</c:v>
                </c:pt>
                <c:pt idx="1">
                  <c:v>1152</c:v>
                </c:pt>
                <c:pt idx="2">
                  <c:v>2322.9</c:v>
                </c:pt>
                <c:pt idx="3">
                  <c:v>3323.7</c:v>
                </c:pt>
                <c:pt idx="4">
                  <c:v>3916.7999999999997</c:v>
                </c:pt>
                <c:pt idx="5">
                  <c:v>4147.2</c:v>
                </c:pt>
                <c:pt idx="6">
                  <c:v>4285.8</c:v>
                </c:pt>
                <c:pt idx="7">
                  <c:v>7902.9</c:v>
                </c:pt>
                <c:pt idx="8">
                  <c:v>11520</c:v>
                </c:pt>
              </c:numCache>
            </c:numRef>
          </c:xVal>
          <c:yVal>
            <c:numRef>
              <c:f>'torque playground'!$D$58:$D$66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4762</c:v>
                </c:pt>
                <c:pt idx="7">
                  <c:v>8781</c:v>
                </c:pt>
                <c:pt idx="8">
                  <c:v>12800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F-C34A-A785-59FC5740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9903"/>
        <c:axId val="66416063"/>
      </c:scatterChart>
      <c:valAx>
        <c:axId val="664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063"/>
        <c:crosses val="autoZero"/>
        <c:crossBetween val="midCat"/>
      </c:valAx>
      <c:valAx>
        <c:axId val="664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Firmware Response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Civic_Hatch_Torque_idx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'civic idx'!$B$15:$B$23</c:f>
              <c:numCache>
                <c:formatCode>General</c:formatCode>
                <c:ptCount val="9"/>
                <c:pt idx="0">
                  <c:v>0</c:v>
                </c:pt>
                <c:pt idx="1">
                  <c:v>222</c:v>
                </c:pt>
                <c:pt idx="2">
                  <c:v>333</c:v>
                </c:pt>
                <c:pt idx="3">
                  <c:v>495</c:v>
                </c:pt>
                <c:pt idx="4">
                  <c:v>656</c:v>
                </c:pt>
                <c:pt idx="5">
                  <c:v>887</c:v>
                </c:pt>
                <c:pt idx="6">
                  <c:v>1108</c:v>
                </c:pt>
                <c:pt idx="7">
                  <c:v>1552</c:v>
                </c:pt>
                <c:pt idx="8">
                  <c:v>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0-6E48-B74F-90568F62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146735"/>
        <c:axId val="1758929487"/>
      </c:lineChart>
      <c:catAx>
        <c:axId val="175914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29487"/>
        <c:crosses val="autoZero"/>
        <c:auto val="1"/>
        <c:lblAlgn val="ctr"/>
        <c:lblOffset val="100"/>
        <c:noMultiLvlLbl val="0"/>
      </c:catAx>
      <c:valAx>
        <c:axId val="1758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</a:t>
            </a:r>
            <a:r>
              <a:rPr lang="en-US" baseline="0"/>
              <a:t> vs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playground'!$C$58:$C$66</c:f>
              <c:numCache>
                <c:formatCode>General</c:formatCode>
                <c:ptCount val="9"/>
                <c:pt idx="0">
                  <c:v>0</c:v>
                </c:pt>
                <c:pt idx="1">
                  <c:v>1152</c:v>
                </c:pt>
                <c:pt idx="2">
                  <c:v>2322.9</c:v>
                </c:pt>
                <c:pt idx="3">
                  <c:v>3323.7</c:v>
                </c:pt>
                <c:pt idx="4">
                  <c:v>3916.7999999999997</c:v>
                </c:pt>
                <c:pt idx="5">
                  <c:v>4147.2</c:v>
                </c:pt>
                <c:pt idx="6">
                  <c:v>4285.8</c:v>
                </c:pt>
                <c:pt idx="7">
                  <c:v>7902.9</c:v>
                </c:pt>
                <c:pt idx="8">
                  <c:v>11520</c:v>
                </c:pt>
              </c:numCache>
            </c:numRef>
          </c:xVal>
          <c:yVal>
            <c:numRef>
              <c:f>'torque playground'!$D$58:$D$66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4762</c:v>
                </c:pt>
                <c:pt idx="7">
                  <c:v>8781</c:v>
                </c:pt>
                <c:pt idx="8">
                  <c:v>12800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8-F44D-9902-72F590F2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9903"/>
        <c:axId val="66416063"/>
      </c:scatterChart>
      <c:valAx>
        <c:axId val="664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063"/>
        <c:crosses val="autoZero"/>
        <c:crossBetween val="midCat"/>
      </c:valAx>
      <c:valAx>
        <c:axId val="664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Firmware Response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</a:t>
            </a:r>
            <a:r>
              <a:rPr lang="en-US" baseline="0"/>
              <a:t> vs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playground'!$C$58:$C$66</c:f>
              <c:numCache>
                <c:formatCode>General</c:formatCode>
                <c:ptCount val="9"/>
                <c:pt idx="0">
                  <c:v>0</c:v>
                </c:pt>
                <c:pt idx="1">
                  <c:v>1152</c:v>
                </c:pt>
                <c:pt idx="2">
                  <c:v>2322.9</c:v>
                </c:pt>
                <c:pt idx="3">
                  <c:v>3323.7</c:v>
                </c:pt>
                <c:pt idx="4">
                  <c:v>3916.7999999999997</c:v>
                </c:pt>
                <c:pt idx="5">
                  <c:v>4147.2</c:v>
                </c:pt>
                <c:pt idx="6">
                  <c:v>4285.8</c:v>
                </c:pt>
                <c:pt idx="7">
                  <c:v>7902.9</c:v>
                </c:pt>
                <c:pt idx="8">
                  <c:v>11520</c:v>
                </c:pt>
              </c:numCache>
            </c:numRef>
          </c:xVal>
          <c:yVal>
            <c:numRef>
              <c:f>'torque playground'!$D$58:$D$66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4762</c:v>
                </c:pt>
                <c:pt idx="7">
                  <c:v>8781</c:v>
                </c:pt>
                <c:pt idx="8">
                  <c:v>12800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C-C342-998B-82CD4E38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9903"/>
        <c:axId val="66416063"/>
      </c:scatterChart>
      <c:valAx>
        <c:axId val="664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063"/>
        <c:crosses val="autoZero"/>
        <c:crossBetween val="midCat"/>
      </c:valAx>
      <c:valAx>
        <c:axId val="664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Firmware Response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</a:t>
            </a:r>
            <a:r>
              <a:rPr lang="en-US" baseline="0"/>
              <a:t> vs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playground'!$N$58:$N$66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6485.333333333333</c:v>
                </c:pt>
                <c:pt idx="7">
                  <c:v>8362.6666666666661</c:v>
                </c:pt>
                <c:pt idx="8">
                  <c:v>10240</c:v>
                </c:pt>
              </c:numCache>
            </c:numRef>
          </c:xVal>
          <c:yVal>
            <c:numRef>
              <c:f>'torque playground'!$O$58:$O$66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6485.333333333333</c:v>
                </c:pt>
                <c:pt idx="7">
                  <c:v>8362.6666666666661</c:v>
                </c:pt>
                <c:pt idx="8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9-FC4E-B4F3-81BA76A7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9903"/>
        <c:axId val="66416063"/>
      </c:scatterChart>
      <c:valAx>
        <c:axId val="664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063"/>
        <c:crosses val="autoZero"/>
        <c:crossBetween val="midCat"/>
      </c:valAx>
      <c:valAx>
        <c:axId val="664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Firmware Response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</a:t>
            </a:r>
            <a:r>
              <a:rPr lang="en-US" baseline="0"/>
              <a:t> vs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playground'!$B$89:$B$97</c:f>
              <c:numCache>
                <c:formatCode>General</c:formatCode>
                <c:ptCount val="9"/>
                <c:pt idx="0">
                  <c:v>0</c:v>
                </c:pt>
                <c:pt idx="1">
                  <c:v>1152</c:v>
                </c:pt>
                <c:pt idx="2">
                  <c:v>2322.9</c:v>
                </c:pt>
                <c:pt idx="3">
                  <c:v>3323.7</c:v>
                </c:pt>
                <c:pt idx="4">
                  <c:v>3916.7999999999997</c:v>
                </c:pt>
                <c:pt idx="5">
                  <c:v>4147.2</c:v>
                </c:pt>
                <c:pt idx="6">
                  <c:v>4285.8</c:v>
                </c:pt>
                <c:pt idx="7">
                  <c:v>7902.9</c:v>
                </c:pt>
                <c:pt idx="8">
                  <c:v>11520</c:v>
                </c:pt>
              </c:numCache>
            </c:numRef>
          </c:xVal>
          <c:yVal>
            <c:numRef>
              <c:f>'torque playground'!$K$89:$K$97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4762</c:v>
                </c:pt>
                <c:pt idx="7">
                  <c:v>8781</c:v>
                </c:pt>
                <c:pt idx="8">
                  <c:v>12800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C-F84B-A249-F563BB1C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9903"/>
        <c:axId val="66416063"/>
      </c:scatterChart>
      <c:valAx>
        <c:axId val="664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063"/>
        <c:crosses val="autoZero"/>
        <c:crossBetween val="midCat"/>
      </c:valAx>
      <c:valAx>
        <c:axId val="664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Firmware Response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'torque playground'!$H$89:$H$97</c:f>
              <c:numCache>
                <c:formatCode>General</c:formatCode>
                <c:ptCount val="9"/>
                <c:pt idx="0">
                  <c:v>0</c:v>
                </c:pt>
                <c:pt idx="1">
                  <c:v>221</c:v>
                </c:pt>
                <c:pt idx="2">
                  <c:v>443</c:v>
                </c:pt>
                <c:pt idx="3">
                  <c:v>665</c:v>
                </c:pt>
                <c:pt idx="4">
                  <c:v>886</c:v>
                </c:pt>
                <c:pt idx="5">
                  <c:v>1108</c:v>
                </c:pt>
                <c:pt idx="6">
                  <c:v>1330</c:v>
                </c:pt>
                <c:pt idx="7">
                  <c:v>1551</c:v>
                </c:pt>
                <c:pt idx="8">
                  <c:v>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0-DD47-AAAA-B1E3B1B436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'torque playground'!$I$89:$I$97</c:f>
              <c:numCache>
                <c:formatCode>General</c:formatCode>
                <c:ptCount val="9"/>
                <c:pt idx="0">
                  <c:v>0</c:v>
                </c:pt>
                <c:pt idx="1">
                  <c:v>219</c:v>
                </c:pt>
                <c:pt idx="2">
                  <c:v>443</c:v>
                </c:pt>
                <c:pt idx="3">
                  <c:v>662</c:v>
                </c:pt>
                <c:pt idx="4">
                  <c:v>887</c:v>
                </c:pt>
                <c:pt idx="5">
                  <c:v>1108</c:v>
                </c:pt>
                <c:pt idx="6">
                  <c:v>1330</c:v>
                </c:pt>
                <c:pt idx="7">
                  <c:v>1552</c:v>
                </c:pt>
                <c:pt idx="8">
                  <c:v>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0-DD47-AAAA-B1E3B1B4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6559"/>
        <c:axId val="113764623"/>
      </c:lineChart>
      <c:catAx>
        <c:axId val="6551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4623"/>
        <c:crosses val="autoZero"/>
        <c:auto val="1"/>
        <c:lblAlgn val="ctr"/>
        <c:lblOffset val="100"/>
        <c:noMultiLvlLbl val="0"/>
      </c:catAx>
      <c:valAx>
        <c:axId val="1137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</a:t>
            </a:r>
            <a:r>
              <a:rPr lang="en-US" baseline="0"/>
              <a:t> vs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playground'!$B$89:$B$97</c:f>
              <c:numCache>
                <c:formatCode>General</c:formatCode>
                <c:ptCount val="9"/>
                <c:pt idx="0">
                  <c:v>0</c:v>
                </c:pt>
                <c:pt idx="1">
                  <c:v>1152</c:v>
                </c:pt>
                <c:pt idx="2">
                  <c:v>2322.9</c:v>
                </c:pt>
                <c:pt idx="3">
                  <c:v>3323.7</c:v>
                </c:pt>
                <c:pt idx="4">
                  <c:v>3916.7999999999997</c:v>
                </c:pt>
                <c:pt idx="5">
                  <c:v>4147.2</c:v>
                </c:pt>
                <c:pt idx="6">
                  <c:v>4285.8</c:v>
                </c:pt>
                <c:pt idx="7">
                  <c:v>7902.9</c:v>
                </c:pt>
                <c:pt idx="8">
                  <c:v>11520</c:v>
                </c:pt>
              </c:numCache>
            </c:numRef>
          </c:xVal>
          <c:yVal>
            <c:numRef>
              <c:f>'torque playground'!$K$89:$K$97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4762</c:v>
                </c:pt>
                <c:pt idx="7">
                  <c:v>8781</c:v>
                </c:pt>
                <c:pt idx="8">
                  <c:v>12800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4-FA43-B28E-3002251DD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9903"/>
        <c:axId val="66416063"/>
      </c:scatterChart>
      <c:valAx>
        <c:axId val="664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063"/>
        <c:crosses val="autoZero"/>
        <c:crossBetween val="midCat"/>
      </c:valAx>
      <c:valAx>
        <c:axId val="664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Firmware Response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torquev vs idx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playground'!$C$130:$C$138</c:f>
              <c:numCache>
                <c:formatCode>General</c:formatCode>
                <c:ptCount val="9"/>
                <c:pt idx="0">
                  <c:v>0</c:v>
                </c:pt>
                <c:pt idx="1">
                  <c:v>448.50507328072155</c:v>
                </c:pt>
                <c:pt idx="2">
                  <c:v>672.75760992108235</c:v>
                </c:pt>
                <c:pt idx="3">
                  <c:v>1000.0450958286358</c:v>
                </c:pt>
                <c:pt idx="4">
                  <c:v>1325.3122886133033</c:v>
                </c:pt>
                <c:pt idx="5">
                  <c:v>1792</c:v>
                </c:pt>
                <c:pt idx="6">
                  <c:v>2238.4847801578353</c:v>
                </c:pt>
                <c:pt idx="7">
                  <c:v>3135.4949267192783</c:v>
                </c:pt>
                <c:pt idx="8">
                  <c:v>3584</c:v>
                </c:pt>
              </c:numCache>
            </c:numRef>
          </c:xVal>
          <c:yVal>
            <c:numRef>
              <c:f>'torque playground'!$I$130:$I$138</c:f>
              <c:numCache>
                <c:formatCode>General</c:formatCode>
                <c:ptCount val="9"/>
                <c:pt idx="0">
                  <c:v>0</c:v>
                </c:pt>
                <c:pt idx="1">
                  <c:v>222</c:v>
                </c:pt>
                <c:pt idx="2">
                  <c:v>333</c:v>
                </c:pt>
                <c:pt idx="3">
                  <c:v>495</c:v>
                </c:pt>
                <c:pt idx="4">
                  <c:v>656</c:v>
                </c:pt>
                <c:pt idx="5">
                  <c:v>887</c:v>
                </c:pt>
                <c:pt idx="6">
                  <c:v>1108</c:v>
                </c:pt>
                <c:pt idx="7">
                  <c:v>1552</c:v>
                </c:pt>
                <c:pt idx="8">
                  <c:v>1774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F-F941-AAE1-B491915C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4160"/>
        <c:axId val="497493584"/>
      </c:scatterChart>
      <c:valAx>
        <c:axId val="4680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3584"/>
        <c:crosses val="autoZero"/>
        <c:crossBetween val="midCat"/>
      </c:valAx>
      <c:valAx>
        <c:axId val="4974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  <a:r>
              <a:rPr lang="en-US" baseline="0"/>
              <a:t> CR V Steering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playground'!$AG$62:$AG$67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405</c:v>
                </c:pt>
              </c:numCache>
            </c:numRef>
          </c:xVal>
          <c:yVal>
            <c:numRef>
              <c:f>'torque playground'!$AM$62:$AM$67</c:f>
              <c:numCache>
                <c:formatCode>General</c:formatCode>
                <c:ptCount val="6"/>
                <c:pt idx="0" formatCode="0.0000">
                  <c:v>14.708715973483958</c:v>
                </c:pt>
                <c:pt idx="1">
                  <c:v>14.044176738161928</c:v>
                </c:pt>
                <c:pt idx="2">
                  <c:v>13.866883058520814</c:v>
                </c:pt>
                <c:pt idx="3">
                  <c:v>13.138696787264225</c:v>
                </c:pt>
                <c:pt idx="4">
                  <c:v>12.510867368008903</c:v>
                </c:pt>
                <c:pt idx="5">
                  <c:v>12.257263311236631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8-514D-AA49-06E8BCBA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0240"/>
        <c:axId val="498043200"/>
      </c:scatterChart>
      <c:valAx>
        <c:axId val="4972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 Wheel</a:t>
                </a:r>
                <a:r>
                  <a:rPr lang="en-US" baseline="0"/>
                  <a:t> </a:t>
                </a:r>
                <a:r>
                  <a:rPr lang="en-US"/>
                  <a:t>Angle</a:t>
                </a:r>
              </a:p>
            </c:rich>
          </c:tx>
          <c:layout>
            <c:manualLayout>
              <c:xMode val="edge"/>
              <c:yMode val="edge"/>
              <c:x val="0.34619809188500283"/>
              <c:y val="0.88949383938879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43200"/>
        <c:crosses val="autoZero"/>
        <c:crossBetween val="midCat"/>
      </c:valAx>
      <c:valAx>
        <c:axId val="498043200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55</xdr:row>
      <xdr:rowOff>190500</xdr:rowOff>
    </xdr:from>
    <xdr:to>
      <xdr:col>9</xdr:col>
      <xdr:colOff>457200</xdr:colOff>
      <xdr:row>68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BD594-F634-FC42-952E-609E807C3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48392</xdr:colOff>
      <xdr:row>32</xdr:row>
      <xdr:rowOff>2773</xdr:rowOff>
    </xdr:from>
    <xdr:to>
      <xdr:col>9</xdr:col>
      <xdr:colOff>270642</xdr:colOff>
      <xdr:row>42</xdr:row>
      <xdr:rowOff>101599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17F541-BB91-2D42-9995-68AB7CEE7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103570</xdr:colOff>
      <xdr:row>7</xdr:row>
      <xdr:rowOff>132109</xdr:rowOff>
    </xdr:from>
    <xdr:to>
      <xdr:col>10</xdr:col>
      <xdr:colOff>325820</xdr:colOff>
      <xdr:row>20</xdr:row>
      <xdr:rowOff>81309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3747EC-4092-D54E-A288-566D42B92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234950</xdr:colOff>
      <xdr:row>55</xdr:row>
      <xdr:rowOff>190500</xdr:rowOff>
    </xdr:from>
    <xdr:to>
      <xdr:col>20</xdr:col>
      <xdr:colOff>457200</xdr:colOff>
      <xdr:row>68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A7F4D6-4FC2-CD40-AC31-4444853CC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642956</xdr:colOff>
      <xdr:row>86</xdr:row>
      <xdr:rowOff>112986</xdr:rowOff>
    </xdr:from>
    <xdr:to>
      <xdr:col>16</xdr:col>
      <xdr:colOff>33137</xdr:colOff>
      <xdr:row>99</xdr:row>
      <xdr:rowOff>61018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A04A2C-79B4-834C-A532-CED0FBE9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105</xdr:row>
      <xdr:rowOff>25400</xdr:rowOff>
    </xdr:from>
    <xdr:to>
      <xdr:col>11</xdr:col>
      <xdr:colOff>190500</xdr:colOff>
      <xdr:row>118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53F5F1-7557-A047-A991-F0F50FC04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44450</xdr:colOff>
      <xdr:row>127</xdr:row>
      <xdr:rowOff>25400</xdr:rowOff>
    </xdr:from>
    <xdr:to>
      <xdr:col>15</xdr:col>
      <xdr:colOff>266700</xdr:colOff>
      <xdr:row>139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559B4F-7E79-7445-B315-9F8EED88B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101600</xdr:colOff>
      <xdr:row>144</xdr:row>
      <xdr:rowOff>82550</xdr:rowOff>
    </xdr:from>
    <xdr:to>
      <xdr:col>15</xdr:col>
      <xdr:colOff>546100</xdr:colOff>
      <xdr:row>157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8BD1F-0B99-C14B-8346-98CFC4A80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108143</xdr:colOff>
      <xdr:row>68</xdr:row>
      <xdr:rowOff>47912</xdr:rowOff>
    </xdr:from>
    <xdr:to>
      <xdr:col>41</xdr:col>
      <xdr:colOff>259773</xdr:colOff>
      <xdr:row>82</xdr:row>
      <xdr:rowOff>192424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BE2EA-CB51-3F48-AE7F-8834DD497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50800</xdr:rowOff>
    </xdr:from>
    <xdr:to>
      <xdr:col>13</xdr:col>
      <xdr:colOff>762000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4631F-9438-ED47-B85C-431ACDCB1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4AA4-6EBE-8542-98C8-620F4EDB85E6}">
  <dimension ref="A1:AQ157"/>
  <sheetViews>
    <sheetView tabSelected="1" zoomScale="87" workbookViewId="0">
      <selection activeCell="W51" sqref="W51:AF80"/>
    </sheetView>
  </sheetViews>
  <sheetFormatPr baseColWidth="10" defaultRowHeight="16" x14ac:dyDescent="0.2"/>
  <cols>
    <col min="5" max="5" width="10.83203125" customWidth="1"/>
    <col min="33" max="33" width="8.33203125" bestFit="1" customWidth="1"/>
    <col min="34" max="34" width="9.83203125" bestFit="1" customWidth="1"/>
    <col min="35" max="35" width="10.83203125" bestFit="1" customWidth="1"/>
    <col min="36" max="36" width="9.6640625" bestFit="1" customWidth="1"/>
    <col min="37" max="37" width="10.33203125" hidden="1" customWidth="1"/>
    <col min="38" max="38" width="9.1640625" hidden="1" customWidth="1"/>
    <col min="39" max="39" width="9" bestFit="1" customWidth="1"/>
    <col min="40" max="40" width="7.33203125" bestFit="1" customWidth="1"/>
  </cols>
  <sheetData>
    <row r="1" spans="1:1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6"/>
      <c r="N1" s="6"/>
      <c r="O1" s="6"/>
      <c r="P1" s="6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6"/>
      <c r="N2" s="6"/>
      <c r="O2" s="6"/>
      <c r="P2" s="6"/>
    </row>
    <row r="3" spans="1:16" ht="17" thickBo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6"/>
      <c r="N3" s="6"/>
      <c r="O3" s="6"/>
      <c r="P3" s="6"/>
    </row>
    <row r="4" spans="1:16" ht="17" thickBot="1" x14ac:dyDescent="0.25">
      <c r="A4" s="3"/>
      <c r="C4" s="7"/>
      <c r="L4" s="3"/>
      <c r="M4" s="6"/>
      <c r="N4" s="6"/>
      <c r="O4" s="6"/>
      <c r="P4" s="6"/>
    </row>
    <row r="5" spans="1:16" x14ac:dyDescent="0.2">
      <c r="A5" s="3"/>
      <c r="C5" s="12" t="s">
        <v>20</v>
      </c>
      <c r="D5" s="13"/>
      <c r="E5" s="13"/>
      <c r="F5" s="13"/>
      <c r="G5" s="13"/>
      <c r="H5" s="13"/>
      <c r="I5" s="13"/>
      <c r="J5" s="14"/>
      <c r="L5" s="3"/>
      <c r="M5" s="6"/>
      <c r="N5" s="6"/>
      <c r="O5" s="6"/>
      <c r="P5" s="6"/>
    </row>
    <row r="6" spans="1:16" ht="17" thickBot="1" x14ac:dyDescent="0.25">
      <c r="A6" s="3"/>
      <c r="C6" s="15"/>
      <c r="D6" s="16"/>
      <c r="E6" s="16"/>
      <c r="F6" s="16"/>
      <c r="G6" s="16"/>
      <c r="H6" s="16"/>
      <c r="I6" s="16"/>
      <c r="J6" s="17"/>
      <c r="L6" s="3"/>
      <c r="M6" s="6"/>
      <c r="N6" s="6"/>
      <c r="O6" s="6"/>
      <c r="P6" s="6"/>
    </row>
    <row r="7" spans="1:16" x14ac:dyDescent="0.2">
      <c r="A7" s="3"/>
      <c r="L7" s="3"/>
      <c r="M7" s="6"/>
      <c r="N7" s="6"/>
      <c r="O7" s="6"/>
      <c r="P7" s="6"/>
    </row>
    <row r="8" spans="1:16" x14ac:dyDescent="0.2">
      <c r="A8" s="3"/>
      <c r="L8" s="3"/>
      <c r="M8" s="6"/>
      <c r="N8" s="6"/>
      <c r="O8" s="6"/>
      <c r="P8" s="6"/>
    </row>
    <row r="9" spans="1:16" x14ac:dyDescent="0.2">
      <c r="A9" s="3"/>
      <c r="C9" t="s">
        <v>11</v>
      </c>
      <c r="D9" t="s">
        <v>17</v>
      </c>
      <c r="E9" t="s">
        <v>16</v>
      </c>
      <c r="F9" t="s">
        <v>29</v>
      </c>
      <c r="L9" s="3"/>
      <c r="M9" s="6"/>
      <c r="N9" s="6"/>
      <c r="O9" s="6"/>
      <c r="P9" s="6"/>
    </row>
    <row r="10" spans="1:16" x14ac:dyDescent="0.2">
      <c r="A10" s="3"/>
      <c r="C10">
        <v>0</v>
      </c>
      <c r="D10">
        <v>0</v>
      </c>
      <c r="E10">
        <v>0</v>
      </c>
      <c r="F10">
        <v>0</v>
      </c>
      <c r="L10" s="3"/>
      <c r="M10" s="6"/>
      <c r="N10" s="6"/>
      <c r="O10" s="6"/>
      <c r="P10" s="6"/>
    </row>
    <row r="11" spans="1:16" x14ac:dyDescent="0.2">
      <c r="A11" s="3"/>
      <c r="C11">
        <f>D11/(D$18/C$18)</f>
        <v>2327</v>
      </c>
      <c r="D11">
        <f>HEX2DEC(917)</f>
        <v>2327</v>
      </c>
      <c r="E11">
        <f>E$42*F11/F$42</f>
        <v>480.54114994363022</v>
      </c>
      <c r="F11">
        <f>HEX2DEC("DE")</f>
        <v>222</v>
      </c>
      <c r="L11" s="3"/>
      <c r="M11" s="6"/>
      <c r="N11" s="6"/>
      <c r="O11" s="6"/>
      <c r="P11" s="6"/>
    </row>
    <row r="12" spans="1:16" x14ac:dyDescent="0.2">
      <c r="A12" s="3"/>
      <c r="C12">
        <f t="shared" ref="C12:C16" si="0">D12/(D$18/C$18)</f>
        <v>3525</v>
      </c>
      <c r="D12">
        <f>HEX2DEC("dc5")</f>
        <v>3525</v>
      </c>
      <c r="E12">
        <f t="shared" ref="E12:E17" si="1">E$42*F12/F$42</f>
        <v>720.81172491544532</v>
      </c>
      <c r="F12">
        <f>HEX2DEC("14d")</f>
        <v>333</v>
      </c>
      <c r="L12" s="3"/>
      <c r="M12" s="6"/>
      <c r="N12" s="6"/>
      <c r="O12" s="6"/>
      <c r="P12" s="6"/>
    </row>
    <row r="13" spans="1:16" x14ac:dyDescent="0.2">
      <c r="A13" s="3"/>
      <c r="C13">
        <f t="shared" si="0"/>
        <v>4119</v>
      </c>
      <c r="D13">
        <f>HEX2DEC("1017")</f>
        <v>4119</v>
      </c>
      <c r="E13">
        <f t="shared" si="1"/>
        <v>1071.4768883878241</v>
      </c>
      <c r="F13">
        <f>HEX2DEC("1ef")</f>
        <v>495</v>
      </c>
      <c r="L13" s="3"/>
      <c r="M13" s="6"/>
      <c r="N13" s="6"/>
      <c r="O13" s="6"/>
      <c r="P13" s="6"/>
    </row>
    <row r="14" spans="1:16" x14ac:dyDescent="0.2">
      <c r="A14" s="3"/>
      <c r="C14">
        <f t="shared" si="0"/>
        <v>4511</v>
      </c>
      <c r="D14">
        <f>HEX2DEC("119f")</f>
        <v>4511</v>
      </c>
      <c r="E14">
        <f t="shared" si="1"/>
        <v>1419.977452085682</v>
      </c>
      <c r="F14">
        <f>HEX2DEC("290")</f>
        <v>656</v>
      </c>
      <c r="L14" s="3"/>
      <c r="M14" s="6"/>
      <c r="N14" s="6"/>
      <c r="O14" s="6"/>
      <c r="P14" s="6"/>
    </row>
    <row r="15" spans="1:16" x14ac:dyDescent="0.2">
      <c r="A15" s="3"/>
      <c r="C15">
        <f t="shared" si="0"/>
        <v>5131</v>
      </c>
      <c r="D15">
        <f>HEX2DEC("140b")</f>
        <v>5131</v>
      </c>
      <c r="E15">
        <f t="shared" si="1"/>
        <v>1920</v>
      </c>
      <c r="F15">
        <f>HEX2DEC("377")</f>
        <v>887</v>
      </c>
      <c r="L15" s="3"/>
      <c r="M15" s="6"/>
      <c r="N15" s="6"/>
      <c r="O15" s="6"/>
      <c r="P15" s="6"/>
    </row>
    <row r="16" spans="1:16" x14ac:dyDescent="0.2">
      <c r="A16" s="3"/>
      <c r="C16">
        <f t="shared" si="0"/>
        <v>5760</v>
      </c>
      <c r="D16">
        <f>HEX2DEC("1680")</f>
        <v>5760</v>
      </c>
      <c r="E16">
        <f t="shared" si="1"/>
        <v>2398.3765501691096</v>
      </c>
      <c r="F16">
        <f>HEX2DEC("454")</f>
        <v>1108</v>
      </c>
      <c r="L16" s="3"/>
      <c r="M16" s="6"/>
      <c r="N16" s="6"/>
      <c r="O16" s="6"/>
      <c r="P16" s="6"/>
    </row>
    <row r="17" spans="1:16" x14ac:dyDescent="0.2">
      <c r="A17" s="3"/>
      <c r="C17">
        <f>(C16+C18)/2</f>
        <v>8640</v>
      </c>
      <c r="D17">
        <f>C17*(D18/C18)</f>
        <v>8640</v>
      </c>
      <c r="E17">
        <f t="shared" si="1"/>
        <v>3359.45885005637</v>
      </c>
      <c r="F17">
        <f>HEX2DEC("610")</f>
        <v>1552</v>
      </c>
      <c r="L17" s="3"/>
      <c r="M17" s="6"/>
      <c r="N17" s="6"/>
      <c r="O17" s="6"/>
      <c r="P17" s="6"/>
    </row>
    <row r="18" spans="1:16" x14ac:dyDescent="0.2">
      <c r="A18" s="3"/>
      <c r="C18">
        <f>HEX2DEC("2D00")</f>
        <v>11520</v>
      </c>
      <c r="D18">
        <f>HEX2DEC(1680)*D21</f>
        <v>11520</v>
      </c>
      <c r="E18">
        <f>HEX2DEC(D20)</f>
        <v>3840</v>
      </c>
      <c r="F18">
        <f>HEX2DEC("6ee")</f>
        <v>1774</v>
      </c>
      <c r="L18" s="3"/>
      <c r="M18" s="6"/>
      <c r="N18" s="6"/>
      <c r="O18" s="6"/>
      <c r="P18" s="6"/>
    </row>
    <row r="19" spans="1:16" x14ac:dyDescent="0.2">
      <c r="A19" s="3"/>
      <c r="L19" s="3"/>
      <c r="M19" s="6"/>
      <c r="N19" s="6"/>
      <c r="O19" s="6"/>
      <c r="P19" s="6"/>
    </row>
    <row r="20" spans="1:16" x14ac:dyDescent="0.2">
      <c r="A20" s="3"/>
      <c r="C20" t="s">
        <v>12</v>
      </c>
      <c r="D20" s="1" t="s">
        <v>10</v>
      </c>
      <c r="L20" s="3"/>
      <c r="M20" s="6"/>
      <c r="N20" s="6"/>
      <c r="O20" s="6"/>
      <c r="P20" s="6"/>
    </row>
    <row r="21" spans="1:16" x14ac:dyDescent="0.2">
      <c r="A21" s="3"/>
      <c r="C21" t="s">
        <v>18</v>
      </c>
      <c r="D21" s="1">
        <v>2</v>
      </c>
      <c r="L21" s="3"/>
      <c r="M21" s="6"/>
      <c r="N21" s="6"/>
      <c r="O21" s="6"/>
      <c r="P21" s="6"/>
    </row>
    <row r="22" spans="1:16" ht="17" thickBot="1" x14ac:dyDescent="0.25">
      <c r="A22" s="3"/>
      <c r="L22" s="3"/>
      <c r="M22" s="6"/>
      <c r="N22" s="6"/>
      <c r="O22" s="6"/>
      <c r="P22" s="6"/>
    </row>
    <row r="23" spans="1:16" ht="17" thickBot="1" x14ac:dyDescent="0.25">
      <c r="A23" s="3"/>
      <c r="D23" t="s">
        <v>13</v>
      </c>
      <c r="E23" s="18" t="str">
        <f>"0x" &amp; DEC2HEX(E10) &amp; ", 0x" &amp; DEC2HEX(E11) &amp; ", 0x" &amp; DEC2HEX(E12) &amp; ", 0x" &amp; DEC2HEX(E13) &amp; ", 0x" &amp; DEC2HEX(E14) &amp; ", 0x" &amp; DEC2HEX(E15) &amp; ", 0x" &amp; DEC2HEX(E16) &amp; ", 0x" &amp; DEC2HEX(E17) &amp; ", 0x" &amp; DEC2HEX(E18)</f>
        <v>0x0, 0x1E0, 0x2D0, 0x42F, 0x58B, 0x780, 0x95E, 0xD1F, 0xF00</v>
      </c>
      <c r="F23" s="19"/>
      <c r="G23" s="19"/>
      <c r="H23" s="19"/>
      <c r="I23" s="19"/>
      <c r="J23" s="20"/>
      <c r="L23" s="3"/>
      <c r="M23" s="6"/>
      <c r="N23" s="6"/>
      <c r="O23" s="6"/>
      <c r="P23" s="6"/>
    </row>
    <row r="24" spans="1:16" ht="17" thickBot="1" x14ac:dyDescent="0.25">
      <c r="A24" s="3"/>
      <c r="D24" t="s">
        <v>14</v>
      </c>
      <c r="E24" s="18" t="str">
        <f>"0x" &amp; DEC2HEX(C10) &amp; ", 0x" &amp; DEC2HEX(C11) &amp; ", 0x" &amp; DEC2HEX(C12) &amp; ", 0x" &amp; DEC2HEX(C13) &amp; ", 0x" &amp; DEC2HEX(C14) &amp; ", 0x" &amp; DEC2HEX(C15) &amp; ", 0x" &amp; DEC2HEX(C16) &amp; ", 0x" &amp; DEC2HEX(C17) &amp; ", 0x" &amp; DEC2HEX(C18)</f>
        <v>0x0, 0x917, 0xDC5, 0x1017, 0x119F, 0x140B, 0x1680, 0x21C0, 0x2D00</v>
      </c>
      <c r="F24" s="19"/>
      <c r="G24" s="19"/>
      <c r="H24" s="19"/>
      <c r="I24" s="19"/>
      <c r="J24" s="20"/>
      <c r="L24" s="3"/>
      <c r="M24" s="6"/>
      <c r="N24" s="6"/>
      <c r="O24" s="6"/>
      <c r="P24" s="6"/>
    </row>
    <row r="25" spans="1:16" ht="115" customHeight="1" thickBot="1" x14ac:dyDescent="0.25">
      <c r="A25" s="3"/>
      <c r="D25" t="s">
        <v>17</v>
      </c>
      <c r="E25" s="9" t="str">
        <f>"0x" &amp; DEC2HEX(D10) &amp; ", 0x" &amp; DEC2HEX(D11) &amp; ", 0x" &amp; DEC2HEX(D12) &amp; ", 0x" &amp; DEC2HEX(D13) &amp; ", 0x" &amp; DEC2HEX(D14) &amp; ", 0x" &amp; DEC2HEX(D15) &amp; ", 0x" &amp; DEC2HEX(D16) &amp; ", 0x" &amp; DEC2HEX(D17) &amp; ", 0x" &amp; DEC2HEX(D18)&amp;",
0x" &amp; DEC2HEX(D10) &amp; ", 0x" &amp; DEC2HEX(D11) &amp; ", 0x" &amp; DEC2HEX(D12) &amp; ", 0x" &amp; DEC2HEX(D13) &amp; ", 0x" &amp; DEC2HEX(D14) &amp; ", 0x" &amp; DEC2HEX(D15) &amp; ", 0x" &amp; DEC2HEX(D16) &amp; ", 0x" &amp; DEC2HEX(D17) &amp; ", 0x" &amp; DEC2HEX(D18)&amp;",
0x" &amp; DEC2HEX(D10) &amp; ", 0x" &amp; DEC2HEX(D11) &amp; ", 0x" &amp; DEC2HEX(D12) &amp; ", 0x" &amp; DEC2HEX(D13) &amp; ", 0x" &amp; DEC2HEX(D14) &amp; ", 0x" &amp; DEC2HEX(D15) &amp; ", 0x" &amp; DEC2HEX(D16) &amp; ", 0x" &amp; DEC2HEX(D17) &amp; ", 0x" &amp; DEC2HEX(D18)&amp;",
0x" &amp; DEC2HEX(D10) &amp; ", 0x" &amp; DEC2HEX(D11) &amp; ", 0x" &amp; DEC2HEX(D12) &amp; ", 0x" &amp; DEC2HEX(D13) &amp; ", 0x" &amp; DEC2HEX(D14) &amp; ", 0x" &amp; DEC2HEX(D15) &amp; ", 0x" &amp; DEC2HEX(D16) &amp; ", 0x" &amp; DEC2HEX(D17) &amp; ", 0x" &amp; DEC2HEX(D18)&amp;",
0x" &amp; DEC2HEX(D10) &amp; ", 0x" &amp; DEC2HEX(D11) &amp; ", 0x" &amp; DEC2HEX(D12) &amp; ", 0x" &amp; DEC2HEX(D13) &amp; ", 0x" &amp; DEC2HEX(D14) &amp; ", 0x" &amp; DEC2HEX(D15) &amp; ", 0x" &amp; DEC2HEX(D16) &amp; ", 0x" &amp; DEC2HEX(D17) &amp; ", 0x" &amp; DEC2HEX(D18)&amp;",
0x" &amp; DEC2HEX(D10) &amp; ", 0x" &amp; DEC2HEX(D11) &amp; ", 0x" &amp; DEC2HEX(D12) &amp; ", 0x" &amp; DEC2HEX(D13) &amp; ", 0x" &amp; DEC2HEX(D14) &amp; ", 0x" &amp; DEC2HEX(D15) &amp; ", 0x" &amp; DEC2HEX(D16) &amp; ", 0x" &amp; DEC2HEX(D17) &amp; ", 0x" &amp; DEC2HEX(D18)&amp;",
0x" &amp; DEC2HEX(D10) &amp; ", 0x" &amp; DEC2HEX(D11) &amp; ", 0x" &amp; DEC2HEX(D12) &amp; ", 0x" &amp; DEC2HEX(D13) &amp; ", 0x" &amp; DEC2HEX(D14) &amp; ", 0x" &amp; DEC2HEX(D15) &amp; ", 0x" &amp; DEC2HEX(D16) &amp; ", 0x" &amp; DEC2HEX(D17) &amp; ", 0x" &amp; DEC2HEX(D18)</f>
        <v>0x0, 0x917, 0xDC5, 0x1017, 0x119F, 0x140B, 0x1680, 0x21C0, 0x2D00,
0x0, 0x917, 0xDC5, 0x1017, 0x119F, 0x140B, 0x1680, 0x21C0, 0x2D00,
0x0, 0x917, 0xDC5, 0x1017, 0x119F, 0x140B, 0x1680, 0x21C0, 0x2D00,
0x0, 0x917, 0xDC5, 0x1017, 0x119F, 0x140B, 0x1680, 0x21C0, 0x2D00,
0x0, 0x917, 0xDC5, 0x1017, 0x119F, 0x140B, 0x1680, 0x21C0, 0x2D00,
0x0, 0x917, 0xDC5, 0x1017, 0x119F, 0x140B, 0x1680, 0x21C0, 0x2D00,
0x0, 0x917, 0xDC5, 0x1017, 0x119F, 0x140B, 0x1680, 0x21C0, 0x2D00</v>
      </c>
      <c r="F25" s="10"/>
      <c r="G25" s="10"/>
      <c r="H25" s="10"/>
      <c r="I25" s="10"/>
      <c r="J25" s="11"/>
      <c r="L25" s="3"/>
      <c r="M25" s="6"/>
      <c r="N25" s="6"/>
      <c r="O25" s="6"/>
      <c r="P25" s="6"/>
    </row>
    <row r="26" spans="1:16" x14ac:dyDescent="0.2">
      <c r="A26" s="3"/>
      <c r="L26" s="3"/>
      <c r="M26" s="6"/>
      <c r="N26" s="6"/>
      <c r="O26" s="6"/>
      <c r="P26" s="6"/>
    </row>
    <row r="27" spans="1:16" x14ac:dyDescent="0.2">
      <c r="A27" s="3"/>
      <c r="L27" s="3"/>
      <c r="M27" s="6"/>
      <c r="N27" s="6"/>
      <c r="O27" s="6"/>
      <c r="P27" s="6"/>
    </row>
    <row r="28" spans="1:16" ht="17" thickBot="1" x14ac:dyDescent="0.25">
      <c r="A28" s="3"/>
      <c r="L28" s="3"/>
      <c r="M28" s="6"/>
      <c r="N28" s="6"/>
      <c r="O28" s="6"/>
      <c r="P28" s="6"/>
    </row>
    <row r="29" spans="1:16" x14ac:dyDescent="0.2">
      <c r="A29" s="3"/>
      <c r="C29" s="12" t="s">
        <v>19</v>
      </c>
      <c r="D29" s="13"/>
      <c r="E29" s="13"/>
      <c r="F29" s="13"/>
      <c r="G29" s="13"/>
      <c r="H29" s="13"/>
      <c r="I29" s="13"/>
      <c r="J29" s="14"/>
      <c r="L29" s="3"/>
      <c r="M29" s="6"/>
      <c r="N29" s="6"/>
      <c r="O29" s="6"/>
      <c r="P29" s="6"/>
    </row>
    <row r="30" spans="1:16" ht="17" thickBot="1" x14ac:dyDescent="0.25">
      <c r="A30" s="3"/>
      <c r="C30" s="15"/>
      <c r="D30" s="16"/>
      <c r="E30" s="16"/>
      <c r="F30" s="16"/>
      <c r="G30" s="16"/>
      <c r="H30" s="16"/>
      <c r="I30" s="16"/>
      <c r="J30" s="17"/>
      <c r="L30" s="3"/>
      <c r="M30" s="6"/>
      <c r="N30" s="6"/>
      <c r="O30" s="6"/>
      <c r="P30" s="6"/>
    </row>
    <row r="31" spans="1:16" x14ac:dyDescent="0.2">
      <c r="A31" s="3"/>
      <c r="L31" s="3"/>
      <c r="M31" s="6"/>
      <c r="N31" s="6"/>
      <c r="O31" s="6"/>
      <c r="P31" s="6"/>
    </row>
    <row r="32" spans="1:16" ht="16" customHeight="1" x14ac:dyDescent="0.2">
      <c r="A32" s="3"/>
      <c r="L32" s="3"/>
      <c r="M32" s="6"/>
      <c r="N32" s="6"/>
      <c r="O32" s="6"/>
      <c r="P32" s="6"/>
    </row>
    <row r="33" spans="1:16" ht="16" customHeight="1" x14ac:dyDescent="0.2">
      <c r="A33" s="3"/>
      <c r="C33" t="s">
        <v>11</v>
      </c>
      <c r="D33" t="s">
        <v>28</v>
      </c>
      <c r="E33" t="s">
        <v>16</v>
      </c>
      <c r="F33" t="s">
        <v>29</v>
      </c>
      <c r="L33" s="4"/>
      <c r="M33" s="6"/>
      <c r="N33" s="6"/>
      <c r="O33" s="6"/>
      <c r="P33" s="6"/>
    </row>
    <row r="34" spans="1:16" x14ac:dyDescent="0.2">
      <c r="A34" s="3"/>
      <c r="C34">
        <f>D34</f>
        <v>0</v>
      </c>
      <c r="D34">
        <v>0</v>
      </c>
      <c r="E34">
        <v>0</v>
      </c>
      <c r="F34">
        <v>0</v>
      </c>
      <c r="G34">
        <v>0</v>
      </c>
      <c r="L34" s="4"/>
      <c r="M34" s="6"/>
      <c r="N34" s="6"/>
      <c r="O34" s="6"/>
      <c r="P34" s="6"/>
    </row>
    <row r="35" spans="1:16" x14ac:dyDescent="0.2">
      <c r="A35" s="3"/>
      <c r="C35">
        <f t="shared" ref="C35:C42" si="2">D35</f>
        <v>1862</v>
      </c>
      <c r="D35">
        <f>HEX2DEC(746)</f>
        <v>1862</v>
      </c>
      <c r="E35">
        <f>E$42*F35/F$42</f>
        <v>480.54114994363022</v>
      </c>
      <c r="F35">
        <v>222</v>
      </c>
      <c r="G35">
        <v>448</v>
      </c>
      <c r="L35" s="3"/>
      <c r="M35" s="6"/>
      <c r="N35" s="6"/>
      <c r="O35" s="6"/>
      <c r="P35" s="6"/>
    </row>
    <row r="36" spans="1:16" x14ac:dyDescent="0.2">
      <c r="A36" s="3"/>
      <c r="C36">
        <f t="shared" si="2"/>
        <v>2820</v>
      </c>
      <c r="D36">
        <f>HEX2DEC("b04")</f>
        <v>2820</v>
      </c>
      <c r="E36">
        <f t="shared" ref="E36:E41" si="3">E$42*F36/F$42</f>
        <v>720.81172491544532</v>
      </c>
      <c r="F36">
        <v>333</v>
      </c>
      <c r="G36">
        <v>896</v>
      </c>
      <c r="L36" s="3"/>
      <c r="M36" s="6"/>
      <c r="N36" s="6"/>
      <c r="O36" s="6"/>
      <c r="P36" s="6"/>
    </row>
    <row r="37" spans="1:16" x14ac:dyDescent="0.2">
      <c r="A37" s="3"/>
      <c r="C37">
        <f t="shared" si="2"/>
        <v>3295</v>
      </c>
      <c r="D37">
        <f>HEX2DEC("cdf")</f>
        <v>3295</v>
      </c>
      <c r="E37">
        <f t="shared" si="3"/>
        <v>1071.4768883878241</v>
      </c>
      <c r="F37">
        <v>495</v>
      </c>
      <c r="G37">
        <v>1344</v>
      </c>
      <c r="L37" s="3"/>
      <c r="M37" s="6"/>
      <c r="N37" s="6"/>
      <c r="O37" s="6"/>
      <c r="P37" s="6"/>
    </row>
    <row r="38" spans="1:16" x14ac:dyDescent="0.2">
      <c r="A38" s="3"/>
      <c r="C38">
        <f t="shared" si="2"/>
        <v>3609</v>
      </c>
      <c r="D38">
        <f>HEX2DEC("E19")</f>
        <v>3609</v>
      </c>
      <c r="E38">
        <f t="shared" si="3"/>
        <v>1419.977452085682</v>
      </c>
      <c r="F38">
        <v>656</v>
      </c>
      <c r="G38">
        <v>1792</v>
      </c>
      <c r="L38" s="3"/>
      <c r="M38" s="6"/>
      <c r="N38" s="6"/>
      <c r="O38" s="6"/>
      <c r="P38" s="6"/>
    </row>
    <row r="39" spans="1:16" x14ac:dyDescent="0.2">
      <c r="A39" s="3"/>
      <c r="C39">
        <f t="shared" si="2"/>
        <v>4104</v>
      </c>
      <c r="D39">
        <f>HEX2DEC(1008)</f>
        <v>4104</v>
      </c>
      <c r="E39">
        <f t="shared" si="3"/>
        <v>1920</v>
      </c>
      <c r="F39">
        <v>887</v>
      </c>
      <c r="G39">
        <v>2240</v>
      </c>
      <c r="L39" s="3"/>
      <c r="M39" s="6"/>
      <c r="N39" s="6"/>
      <c r="O39" s="6"/>
      <c r="P39" s="6"/>
    </row>
    <row r="40" spans="1:16" x14ac:dyDescent="0.2">
      <c r="A40" s="3"/>
      <c r="C40">
        <f t="shared" si="2"/>
        <v>4608</v>
      </c>
      <c r="D40">
        <f>HEX2DEC("1200")</f>
        <v>4608</v>
      </c>
      <c r="E40">
        <f t="shared" si="3"/>
        <v>2398.3765501691096</v>
      </c>
      <c r="F40">
        <v>1108</v>
      </c>
      <c r="G40">
        <v>2688</v>
      </c>
      <c r="L40" s="3"/>
      <c r="M40" s="6"/>
      <c r="N40" s="6"/>
      <c r="O40" s="6"/>
      <c r="P40" s="6"/>
    </row>
    <row r="41" spans="1:16" x14ac:dyDescent="0.2">
      <c r="A41" s="3"/>
      <c r="C41">
        <f t="shared" si="2"/>
        <v>6912</v>
      </c>
      <c r="D41">
        <f>(D40+D42)/2</f>
        <v>6912</v>
      </c>
      <c r="E41">
        <f t="shared" si="3"/>
        <v>3359.45885005637</v>
      </c>
      <c r="F41">
        <v>1552</v>
      </c>
      <c r="G41">
        <v>3136</v>
      </c>
      <c r="L41" s="3"/>
      <c r="M41" s="6"/>
      <c r="N41" s="6"/>
      <c r="O41" s="6"/>
      <c r="P41" s="6"/>
    </row>
    <row r="42" spans="1:16" x14ac:dyDescent="0.2">
      <c r="A42" s="3"/>
      <c r="C42">
        <f t="shared" si="2"/>
        <v>9216</v>
      </c>
      <c r="D42">
        <f>HEX2DEC("1200")*D45</f>
        <v>9216</v>
      </c>
      <c r="E42">
        <f>HEX2DEC(D44)</f>
        <v>3840</v>
      </c>
      <c r="F42">
        <v>1774</v>
      </c>
      <c r="G42">
        <v>3584</v>
      </c>
      <c r="L42" s="3"/>
      <c r="M42" s="6"/>
      <c r="N42" s="6"/>
      <c r="O42" s="6"/>
      <c r="P42" s="6"/>
    </row>
    <row r="43" spans="1:16" x14ac:dyDescent="0.2">
      <c r="A43" s="3"/>
      <c r="L43" s="3"/>
      <c r="M43" s="6"/>
      <c r="N43" s="6"/>
      <c r="O43" s="6"/>
      <c r="P43" s="6"/>
    </row>
    <row r="44" spans="1:16" x14ac:dyDescent="0.2">
      <c r="A44" s="3"/>
      <c r="C44" t="s">
        <v>12</v>
      </c>
      <c r="D44" s="1" t="s">
        <v>10</v>
      </c>
      <c r="L44" s="3"/>
      <c r="M44" s="6"/>
      <c r="N44" s="6"/>
      <c r="O44" s="6"/>
      <c r="P44" s="6"/>
    </row>
    <row r="45" spans="1:16" x14ac:dyDescent="0.2">
      <c r="A45" s="3"/>
      <c r="C45" t="s">
        <v>18</v>
      </c>
      <c r="D45" s="1">
        <v>2</v>
      </c>
      <c r="L45" s="3"/>
      <c r="M45" s="6"/>
      <c r="N45" s="6"/>
      <c r="O45" s="6"/>
      <c r="P45" s="6"/>
    </row>
    <row r="46" spans="1:16" ht="17" thickBot="1" x14ac:dyDescent="0.25">
      <c r="A46" s="3"/>
      <c r="L46" s="3"/>
      <c r="M46" s="6"/>
      <c r="N46" s="6"/>
      <c r="O46" s="6"/>
      <c r="P46" s="6"/>
    </row>
    <row r="47" spans="1:16" ht="17" thickBot="1" x14ac:dyDescent="0.25">
      <c r="A47" s="3"/>
      <c r="D47" t="s">
        <v>13</v>
      </c>
      <c r="E47" s="18" t="str">
        <f>"0x" &amp; DEC2HEX(E34) &amp; ", 0x" &amp; DEC2HEX(E35) &amp; ", 0x" &amp; DEC2HEX(E36) &amp; ", 0x" &amp; DEC2HEX(E37) &amp; ", 0x" &amp; DEC2HEX(E38) &amp; ", 0x" &amp; DEC2HEX(E39) &amp; ", 0x" &amp; DEC2HEX(E40) &amp; ", 0x" &amp; DEC2HEX(E41) &amp; ", 0x" &amp; DEC2HEX(E42)</f>
        <v>0x0, 0x1E0, 0x2D0, 0x42F, 0x58B, 0x780, 0x95E, 0xD1F, 0xF00</v>
      </c>
      <c r="F47" s="19"/>
      <c r="G47" s="19"/>
      <c r="H47" s="19"/>
      <c r="I47" s="19"/>
      <c r="J47" s="20"/>
      <c r="L47" s="3"/>
      <c r="M47" s="6"/>
      <c r="N47" s="6"/>
      <c r="O47" s="6"/>
      <c r="P47" s="6"/>
    </row>
    <row r="48" spans="1:16" ht="17" thickBot="1" x14ac:dyDescent="0.25">
      <c r="A48" s="3"/>
      <c r="D48" t="s">
        <v>14</v>
      </c>
      <c r="E48" s="18" t="str">
        <f>"0x" &amp; DEC2HEX(C34) &amp; ", 0x" &amp; DEC2HEX(C35) &amp; ", 0x" &amp; DEC2HEX(C36) &amp; ", 0x" &amp; DEC2HEX(C37) &amp; ", 0x" &amp; DEC2HEX(C38) &amp; ", 0x" &amp; DEC2HEX(C39) &amp; ", 0x" &amp; DEC2HEX(C40) &amp; ", 0x" &amp; DEC2HEX(C41) &amp; ", 0x" &amp; DEC2HEX(C42)</f>
        <v>0x0, 0x746, 0xB04, 0xCDF, 0xE19, 0x1008, 0x1200, 0x1B00, 0x2400</v>
      </c>
      <c r="F48" s="19"/>
      <c r="G48" s="19"/>
      <c r="H48" s="19"/>
      <c r="I48" s="19"/>
      <c r="J48" s="20"/>
      <c r="L48" s="3"/>
      <c r="M48" s="6"/>
      <c r="N48" s="6"/>
      <c r="O48" s="6"/>
      <c r="P48" s="6"/>
    </row>
    <row r="49" spans="1:43" ht="118" customHeight="1" thickBot="1" x14ac:dyDescent="0.25">
      <c r="A49" s="3"/>
      <c r="D49" t="s">
        <v>15</v>
      </c>
      <c r="E49" s="9" t="str">
        <f>"0x" &amp; DEC2HEX(D34) &amp; ", 0x" &amp; DEC2HEX(D35) &amp; ", 0x" &amp; DEC2HEX(D36) &amp; ", 0x" &amp; DEC2HEX(D37) &amp; ", 0x" &amp; DEC2HEX(D38) &amp; ", 0x" &amp; DEC2HEX(D39) &amp; ", 0x" &amp; DEC2HEX(D40) &amp; ", 0x" &amp; DEC2HEX(D41) &amp; ", 0x" &amp; DEC2HEX(D42)&amp;",
0x" &amp; DEC2HEX(D34) &amp; ", 0x" &amp; DEC2HEX(D35) &amp; ", 0x" &amp; DEC2HEX(D36) &amp; ", 0x" &amp; DEC2HEX(D37) &amp; ", 0x" &amp; DEC2HEX(D38) &amp; ", 0x" &amp; DEC2HEX(D39) &amp; ", 0x" &amp; DEC2HEX(D40) &amp; ", 0x" &amp; DEC2HEX(D41) &amp; ", 0x" &amp; DEC2HEX(D42)&amp;",
0x" &amp; DEC2HEX(D34) &amp; ", 0x" &amp; DEC2HEX(D35) &amp; ", 0x" &amp; DEC2HEX(D36) &amp; ", 0x" &amp; DEC2HEX(D37) &amp; ", 0x" &amp; DEC2HEX(D38) &amp; ", 0x" &amp; DEC2HEX(D39) &amp; ", 0x" &amp; DEC2HEX(D40) &amp; ", 0x" &amp; DEC2HEX(D41) &amp; ", 0x" &amp; DEC2HEX(D42)&amp;",
0x" &amp; DEC2HEX(D34) &amp; ", 0x" &amp; DEC2HEX(D35) &amp; ", 0x" &amp; DEC2HEX(D36) &amp; ", 0x" &amp; DEC2HEX(D37) &amp; ", 0x" &amp; DEC2HEX(D38) &amp; ", 0x" &amp; DEC2HEX(D39) &amp; ", 0x" &amp; DEC2HEX(D40) &amp; ", 0x" &amp; DEC2HEX(D41) &amp; ", 0x" &amp; DEC2HEX(D42)&amp;",
0x" &amp; DEC2HEX(D34) &amp; ", 0x" &amp; DEC2HEX(D35) &amp; ", 0x" &amp; DEC2HEX(D36) &amp; ", 0x" &amp; DEC2HEX(D37) &amp; ", 0x" &amp; DEC2HEX(D38) &amp; ", 0x" &amp; DEC2HEX(D39) &amp; ", 0x" &amp; DEC2HEX(D40) &amp; ", 0x" &amp; DEC2HEX(D41) &amp; ", 0x" &amp; DEC2HEX(D42)&amp;",
0x" &amp; DEC2HEX(D34) &amp; ", 0x" &amp; DEC2HEX(D35) &amp; ", 0x" &amp; DEC2HEX(D36) &amp; ", 0x" &amp; DEC2HEX(D37) &amp; ", 0x" &amp; DEC2HEX(D38) &amp; ", 0x" &amp; DEC2HEX(D39) &amp; ", 0x" &amp; DEC2HEX(D40) &amp; ", 0x" &amp; DEC2HEX(D41) &amp; ", 0x" &amp; DEC2HEX(D42)&amp;",
0x" &amp; DEC2HEX(D34) &amp; ", 0x" &amp; DEC2HEX(D35) &amp; ", 0x" &amp; DEC2HEX(D36) &amp; ", 0x" &amp; DEC2HEX(D37) &amp; ", 0x" &amp; DEC2HEX(D38) &amp; ", 0x" &amp; DEC2HEX(D39) &amp; ", 0x" &amp; DEC2HEX(D40) &amp; ", 0x" &amp; DEC2HEX(D41) &amp; ", 0x" &amp; DEC2HEX(D42)</f>
        <v>0x0, 0x746, 0xB04, 0xCDF, 0xE19, 0x1008, 0x1200, 0x1B00, 0x2400,
0x0, 0x746, 0xB04, 0xCDF, 0xE19, 0x1008, 0x1200, 0x1B00, 0x2400,
0x0, 0x746, 0xB04, 0xCDF, 0xE19, 0x1008, 0x1200, 0x1B00, 0x2400,
0x0, 0x746, 0xB04, 0xCDF, 0xE19, 0x1008, 0x1200, 0x1B00, 0x2400,
0x0, 0x746, 0xB04, 0xCDF, 0xE19, 0x1008, 0x1200, 0x1B00, 0x2400,
0x0, 0x746, 0xB04, 0xCDF, 0xE19, 0x1008, 0x1200, 0x1B00, 0x2400,
0x0, 0x746, 0xB04, 0xCDF, 0xE19, 0x1008, 0x1200, 0x1B00, 0x2400</v>
      </c>
      <c r="F49" s="10"/>
      <c r="G49" s="10"/>
      <c r="H49" s="10"/>
      <c r="I49" s="10"/>
      <c r="J49" s="11"/>
      <c r="L49" s="3"/>
      <c r="M49" s="6"/>
      <c r="N49" s="6"/>
      <c r="O49" s="6"/>
      <c r="P49" s="6"/>
    </row>
    <row r="50" spans="1:43" x14ac:dyDescent="0.2">
      <c r="A50" s="3"/>
      <c r="L50" s="3"/>
      <c r="M50" s="6"/>
      <c r="N50" s="6"/>
      <c r="O50" s="6"/>
      <c r="P50" s="6"/>
    </row>
    <row r="51" spans="1:43" x14ac:dyDescent="0.2">
      <c r="A51" s="3"/>
      <c r="L51" s="3"/>
      <c r="M51" s="6"/>
      <c r="N51" s="6"/>
      <c r="O51" s="6"/>
      <c r="P51" s="6"/>
    </row>
    <row r="52" spans="1:43" ht="17" thickBot="1" x14ac:dyDescent="0.25">
      <c r="A52" s="3"/>
      <c r="L52" s="3"/>
    </row>
    <row r="53" spans="1:43" x14ac:dyDescent="0.2">
      <c r="A53" s="3"/>
      <c r="C53" s="12" t="s">
        <v>27</v>
      </c>
      <c r="D53" s="13"/>
      <c r="E53" s="13"/>
      <c r="F53" s="13"/>
      <c r="G53" s="13"/>
      <c r="H53" s="13"/>
      <c r="I53" s="13"/>
      <c r="J53" s="14"/>
      <c r="L53" s="5"/>
      <c r="N53" s="12" t="s">
        <v>26</v>
      </c>
      <c r="O53" s="13"/>
      <c r="P53" s="13"/>
      <c r="Q53" s="13"/>
      <c r="R53" s="13"/>
      <c r="S53" s="13"/>
      <c r="T53" s="13"/>
      <c r="U53" s="14"/>
      <c r="AG53" s="23" t="s">
        <v>34</v>
      </c>
      <c r="AH53" s="23"/>
    </row>
    <row r="54" spans="1:43" ht="17" thickBot="1" x14ac:dyDescent="0.25">
      <c r="A54" s="3"/>
      <c r="C54" s="15"/>
      <c r="D54" s="16"/>
      <c r="E54" s="16"/>
      <c r="F54" s="16"/>
      <c r="G54" s="16"/>
      <c r="H54" s="16"/>
      <c r="I54" s="16"/>
      <c r="J54" s="17"/>
      <c r="L54" s="3"/>
      <c r="N54" s="15"/>
      <c r="O54" s="16"/>
      <c r="P54" s="16"/>
      <c r="Q54" s="16"/>
      <c r="R54" s="16"/>
      <c r="S54" s="16"/>
      <c r="T54" s="16"/>
      <c r="U54" s="17"/>
    </row>
    <row r="55" spans="1:43" x14ac:dyDescent="0.2">
      <c r="A55" s="3"/>
      <c r="L55" s="3"/>
    </row>
    <row r="56" spans="1:43" x14ac:dyDescent="0.2">
      <c r="A56" s="3"/>
      <c r="L56" s="3"/>
    </row>
    <row r="57" spans="1:43" x14ac:dyDescent="0.2">
      <c r="A57" s="3"/>
      <c r="C57" t="s">
        <v>11</v>
      </c>
      <c r="D57" t="s">
        <v>17</v>
      </c>
      <c r="E57" t="s">
        <v>16</v>
      </c>
      <c r="L57" s="3"/>
      <c r="N57" t="s">
        <v>11</v>
      </c>
      <c r="O57" t="s">
        <v>17</v>
      </c>
      <c r="P57" t="s">
        <v>16</v>
      </c>
    </row>
    <row r="58" spans="1:43" x14ac:dyDescent="0.2">
      <c r="A58" s="3"/>
      <c r="C58">
        <v>0</v>
      </c>
      <c r="D58">
        <v>0</v>
      </c>
      <c r="E58">
        <v>0</v>
      </c>
      <c r="L58" s="3"/>
      <c r="N58">
        <f>O58</f>
        <v>0</v>
      </c>
      <c r="O58">
        <v>0</v>
      </c>
      <c r="P58">
        <v>0</v>
      </c>
    </row>
    <row r="59" spans="1:43" x14ac:dyDescent="0.2">
      <c r="A59" s="3"/>
      <c r="C59">
        <f t="shared" ref="C59:C64" si="4">D59/(D$66/C$66)</f>
        <v>1152</v>
      </c>
      <c r="D59">
        <f>HEX2DEC(500)</f>
        <v>1280</v>
      </c>
      <c r="E59">
        <f>E66/8</f>
        <v>480</v>
      </c>
      <c r="L59" s="3"/>
      <c r="N59">
        <f t="shared" ref="N59:N66" si="5">O59</f>
        <v>1280</v>
      </c>
      <c r="O59">
        <f>HEX2DEC(500)</f>
        <v>1280</v>
      </c>
      <c r="P59">
        <f>P67/8</f>
        <v>512</v>
      </c>
    </row>
    <row r="60" spans="1:43" x14ac:dyDescent="0.2">
      <c r="A60" s="3"/>
      <c r="C60">
        <f t="shared" si="4"/>
        <v>2322.9</v>
      </c>
      <c r="D60">
        <f>HEX2DEC("A15")</f>
        <v>2581</v>
      </c>
      <c r="E60">
        <f>E66/8*2</f>
        <v>960</v>
      </c>
      <c r="L60" s="3"/>
      <c r="N60">
        <f t="shared" si="5"/>
        <v>2581</v>
      </c>
      <c r="O60">
        <f>HEX2DEC("A15")</f>
        <v>2581</v>
      </c>
      <c r="P60">
        <f>P67/8*2</f>
        <v>1024</v>
      </c>
    </row>
    <row r="61" spans="1:43" x14ac:dyDescent="0.2">
      <c r="A61" s="3"/>
      <c r="C61">
        <f t="shared" si="4"/>
        <v>3323.7</v>
      </c>
      <c r="D61">
        <f>HEX2DEC("E6D")</f>
        <v>3693</v>
      </c>
      <c r="E61">
        <f>E66/8*3</f>
        <v>1440</v>
      </c>
      <c r="L61" s="3"/>
      <c r="N61">
        <f t="shared" si="5"/>
        <v>3693</v>
      </c>
      <c r="O61">
        <f>HEX2DEC("E6D")</f>
        <v>3693</v>
      </c>
      <c r="P61">
        <f>P67/8*3</f>
        <v>1536</v>
      </c>
      <c r="AG61" t="s">
        <v>40</v>
      </c>
      <c r="AH61" t="s">
        <v>41</v>
      </c>
      <c r="AI61" t="s">
        <v>42</v>
      </c>
      <c r="AJ61" t="s">
        <v>43</v>
      </c>
      <c r="AK61" t="s">
        <v>37</v>
      </c>
      <c r="AL61" t="s">
        <v>38</v>
      </c>
      <c r="AM61" t="s">
        <v>36</v>
      </c>
      <c r="AN61" t="s">
        <v>39</v>
      </c>
    </row>
    <row r="62" spans="1:43" x14ac:dyDescent="0.2">
      <c r="A62" s="3"/>
      <c r="C62">
        <f t="shared" si="4"/>
        <v>3916.7999999999997</v>
      </c>
      <c r="D62">
        <f>HEX2DEC(1100)</f>
        <v>4352</v>
      </c>
      <c r="E62">
        <f>E66/8*4</f>
        <v>1920</v>
      </c>
      <c r="L62" s="3"/>
      <c r="N62">
        <f t="shared" si="5"/>
        <v>4352</v>
      </c>
      <c r="O62">
        <f>HEX2DEC(1100)</f>
        <v>4352</v>
      </c>
      <c r="P62">
        <f>P67/8*4</f>
        <v>2048</v>
      </c>
      <c r="AG62" s="1">
        <v>0</v>
      </c>
      <c r="AH62" s="1">
        <v>0</v>
      </c>
      <c r="AI62" s="1">
        <v>0</v>
      </c>
      <c r="AJ62" s="1">
        <v>0</v>
      </c>
      <c r="AK62" s="1" t="s">
        <v>35</v>
      </c>
      <c r="AL62" s="1" t="s">
        <v>35</v>
      </c>
      <c r="AM62" s="25">
        <f>AM67+(0.2*AM67)</f>
        <v>14.708715973483958</v>
      </c>
      <c r="AN62" s="22">
        <v>0.2</v>
      </c>
      <c r="AO62" s="25">
        <f>AO67+(0.2*AO67)</f>
        <v>14.887908006343169</v>
      </c>
      <c r="AP62" s="22">
        <v>0.2</v>
      </c>
      <c r="AQ62" s="24">
        <f>(AM62-AM63)/AM62</f>
        <v>4.5179962446757663E-2</v>
      </c>
    </row>
    <row r="63" spans="1:43" x14ac:dyDescent="0.2">
      <c r="A63" s="3"/>
      <c r="C63">
        <f t="shared" si="4"/>
        <v>4147.2</v>
      </c>
      <c r="D63">
        <f>HEX2DEC(1200)</f>
        <v>4608</v>
      </c>
      <c r="E63">
        <f>E66/8*5</f>
        <v>2400</v>
      </c>
      <c r="L63" s="3"/>
      <c r="N63">
        <f t="shared" si="5"/>
        <v>4608</v>
      </c>
      <c r="O63">
        <f>HEX2DEC(1200)</f>
        <v>4608</v>
      </c>
      <c r="P63">
        <f>P67/8*5</f>
        <v>2560</v>
      </c>
      <c r="AG63">
        <v>90</v>
      </c>
      <c r="AH63" s="24">
        <v>6.9166999999999996</v>
      </c>
      <c r="AI63" s="24">
        <f>(5+54/60)</f>
        <v>5.9</v>
      </c>
      <c r="AJ63" s="24">
        <f>AVERAGE(AH63:AI63)</f>
        <v>6.4083500000000004</v>
      </c>
      <c r="AK63" s="24">
        <f>AG63/AI63</f>
        <v>15.254237288135592</v>
      </c>
      <c r="AL63" s="24">
        <f>AG63/AH63</f>
        <v>13.011985484407305</v>
      </c>
      <c r="AM63">
        <f>AG63/AJ63</f>
        <v>14.044176738161928</v>
      </c>
      <c r="AN63" s="21">
        <f>(AM63-AM$67)/AM$67</f>
        <v>0.14578404506389087</v>
      </c>
      <c r="AO63" s="24">
        <f>AVERAGE(AK63:AL63)</f>
        <v>14.133111386271448</v>
      </c>
      <c r="AP63" s="21">
        <f>(AO63-AO$67)/AO$67</f>
        <v>0.13916163750473495</v>
      </c>
    </row>
    <row r="64" spans="1:43" x14ac:dyDescent="0.2">
      <c r="A64" s="3"/>
      <c r="C64">
        <f t="shared" si="4"/>
        <v>4285.8</v>
      </c>
      <c r="D64">
        <f>HEX2DEC("129A")</f>
        <v>4762</v>
      </c>
      <c r="E64">
        <f>E66/8*6</f>
        <v>2880</v>
      </c>
      <c r="L64" s="3"/>
      <c r="N64">
        <f t="shared" si="5"/>
        <v>6485.333333333333</v>
      </c>
      <c r="O64">
        <f>O63+(O66-O63)/3</f>
        <v>6485.333333333333</v>
      </c>
      <c r="P64">
        <f>P67/8*6</f>
        <v>3072</v>
      </c>
      <c r="AG64">
        <v>180</v>
      </c>
      <c r="AH64" s="24">
        <v>14.0778</v>
      </c>
      <c r="AI64" s="24">
        <f>(12+7/-60)</f>
        <v>11.883333333333333</v>
      </c>
      <c r="AJ64" s="24">
        <f t="shared" ref="AJ64:AJ67" si="6">AVERAGE(AH64:AI64)</f>
        <v>12.980566666666666</v>
      </c>
      <c r="AK64" s="24">
        <f>AG64/AI64</f>
        <v>15.147265077138851</v>
      </c>
      <c r="AL64" s="24">
        <f>AG64/AH64</f>
        <v>12.786088735455824</v>
      </c>
      <c r="AM64">
        <f>AG64/AJ64</f>
        <v>13.866883058520814</v>
      </c>
      <c r="AN64" s="21">
        <f>(AM64-AM$67)/AM$67</f>
        <v>0.13131966789100408</v>
      </c>
      <c r="AO64" s="24">
        <f>AVERAGE(AK64:AL64)</f>
        <v>13.966676906297337</v>
      </c>
      <c r="AP64" s="21">
        <f>(AO64-AO$67)/AO$67</f>
        <v>0.12574663145527257</v>
      </c>
    </row>
    <row r="65" spans="1:42" x14ac:dyDescent="0.2">
      <c r="A65" s="3"/>
      <c r="C65">
        <f>(C64+C66)/2</f>
        <v>7902.9</v>
      </c>
      <c r="D65">
        <f>C65*(D66/C66)</f>
        <v>8781</v>
      </c>
      <c r="E65">
        <f>E66/8*7</f>
        <v>3360</v>
      </c>
      <c r="L65" s="3"/>
      <c r="N65">
        <f t="shared" si="5"/>
        <v>8362.6666666666661</v>
      </c>
      <c r="O65">
        <f>O63+(O66-O63)/3*2</f>
        <v>8362.6666666666661</v>
      </c>
      <c r="P65">
        <f>P67/8*7</f>
        <v>3584</v>
      </c>
      <c r="AG65">
        <v>270</v>
      </c>
      <c r="AH65" s="24">
        <v>21.633299999999998</v>
      </c>
      <c r="AI65" s="24">
        <f>(19+28/60)</f>
        <v>19.466666666666665</v>
      </c>
      <c r="AJ65" s="24">
        <f t="shared" si="6"/>
        <v>20.54998333333333</v>
      </c>
      <c r="AK65" s="24">
        <f>AG65/AI65</f>
        <v>13.869863013698632</v>
      </c>
      <c r="AL65" s="24">
        <f>AG65/AH65</f>
        <v>12.480758830136873</v>
      </c>
      <c r="AM65">
        <f>AG65/AJ65</f>
        <v>13.138696787264225</v>
      </c>
      <c r="AN65" s="21">
        <f>(AM65-AM$67)/AM$67</f>
        <v>7.1911115364516567E-2</v>
      </c>
      <c r="AO65" s="24">
        <f>AVERAGE(AK65:AL65)</f>
        <v>13.175310921917752</v>
      </c>
      <c r="AP65" s="21">
        <f>(AO65-AO$67)/AO$67</f>
        <v>6.1960693172278279E-2</v>
      </c>
    </row>
    <row r="66" spans="1:42" x14ac:dyDescent="0.2">
      <c r="A66" s="3"/>
      <c r="C66">
        <f>HEX2DEC("2D00")</f>
        <v>11520</v>
      </c>
      <c r="D66">
        <f>HEX2DEC(1400)*D69</f>
        <v>12800</v>
      </c>
      <c r="E66">
        <f>HEX2DEC(D68)</f>
        <v>3840</v>
      </c>
      <c r="L66" s="3"/>
      <c r="N66">
        <f t="shared" si="5"/>
        <v>10240</v>
      </c>
      <c r="O66">
        <f>HEX2DEC(1400)*O69</f>
        <v>10240</v>
      </c>
      <c r="P66">
        <f>HEX2DEC("f00")</f>
        <v>3840</v>
      </c>
      <c r="AG66">
        <v>360</v>
      </c>
      <c r="AH66" s="24">
        <v>30.933299999999999</v>
      </c>
      <c r="AI66" s="24">
        <f>(26+37/60)</f>
        <v>26.616666666666667</v>
      </c>
      <c r="AJ66" s="24">
        <f t="shared" si="6"/>
        <v>28.774983333333331</v>
      </c>
      <c r="AK66" s="24">
        <f>AG66/AI66</f>
        <v>13.525360050093926</v>
      </c>
      <c r="AL66" s="24">
        <f>AG66/AH66</f>
        <v>11.637943575370233</v>
      </c>
      <c r="AM66">
        <f>AG66/AJ66</f>
        <v>12.510867368008903</v>
      </c>
      <c r="AN66" s="21">
        <f>(AM66-AM$67)/AM$67</f>
        <v>2.0690104335099369E-2</v>
      </c>
      <c r="AO66" s="24">
        <f>AVERAGE(AK66:AL66)</f>
        <v>12.58165181273208</v>
      </c>
      <c r="AP66" s="21">
        <f>(AO66-AO$67)/AO$67</f>
        <v>1.4110388702416921E-2</v>
      </c>
    </row>
    <row r="67" spans="1:42" x14ac:dyDescent="0.2">
      <c r="A67" s="3"/>
      <c r="L67" s="3"/>
      <c r="P67">
        <v>4096</v>
      </c>
      <c r="AG67">
        <v>405</v>
      </c>
      <c r="AH67" s="24">
        <v>36.666600000000003</v>
      </c>
      <c r="AI67" s="24">
        <f>(29+25/60)</f>
        <v>29.416666666666668</v>
      </c>
      <c r="AJ67" s="24">
        <f t="shared" si="6"/>
        <v>33.041633333333337</v>
      </c>
      <c r="AK67" s="24">
        <f>AG67/AI67</f>
        <v>13.76770538243626</v>
      </c>
      <c r="AL67" s="24">
        <f>AG67/AH67</f>
        <v>11.045474628135686</v>
      </c>
      <c r="AM67">
        <f>AG67/AJ67</f>
        <v>12.257263311236631</v>
      </c>
      <c r="AN67" s="21"/>
      <c r="AO67" s="24">
        <f>AVERAGE(AK67:AL67)</f>
        <v>12.406590005285974</v>
      </c>
      <c r="AP67" s="21"/>
    </row>
    <row r="68" spans="1:42" x14ac:dyDescent="0.2">
      <c r="A68" s="3"/>
      <c r="C68" t="s">
        <v>12</v>
      </c>
      <c r="D68" s="1" t="s">
        <v>10</v>
      </c>
      <c r="L68" s="3"/>
      <c r="N68" t="s">
        <v>12</v>
      </c>
      <c r="O68" s="1" t="s">
        <v>10</v>
      </c>
      <c r="AP68" s="21"/>
    </row>
    <row r="69" spans="1:42" x14ac:dyDescent="0.2">
      <c r="A69" s="3"/>
      <c r="C69" t="s">
        <v>18</v>
      </c>
      <c r="D69" s="1">
        <v>2.5</v>
      </c>
      <c r="L69" s="3"/>
      <c r="N69" t="s">
        <v>18</v>
      </c>
      <c r="O69" s="1">
        <v>2</v>
      </c>
      <c r="AP69" s="21"/>
    </row>
    <row r="70" spans="1:42" ht="17" thickBot="1" x14ac:dyDescent="0.25">
      <c r="A70" s="3"/>
      <c r="C70">
        <f>(D66-D65)/(E66-E65)</f>
        <v>8.3729166666666668</v>
      </c>
      <c r="K70" s="2"/>
      <c r="L70" s="3"/>
      <c r="N70">
        <f>(O66-O65)/(P66-P65)</f>
        <v>7.3333333333333357</v>
      </c>
      <c r="V70" s="2"/>
    </row>
    <row r="71" spans="1:42" ht="17" thickBot="1" x14ac:dyDescent="0.25">
      <c r="A71" s="3"/>
      <c r="D71" t="s">
        <v>13</v>
      </c>
      <c r="E71" s="18" t="str">
        <f>"0x" &amp; DEC2HEX(E58) &amp; ", 0x" &amp; DEC2HEX(E59) &amp; ", 0x" &amp; DEC2HEX(E60) &amp; ", 0x" &amp; DEC2HEX(E61) &amp; ", 0x" &amp; DEC2HEX(E62) &amp; ", 0x" &amp; DEC2HEX(E63) &amp; ", 0x" &amp; DEC2HEX(E64) &amp; ", 0x" &amp; DEC2HEX(E65) &amp; ", 0x" &amp; DEC2HEX(E66)</f>
        <v>0x0, 0x1E0, 0x3C0, 0x5A0, 0x780, 0x960, 0xB40, 0xD20, 0xF00</v>
      </c>
      <c r="F71" s="19"/>
      <c r="G71" s="19"/>
      <c r="H71" s="19"/>
      <c r="I71" s="19"/>
      <c r="J71" s="20"/>
      <c r="L71" s="3"/>
      <c r="O71" t="s">
        <v>13</v>
      </c>
      <c r="P71" s="18" t="str">
        <f>"0x" &amp; DEC2HEX(P58) &amp; ", 0x" &amp; DEC2HEX(P59) &amp; ", 0x" &amp; DEC2HEX(P60) &amp; ", 0x" &amp; DEC2HEX(P61) &amp; ", 0x" &amp; DEC2HEX(P62) &amp; ", 0x" &amp; DEC2HEX(P63) &amp; ", 0x" &amp; DEC2HEX(P64) &amp; ", 0x" &amp; DEC2HEX(P65) &amp; ", 0x" &amp; DEC2HEX(P66)</f>
        <v>0x0, 0x200, 0x400, 0x600, 0x800, 0xA00, 0xC00, 0xE00, 0xF00</v>
      </c>
      <c r="Q71" s="19"/>
      <c r="R71" s="19"/>
      <c r="S71" s="19"/>
      <c r="T71" s="19"/>
      <c r="U71" s="20"/>
    </row>
    <row r="72" spans="1:42" ht="17" thickBot="1" x14ac:dyDescent="0.25">
      <c r="A72" s="3"/>
      <c r="D72" t="s">
        <v>14</v>
      </c>
      <c r="E72" s="18" t="str">
        <f>"0x" &amp; DEC2HEX(C58) &amp; ", 0x" &amp; DEC2HEX(C59) &amp; ", 0x" &amp; DEC2HEX(C60) &amp; ", 0x" &amp; DEC2HEX(C61) &amp; ", 0x" &amp; DEC2HEX(C62) &amp; ", 0x" &amp; DEC2HEX(C63) &amp; ", 0x" &amp; DEC2HEX(C64) &amp; ", 0x" &amp; DEC2HEX(C65) &amp; ", 0x" &amp; DEC2HEX(C66)</f>
        <v>0x0, 0x480, 0x912, 0xCFB, 0xF4C, 0x1033, 0x10BD, 0x1EDE, 0x2D00</v>
      </c>
      <c r="F72" s="19"/>
      <c r="G72" s="19"/>
      <c r="H72" s="19"/>
      <c r="I72" s="19"/>
      <c r="J72" s="20"/>
      <c r="L72" s="3"/>
      <c r="O72" t="s">
        <v>14</v>
      </c>
      <c r="P72" s="18" t="str">
        <f>"0x" &amp; DEC2HEX(N58) &amp; ", 0x" &amp; DEC2HEX(N59) &amp; ", 0x" &amp; DEC2HEX(N60) &amp; ", 0x" &amp; DEC2HEX(N61) &amp; ", 0x" &amp; DEC2HEX(N62) &amp; ", 0x" &amp; DEC2HEX(N63) &amp; ", 0x" &amp; DEC2HEX(N64) &amp; ", 0x" &amp; DEC2HEX(N65) &amp; ", 0x" &amp; DEC2HEX(N66)</f>
        <v>0x0, 0x500, 0xA15, 0xE6D, 0x1100, 0x1200, 0x1955, 0x20AA, 0x2800</v>
      </c>
      <c r="Q72" s="19"/>
      <c r="R72" s="19"/>
      <c r="S72" s="19"/>
      <c r="T72" s="19"/>
      <c r="U72" s="20"/>
    </row>
    <row r="73" spans="1:42" ht="17" customHeight="1" thickBot="1" x14ac:dyDescent="0.25">
      <c r="A73" s="3"/>
      <c r="D73" t="s">
        <v>15</v>
      </c>
      <c r="E73" s="9" t="str">
        <f>"0x" &amp; DEC2HEX(D58) &amp; ", 0x" &amp; DEC2HEX(D59) &amp; ", 0x" &amp; DEC2HEX(D60) &amp; ", 0x" &amp; DEC2HEX(D61) &amp; ", 0x" &amp; DEC2HEX(D62) &amp; ", 0x" &amp; DEC2HEX(D63) &amp; ", 0x" &amp; DEC2HEX(D64) &amp; ", 0x" &amp; DEC2HEX(D65) &amp; ", 0x" &amp; DEC2HEX(D66)&amp;",
0x" &amp; DEC2HEX(D58) &amp; ", 0x" &amp; DEC2HEX(D59) &amp; ", 0x" &amp; DEC2HEX(D60) &amp; ", 0x" &amp; DEC2HEX(D61) &amp; ", 0x" &amp; DEC2HEX(D62) &amp; ", 0x" &amp; DEC2HEX(D63) &amp; ", 0x" &amp; DEC2HEX(D64) &amp; ", 0x" &amp; DEC2HEX(D65) &amp; ", 0x" &amp; DEC2HEX(D66)&amp;",
0x" &amp; DEC2HEX(D58) &amp; ", 0x" &amp; DEC2HEX(D59) &amp; ", 0x" &amp; DEC2HEX(D60) &amp; ", 0x" &amp; DEC2HEX(D61) &amp; ", 0x" &amp; DEC2HEX(D62) &amp; ", 0x" &amp; DEC2HEX(D63) &amp; ", 0x" &amp; DEC2HEX(D64) &amp; ", 0x" &amp; DEC2HEX(D65) &amp; ", 0x" &amp; DEC2HEX(D66)&amp;",
0x" &amp; DEC2HEX(D58) &amp; ", 0x" &amp; DEC2HEX(D59) &amp; ", 0x" &amp; DEC2HEX(D60) &amp; ", 0x" &amp; DEC2HEX(D61) &amp; ", 0x" &amp; DEC2HEX(D62) &amp; ", 0x" &amp; DEC2HEX(D63) &amp; ", 0x" &amp; DEC2HEX(D64) &amp; ", 0x" &amp; DEC2HEX(D65) &amp; ", 0x" &amp; DEC2HEX(D66)&amp;",
0x" &amp; DEC2HEX(D58) &amp; ", 0x" &amp; DEC2HEX(D59) &amp; ", 0x" &amp; DEC2HEX(D60) &amp; ", 0x" &amp; DEC2HEX(D61) &amp; ", 0x" &amp; DEC2HEX(D62) &amp; ", 0x" &amp; DEC2HEX(D63) &amp; ", 0x" &amp; DEC2HEX(D64) &amp; ", 0x" &amp; DEC2HEX(D65) &amp; ", 0x" &amp; DEC2HEX(D66)&amp;",
0x" &amp; DEC2HEX(D58) &amp; ", 0x" &amp; DEC2HEX(D59) &amp; ", 0x" &amp; DEC2HEX(D60) &amp; ", 0x" &amp; DEC2HEX(D61) &amp; ", 0x" &amp; DEC2HEX(D62) &amp; ", 0x" &amp; DEC2HEX(D63) &amp; ", 0x" &amp; DEC2HEX(D64) &amp; ", 0x" &amp; DEC2HEX(D65) &amp; ", 0x" &amp; DEC2HEX(D66)&amp;",
0x" &amp; DEC2HEX(D58) &amp; ", 0x" &amp; DEC2HEX(D59) &amp; ", 0x" &amp; DEC2HEX(D60) &amp; ", 0x" &amp; DEC2HEX(D61) &amp; ", 0x" &amp; DEC2HEX(D62) &amp; ", 0x" &amp; DEC2HEX(D63) &amp; ", 0x" &amp; DEC2HEX(D64) &amp; ", 0x" &amp; DEC2HEX(D65) &amp; ", 0x" &amp; DEC2HEX(D66)</f>
        <v>0x0, 0x500, 0xA15, 0xE6D, 0x1100, 0x1200, 0x129A, 0x224D, 0x3200,
0x0, 0x500, 0xA15, 0xE6D, 0x1100, 0x1200, 0x129A, 0x224D, 0x3200,
0x0, 0x500, 0xA15, 0xE6D, 0x1100, 0x1200, 0x129A, 0x224D, 0x3200,
0x0, 0x500, 0xA15, 0xE6D, 0x1100, 0x1200, 0x129A, 0x224D, 0x3200,
0x0, 0x500, 0xA15, 0xE6D, 0x1100, 0x1200, 0x129A, 0x224D, 0x3200,
0x0, 0x500, 0xA15, 0xE6D, 0x1100, 0x1200, 0x129A, 0x224D, 0x3200,
0x0, 0x500, 0xA15, 0xE6D, 0x1100, 0x1200, 0x129A, 0x224D, 0x3200</v>
      </c>
      <c r="F73" s="10"/>
      <c r="G73" s="10"/>
      <c r="H73" s="10"/>
      <c r="I73" s="10"/>
      <c r="J73" s="11"/>
      <c r="L73" s="3"/>
      <c r="O73" t="s">
        <v>15</v>
      </c>
      <c r="P73" s="9" t="str">
        <f>"0x" &amp; DEC2HEX(O58) &amp; ", 0x" &amp; DEC2HEX(O59) &amp; ", 0x" &amp; DEC2HEX(O60) &amp; ", 0x" &amp; DEC2HEX(O61) &amp; ", 0x" &amp; DEC2HEX(O62) &amp; ", 0x" &amp; DEC2HEX(O63) &amp; ", 0x" &amp; DEC2HEX(O64) &amp; ", 0x" &amp; DEC2HEX(O65) &amp; ", 0x" &amp; DEC2HEX(O66)&amp;",
0x" &amp; DEC2HEX(O58) &amp; ", 0x" &amp; DEC2HEX(O59) &amp; ", 0x" &amp; DEC2HEX(O60) &amp; ", 0x" &amp; DEC2HEX(O61) &amp; ", 0x" &amp; DEC2HEX(O62) &amp; ", 0x" &amp; DEC2HEX(O63) &amp; ", 0x" &amp; DEC2HEX(O64) &amp; ", 0x" &amp; DEC2HEX(O65) &amp; ", 0x" &amp; DEC2HEX(O66)&amp;",
0x" &amp; DEC2HEX(O58) &amp; ", 0x" &amp; DEC2HEX(O59) &amp; ", 0x" &amp; DEC2HEX(O60) &amp; ", 0x" &amp; DEC2HEX(O61) &amp; ", 0x" &amp; DEC2HEX(O62) &amp; ", 0x" &amp; DEC2HEX(O63) &amp; ", 0x" &amp; DEC2HEX(O64) &amp; ", 0x" &amp; DEC2HEX(O65) &amp; ", 0x" &amp; DEC2HEX(O66)&amp;",
0x" &amp; DEC2HEX(O58) &amp; ", 0x" &amp; DEC2HEX(O59) &amp; ", 0x" &amp; DEC2HEX(O60) &amp; ", 0x" &amp; DEC2HEX(O61) &amp; ", 0x" &amp; DEC2HEX(O62) &amp; ", 0x" &amp; DEC2HEX(O63) &amp; ", 0x" &amp; DEC2HEX(O64) &amp; ", 0x" &amp; DEC2HEX(O65) &amp; ", 0x" &amp; DEC2HEX(O66)&amp;",
0x" &amp; DEC2HEX(O58) &amp; ", 0x" &amp; DEC2HEX(O59) &amp; ", 0x" &amp; DEC2HEX(O60) &amp; ", 0x" &amp; DEC2HEX(O61) &amp; ", 0x" &amp; DEC2HEX(O62) &amp; ", 0x" &amp; DEC2HEX(O63) &amp; ", 0x" &amp; DEC2HEX(O64) &amp; ", 0x" &amp; DEC2HEX(O65) &amp; ", 0x" &amp; DEC2HEX(O66)&amp;",
0x" &amp; DEC2HEX(O58) &amp; ", 0x" &amp; DEC2HEX(O59) &amp; ", 0x" &amp; DEC2HEX(O60) &amp; ", 0x" &amp; DEC2HEX(O61) &amp; ", 0x" &amp; DEC2HEX(O62) &amp; ", 0x" &amp; DEC2HEX(O63) &amp; ", 0x" &amp; DEC2HEX(O64) &amp; ", 0x" &amp; DEC2HEX(O65) &amp; ", 0x" &amp; DEC2HEX(O66)&amp;",
0x" &amp; DEC2HEX(O58) &amp; ", 0x" &amp; DEC2HEX(O59) &amp; ", 0x" &amp; DEC2HEX(O60) &amp; ", 0x" &amp; DEC2HEX(O61) &amp; ", 0x" &amp; DEC2HEX(O62) &amp; ", 0x" &amp; DEC2HEX(O63) &amp; ", 0x" &amp; DEC2HEX(O64) &amp; ", 0x" &amp; DEC2HEX(O65) &amp; ", 0x" &amp; DEC2HEX(O66)</f>
        <v>0x0, 0x500, 0xA15, 0xE6D, 0x1100, 0x1200, 0x1955, 0x20AA, 0x2800,
0x0, 0x500, 0xA15, 0xE6D, 0x1100, 0x1200, 0x1955, 0x20AA, 0x2800,
0x0, 0x500, 0xA15, 0xE6D, 0x1100, 0x1200, 0x1955, 0x20AA, 0x2800,
0x0, 0x500, 0xA15, 0xE6D, 0x1100, 0x1200, 0x1955, 0x20AA, 0x2800,
0x0, 0x500, 0xA15, 0xE6D, 0x1100, 0x1200, 0x1955, 0x20AA, 0x2800,
0x0, 0x500, 0xA15, 0xE6D, 0x1100, 0x1200, 0x1955, 0x20AA, 0x2800,
0x0, 0x500, 0xA15, 0xE6D, 0x1100, 0x1200, 0x1955, 0x20AA, 0x2800</v>
      </c>
      <c r="Q73" s="10"/>
      <c r="R73" s="10"/>
      <c r="S73" s="10"/>
      <c r="T73" s="10"/>
      <c r="U73" s="11"/>
    </row>
    <row r="74" spans="1:42" x14ac:dyDescent="0.2">
      <c r="A74" s="3"/>
      <c r="L74" s="8"/>
    </row>
    <row r="75" spans="1:42" x14ac:dyDescent="0.2">
      <c r="A75" s="3"/>
      <c r="L75" s="8"/>
    </row>
    <row r="76" spans="1:4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4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4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83" spans="2:41" ht="17" thickBot="1" x14ac:dyDescent="0.25"/>
    <row r="84" spans="2:41" x14ac:dyDescent="0.2">
      <c r="C84" s="12" t="s">
        <v>32</v>
      </c>
      <c r="D84" s="13"/>
      <c r="E84" s="13"/>
      <c r="F84" s="13"/>
      <c r="G84" s="13"/>
      <c r="H84" s="13"/>
      <c r="I84" s="13"/>
      <c r="J84" s="14"/>
    </row>
    <row r="85" spans="2:41" ht="17" thickBot="1" x14ac:dyDescent="0.25">
      <c r="C85" s="15"/>
      <c r="D85" s="16"/>
      <c r="E85" s="16"/>
      <c r="F85" s="16"/>
      <c r="G85" s="16"/>
      <c r="H85" s="16"/>
      <c r="I85" s="16"/>
      <c r="J85" s="17"/>
    </row>
    <row r="88" spans="2:41" x14ac:dyDescent="0.2">
      <c r="B88" t="s">
        <v>11</v>
      </c>
      <c r="C88" t="s">
        <v>16</v>
      </c>
      <c r="D88" t="s">
        <v>21</v>
      </c>
      <c r="E88" t="s">
        <v>22</v>
      </c>
      <c r="F88" t="s">
        <v>23</v>
      </c>
      <c r="G88" t="s">
        <v>24</v>
      </c>
      <c r="H88" t="s">
        <v>25</v>
      </c>
      <c r="I88" t="s">
        <v>31</v>
      </c>
      <c r="J88" t="s">
        <v>30</v>
      </c>
      <c r="K88" t="s">
        <v>17</v>
      </c>
    </row>
    <row r="89" spans="2:41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f>HEX2DEC(G89)</f>
        <v>0</v>
      </c>
      <c r="I89">
        <f t="shared" ref="I89:I97" si="7">HEX2DEC(J89)</f>
        <v>0</v>
      </c>
      <c r="J89">
        <v>0</v>
      </c>
      <c r="K89">
        <v>0</v>
      </c>
    </row>
    <row r="90" spans="2:41" x14ac:dyDescent="0.2">
      <c r="B90">
        <f t="shared" ref="B90:B95" si="8">K90/(D$66/C$66)</f>
        <v>1152</v>
      </c>
      <c r="C90">
        <f>C98/8</f>
        <v>512</v>
      </c>
      <c r="D90" t="str">
        <f>DEC2HEX(C90)</f>
        <v>200</v>
      </c>
      <c r="E90" t="str">
        <f>DEC2HEX(C90*HEX2DEC("DDB4"))</f>
        <v>1BB6800</v>
      </c>
      <c r="F90" t="str">
        <f>DEC2HEX(_xlfn.BITRSHIFT(HEX2DEC(E90),15))</f>
        <v>376</v>
      </c>
      <c r="G90" t="str">
        <f>DEC2HEX(_xlfn.BITRSHIFT(HEX2DEC(F90),2))</f>
        <v>DD</v>
      </c>
      <c r="H90">
        <f t="shared" ref="H90:H97" si="9">HEX2DEC(G90)</f>
        <v>221</v>
      </c>
      <c r="I90">
        <f t="shared" si="7"/>
        <v>219</v>
      </c>
      <c r="J90" t="s">
        <v>0</v>
      </c>
      <c r="K90">
        <f>HEX2DEC(500)</f>
        <v>1280</v>
      </c>
    </row>
    <row r="91" spans="2:41" x14ac:dyDescent="0.2">
      <c r="B91">
        <f t="shared" si="8"/>
        <v>2322.9</v>
      </c>
      <c r="C91">
        <f>C98/8*2</f>
        <v>1024</v>
      </c>
      <c r="D91" t="str">
        <f t="shared" ref="D91:D97" si="10">DEC2HEX(C91)</f>
        <v>400</v>
      </c>
      <c r="E91" t="str">
        <f t="shared" ref="E91:E96" si="11">DEC2HEX(C91*HEX2DEC("DDB4"))</f>
        <v>376D000</v>
      </c>
      <c r="F91" t="str">
        <f t="shared" ref="F91:F96" si="12">DEC2HEX(_xlfn.BITRSHIFT(HEX2DEC(E91),15))</f>
        <v>6ED</v>
      </c>
      <c r="G91" t="str">
        <f t="shared" ref="G91:G96" si="13">DEC2HEX(_xlfn.BITRSHIFT(HEX2DEC(F91),2))</f>
        <v>1BB</v>
      </c>
      <c r="H91">
        <f t="shared" si="9"/>
        <v>443</v>
      </c>
      <c r="I91">
        <f t="shared" si="7"/>
        <v>443</v>
      </c>
      <c r="J91" t="s">
        <v>1</v>
      </c>
      <c r="K91">
        <f>HEX2DEC("A15")</f>
        <v>2581</v>
      </c>
    </row>
    <row r="92" spans="2:41" x14ac:dyDescent="0.2">
      <c r="B92">
        <f t="shared" si="8"/>
        <v>3323.7</v>
      </c>
      <c r="C92">
        <f>C98/8*3</f>
        <v>1536</v>
      </c>
      <c r="D92" t="str">
        <f t="shared" si="10"/>
        <v>600</v>
      </c>
      <c r="E92" t="str">
        <f t="shared" si="11"/>
        <v>5323800</v>
      </c>
      <c r="F92" t="str">
        <f t="shared" si="12"/>
        <v>A64</v>
      </c>
      <c r="G92" t="str">
        <f t="shared" si="13"/>
        <v>299</v>
      </c>
      <c r="H92">
        <f t="shared" si="9"/>
        <v>665</v>
      </c>
      <c r="I92">
        <f t="shared" si="7"/>
        <v>662</v>
      </c>
      <c r="J92">
        <v>296</v>
      </c>
      <c r="K92">
        <f>HEX2DEC("E6D")</f>
        <v>3693</v>
      </c>
      <c r="AG92" s="6"/>
      <c r="AH92" s="6"/>
      <c r="AI92" s="6"/>
      <c r="AJ92" s="6"/>
      <c r="AK92" s="26"/>
      <c r="AL92" s="27"/>
      <c r="AM92" s="26"/>
      <c r="AN92" s="27"/>
      <c r="AO92" s="24"/>
    </row>
    <row r="93" spans="2:41" x14ac:dyDescent="0.2">
      <c r="B93">
        <f t="shared" si="8"/>
        <v>3916.7999999999997</v>
      </c>
      <c r="C93">
        <f>C98/8*4</f>
        <v>2048</v>
      </c>
      <c r="D93" t="str">
        <f t="shared" si="10"/>
        <v>800</v>
      </c>
      <c r="E93" t="str">
        <f t="shared" si="11"/>
        <v>6EDA000</v>
      </c>
      <c r="F93" t="str">
        <f t="shared" si="12"/>
        <v>DDB</v>
      </c>
      <c r="G93" t="str">
        <f t="shared" si="13"/>
        <v>376</v>
      </c>
      <c r="H93">
        <f t="shared" si="9"/>
        <v>886</v>
      </c>
      <c r="I93">
        <f t="shared" si="7"/>
        <v>887</v>
      </c>
      <c r="J93">
        <v>377</v>
      </c>
      <c r="K93">
        <f>HEX2DEC(1100)</f>
        <v>4352</v>
      </c>
      <c r="AH93" s="24"/>
      <c r="AL93" s="21"/>
      <c r="AM93" s="24"/>
      <c r="AN93" s="21"/>
    </row>
    <row r="94" spans="2:41" x14ac:dyDescent="0.2">
      <c r="B94">
        <f t="shared" si="8"/>
        <v>4147.2</v>
      </c>
      <c r="C94">
        <f>C98/8*5</f>
        <v>2560</v>
      </c>
      <c r="D94" t="str">
        <f t="shared" si="10"/>
        <v>A00</v>
      </c>
      <c r="E94" t="str">
        <f t="shared" si="11"/>
        <v>8A90800</v>
      </c>
      <c r="F94" t="str">
        <f t="shared" si="12"/>
        <v>1152</v>
      </c>
      <c r="G94" t="str">
        <f t="shared" si="13"/>
        <v>454</v>
      </c>
      <c r="H94">
        <f t="shared" si="9"/>
        <v>1108</v>
      </c>
      <c r="I94">
        <f t="shared" si="7"/>
        <v>1108</v>
      </c>
      <c r="J94">
        <v>454</v>
      </c>
      <c r="K94">
        <f>HEX2DEC(1200)</f>
        <v>4608</v>
      </c>
      <c r="AH94" s="24"/>
      <c r="AL94" s="21"/>
      <c r="AM94" s="24"/>
      <c r="AN94" s="21"/>
    </row>
    <row r="95" spans="2:41" x14ac:dyDescent="0.2">
      <c r="B95">
        <f t="shared" si="8"/>
        <v>4285.8</v>
      </c>
      <c r="C95">
        <f>C98/8*6</f>
        <v>3072</v>
      </c>
      <c r="D95" t="str">
        <f t="shared" si="10"/>
        <v>C00</v>
      </c>
      <c r="E95" t="str">
        <f t="shared" si="11"/>
        <v>A647000</v>
      </c>
      <c r="F95" t="str">
        <f t="shared" si="12"/>
        <v>14C8</v>
      </c>
      <c r="G95" t="str">
        <f t="shared" si="13"/>
        <v>532</v>
      </c>
      <c r="H95">
        <f t="shared" si="9"/>
        <v>1330</v>
      </c>
      <c r="I95">
        <f t="shared" si="7"/>
        <v>1330</v>
      </c>
      <c r="J95">
        <v>532</v>
      </c>
      <c r="K95">
        <f>HEX2DEC("129A")</f>
        <v>4762</v>
      </c>
      <c r="AH95" s="24"/>
      <c r="AL95" s="21"/>
      <c r="AM95" s="24"/>
      <c r="AN95" s="21"/>
    </row>
    <row r="96" spans="2:41" x14ac:dyDescent="0.2">
      <c r="B96">
        <f>(B95+B97)/2</f>
        <v>7902.9</v>
      </c>
      <c r="C96">
        <f>C98/8*7</f>
        <v>3584</v>
      </c>
      <c r="D96" t="str">
        <f t="shared" si="10"/>
        <v>E00</v>
      </c>
      <c r="E96" t="str">
        <f t="shared" si="11"/>
        <v>C1FD800</v>
      </c>
      <c r="F96" t="str">
        <f t="shared" si="12"/>
        <v>183F</v>
      </c>
      <c r="G96" t="str">
        <f t="shared" si="13"/>
        <v>60F</v>
      </c>
      <c r="H96">
        <f t="shared" si="9"/>
        <v>1551</v>
      </c>
      <c r="I96">
        <f t="shared" si="7"/>
        <v>1552</v>
      </c>
      <c r="J96">
        <v>610</v>
      </c>
      <c r="K96">
        <f>B96*(K97/B97)</f>
        <v>8781</v>
      </c>
      <c r="AH96" s="24"/>
      <c r="AL96" s="21"/>
      <c r="AM96" s="24"/>
      <c r="AN96" s="21"/>
    </row>
    <row r="97" spans="2:42" x14ac:dyDescent="0.2">
      <c r="B97">
        <f>HEX2DEC("2D00")</f>
        <v>11520</v>
      </c>
      <c r="C97">
        <f>HEX2DEC("f00")</f>
        <v>3840</v>
      </c>
      <c r="D97" t="str">
        <f t="shared" si="10"/>
        <v>F00</v>
      </c>
      <c r="E97" t="str">
        <f>DEC2HEX(C97*HEX2DEC("DDB4"))</f>
        <v>CFD8C00</v>
      </c>
      <c r="F97" t="str">
        <f>DEC2HEX(_xlfn.BITRSHIFT(HEX2DEC(E97),15))</f>
        <v>19FB</v>
      </c>
      <c r="G97" t="str">
        <f>DEC2HEX(_xlfn.BITRSHIFT(HEX2DEC(F97),2))</f>
        <v>67E</v>
      </c>
      <c r="H97">
        <f t="shared" si="9"/>
        <v>1662</v>
      </c>
      <c r="I97">
        <f t="shared" si="7"/>
        <v>1663</v>
      </c>
      <c r="J97" t="s">
        <v>2</v>
      </c>
      <c r="K97">
        <f>HEX2DEC(1400)*D100</f>
        <v>12800</v>
      </c>
      <c r="AH97" s="24"/>
      <c r="AL97" s="21"/>
      <c r="AM97" s="24"/>
      <c r="AN97" s="21"/>
    </row>
    <row r="98" spans="2:42" x14ac:dyDescent="0.2">
      <c r="C98">
        <f>HEX2DEC(D99)</f>
        <v>4096</v>
      </c>
      <c r="AM98" s="24"/>
      <c r="AP98" s="21"/>
    </row>
    <row r="99" spans="2:42" x14ac:dyDescent="0.2">
      <c r="C99" t="s">
        <v>12</v>
      </c>
      <c r="D99" s="1">
        <v>1000</v>
      </c>
      <c r="AM99" s="24"/>
      <c r="AP99" s="21"/>
    </row>
    <row r="100" spans="2:42" x14ac:dyDescent="0.2">
      <c r="C100" t="s">
        <v>18</v>
      </c>
      <c r="D100" s="1">
        <v>2.5</v>
      </c>
      <c r="AM100" s="24"/>
    </row>
    <row r="101" spans="2:42" ht="17" thickBot="1" x14ac:dyDescent="0.25">
      <c r="C101">
        <f>(K97-K96)/(C98-C96)</f>
        <v>7.849609375</v>
      </c>
      <c r="AM101" s="24"/>
    </row>
    <row r="102" spans="2:42" ht="17" thickBot="1" x14ac:dyDescent="0.25">
      <c r="D102" t="s">
        <v>13</v>
      </c>
      <c r="E102" s="18" t="str">
        <f>"0x" &amp; DEC2HEX(C89) &amp; ", 0x" &amp; DEC2HEX(C90) &amp; ", 0x" &amp; DEC2HEX(C91) &amp; ", 0x" &amp; DEC2HEX(C92) &amp; ", 0x" &amp; DEC2HEX(C93) &amp; ", 0x" &amp; DEC2HEX(C94) &amp; ", 0x" &amp; DEC2HEX(C95) &amp; ", 0x" &amp; DEC2HEX(C96) &amp; ", 0x" &amp; DEC2HEX(C97)</f>
        <v>0x0, 0x200, 0x400, 0x600, 0x800, 0xA00, 0xC00, 0xE00, 0xF00</v>
      </c>
      <c r="F102" s="19"/>
      <c r="G102" s="19"/>
      <c r="H102" s="19"/>
      <c r="I102" s="19"/>
      <c r="J102" s="20"/>
    </row>
    <row r="103" spans="2:42" ht="17" thickBot="1" x14ac:dyDescent="0.25">
      <c r="D103" t="s">
        <v>14</v>
      </c>
      <c r="E103" s="18" t="str">
        <f>"0x" &amp; DEC2HEX(B89) &amp; ", 0x" &amp; DEC2HEX(B90) &amp; ", 0x" &amp; DEC2HEX(B91) &amp; ", 0x" &amp; DEC2HEX(B92) &amp; ", 0x" &amp; DEC2HEX(B93) &amp; ", 0x" &amp; DEC2HEX(B94) &amp; ", 0x" &amp; DEC2HEX(B95) &amp; ", 0x" &amp; DEC2HEX(B96) &amp; ", 0x" &amp; DEC2HEX(B97)</f>
        <v>0x0, 0x480, 0x912, 0xCFB, 0xF4C, 0x1033, 0x10BD, 0x1EDE, 0x2D00</v>
      </c>
      <c r="F103" s="19"/>
      <c r="G103" s="19"/>
      <c r="H103" s="19"/>
      <c r="I103" s="19"/>
      <c r="J103" s="20"/>
    </row>
    <row r="104" spans="2:42" ht="17" thickBot="1" x14ac:dyDescent="0.25">
      <c r="D104" t="s">
        <v>15</v>
      </c>
      <c r="E104" s="9" t="str">
        <f>"0x" &amp; DEC2HEX(K89) &amp; ", 0x" &amp; DEC2HEX(K90) &amp; ", 0x" &amp; DEC2HEX(K91) &amp; ", 0x" &amp; DEC2HEX(K92) &amp; ", 0x" &amp; DEC2HEX(K93) &amp; ", 0x" &amp; DEC2HEX(K94) &amp; ", 0x" &amp; DEC2HEX(K95) &amp; ", 0x" &amp; DEC2HEX(K96) &amp; ", 0x" &amp; DEC2HEX(K97)&amp;",
0x" &amp; DEC2HEX(K89) &amp; ", 0x" &amp; DEC2HEX(K90) &amp; ", 0x" &amp; DEC2HEX(K91) &amp; ", 0x" &amp; DEC2HEX(K92) &amp; ", 0x" &amp; DEC2HEX(K93) &amp; ", 0x" &amp; DEC2HEX(K94) &amp; ", 0x" &amp; DEC2HEX(K95) &amp; ", 0x" &amp; DEC2HEX(K96) &amp; ", 0x" &amp; DEC2HEX(K97)&amp;",
0x" &amp; DEC2HEX(K89) &amp; ", 0x" &amp; DEC2HEX(K90) &amp; ", 0x" &amp; DEC2HEX(K91) &amp; ", 0x" &amp; DEC2HEX(K92) &amp; ", 0x" &amp; DEC2HEX(K93) &amp; ", 0x" &amp; DEC2HEX(K94) &amp; ", 0x" &amp; DEC2HEX(K95) &amp; ", 0x" &amp; DEC2HEX(K96) &amp; ", 0x" &amp; DEC2HEX(K97)&amp;",
0x" &amp; DEC2HEX(K89) &amp; ", 0x" &amp; DEC2HEX(K90) &amp; ", 0x" &amp; DEC2HEX(K91) &amp; ", 0x" &amp; DEC2HEX(K92) &amp; ", 0x" &amp; DEC2HEX(K93) &amp; ", 0x" &amp; DEC2HEX(K94) &amp; ", 0x" &amp; DEC2HEX(K95) &amp; ", 0x" &amp; DEC2HEX(K96) &amp; ", 0x" &amp; DEC2HEX(K97)&amp;",
0x" &amp; DEC2HEX(K89) &amp; ", 0x" &amp; DEC2HEX(K90) &amp; ", 0x" &amp; DEC2HEX(K91) &amp; ", 0x" &amp; DEC2HEX(K92) &amp; ", 0x" &amp; DEC2HEX(K93) &amp; ", 0x" &amp; DEC2HEX(K94) &amp; ", 0x" &amp; DEC2HEX(K95) &amp; ", 0x" &amp; DEC2HEX(K96) &amp; ", 0x" &amp; DEC2HEX(K97)&amp;",
0x" &amp; DEC2HEX(K89) &amp; ", 0x" &amp; DEC2HEX(K90) &amp; ", 0x" &amp; DEC2HEX(K91) &amp; ", 0x" &amp; DEC2HEX(K92) &amp; ", 0x" &amp; DEC2HEX(K93) &amp; ", 0x" &amp; DEC2HEX(K94) &amp; ", 0x" &amp; DEC2HEX(K95) &amp; ", 0x" &amp; DEC2HEX(K96) &amp; ", 0x" &amp; DEC2HEX(K97)&amp;",
0x" &amp; DEC2HEX(K89) &amp; ", 0x" &amp; DEC2HEX(K90) &amp; ", 0x" &amp; DEC2HEX(K91) &amp; ", 0x" &amp; DEC2HEX(K92) &amp; ", 0x" &amp; DEC2HEX(K93) &amp; ", 0x" &amp; DEC2HEX(K94) &amp; ", 0x" &amp; DEC2HEX(K95) &amp; ", 0x" &amp; DEC2HEX(K96) &amp; ", 0x" &amp; DEC2HEX(K97)</f>
        <v>0x0, 0x500, 0xA15, 0xE6D, 0x1100, 0x1200, 0x129A, 0x224D, 0x3200,
0x0, 0x500, 0xA15, 0xE6D, 0x1100, 0x1200, 0x129A, 0x224D, 0x3200,
0x0, 0x500, 0xA15, 0xE6D, 0x1100, 0x1200, 0x129A, 0x224D, 0x3200,
0x0, 0x500, 0xA15, 0xE6D, 0x1100, 0x1200, 0x129A, 0x224D, 0x3200,
0x0, 0x500, 0xA15, 0xE6D, 0x1100, 0x1200, 0x129A, 0x224D, 0x3200,
0x0, 0x500, 0xA15, 0xE6D, 0x1100, 0x1200, 0x129A, 0x224D, 0x3200,
0x0, 0x500, 0xA15, 0xE6D, 0x1100, 0x1200, 0x129A, 0x224D, 0x3200</v>
      </c>
      <c r="F104" s="10"/>
      <c r="G104" s="10"/>
      <c r="H104" s="10"/>
      <c r="I104" s="10"/>
      <c r="J104" s="11"/>
    </row>
    <row r="112" spans="2:42" x14ac:dyDescent="0.2">
      <c r="D112">
        <f>HEX2DEC("DDB4")</f>
        <v>56756</v>
      </c>
      <c r="E112">
        <f>C90*D112</f>
        <v>29059072</v>
      </c>
    </row>
    <row r="113" spans="3:10" x14ac:dyDescent="0.2">
      <c r="D113">
        <f>HEX2DEC("F")</f>
        <v>15</v>
      </c>
      <c r="E113">
        <f>HEX2DEC("F")</f>
        <v>15</v>
      </c>
    </row>
    <row r="114" spans="3:10" x14ac:dyDescent="0.2">
      <c r="D114">
        <f>_xlfn.BITRSHIFT(D112,D113)</f>
        <v>1</v>
      </c>
      <c r="E114">
        <f>_xlfn.BITRSHIFT(E112,E113)</f>
        <v>886</v>
      </c>
    </row>
    <row r="115" spans="3:10" x14ac:dyDescent="0.2">
      <c r="D115">
        <f>_xlfn.BITRSHIFT(D114,2)</f>
        <v>0</v>
      </c>
      <c r="E115">
        <f>_xlfn.BITRSHIFT(E114,2)</f>
        <v>221</v>
      </c>
    </row>
    <row r="116" spans="3:10" x14ac:dyDescent="0.2">
      <c r="E116" t="str">
        <f>DEC2HEX(E115)</f>
        <v>DD</v>
      </c>
    </row>
    <row r="124" spans="3:10" ht="17" thickBot="1" x14ac:dyDescent="0.25"/>
    <row r="125" spans="3:10" x14ac:dyDescent="0.2">
      <c r="C125" s="12" t="s">
        <v>33</v>
      </c>
      <c r="D125" s="13"/>
      <c r="E125" s="13"/>
      <c r="F125" s="13"/>
      <c r="G125" s="13"/>
      <c r="H125" s="13"/>
      <c r="I125" s="13"/>
      <c r="J125" s="14"/>
    </row>
    <row r="126" spans="3:10" ht="17" thickBot="1" x14ac:dyDescent="0.25">
      <c r="C126" s="15"/>
      <c r="D126" s="16"/>
      <c r="E126" s="16"/>
      <c r="F126" s="16"/>
      <c r="G126" s="16"/>
      <c r="H126" s="16"/>
      <c r="I126" s="16"/>
      <c r="J126" s="17"/>
    </row>
    <row r="129" spans="2:11" x14ac:dyDescent="0.2">
      <c r="B129" t="s">
        <v>11</v>
      </c>
      <c r="C129" t="s">
        <v>16</v>
      </c>
      <c r="D129" t="s">
        <v>21</v>
      </c>
      <c r="E129" t="s">
        <v>22</v>
      </c>
      <c r="F129" t="s">
        <v>23</v>
      </c>
      <c r="G129" t="s">
        <v>24</v>
      </c>
      <c r="H129" t="s">
        <v>25</v>
      </c>
      <c r="I129" t="s">
        <v>31</v>
      </c>
      <c r="J129" t="s">
        <v>30</v>
      </c>
      <c r="K129" t="s">
        <v>17</v>
      </c>
    </row>
    <row r="130" spans="2:1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>HEX2DEC(G130)</f>
        <v>0</v>
      </c>
      <c r="I130">
        <v>0</v>
      </c>
      <c r="J130">
        <v>0</v>
      </c>
      <c r="K130">
        <v>0</v>
      </c>
    </row>
    <row r="131" spans="2:11" x14ac:dyDescent="0.2">
      <c r="B131">
        <f t="shared" ref="B131:B136" si="14">K131/(D$66/C$66)</f>
        <v>1152</v>
      </c>
      <c r="C131">
        <v>448.50507328072155</v>
      </c>
      <c r="D131" t="str">
        <f>DEC2HEX(C131)</f>
        <v>1C0</v>
      </c>
      <c r="E131" t="str">
        <f>DEC2HEX(C131*HEX2DEC("DDB4"))</f>
        <v>1846AF9</v>
      </c>
      <c r="F131" t="str">
        <f>DEC2HEX(_xlfn.BITRSHIFT(HEX2DEC(E131),15))</f>
        <v>308</v>
      </c>
      <c r="G131" t="str">
        <f>DEC2HEX(_xlfn.BITRSHIFT(HEX2DEC(F131),2))</f>
        <v>C2</v>
      </c>
      <c r="H131">
        <f t="shared" ref="H131:H138" si="15">HEX2DEC(G131)</f>
        <v>194</v>
      </c>
      <c r="I131">
        <v>222</v>
      </c>
      <c r="J131" t="s">
        <v>0</v>
      </c>
      <c r="K131">
        <f>HEX2DEC(500)</f>
        <v>1280</v>
      </c>
    </row>
    <row r="132" spans="2:11" x14ac:dyDescent="0.2">
      <c r="B132">
        <f t="shared" si="14"/>
        <v>2322.9</v>
      </c>
      <c r="C132">
        <v>672.75760992108235</v>
      </c>
      <c r="D132" t="str">
        <f t="shared" ref="D132:D137" si="16">DEC2HEX(C132)</f>
        <v>2A0</v>
      </c>
      <c r="E132" t="str">
        <f t="shared" ref="E132:E137" si="17">DEC2HEX(C132*HEX2DEC("DDB4"))</f>
        <v>246A076</v>
      </c>
      <c r="F132" t="str">
        <f t="shared" ref="F132:F137" si="18">DEC2HEX(_xlfn.BITRSHIFT(HEX2DEC(E132),15))</f>
        <v>48D</v>
      </c>
      <c r="G132" t="str">
        <f t="shared" ref="G132:G138" si="19">DEC2HEX(_xlfn.BITRSHIFT(HEX2DEC(F132),2))</f>
        <v>123</v>
      </c>
      <c r="H132">
        <f t="shared" si="15"/>
        <v>291</v>
      </c>
      <c r="I132">
        <v>333</v>
      </c>
      <c r="J132" t="s">
        <v>1</v>
      </c>
      <c r="K132">
        <f>HEX2DEC("A15")</f>
        <v>2581</v>
      </c>
    </row>
    <row r="133" spans="2:11" x14ac:dyDescent="0.2">
      <c r="B133">
        <f t="shared" si="14"/>
        <v>3323.7</v>
      </c>
      <c r="C133">
        <v>1000.0450958286358</v>
      </c>
      <c r="D133" t="str">
        <f t="shared" si="16"/>
        <v>3E8</v>
      </c>
      <c r="E133" t="str">
        <f t="shared" si="17"/>
        <v>362111F</v>
      </c>
      <c r="F133" t="str">
        <f t="shared" si="18"/>
        <v>6C4</v>
      </c>
      <c r="G133" t="str">
        <f t="shared" si="19"/>
        <v>1B1</v>
      </c>
      <c r="H133">
        <f t="shared" si="15"/>
        <v>433</v>
      </c>
      <c r="I133">
        <v>495</v>
      </c>
      <c r="J133">
        <v>296</v>
      </c>
      <c r="K133">
        <f>HEX2DEC("E6D")</f>
        <v>3693</v>
      </c>
    </row>
    <row r="134" spans="2:11" x14ac:dyDescent="0.2">
      <c r="B134">
        <f t="shared" si="14"/>
        <v>3916.7999999999997</v>
      </c>
      <c r="C134">
        <v>1325.3122886133033</v>
      </c>
      <c r="D134" t="str">
        <f t="shared" si="16"/>
        <v>52D</v>
      </c>
      <c r="E134" t="str">
        <f t="shared" si="17"/>
        <v>47BC1E0</v>
      </c>
      <c r="F134" t="str">
        <f t="shared" si="18"/>
        <v>8F7</v>
      </c>
      <c r="G134" t="str">
        <f t="shared" si="19"/>
        <v>23D</v>
      </c>
      <c r="H134">
        <f t="shared" si="15"/>
        <v>573</v>
      </c>
      <c r="I134">
        <v>656</v>
      </c>
      <c r="J134">
        <v>377</v>
      </c>
      <c r="K134">
        <f>HEX2DEC(1100)</f>
        <v>4352</v>
      </c>
    </row>
    <row r="135" spans="2:11" x14ac:dyDescent="0.2">
      <c r="B135">
        <f t="shared" si="14"/>
        <v>4147.2</v>
      </c>
      <c r="C135">
        <v>1792</v>
      </c>
      <c r="D135" t="str">
        <f t="shared" si="16"/>
        <v>700</v>
      </c>
      <c r="E135" t="str">
        <f t="shared" si="17"/>
        <v>60FEC00</v>
      </c>
      <c r="F135" t="str">
        <f t="shared" si="18"/>
        <v>C1F</v>
      </c>
      <c r="G135" t="str">
        <f t="shared" si="19"/>
        <v>307</v>
      </c>
      <c r="H135">
        <f t="shared" si="15"/>
        <v>775</v>
      </c>
      <c r="I135">
        <v>887</v>
      </c>
      <c r="J135">
        <v>454</v>
      </c>
      <c r="K135">
        <f>HEX2DEC(1200)</f>
        <v>4608</v>
      </c>
    </row>
    <row r="136" spans="2:11" x14ac:dyDescent="0.2">
      <c r="B136">
        <f t="shared" si="14"/>
        <v>4285.8</v>
      </c>
      <c r="C136">
        <v>2238.4847801578353</v>
      </c>
      <c r="D136" t="str">
        <f t="shared" si="16"/>
        <v>8BE</v>
      </c>
      <c r="E136" t="str">
        <f t="shared" si="17"/>
        <v>7929712</v>
      </c>
      <c r="F136" t="str">
        <f t="shared" si="18"/>
        <v>F25</v>
      </c>
      <c r="G136" t="str">
        <f t="shared" si="19"/>
        <v>3C9</v>
      </c>
      <c r="H136">
        <f t="shared" si="15"/>
        <v>969</v>
      </c>
      <c r="I136">
        <v>1108</v>
      </c>
      <c r="J136">
        <v>532</v>
      </c>
      <c r="K136">
        <f>HEX2DEC("129A")</f>
        <v>4762</v>
      </c>
    </row>
    <row r="137" spans="2:11" x14ac:dyDescent="0.2">
      <c r="B137">
        <f>(B136+B138)/2</f>
        <v>7902.9</v>
      </c>
      <c r="C137">
        <v>3135.4949267192783</v>
      </c>
      <c r="D137" t="str">
        <f t="shared" si="16"/>
        <v>C3F</v>
      </c>
      <c r="E137" t="str">
        <f t="shared" si="17"/>
        <v>A9B6D06</v>
      </c>
      <c r="F137" t="str">
        <f t="shared" si="18"/>
        <v>1536</v>
      </c>
      <c r="G137" t="str">
        <f t="shared" si="19"/>
        <v>54D</v>
      </c>
      <c r="H137">
        <f t="shared" si="15"/>
        <v>1357</v>
      </c>
      <c r="I137">
        <v>1552</v>
      </c>
      <c r="J137">
        <v>610</v>
      </c>
      <c r="K137">
        <f>B137*(K138/B138)</f>
        <v>8781</v>
      </c>
    </row>
    <row r="138" spans="2:11" x14ac:dyDescent="0.2">
      <c r="B138">
        <f>HEX2DEC("2D00")</f>
        <v>11520</v>
      </c>
      <c r="C138">
        <v>3584</v>
      </c>
      <c r="D138" t="str">
        <f>DEC2HEX(C138)</f>
        <v>E00</v>
      </c>
      <c r="E138" t="str">
        <f>DEC2HEX(C138*HEX2DEC("DDB4"))</f>
        <v>C1FD800</v>
      </c>
      <c r="F138" t="str">
        <f>DEC2HEX(_xlfn.BITRSHIFT(HEX2DEC(E138),15))</f>
        <v>183F</v>
      </c>
      <c r="G138" t="str">
        <f t="shared" si="19"/>
        <v>60F</v>
      </c>
      <c r="H138">
        <f t="shared" si="15"/>
        <v>1551</v>
      </c>
      <c r="I138">
        <v>1774</v>
      </c>
      <c r="J138" t="s">
        <v>2</v>
      </c>
      <c r="K138">
        <f>HEX2DEC(1400)*D141</f>
        <v>12800</v>
      </c>
    </row>
    <row r="139" spans="2:11" x14ac:dyDescent="0.2">
      <c r="C139">
        <f>HEX2DEC(D140)</f>
        <v>4096</v>
      </c>
    </row>
    <row r="140" spans="2:11" x14ac:dyDescent="0.2">
      <c r="C140" t="s">
        <v>12</v>
      </c>
      <c r="D140" s="1">
        <v>1000</v>
      </c>
    </row>
    <row r="141" spans="2:11" x14ac:dyDescent="0.2">
      <c r="C141" t="s">
        <v>18</v>
      </c>
      <c r="D141" s="1">
        <v>2.5</v>
      </c>
    </row>
    <row r="142" spans="2:11" ht="17" thickBot="1" x14ac:dyDescent="0.25">
      <c r="C142">
        <f>(K138-K137)/(C139-C137)</f>
        <v>4.1842569204477158</v>
      </c>
    </row>
    <row r="143" spans="2:11" ht="17" thickBot="1" x14ac:dyDescent="0.25">
      <c r="D143" t="s">
        <v>13</v>
      </c>
      <c r="E143" s="18" t="str">
        <f>"0x" &amp; DEC2HEX(C130) &amp; ", 0x" &amp; DEC2HEX(C131) &amp; ", 0x" &amp; DEC2HEX(C132) &amp; ", 0x" &amp; DEC2HEX(C133) &amp; ", 0x" &amp; DEC2HEX(C134) &amp; ", 0x" &amp; DEC2HEX(C135) &amp; ", 0x" &amp; DEC2HEX(C136) &amp; ", 0x" &amp; DEC2HEX(C137) &amp; ", 0x" &amp; DEC2HEX(C138)</f>
        <v>0x0, 0x1C0, 0x2A0, 0x3E8, 0x52D, 0x700, 0x8BE, 0xC3F, 0xE00</v>
      </c>
      <c r="F143" s="19"/>
      <c r="G143" s="19"/>
      <c r="H143" s="19"/>
      <c r="I143" s="19"/>
      <c r="J143" s="20"/>
    </row>
    <row r="144" spans="2:11" ht="17" thickBot="1" x14ac:dyDescent="0.25">
      <c r="D144" t="s">
        <v>14</v>
      </c>
      <c r="E144" s="18" t="str">
        <f>"0x" &amp; DEC2HEX(B130) &amp; ", 0x" &amp; DEC2HEX(B131) &amp; ", 0x" &amp; DEC2HEX(B132) &amp; ", 0x" &amp; DEC2HEX(B133) &amp; ", 0x" &amp; DEC2HEX(B134) &amp; ", 0x" &amp; DEC2HEX(B135) &amp; ", 0x" &amp; DEC2HEX(B136) &amp; ", 0x" &amp; DEC2HEX(B137) &amp; ", 0x" &amp; DEC2HEX(B138)</f>
        <v>0x0, 0x480, 0x912, 0xCFB, 0xF4C, 0x1033, 0x10BD, 0x1EDE, 0x2D00</v>
      </c>
      <c r="F144" s="19"/>
      <c r="G144" s="19"/>
      <c r="H144" s="19"/>
      <c r="I144" s="19"/>
      <c r="J144" s="20"/>
    </row>
    <row r="145" spans="4:10" ht="17" thickBot="1" x14ac:dyDescent="0.25">
      <c r="D145" t="s">
        <v>15</v>
      </c>
      <c r="E145" s="9" t="str">
        <f>"0x" &amp; DEC2HEX(K130) &amp; ", 0x" &amp; DEC2HEX(K131) &amp; ", 0x" &amp; DEC2HEX(K132) &amp; ", 0x" &amp; DEC2HEX(K133) &amp; ", 0x" &amp; DEC2HEX(K134) &amp; ", 0x" &amp; DEC2HEX(K135) &amp; ", 0x" &amp; DEC2HEX(K136) &amp; ", 0x" &amp; DEC2HEX(K137) &amp; ", 0x" &amp; DEC2HEX(K138)&amp;",
0x" &amp; DEC2HEX(K130) &amp; ", 0x" &amp; DEC2HEX(K131) &amp; ", 0x" &amp; DEC2HEX(K132) &amp; ", 0x" &amp; DEC2HEX(K133) &amp; ", 0x" &amp; DEC2HEX(K134) &amp; ", 0x" &amp; DEC2HEX(K135) &amp; ", 0x" &amp; DEC2HEX(K136) &amp; ", 0x" &amp; DEC2HEX(K137) &amp; ", 0x" &amp; DEC2HEX(K138)&amp;",
0x" &amp; DEC2HEX(K130) &amp; ", 0x" &amp; DEC2HEX(K131) &amp; ", 0x" &amp; DEC2HEX(K132) &amp; ", 0x" &amp; DEC2HEX(K133) &amp; ", 0x" &amp; DEC2HEX(K134) &amp; ", 0x" &amp; DEC2HEX(K135) &amp; ", 0x" &amp; DEC2HEX(K136) &amp; ", 0x" &amp; DEC2HEX(K137) &amp; ", 0x" &amp; DEC2HEX(K138)&amp;",
0x" &amp; DEC2HEX(K130) &amp; ", 0x" &amp; DEC2HEX(K131) &amp; ", 0x" &amp; DEC2HEX(K132) &amp; ", 0x" &amp; DEC2HEX(K133) &amp; ", 0x" &amp; DEC2HEX(K134) &amp; ", 0x" &amp; DEC2HEX(K135) &amp; ", 0x" &amp; DEC2HEX(K136) &amp; ", 0x" &amp; DEC2HEX(K137) &amp; ", 0x" &amp; DEC2HEX(K138)&amp;",
0x" &amp; DEC2HEX(K130) &amp; ", 0x" &amp; DEC2HEX(K131) &amp; ", 0x" &amp; DEC2HEX(K132) &amp; ", 0x" &amp; DEC2HEX(K133) &amp; ", 0x" &amp; DEC2HEX(K134) &amp; ", 0x" &amp; DEC2HEX(K135) &amp; ", 0x" &amp; DEC2HEX(K136) &amp; ", 0x" &amp; DEC2HEX(K137) &amp; ", 0x" &amp; DEC2HEX(K138)&amp;",
0x" &amp; DEC2HEX(K130) &amp; ", 0x" &amp; DEC2HEX(K131) &amp; ", 0x" &amp; DEC2HEX(K132) &amp; ", 0x" &amp; DEC2HEX(K133) &amp; ", 0x" &amp; DEC2HEX(K134) &amp; ", 0x" &amp; DEC2HEX(K135) &amp; ", 0x" &amp; DEC2HEX(K136) &amp; ", 0x" &amp; DEC2HEX(K137) &amp; ", 0x" &amp; DEC2HEX(K138)&amp;",
0x" &amp; DEC2HEX(K130) &amp; ", 0x" &amp; DEC2HEX(K131) &amp; ", 0x" &amp; DEC2HEX(K132) &amp; ", 0x" &amp; DEC2HEX(K133) &amp; ", 0x" &amp; DEC2HEX(K134) &amp; ", 0x" &amp; DEC2HEX(K135) &amp; ", 0x" &amp; DEC2HEX(K136) &amp; ", 0x" &amp; DEC2HEX(K137) &amp; ", 0x" &amp; DEC2HEX(K138)</f>
        <v>0x0, 0x500, 0xA15, 0xE6D, 0x1100, 0x1200, 0x129A, 0x224D, 0x3200,
0x0, 0x500, 0xA15, 0xE6D, 0x1100, 0x1200, 0x129A, 0x224D, 0x3200,
0x0, 0x500, 0xA15, 0xE6D, 0x1100, 0x1200, 0x129A, 0x224D, 0x3200,
0x0, 0x500, 0xA15, 0xE6D, 0x1100, 0x1200, 0x129A, 0x224D, 0x3200,
0x0, 0x500, 0xA15, 0xE6D, 0x1100, 0x1200, 0x129A, 0x224D, 0x3200,
0x0, 0x500, 0xA15, 0xE6D, 0x1100, 0x1200, 0x129A, 0x224D, 0x3200,
0x0, 0x500, 0xA15, 0xE6D, 0x1100, 0x1200, 0x129A, 0x224D, 0x3200</v>
      </c>
      <c r="F145" s="10"/>
      <c r="G145" s="10"/>
      <c r="H145" s="10"/>
      <c r="I145" s="10"/>
      <c r="J145" s="11"/>
    </row>
    <row r="153" spans="4:10" x14ac:dyDescent="0.2">
      <c r="D153">
        <f>HEX2DEC("DDB4")</f>
        <v>56756</v>
      </c>
      <c r="E153">
        <f>C131*D153</f>
        <v>25455353.939120632</v>
      </c>
    </row>
    <row r="154" spans="4:10" x14ac:dyDescent="0.2">
      <c r="D154">
        <f>HEX2DEC("F")</f>
        <v>15</v>
      </c>
      <c r="E154">
        <f>HEX2DEC("F")</f>
        <v>15</v>
      </c>
    </row>
    <row r="155" spans="4:10" x14ac:dyDescent="0.2">
      <c r="D155">
        <f>_xlfn.BITRSHIFT(D153,D154)</f>
        <v>1</v>
      </c>
      <c r="E155" t="e">
        <f>_xlfn.BITRSHIFT(E153,E154)</f>
        <v>#NUM!</v>
      </c>
    </row>
    <row r="156" spans="4:10" x14ac:dyDescent="0.2">
      <c r="D156">
        <f>_xlfn.BITRSHIFT(D155,2)</f>
        <v>0</v>
      </c>
      <c r="E156" t="e">
        <f>_xlfn.BITRSHIFT(E155,2)</f>
        <v>#NUM!</v>
      </c>
    </row>
    <row r="157" spans="4:10" x14ac:dyDescent="0.2">
      <c r="E157" t="e">
        <f>DEC2HEX(E156)</f>
        <v>#NUM!</v>
      </c>
    </row>
  </sheetData>
  <mergeCells count="25">
    <mergeCell ref="C125:J126"/>
    <mergeCell ref="E143:J143"/>
    <mergeCell ref="E144:J144"/>
    <mergeCell ref="E145:J145"/>
    <mergeCell ref="AG53:AH53"/>
    <mergeCell ref="C5:J6"/>
    <mergeCell ref="E23:J23"/>
    <mergeCell ref="E24:J24"/>
    <mergeCell ref="E71:J71"/>
    <mergeCell ref="E72:J72"/>
    <mergeCell ref="E25:J25"/>
    <mergeCell ref="C53:J54"/>
    <mergeCell ref="C29:J30"/>
    <mergeCell ref="E47:J47"/>
    <mergeCell ref="E48:J48"/>
    <mergeCell ref="E49:J49"/>
    <mergeCell ref="E104:J104"/>
    <mergeCell ref="P71:U71"/>
    <mergeCell ref="P72:U72"/>
    <mergeCell ref="P73:U73"/>
    <mergeCell ref="C84:J85"/>
    <mergeCell ref="E102:J102"/>
    <mergeCell ref="E103:J103"/>
    <mergeCell ref="N53:U54"/>
    <mergeCell ref="E73:J7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25F6-EEF4-414E-98C5-414EAD58C892}">
  <dimension ref="A1:G23"/>
  <sheetViews>
    <sheetView workbookViewId="0">
      <selection activeCell="B1" sqref="B1:B9"/>
    </sheetView>
  </sheetViews>
  <sheetFormatPr baseColWidth="10" defaultRowHeight="16" x14ac:dyDescent="0.2"/>
  <sheetData>
    <row r="1" spans="1:7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2">
      <c r="A2">
        <v>67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</row>
    <row r="3" spans="1:7" x14ac:dyDescent="0.2">
      <c r="A3">
        <v>107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1</v>
      </c>
    </row>
    <row r="4" spans="1:7" x14ac:dyDescent="0.2">
      <c r="A4" t="s">
        <v>5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>
        <v>299</v>
      </c>
    </row>
    <row r="5" spans="1:7" x14ac:dyDescent="0.2">
      <c r="A5">
        <v>294</v>
      </c>
      <c r="B5">
        <v>290</v>
      </c>
      <c r="C5">
        <v>290</v>
      </c>
      <c r="D5">
        <v>290</v>
      </c>
      <c r="E5">
        <v>290</v>
      </c>
      <c r="F5">
        <v>290</v>
      </c>
      <c r="G5">
        <v>377</v>
      </c>
    </row>
    <row r="6" spans="1:7" x14ac:dyDescent="0.2">
      <c r="A6" t="s">
        <v>6</v>
      </c>
      <c r="B6">
        <v>377</v>
      </c>
      <c r="C6">
        <v>377</v>
      </c>
      <c r="D6">
        <v>377</v>
      </c>
      <c r="E6">
        <v>377</v>
      </c>
      <c r="F6">
        <v>377</v>
      </c>
      <c r="G6">
        <v>455</v>
      </c>
    </row>
    <row r="7" spans="1:7" x14ac:dyDescent="0.2">
      <c r="A7">
        <v>457</v>
      </c>
      <c r="B7">
        <v>454</v>
      </c>
      <c r="C7">
        <v>454</v>
      </c>
      <c r="D7">
        <v>454</v>
      </c>
      <c r="E7">
        <v>454</v>
      </c>
      <c r="F7">
        <v>454</v>
      </c>
      <c r="G7">
        <v>532</v>
      </c>
    </row>
    <row r="8" spans="1:7" x14ac:dyDescent="0.2">
      <c r="A8" t="s">
        <v>7</v>
      </c>
      <c r="B8">
        <v>610</v>
      </c>
      <c r="C8">
        <v>610</v>
      </c>
      <c r="D8">
        <v>610</v>
      </c>
      <c r="E8">
        <v>610</v>
      </c>
      <c r="F8">
        <v>610</v>
      </c>
      <c r="G8">
        <v>610</v>
      </c>
    </row>
    <row r="9" spans="1:7" x14ac:dyDescent="0.2">
      <c r="A9" t="s">
        <v>4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</row>
    <row r="15" spans="1:7" x14ac:dyDescent="0.2">
      <c r="A15">
        <f>HEX2DEC(A1)</f>
        <v>0</v>
      </c>
      <c r="B15">
        <f t="shared" ref="B15:G15" si="0">HEX2DEC(B1)</f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</row>
    <row r="16" spans="1:7" x14ac:dyDescent="0.2">
      <c r="A16">
        <f>HEX2DEC(A2)</f>
        <v>103</v>
      </c>
      <c r="B16">
        <f t="shared" ref="B16:G16" si="1">HEX2DEC(B2)</f>
        <v>222</v>
      </c>
      <c r="C16">
        <f t="shared" si="1"/>
        <v>222</v>
      </c>
      <c r="D16">
        <f t="shared" si="1"/>
        <v>222</v>
      </c>
      <c r="E16">
        <f t="shared" si="1"/>
        <v>222</v>
      </c>
      <c r="F16">
        <f t="shared" si="1"/>
        <v>222</v>
      </c>
      <c r="G16">
        <f t="shared" si="1"/>
        <v>222</v>
      </c>
    </row>
    <row r="17" spans="1:7" x14ac:dyDescent="0.2">
      <c r="A17">
        <f t="shared" ref="A17:G17" si="2">HEX2DEC(A3)</f>
        <v>263</v>
      </c>
      <c r="B17">
        <f t="shared" si="2"/>
        <v>333</v>
      </c>
      <c r="C17">
        <f t="shared" si="2"/>
        <v>333</v>
      </c>
      <c r="D17">
        <f t="shared" si="2"/>
        <v>333</v>
      </c>
      <c r="E17">
        <f t="shared" si="2"/>
        <v>333</v>
      </c>
      <c r="F17">
        <f t="shared" si="2"/>
        <v>333</v>
      </c>
      <c r="G17">
        <f t="shared" si="2"/>
        <v>443</v>
      </c>
    </row>
    <row r="18" spans="1:7" x14ac:dyDescent="0.2">
      <c r="A18">
        <f t="shared" ref="A18:G18" si="3">HEX2DEC(A4)</f>
        <v>459</v>
      </c>
      <c r="B18">
        <f t="shared" si="3"/>
        <v>495</v>
      </c>
      <c r="C18">
        <f t="shared" si="3"/>
        <v>495</v>
      </c>
      <c r="D18">
        <f t="shared" si="3"/>
        <v>495</v>
      </c>
      <c r="E18">
        <f t="shared" si="3"/>
        <v>495</v>
      </c>
      <c r="F18">
        <f t="shared" si="3"/>
        <v>495</v>
      </c>
      <c r="G18">
        <f t="shared" si="3"/>
        <v>665</v>
      </c>
    </row>
    <row r="19" spans="1:7" x14ac:dyDescent="0.2">
      <c r="A19">
        <f t="shared" ref="A19:G19" si="4">HEX2DEC(A5)</f>
        <v>660</v>
      </c>
      <c r="B19">
        <f t="shared" si="4"/>
        <v>656</v>
      </c>
      <c r="C19">
        <f t="shared" si="4"/>
        <v>656</v>
      </c>
      <c r="D19">
        <f t="shared" si="4"/>
        <v>656</v>
      </c>
      <c r="E19">
        <f t="shared" si="4"/>
        <v>656</v>
      </c>
      <c r="F19">
        <f t="shared" si="4"/>
        <v>656</v>
      </c>
      <c r="G19">
        <f t="shared" si="4"/>
        <v>887</v>
      </c>
    </row>
    <row r="20" spans="1:7" x14ac:dyDescent="0.2">
      <c r="A20">
        <f t="shared" ref="A20:G20" si="5">HEX2DEC(A6)</f>
        <v>862</v>
      </c>
      <c r="B20">
        <f t="shared" si="5"/>
        <v>887</v>
      </c>
      <c r="C20">
        <f t="shared" si="5"/>
        <v>887</v>
      </c>
      <c r="D20">
        <f t="shared" si="5"/>
        <v>887</v>
      </c>
      <c r="E20">
        <f t="shared" si="5"/>
        <v>887</v>
      </c>
      <c r="F20">
        <f t="shared" si="5"/>
        <v>887</v>
      </c>
      <c r="G20">
        <f t="shared" si="5"/>
        <v>1109</v>
      </c>
    </row>
    <row r="21" spans="1:7" x14ac:dyDescent="0.2">
      <c r="A21">
        <f t="shared" ref="A21:G21" si="6">HEX2DEC(A7)</f>
        <v>1111</v>
      </c>
      <c r="B21">
        <f t="shared" si="6"/>
        <v>1108</v>
      </c>
      <c r="C21">
        <f t="shared" si="6"/>
        <v>1108</v>
      </c>
      <c r="D21">
        <f t="shared" si="6"/>
        <v>1108</v>
      </c>
      <c r="E21">
        <f t="shared" si="6"/>
        <v>1108</v>
      </c>
      <c r="F21">
        <f t="shared" si="6"/>
        <v>1108</v>
      </c>
      <c r="G21">
        <f t="shared" si="6"/>
        <v>1330</v>
      </c>
    </row>
    <row r="22" spans="1:7" x14ac:dyDescent="0.2">
      <c r="A22">
        <f t="shared" ref="A22:G22" si="7">HEX2DEC(A8)</f>
        <v>1549</v>
      </c>
      <c r="B22">
        <f t="shared" si="7"/>
        <v>1552</v>
      </c>
      <c r="C22">
        <f t="shared" si="7"/>
        <v>1552</v>
      </c>
      <c r="D22">
        <f t="shared" si="7"/>
        <v>1552</v>
      </c>
      <c r="E22">
        <f t="shared" si="7"/>
        <v>1552</v>
      </c>
      <c r="F22">
        <f t="shared" si="7"/>
        <v>1552</v>
      </c>
      <c r="G22">
        <f t="shared" si="7"/>
        <v>1552</v>
      </c>
    </row>
    <row r="23" spans="1:7" x14ac:dyDescent="0.2">
      <c r="A23">
        <f t="shared" ref="A23:G23" si="8">HEX2DEC(A9)</f>
        <v>1774</v>
      </c>
      <c r="B23">
        <f t="shared" si="8"/>
        <v>1774</v>
      </c>
      <c r="C23">
        <f t="shared" si="8"/>
        <v>1774</v>
      </c>
      <c r="D23">
        <f t="shared" si="8"/>
        <v>1774</v>
      </c>
      <c r="E23">
        <f t="shared" si="8"/>
        <v>1774</v>
      </c>
      <c r="F23">
        <f t="shared" si="8"/>
        <v>1774</v>
      </c>
      <c r="G23">
        <f t="shared" si="8"/>
        <v>1774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torque playground</vt:lpstr>
      <vt:lpstr>civic 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2020-01-08T14:05:30Z</dcterms:created>
  <dcterms:modified xsi:type="dcterms:W3CDTF">2020-01-31T06:44:00Z</dcterms:modified>
</cp:coreProperties>
</file>