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35" windowHeight="13500" tabRatio="598" activeTab="2"/>
  </bookViews>
  <sheets>
    <sheet name="人工预算" sheetId="22" r:id="rId1"/>
    <sheet name="公司预算" sheetId="20" r:id="rId2"/>
    <sheet name="主材部份" sheetId="23" r:id="rId3"/>
    <sheet name="Sheet1" sheetId="24" r:id="rId4"/>
  </sheets>
  <definedNames>
    <definedName name="_xlnm.Print_Area" localSheetId="0">人工预算!$A$1:$F$110</definedName>
    <definedName name="_xlnm.Print_Titles" localSheetId="0">人工预算!$1:$3</definedName>
    <definedName name="_xlnm.Print_Area" localSheetId="1">公司预算!$B$1:$J$113</definedName>
    <definedName name="_xlnm.Print_Titles" localSheetId="1">公司预算!$1:$3</definedName>
    <definedName name="_xlnm._FilterDatabase" localSheetId="0" hidden="1">人工预算!#REF!</definedName>
    <definedName name="_xlnm._FilterDatabase" localSheetId="1" hidden="1">公司预算!$J$1:$J$198</definedName>
  </definedNames>
  <calcPr calcId="144525"/>
</workbook>
</file>

<file path=xl/sharedStrings.xml><?xml version="1.0" encoding="utf-8"?>
<sst xmlns="http://schemas.openxmlformats.org/spreadsheetml/2006/main" count="565" uniqueCount="252">
  <si>
    <t xml:space="preserve">   装饰工程有限公司项目   </t>
  </si>
  <si>
    <t xml:space="preserve">委托方：　　　　　　                       项目类别：部份承包工程           　　　　　      </t>
  </si>
  <si>
    <t>序号</t>
  </si>
  <si>
    <t>项目名称、位置</t>
  </si>
  <si>
    <t>单位</t>
  </si>
  <si>
    <t>工程量</t>
  </si>
  <si>
    <t>人工单价</t>
  </si>
  <si>
    <t>合 价(元)</t>
  </si>
  <si>
    <t>一</t>
  </si>
  <si>
    <t>客厅餐厅及过道</t>
  </si>
  <si>
    <t>进门单面门套</t>
  </si>
  <si>
    <t>M</t>
  </si>
  <si>
    <t>鞋柜</t>
  </si>
  <si>
    <r>
      <rPr>
        <sz val="12"/>
        <color theme="1"/>
        <rFont val="宋体"/>
        <charset val="134"/>
      </rPr>
      <t>M</t>
    </r>
    <r>
      <rPr>
        <vertAlign val="superscript"/>
        <sz val="11"/>
        <rFont val="宋体"/>
        <charset val="134"/>
      </rPr>
      <t>2</t>
    </r>
  </si>
  <si>
    <t>鞋柜旁小装饰台</t>
  </si>
  <si>
    <t>项</t>
  </si>
  <si>
    <t>A立面电视背景墙墙面80mm造型</t>
  </si>
  <si>
    <t>A立面电视背景墙墙面120mm造型拼缝</t>
  </si>
  <si>
    <t>A立面电视背景墙面120mm造型上饰面真石漆</t>
  </si>
  <si>
    <t>A立面电视背景8厚清玻盖板</t>
  </si>
  <si>
    <t>电视机柜</t>
  </si>
  <si>
    <t>小装饰台</t>
  </si>
  <si>
    <t>客厅C立面8厚清玻装饰盒</t>
  </si>
  <si>
    <t>个</t>
  </si>
  <si>
    <t>餐厅背景墙面真石漆</t>
  </si>
  <si>
    <t>餐厅地面800*800玻化砖铺贴</t>
  </si>
  <si>
    <t>瓷砖踢脚线铺贴</t>
  </si>
  <si>
    <t>客餐厅及过道顶面石膏板吊顶</t>
  </si>
  <si>
    <t>墙面刮腻子</t>
  </si>
  <si>
    <t>墙面墙漆</t>
  </si>
  <si>
    <t>顶面刮腻子</t>
  </si>
  <si>
    <t>顶面墙漆</t>
  </si>
  <si>
    <t>二</t>
  </si>
  <si>
    <t>厨房</t>
  </si>
  <si>
    <t>进门双面门套</t>
  </si>
  <si>
    <t>10厚清玻隔墙上方假梁</t>
  </si>
  <si>
    <t>10厚清玻隔墙</t>
  </si>
  <si>
    <t>10厚钢化玻璃门</t>
  </si>
  <si>
    <t>樘</t>
  </si>
  <si>
    <t>扣板吊顶</t>
  </si>
  <si>
    <t>铺防滑地砖</t>
  </si>
  <si>
    <t>墙砖铺设</t>
  </si>
  <si>
    <t>三</t>
  </si>
  <si>
    <t>主卫生间</t>
  </si>
  <si>
    <t>四</t>
  </si>
  <si>
    <t>次卫生间</t>
  </si>
  <si>
    <t>五</t>
  </si>
  <si>
    <t>休闲阳台</t>
  </si>
  <si>
    <t>杂物柜</t>
  </si>
  <si>
    <t>衣柜上石膏板封平</t>
  </si>
  <si>
    <t>六</t>
  </si>
  <si>
    <t>生活阳台</t>
  </si>
  <si>
    <t>双面门套</t>
  </si>
  <si>
    <t>吊柜</t>
  </si>
  <si>
    <t>七</t>
  </si>
  <si>
    <t>主卧室</t>
  </si>
  <si>
    <t>平板门</t>
  </si>
  <si>
    <t>扇</t>
  </si>
  <si>
    <t>主卧床头背景60mm造型</t>
  </si>
  <si>
    <t>主卧床头背景石膏板造型拼缝</t>
  </si>
  <si>
    <t>主卧床头背景8厚磨砂玻造型</t>
  </si>
  <si>
    <t>衣柜(不含推拉柜门)</t>
  </si>
  <si>
    <t>顶面石膏板造型吊顶</t>
  </si>
  <si>
    <t>八</t>
  </si>
  <si>
    <t>书房</t>
  </si>
  <si>
    <t>平板门双面门套</t>
  </si>
  <si>
    <t>书柜(不含推拉柜门)</t>
  </si>
  <si>
    <t>书房A立面书桌</t>
  </si>
  <si>
    <t>实木地板</t>
  </si>
  <si>
    <t>九</t>
  </si>
  <si>
    <t>小孩房</t>
  </si>
  <si>
    <r>
      <rPr>
        <sz val="12"/>
        <color theme="1"/>
        <rFont val="宋体"/>
        <charset val="134"/>
      </rPr>
      <t>C</t>
    </r>
    <r>
      <rPr>
        <sz val="11"/>
        <rFont val="宋体"/>
        <charset val="134"/>
      </rPr>
      <t>立面层板柜</t>
    </r>
  </si>
  <si>
    <r>
      <rPr>
        <sz val="12"/>
        <color theme="1"/>
        <rFont val="宋体"/>
        <charset val="134"/>
      </rPr>
      <t>C</t>
    </r>
    <r>
      <rPr>
        <sz val="11"/>
        <rFont val="宋体"/>
        <charset val="134"/>
      </rPr>
      <t>立面书柜</t>
    </r>
  </si>
  <si>
    <t>书桌</t>
  </si>
  <si>
    <t>十</t>
  </si>
  <si>
    <t>综合工程</t>
  </si>
  <si>
    <t>拆墙</t>
  </si>
  <si>
    <t>砌墙</t>
  </si>
  <si>
    <t>包管</t>
  </si>
  <si>
    <t>根</t>
  </si>
  <si>
    <t>厨\卫地面防水处理</t>
  </si>
  <si>
    <t>木制防潮处理</t>
  </si>
  <si>
    <t>主卧衣柜后隔音处理</t>
  </si>
  <si>
    <t>十一</t>
  </si>
  <si>
    <t>水电工程</t>
  </si>
  <si>
    <t>水电工程预收款</t>
  </si>
  <si>
    <t>十二</t>
  </si>
  <si>
    <t>其它工程</t>
  </si>
  <si>
    <t>垃圾清运费</t>
  </si>
  <si>
    <t>材料搬运上楼</t>
  </si>
  <si>
    <t xml:space="preserve">    装饰工程有限公司项目费用预算表     </t>
  </si>
  <si>
    <t xml:space="preserve">委托方：   　  栋   号　　　　　项目类别：部份承包工程       编制日期：         　　　　　      </t>
  </si>
  <si>
    <t>项目名称</t>
  </si>
  <si>
    <t>材料费</t>
  </si>
  <si>
    <t>人工费</t>
  </si>
  <si>
    <t>单价</t>
  </si>
  <si>
    <t>材料结构及制造，安装工艺标准</t>
  </si>
  <si>
    <t>客厅餐厅及过道阳台</t>
  </si>
  <si>
    <t>进门单面门套（2000mm内）</t>
  </si>
  <si>
    <t>工厂定做同门颜色</t>
  </si>
  <si>
    <t>定制鞋柜+装饰柜</t>
  </si>
  <si>
    <r>
      <rPr>
        <sz val="14"/>
        <rFont val="微软雅黑"/>
        <charset val="134"/>
      </rPr>
      <t>M</t>
    </r>
    <r>
      <rPr>
        <vertAlign val="superscript"/>
        <sz val="14"/>
        <rFont val="微软雅黑"/>
        <charset val="134"/>
      </rPr>
      <t>2</t>
    </r>
  </si>
  <si>
    <t>工厂定做</t>
  </si>
  <si>
    <t>定制电视柜</t>
  </si>
  <si>
    <t>电视背景造型墙</t>
  </si>
  <si>
    <t>根据设计图纸及用料定</t>
  </si>
  <si>
    <t>酒柜</t>
  </si>
  <si>
    <t>M2</t>
  </si>
  <si>
    <t>定制储藏柜加隔断</t>
  </si>
  <si>
    <t>窗套</t>
  </si>
  <si>
    <t>窗帘盒</t>
  </si>
  <si>
    <t>大芯板基层、双面石膏板封面，螺钉固定，再刮腻子和墙漆</t>
  </si>
  <si>
    <t>石膏板二级吊顶</t>
  </si>
  <si>
    <r>
      <rPr>
        <sz val="14"/>
        <rFont val="微软雅黑"/>
        <charset val="134"/>
      </rPr>
      <t>轻钢龙骨架，龙骨间距</t>
    </r>
    <r>
      <rPr>
        <sz val="14"/>
        <rFont val="微软雅黑"/>
        <charset val="134"/>
      </rPr>
      <t>450mm</t>
    </r>
    <r>
      <rPr>
        <sz val="14"/>
        <rFont val="微软雅黑"/>
        <charset val="134"/>
      </rPr>
      <t>以上，双面石膏板封面，螺钉固定，再刮腻子和墙漆</t>
    </r>
  </si>
  <si>
    <t>墙、顶面基层处理，批灰</t>
  </si>
  <si>
    <t>双灰粉批刮三至四遍，打磨平整，阴阳角做直。如为水泥砂浆墙、顶面增加3元/平方.</t>
  </si>
  <si>
    <t>墙、顶面多乐士“超易洗”墙漆</t>
  </si>
  <si>
    <t>墙漆手刷或滚涂3遍。如彩色漆另计。</t>
  </si>
  <si>
    <t>瓷制踢脚线</t>
  </si>
  <si>
    <t>1弹线2标号325﹟水泥铺贴(业主自购踢脚线)</t>
  </si>
  <si>
    <t>门槛石</t>
  </si>
  <si>
    <r>
      <rPr>
        <sz val="14"/>
        <rFont val="微软雅黑"/>
        <charset val="134"/>
      </rPr>
      <t>莲花</t>
    </r>
    <r>
      <rPr>
        <sz val="14"/>
        <rFont val="微软雅黑"/>
        <charset val="134"/>
      </rPr>
      <t>325</t>
    </r>
    <r>
      <rPr>
        <sz val="14"/>
        <rFont val="微软雅黑"/>
        <charset val="134"/>
      </rPr>
      <t>﹟水泥，</t>
    </r>
    <r>
      <rPr>
        <sz val="14"/>
        <rFont val="微软雅黑"/>
        <charset val="134"/>
      </rPr>
      <t>1</t>
    </r>
    <r>
      <rPr>
        <sz val="14"/>
        <rFont val="微软雅黑"/>
        <charset val="134"/>
      </rPr>
      <t>：</t>
    </r>
    <r>
      <rPr>
        <sz val="14"/>
        <rFont val="微软雅黑"/>
        <charset val="134"/>
      </rPr>
      <t>3</t>
    </r>
    <r>
      <rPr>
        <sz val="14"/>
        <rFont val="微软雅黑"/>
        <charset val="134"/>
      </rPr>
      <t>水泥砂浆干铺，白水泥勾缝，厚度</t>
    </r>
    <r>
      <rPr>
        <sz val="14"/>
        <rFont val="微软雅黑"/>
        <charset val="134"/>
      </rPr>
      <t>30mm</t>
    </r>
    <r>
      <rPr>
        <sz val="14"/>
        <rFont val="微软雅黑"/>
        <charset val="134"/>
      </rPr>
      <t>以内（石材业主自购）</t>
    </r>
  </si>
  <si>
    <t>800*800地砖铺设（3cm内）</t>
  </si>
  <si>
    <t>莲花325﹟水泥，1：3水泥砂浆干铺，白水泥勾缝，厚度30mm以内，超过部分按找平层增加计算；主材、专用勾缝剂另计。（地砖业主自购，拼花另计）</t>
  </si>
  <si>
    <t>小         计</t>
  </si>
  <si>
    <t xml:space="preserve">   </t>
  </si>
  <si>
    <t>铺地砖300*300</t>
  </si>
  <si>
    <t>铺墙面砖300*450</t>
  </si>
  <si>
    <t>铝扣板吊顶</t>
  </si>
  <si>
    <t>弹水平线，轻钢龙骨，校平安装铝扣板。含扣板</t>
  </si>
  <si>
    <t>地面防水处理</t>
  </si>
  <si>
    <t>托肯专业防水处理</t>
  </si>
  <si>
    <t>管道包装</t>
  </si>
  <si>
    <t>红砖、水泥砂浆</t>
  </si>
  <si>
    <t>主,次卫生间</t>
  </si>
  <si>
    <t>325﹟水泥，1：3水泥砂浆干铺，白水泥勾缝，厚度50mm以内，超过部分按找平层增加计算；主材、专用勾缝剂另计。（地砖业主自购，拼花另计）</t>
  </si>
  <si>
    <t>铺墙面砖</t>
  </si>
  <si>
    <t>325﹟水泥，1：3水泥砂浆干铺，白水泥勾缝，厚度30mm以内，超过部分按找平层增加计算；主材、专用勾缝剂另计。（墙面砖业主自购，拼花另计）</t>
  </si>
  <si>
    <t>地面墙面防水处理</t>
  </si>
  <si>
    <r>
      <rPr>
        <sz val="14"/>
        <rFont val="微软雅黑"/>
        <charset val="134"/>
      </rPr>
      <t>325</t>
    </r>
    <r>
      <rPr>
        <sz val="14"/>
        <rFont val="微软雅黑"/>
        <charset val="134"/>
      </rPr>
      <t>﹟水泥，</t>
    </r>
    <r>
      <rPr>
        <sz val="14"/>
        <rFont val="微软雅黑"/>
        <charset val="134"/>
      </rPr>
      <t>1</t>
    </r>
    <r>
      <rPr>
        <sz val="14"/>
        <rFont val="微软雅黑"/>
        <charset val="134"/>
      </rPr>
      <t>：</t>
    </r>
    <r>
      <rPr>
        <sz val="14"/>
        <rFont val="微软雅黑"/>
        <charset val="134"/>
      </rPr>
      <t>3</t>
    </r>
    <r>
      <rPr>
        <sz val="14"/>
        <rFont val="微软雅黑"/>
        <charset val="134"/>
      </rPr>
      <t>水泥砂浆干铺，白水泥勾缝，厚度</t>
    </r>
    <r>
      <rPr>
        <sz val="14"/>
        <rFont val="微软雅黑"/>
        <charset val="134"/>
      </rPr>
      <t>30mm</t>
    </r>
    <r>
      <rPr>
        <sz val="14"/>
        <rFont val="微软雅黑"/>
        <charset val="134"/>
      </rPr>
      <t>以内（石材业主自购）</t>
    </r>
  </si>
  <si>
    <t>主人房</t>
  </si>
  <si>
    <t>石膏板吊顶</t>
  </si>
  <si>
    <r>
      <rPr>
        <sz val="14"/>
        <rFont val="微软雅黑"/>
        <charset val="134"/>
      </rPr>
      <t>木龙骨架，龙骨间距300</t>
    </r>
    <r>
      <rPr>
        <sz val="14"/>
        <rFont val="微软雅黑"/>
        <charset val="134"/>
      </rPr>
      <t>mm</t>
    </r>
    <r>
      <rPr>
        <sz val="14"/>
        <rFont val="微软雅黑"/>
        <charset val="134"/>
      </rPr>
      <t>以上，双面石膏板封面，螺钉固定，再刮腻子和墙漆</t>
    </r>
  </si>
  <si>
    <t>衣柜</t>
  </si>
  <si>
    <t>衣柜移门</t>
  </si>
  <si>
    <t>梳妆台</t>
  </si>
  <si>
    <t>电脑桌+电视柜</t>
  </si>
  <si>
    <r>
      <rPr>
        <sz val="12"/>
        <rFont val="微软雅黑"/>
        <charset val="134"/>
      </rPr>
      <t>M</t>
    </r>
    <r>
      <rPr>
        <vertAlign val="superscript"/>
        <sz val="12"/>
        <rFont val="微软雅黑"/>
        <charset val="134"/>
      </rPr>
      <t>2</t>
    </r>
  </si>
  <si>
    <t>双灰粉批刮三至四遍，打磨平整，阴阳角做直。如为水泥砂浆墙、顶面增加3元/平方</t>
  </si>
  <si>
    <t>墙漆手刷或滚涂3遍。如彩色漆另计</t>
  </si>
  <si>
    <t>地面找平</t>
  </si>
  <si>
    <r>
      <rPr>
        <sz val="12"/>
        <rFont val="微软雅黑"/>
        <charset val="134"/>
      </rPr>
      <t>莲花</t>
    </r>
    <r>
      <rPr>
        <sz val="12"/>
        <rFont val="微软雅黑"/>
        <charset val="134"/>
      </rPr>
      <t>325</t>
    </r>
    <r>
      <rPr>
        <sz val="12"/>
        <rFont val="微软雅黑"/>
        <charset val="134"/>
      </rPr>
      <t>﹟水泥，</t>
    </r>
    <r>
      <rPr>
        <sz val="12"/>
        <rFont val="微软雅黑"/>
        <charset val="134"/>
      </rPr>
      <t>1</t>
    </r>
    <r>
      <rPr>
        <sz val="12"/>
        <rFont val="微软雅黑"/>
        <charset val="134"/>
      </rPr>
      <t>：</t>
    </r>
    <r>
      <rPr>
        <sz val="12"/>
        <rFont val="微软雅黑"/>
        <charset val="134"/>
      </rPr>
      <t>3</t>
    </r>
    <r>
      <rPr>
        <sz val="12"/>
        <rFont val="微软雅黑"/>
        <charset val="134"/>
      </rPr>
      <t>水泥砂浆干铺，白水泥勾缝，厚度</t>
    </r>
    <r>
      <rPr>
        <sz val="12"/>
        <rFont val="微软雅黑"/>
        <charset val="134"/>
      </rPr>
      <t>30mm</t>
    </r>
    <r>
      <rPr>
        <sz val="12"/>
        <rFont val="微软雅黑"/>
        <charset val="134"/>
      </rPr>
      <t>以内，超过部分按找平层增加计算；主材、专用勾缝剂另计。（石材业主自购，拼花另计）</t>
    </r>
  </si>
  <si>
    <t>走边线</t>
  </si>
  <si>
    <t>石膏边线</t>
  </si>
  <si>
    <t>衣柜门</t>
  </si>
  <si>
    <t>米</t>
  </si>
  <si>
    <t>门槛石和飘窗人造大理石</t>
  </si>
  <si>
    <t>老人房</t>
  </si>
  <si>
    <t>电视柜</t>
  </si>
  <si>
    <t>石膏线</t>
  </si>
  <si>
    <t>小   计</t>
  </si>
  <si>
    <r>
      <rPr>
        <sz val="12"/>
        <rFont val="微软雅黑"/>
        <charset val="134"/>
      </rPr>
      <t>1.</t>
    </r>
    <r>
      <rPr>
        <sz val="12"/>
        <rFont val="微软雅黑"/>
        <charset val="134"/>
      </rPr>
      <t>原墙、顶面质量检查，如空鼓开裂；</t>
    </r>
    <r>
      <rPr>
        <sz val="12"/>
        <rFont val="微软雅黑"/>
        <charset val="134"/>
      </rPr>
      <t>2.</t>
    </r>
    <r>
      <rPr>
        <sz val="12"/>
        <rFont val="微软雅黑"/>
        <charset val="134"/>
      </rPr>
      <t>砂纸打磨，刮内墙腻子三遍；阴阳角补整</t>
    </r>
    <r>
      <rPr>
        <sz val="12"/>
        <rFont val="微软雅黑"/>
        <charset val="134"/>
      </rPr>
      <t>;(</t>
    </r>
    <r>
      <rPr>
        <sz val="12"/>
        <rFont val="微软雅黑"/>
        <charset val="134"/>
      </rPr>
      <t>如墙、顶面质量太差，需另做粉墙处理，粉刷部分另加</t>
    </r>
    <r>
      <rPr>
        <sz val="12"/>
        <rFont val="微软雅黑"/>
        <charset val="134"/>
      </rPr>
      <t>15</t>
    </r>
    <r>
      <rPr>
        <sz val="12"/>
        <rFont val="微软雅黑"/>
        <charset val="134"/>
      </rPr>
      <t>元</t>
    </r>
    <r>
      <rPr>
        <sz val="12"/>
        <rFont val="微软雅黑"/>
        <charset val="134"/>
      </rPr>
      <t>/</t>
    </r>
    <r>
      <rPr>
        <sz val="12"/>
        <rFont val="微软雅黑"/>
        <charset val="134"/>
      </rPr>
      <t>㎡）</t>
    </r>
    <r>
      <rPr>
        <sz val="12"/>
        <rFont val="微软雅黑"/>
        <charset val="134"/>
      </rPr>
      <t>3.</t>
    </r>
    <r>
      <rPr>
        <sz val="12"/>
        <rFont val="微软雅黑"/>
        <charset val="134"/>
      </rPr>
      <t>工程量按实际最大展开面积计算</t>
    </r>
  </si>
  <si>
    <r>
      <rPr>
        <sz val="12"/>
        <rFont val="微软雅黑"/>
        <charset val="134"/>
      </rPr>
      <t>1.</t>
    </r>
    <r>
      <rPr>
        <sz val="12"/>
        <rFont val="微软雅黑"/>
        <charset val="134"/>
      </rPr>
      <t>内墙腻子上涂刷多乐士家丽安</t>
    </r>
    <r>
      <rPr>
        <sz val="12"/>
        <rFont val="微软雅黑"/>
        <charset val="134"/>
      </rPr>
      <t>(</t>
    </r>
    <r>
      <rPr>
        <sz val="12"/>
        <rFont val="微软雅黑"/>
        <charset val="134"/>
      </rPr>
      <t>每户限三种颜色以内、每增加一色加一桶墙漆价格</t>
    </r>
    <r>
      <rPr>
        <sz val="12"/>
        <rFont val="微软雅黑"/>
        <charset val="134"/>
      </rPr>
      <t>)</t>
    </r>
    <r>
      <rPr>
        <sz val="12"/>
        <rFont val="微软雅黑"/>
        <charset val="134"/>
      </rPr>
      <t>乳胶漆三遍。</t>
    </r>
    <r>
      <rPr>
        <sz val="12"/>
        <rFont val="微软雅黑"/>
        <charset val="134"/>
      </rPr>
      <t>2.</t>
    </r>
    <r>
      <rPr>
        <sz val="12"/>
        <rFont val="微软雅黑"/>
        <charset val="134"/>
      </rPr>
      <t>工程量按实际最大展开面积计算，门窗洞口面积减半计算。</t>
    </r>
  </si>
  <si>
    <t>包水管</t>
  </si>
  <si>
    <t>贴墙砖</t>
  </si>
  <si>
    <t>铺防滑地砖300*300</t>
  </si>
  <si>
    <t>水泥沙浆不含瓷砖</t>
  </si>
  <si>
    <r>
      <rPr>
        <sz val="12"/>
        <rFont val="微软雅黑"/>
        <charset val="134"/>
      </rPr>
      <t>1.</t>
    </r>
    <r>
      <rPr>
        <sz val="12"/>
        <rFont val="微软雅黑"/>
        <charset val="134"/>
      </rPr>
      <t>原墙、顶面质量检查，如空鼓开裂；</t>
    </r>
    <r>
      <rPr>
        <sz val="12"/>
        <rFont val="微软雅黑"/>
        <charset val="134"/>
      </rPr>
      <t>2.</t>
    </r>
    <r>
      <rPr>
        <sz val="12"/>
        <rFont val="微软雅黑"/>
        <charset val="134"/>
      </rPr>
      <t>砂纸打磨，刮内墙腻子两遍；阴阳角补整</t>
    </r>
    <r>
      <rPr>
        <sz val="12"/>
        <rFont val="微软雅黑"/>
        <charset val="134"/>
      </rPr>
      <t>;(</t>
    </r>
    <r>
      <rPr>
        <sz val="12"/>
        <rFont val="微软雅黑"/>
        <charset val="134"/>
      </rPr>
      <t>如墙、顶面质量太差，需另做粉墙处理，粉刷部分另加</t>
    </r>
    <r>
      <rPr>
        <sz val="12"/>
        <rFont val="微软雅黑"/>
        <charset val="134"/>
      </rPr>
      <t>15</t>
    </r>
    <r>
      <rPr>
        <sz val="12"/>
        <rFont val="微软雅黑"/>
        <charset val="134"/>
      </rPr>
      <t>元</t>
    </r>
    <r>
      <rPr>
        <sz val="12"/>
        <rFont val="微软雅黑"/>
        <charset val="134"/>
      </rPr>
      <t>/</t>
    </r>
    <r>
      <rPr>
        <sz val="12"/>
        <rFont val="微软雅黑"/>
        <charset val="134"/>
      </rPr>
      <t>㎡）</t>
    </r>
    <r>
      <rPr>
        <sz val="12"/>
        <rFont val="微软雅黑"/>
        <charset val="134"/>
      </rPr>
      <t>3.</t>
    </r>
    <r>
      <rPr>
        <sz val="12"/>
        <rFont val="微软雅黑"/>
        <charset val="134"/>
      </rPr>
      <t>工程量按实际最大展开面积计算</t>
    </r>
  </si>
  <si>
    <t>墙面贴瓷砖</t>
  </si>
  <si>
    <t>金环羽电线,联塑水管,国际电工开关插座面板</t>
  </si>
  <si>
    <t>灯具安装</t>
  </si>
  <si>
    <t>两房两厅为380，三房两厅为460,四房两厅为550,复式楼为650,别墅为900。不含水晶灯等大型灯具,如需另计费用</t>
  </si>
  <si>
    <t>洁具安装</t>
  </si>
  <si>
    <t>两房两厅为360，三房两厅为440,四房两厅为520,复式楼为600,别墅为800。不含浴缸、淋浴房等大型洁具,如需另计费用</t>
  </si>
  <si>
    <t>清运到小区指定地点，按建筑面积*3元／平方</t>
  </si>
  <si>
    <t>工程总价*1%</t>
  </si>
  <si>
    <t>材料采保搬运</t>
  </si>
  <si>
    <t>取直接成本的1%.(限市区内)</t>
  </si>
  <si>
    <t>打空调洞</t>
  </si>
  <si>
    <t>业主自理</t>
  </si>
  <si>
    <t>A</t>
  </si>
  <si>
    <t>以上工程直接费</t>
  </si>
  <si>
    <t>B</t>
  </si>
  <si>
    <t>管理费（A直接费*10%）</t>
  </si>
  <si>
    <t>A直接费*10%</t>
  </si>
  <si>
    <t>工程总造价的10%</t>
  </si>
  <si>
    <t>C</t>
  </si>
  <si>
    <t>工程总造价（不含税造价）</t>
  </si>
  <si>
    <t>A+B</t>
  </si>
  <si>
    <t>附注：</t>
  </si>
  <si>
    <t>本预算根据设计部提供的设计施工图编制。</t>
  </si>
  <si>
    <t>所有施工项目内容以本预算清单为准，本预算工程项目经甲方（业主）核对签字认可后，凡今后施工过程中所产生的一切预算外项目  及原预算内施工项目工程量发生增减变化时，均为变更项目，本预算表和施工中发生的客户签字认可的“工程项目变更单”，竣工后按 公司统筹计量方法结算工程量，单价按预算表签字认可的单价结算。</t>
  </si>
  <si>
    <t>本预算包含本公司标准配置的板材及钉子等，预算表不含主材部分（门锁、拉手、墙地砖、地板、橱柜、塑钢门窗、大理石、马赛克、 铝框玻璃推拉门及柜门、柜内拉篮裤架、装饰墙纸、灯洁具、踢脚线、楼梯、栏杆扶手、鱼缸等）。</t>
  </si>
  <si>
    <t>工程中物业管理公司收取的所有款项均由甲方（业主）负责，须事先自行承担和办理完成，含（物业管理费、装修押金、装修垃圾外运费、  城管、城建、消防及施工期间发生的水电费用等），如因我公司施工原因所扣的罚款由我公司负责，在工程施工进度款中扣除。</t>
  </si>
  <si>
    <t>本预算不含项目及未计费用项目由甲方负责；如需增加办理工程变更单一次性收取。</t>
  </si>
  <si>
    <t>本预算不含税金。如需开发票，另增加总造价的5.36%的税金。</t>
  </si>
  <si>
    <t>本预算中墙漆、木器漆限三种颜色以内，每超过一种另加墙漆一桶或者油漆一组；施工期间业主自购材料（公司材料部份）以公司材料单价按70%退还材料费。</t>
  </si>
  <si>
    <t>用材说明</t>
  </si>
  <si>
    <t>产地</t>
  </si>
  <si>
    <t>等级</t>
  </si>
  <si>
    <t>单价(元)</t>
  </si>
  <si>
    <t>规格</t>
  </si>
  <si>
    <t>18MM大芯板（瑶王E1级）</t>
  </si>
  <si>
    <t>张</t>
  </si>
  <si>
    <t>湖南</t>
  </si>
  <si>
    <t>优等</t>
  </si>
  <si>
    <t>1220*2440</t>
  </si>
  <si>
    <t>15MM大芯板（瑶王E1级）</t>
  </si>
  <si>
    <r>
      <rPr>
        <sz val="12"/>
        <rFont val="微软雅黑"/>
        <charset val="134"/>
      </rPr>
      <t>十二厘板（万象装饰单面</t>
    </r>
    <r>
      <rPr>
        <sz val="12"/>
        <rFont val="微软雅黑"/>
        <charset val="134"/>
      </rPr>
      <t>E1</t>
    </r>
    <r>
      <rPr>
        <sz val="12"/>
        <rFont val="微软雅黑"/>
        <charset val="134"/>
      </rPr>
      <t>级）</t>
    </r>
  </si>
  <si>
    <t>江苏</t>
  </si>
  <si>
    <r>
      <rPr>
        <sz val="12"/>
        <rFont val="微软雅黑"/>
        <charset val="134"/>
      </rPr>
      <t>九厘板（万象单面</t>
    </r>
    <r>
      <rPr>
        <sz val="12"/>
        <rFont val="微软雅黑"/>
        <charset val="134"/>
      </rPr>
      <t>E1</t>
    </r>
    <r>
      <rPr>
        <sz val="12"/>
        <rFont val="微软雅黑"/>
        <charset val="134"/>
      </rPr>
      <t>级）</t>
    </r>
  </si>
  <si>
    <r>
      <rPr>
        <sz val="12"/>
        <rFont val="微软雅黑"/>
        <charset val="134"/>
      </rPr>
      <t>五厘板（万象单面</t>
    </r>
    <r>
      <rPr>
        <sz val="12"/>
        <rFont val="微软雅黑"/>
        <charset val="134"/>
      </rPr>
      <t>E1</t>
    </r>
    <r>
      <rPr>
        <sz val="12"/>
        <rFont val="微软雅黑"/>
        <charset val="134"/>
      </rPr>
      <t>级）</t>
    </r>
  </si>
  <si>
    <t>安徽</t>
  </si>
  <si>
    <t>优质面板</t>
  </si>
  <si>
    <t>石膏板（龙）</t>
  </si>
  <si>
    <t>北京</t>
  </si>
  <si>
    <t>1200*2400</t>
  </si>
  <si>
    <t>多乐士墙漆</t>
  </si>
  <si>
    <t>组</t>
  </si>
  <si>
    <t>上海</t>
  </si>
  <si>
    <t>环保</t>
  </si>
  <si>
    <t>5L</t>
  </si>
  <si>
    <t>D</t>
  </si>
  <si>
    <t>E</t>
  </si>
  <si>
    <t>F</t>
  </si>
  <si>
    <t>A1</t>
  </si>
  <si>
    <t>A2</t>
  </si>
  <si>
    <t>A3</t>
  </si>
  <si>
    <t>B1</t>
  </si>
  <si>
    <t>B2</t>
  </si>
  <si>
    <t>主    材    价    格    表</t>
  </si>
  <si>
    <t>材       料       名       称</t>
  </si>
  <si>
    <t>产品名称</t>
  </si>
  <si>
    <t>数    量</t>
  </si>
  <si>
    <t>单价（元/㎡）</t>
  </si>
  <si>
    <t>合价（元）</t>
  </si>
  <si>
    <t>瓷砖</t>
  </si>
  <si>
    <t>新中源</t>
  </si>
  <si>
    <t>㎡</t>
  </si>
  <si>
    <t>门</t>
  </si>
  <si>
    <t>美心</t>
  </si>
  <si>
    <t>卫浴</t>
  </si>
  <si>
    <t>卡蒙</t>
  </si>
  <si>
    <t>灯具</t>
  </si>
  <si>
    <t>添一灯饰</t>
  </si>
  <si>
    <t>防盗网</t>
  </si>
  <si>
    <t>无框推拉拉窗</t>
  </si>
  <si>
    <t>推拉门</t>
  </si>
  <si>
    <t>卫生间门</t>
  </si>
  <si>
    <t>方太整体橱柜</t>
  </si>
  <si>
    <t>合计</t>
  </si>
  <si>
    <t>装饰工程预算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</si>
</sst>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  <numFmt numFmtId="177" formatCode="0.00_);[Red]\(0.00\)"/>
    <numFmt numFmtId="178" formatCode="0.00_);\(0.00\)"/>
    <numFmt numFmtId="44" formatCode="_ &quot;￥&quot;* #,##0.00_ ;_ &quot;￥&quot;* \-#,##0.00_ ;_ &quot;￥&quot;* &quot;-&quot;??_ ;_ @_ "/>
    <numFmt numFmtId="179" formatCode="0.00_ "/>
    <numFmt numFmtId="180" formatCode="0_ "/>
  </numFmts>
  <fonts count="52"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28"/>
      <color theme="9" tint="-0.249977111117893"/>
      <name val="微软雅黑"/>
      <charset val="134"/>
    </font>
    <font>
      <sz val="28"/>
      <color theme="9" tint="-0.249977111117893"/>
      <name val="宋体"/>
      <charset val="134"/>
      <scheme val="minor"/>
    </font>
    <font>
      <u/>
      <sz val="18"/>
      <name val="黑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i/>
      <sz val="12"/>
      <name val="宋体"/>
      <charset val="134"/>
    </font>
    <font>
      <sz val="24"/>
      <name val="微软雅黑"/>
      <charset val="134"/>
    </font>
    <font>
      <sz val="14"/>
      <name val="微软雅黑"/>
      <charset val="134"/>
    </font>
    <font>
      <b/>
      <sz val="14"/>
      <name val="微软雅黑"/>
      <charset val="134"/>
    </font>
    <font>
      <b/>
      <i/>
      <sz val="14"/>
      <name val="微软雅黑"/>
      <charset val="134"/>
    </font>
    <font>
      <sz val="14"/>
      <color indexed="8"/>
      <name val="微软雅黑"/>
      <charset val="134"/>
    </font>
    <font>
      <b/>
      <sz val="14"/>
      <color indexed="8"/>
      <name val="微软雅黑"/>
      <charset val="134"/>
    </font>
    <font>
      <i/>
      <sz val="14"/>
      <color indexed="8"/>
      <name val="微软雅黑"/>
      <charset val="134"/>
    </font>
    <font>
      <i/>
      <sz val="12"/>
      <color indexed="8"/>
      <name val="微软雅黑"/>
      <charset val="134"/>
    </font>
    <font>
      <sz val="12"/>
      <name val="微软雅黑"/>
      <charset val="134"/>
    </font>
    <font>
      <sz val="12"/>
      <color indexed="8"/>
      <name val="微软雅黑"/>
      <charset val="134"/>
    </font>
    <font>
      <b/>
      <sz val="12"/>
      <name val="微软雅黑"/>
      <charset val="134"/>
    </font>
    <font>
      <b/>
      <sz val="12"/>
      <color indexed="8"/>
      <name val="微软雅黑"/>
      <charset val="134"/>
    </font>
    <font>
      <b/>
      <i/>
      <sz val="12"/>
      <name val="微软雅黑"/>
      <charset val="134"/>
    </font>
    <font>
      <i/>
      <sz val="12"/>
      <name val="微软雅黑"/>
      <charset val="134"/>
    </font>
    <font>
      <sz val="11"/>
      <name val="微软雅黑"/>
      <charset val="134"/>
    </font>
    <font>
      <sz val="16"/>
      <name val="微软雅黑"/>
      <charset val="134"/>
    </font>
    <font>
      <b/>
      <sz val="12"/>
      <name val="Times New Roman"/>
      <charset val="0"/>
    </font>
    <font>
      <sz val="12"/>
      <name val="Times New Roman"/>
      <charset val="0"/>
    </font>
    <font>
      <b/>
      <sz val="11"/>
      <name val="宋体"/>
      <charset val="134"/>
    </font>
    <font>
      <sz val="20"/>
      <name val="宋体"/>
      <charset val="134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2"/>
      <color indexed="20"/>
      <name val="宋体"/>
      <charset val="134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2"/>
      <color indexed="12"/>
      <name val="宋体"/>
      <charset val="134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vertAlign val="superscript"/>
      <sz val="14"/>
      <name val="微软雅黑"/>
      <charset val="134"/>
    </font>
    <font>
      <vertAlign val="superscript"/>
      <sz val="12"/>
      <name val="微软雅黑"/>
      <charset val="134"/>
    </font>
    <font>
      <vertAlign val="superscript"/>
      <sz val="1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EF9F4"/>
        <bgColor indexed="6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/>
    <xf numFmtId="0" fontId="1" fillId="31" borderId="0" applyNumberFormat="0" applyBorder="0" applyAlignment="0" applyProtection="0">
      <alignment vertical="center"/>
    </xf>
    <xf numFmtId="0" fontId="45" fillId="28" borderId="19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" fillId="11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37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40" fillId="20" borderId="16" applyNumberFormat="0" applyFont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19" borderId="15" applyNumberFormat="0" applyAlignment="0" applyProtection="0">
      <alignment vertical="center"/>
    </xf>
    <xf numFmtId="0" fontId="46" fillId="19" borderId="19" applyNumberFormat="0" applyAlignment="0" applyProtection="0">
      <alignment vertical="center"/>
    </xf>
    <xf numFmtId="0" fontId="30" fillId="10" borderId="13" applyNumberForma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</cellStyleXfs>
  <cellXfs count="187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center" vertical="center"/>
    </xf>
    <xf numFmtId="0" fontId="0" fillId="0" borderId="0" xfId="0" applyFont="1"/>
    <xf numFmtId="0" fontId="6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/>
    </xf>
    <xf numFmtId="177" fontId="6" fillId="4" borderId="4" xfId="0" applyNumberFormat="1" applyFont="1" applyFill="1" applyBorder="1" applyAlignment="1">
      <alignment horizontal="center" vertical="center" wrapText="1"/>
    </xf>
    <xf numFmtId="178" fontId="6" fillId="4" borderId="4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177" fontId="6" fillId="0" borderId="5" xfId="0" applyNumberFormat="1" applyFont="1" applyFill="1" applyBorder="1" applyAlignment="1">
      <alignment horizontal="center" vertical="center" wrapText="1"/>
    </xf>
    <xf numFmtId="178" fontId="6" fillId="0" borderId="5" xfId="0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center"/>
    </xf>
    <xf numFmtId="177" fontId="6" fillId="4" borderId="5" xfId="0" applyNumberFormat="1" applyFont="1" applyFill="1" applyBorder="1" applyAlignment="1">
      <alignment horizontal="center" vertical="center" wrapText="1"/>
    </xf>
    <xf numFmtId="178" fontId="6" fillId="4" borderId="5" xfId="0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center"/>
    </xf>
    <xf numFmtId="178" fontId="6" fillId="4" borderId="5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center" vertical="center" wrapText="1"/>
    </xf>
    <xf numFmtId="178" fontId="0" fillId="0" borderId="7" xfId="0" applyNumberFormat="1" applyFont="1" applyBorder="1" applyAlignment="1">
      <alignment horizontal="center" vertical="center" wrapText="1"/>
    </xf>
    <xf numFmtId="178" fontId="0" fillId="0" borderId="7" xfId="0" applyNumberFormat="1" applyFont="1" applyBorder="1" applyAlignment="1">
      <alignment horizontal="left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wrapText="1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176" fontId="0" fillId="0" borderId="0" xfId="0" applyNumberFormat="1" applyFont="1" applyFill="1" applyBorder="1" applyAlignment="1">
      <alignment horizontal="left" vertical="center" wrapText="1"/>
    </xf>
    <xf numFmtId="176" fontId="0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left" vertical="center" wrapText="1"/>
    </xf>
    <xf numFmtId="0" fontId="11" fillId="5" borderId="10" xfId="0" applyFont="1" applyFill="1" applyBorder="1" applyAlignment="1">
      <alignment horizontal="center" vertical="center" wrapText="1"/>
    </xf>
    <xf numFmtId="177" fontId="11" fillId="5" borderId="10" xfId="0" applyNumberFormat="1" applyFont="1" applyFill="1" applyBorder="1" applyAlignment="1">
      <alignment horizontal="center" vertical="center" wrapText="1"/>
    </xf>
    <xf numFmtId="176" fontId="11" fillId="5" borderId="10" xfId="0" applyNumberFormat="1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center" vertical="center" wrapText="1"/>
    </xf>
    <xf numFmtId="177" fontId="11" fillId="0" borderId="8" xfId="0" applyNumberFormat="1" applyFont="1" applyFill="1" applyBorder="1" applyAlignment="1">
      <alignment horizontal="center" vertical="center" wrapText="1"/>
    </xf>
    <xf numFmtId="176" fontId="11" fillId="0" borderId="8" xfId="0" applyNumberFormat="1" applyFont="1" applyFill="1" applyBorder="1" applyAlignment="1">
      <alignment horizontal="center" vertical="center" wrapText="1"/>
    </xf>
    <xf numFmtId="177" fontId="11" fillId="0" borderId="7" xfId="0" applyNumberFormat="1" applyFont="1" applyFill="1" applyBorder="1" applyAlignment="1">
      <alignment horizontal="center" vertical="center" wrapText="1"/>
    </xf>
    <xf numFmtId="176" fontId="11" fillId="0" borderId="7" xfId="0" applyNumberFormat="1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left" vertical="center" wrapText="1"/>
    </xf>
    <xf numFmtId="0" fontId="11" fillId="6" borderId="8" xfId="0" applyFont="1" applyFill="1" applyBorder="1" applyAlignment="1">
      <alignment horizontal="center" vertical="center" wrapText="1"/>
    </xf>
    <xf numFmtId="179" fontId="11" fillId="6" borderId="8" xfId="0" applyNumberFormat="1" applyFont="1" applyFill="1" applyBorder="1" applyAlignment="1">
      <alignment horizontal="center" vertical="center" wrapText="1"/>
    </xf>
    <xf numFmtId="176" fontId="11" fillId="6" borderId="8" xfId="0" applyNumberFormat="1" applyFont="1" applyFill="1" applyBorder="1" applyAlignment="1">
      <alignment horizontal="center" vertical="center" wrapText="1"/>
    </xf>
    <xf numFmtId="176" fontId="11" fillId="6" borderId="7" xfId="0" applyNumberFormat="1" applyFont="1" applyFill="1" applyBorder="1" applyAlignment="1">
      <alignment horizontal="center" vertical="center" wrapText="1"/>
    </xf>
    <xf numFmtId="179" fontId="11" fillId="0" borderId="8" xfId="0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left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left" vertical="center" wrapText="1"/>
    </xf>
    <xf numFmtId="0" fontId="11" fillId="5" borderId="8" xfId="0" applyFont="1" applyFill="1" applyBorder="1" applyAlignment="1">
      <alignment horizontal="center" vertical="center" wrapText="1"/>
    </xf>
    <xf numFmtId="179" fontId="11" fillId="5" borderId="8" xfId="0" applyNumberFormat="1" applyFont="1" applyFill="1" applyBorder="1" applyAlignment="1">
      <alignment horizontal="center" vertical="center" wrapText="1"/>
    </xf>
    <xf numFmtId="176" fontId="11" fillId="5" borderId="8" xfId="0" applyNumberFormat="1" applyFont="1" applyFill="1" applyBorder="1" applyAlignment="1">
      <alignment horizontal="center" vertical="center" wrapText="1"/>
    </xf>
    <xf numFmtId="176" fontId="11" fillId="5" borderId="7" xfId="0" applyNumberFormat="1" applyFont="1" applyFill="1" applyBorder="1" applyAlignment="1">
      <alignment horizontal="center" vertical="center" wrapText="1"/>
    </xf>
    <xf numFmtId="177" fontId="11" fillId="5" borderId="8" xfId="0" applyNumberFormat="1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left" vertical="center" wrapText="1"/>
    </xf>
    <xf numFmtId="0" fontId="18" fillId="0" borderId="8" xfId="0" applyFont="1" applyFill="1" applyBorder="1" applyAlignment="1">
      <alignment horizontal="center" vertical="center" wrapText="1"/>
    </xf>
    <xf numFmtId="177" fontId="18" fillId="0" borderId="8" xfId="0" applyNumberFormat="1" applyFont="1" applyFill="1" applyBorder="1" applyAlignment="1">
      <alignment horizontal="center" vertical="center" wrapText="1"/>
    </xf>
    <xf numFmtId="176" fontId="18" fillId="0" borderId="8" xfId="0" applyNumberFormat="1" applyFont="1" applyFill="1" applyBorder="1" applyAlignment="1">
      <alignment horizontal="center" vertical="center" wrapText="1"/>
    </xf>
    <xf numFmtId="179" fontId="18" fillId="0" borderId="8" xfId="0" applyNumberFormat="1" applyFont="1" applyFill="1" applyBorder="1" applyAlignment="1">
      <alignment horizontal="center" vertical="center" wrapText="1"/>
    </xf>
    <xf numFmtId="176" fontId="18" fillId="0" borderId="7" xfId="0" applyNumberFormat="1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20" fillId="0" borderId="8" xfId="0" applyFont="1" applyFill="1" applyBorder="1" applyAlignment="1">
      <alignment horizontal="left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177" fontId="18" fillId="5" borderId="8" xfId="0" applyNumberFormat="1" applyFont="1" applyFill="1" applyBorder="1" applyAlignment="1">
      <alignment horizontal="center" vertical="center" wrapText="1"/>
    </xf>
    <xf numFmtId="176" fontId="18" fillId="5" borderId="8" xfId="0" applyNumberFormat="1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center" vertical="center" wrapText="1"/>
    </xf>
    <xf numFmtId="177" fontId="18" fillId="0" borderId="8" xfId="0" applyNumberFormat="1" applyFont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left" vertical="center" wrapText="1"/>
    </xf>
    <xf numFmtId="176" fontId="0" fillId="5" borderId="0" xfId="0" applyNumberFormat="1" applyFont="1" applyFill="1" applyBorder="1" applyAlignment="1">
      <alignment horizontal="left" vertical="center" wrapText="1"/>
    </xf>
    <xf numFmtId="176" fontId="0" fillId="5" borderId="0" xfId="0" applyNumberFormat="1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left" vertical="center" wrapText="1"/>
    </xf>
    <xf numFmtId="176" fontId="0" fillId="6" borderId="0" xfId="0" applyNumberFormat="1" applyFont="1" applyFill="1" applyBorder="1" applyAlignment="1">
      <alignment horizontal="left" vertical="center" wrapText="1"/>
    </xf>
    <xf numFmtId="176" fontId="0" fillId="6" borderId="0" xfId="0" applyNumberFormat="1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 vertical="center" wrapText="1" shrinkToFit="1"/>
    </xf>
    <xf numFmtId="177" fontId="12" fillId="0" borderId="8" xfId="0" applyNumberFormat="1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left" vertical="center" wrapText="1"/>
    </xf>
    <xf numFmtId="0" fontId="11" fillId="5" borderId="8" xfId="0" applyFont="1" applyFill="1" applyBorder="1" applyAlignment="1">
      <alignment horizontal="left" vertical="center" wrapText="1"/>
    </xf>
    <xf numFmtId="0" fontId="18" fillId="0" borderId="7" xfId="0" applyFont="1" applyFill="1" applyBorder="1" applyAlignment="1">
      <alignment horizontal="left" vertical="center" wrapText="1"/>
    </xf>
    <xf numFmtId="0" fontId="18" fillId="0" borderId="8" xfId="0" applyFont="1" applyFill="1" applyBorder="1" applyAlignment="1">
      <alignment horizontal="left" vertical="center" wrapText="1" shrinkToFit="1"/>
    </xf>
    <xf numFmtId="177" fontId="20" fillId="0" borderId="8" xfId="0" applyNumberFormat="1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left" vertical="center" wrapText="1"/>
    </xf>
    <xf numFmtId="176" fontId="0" fillId="0" borderId="0" xfId="0" applyNumberFormat="1" applyFont="1" applyAlignment="1">
      <alignment horizontal="left" vertical="center" wrapText="1"/>
    </xf>
    <xf numFmtId="176" fontId="0" fillId="0" borderId="0" xfId="0" applyNumberFormat="1" applyFont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177" fontId="18" fillId="0" borderId="7" xfId="0" applyNumberFormat="1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177" fontId="20" fillId="0" borderId="8" xfId="0" applyNumberFormat="1" applyFont="1" applyBorder="1" applyAlignment="1">
      <alignment horizontal="center" vertical="center" wrapText="1"/>
    </xf>
    <xf numFmtId="177" fontId="20" fillId="5" borderId="8" xfId="0" applyNumberFormat="1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 wrapText="1"/>
    </xf>
    <xf numFmtId="179" fontId="18" fillId="0" borderId="8" xfId="0" applyNumberFormat="1" applyFont="1" applyBorder="1" applyAlignment="1">
      <alignment horizontal="center" vertical="center" wrapText="1"/>
    </xf>
    <xf numFmtId="180" fontId="18" fillId="0" borderId="8" xfId="0" applyNumberFormat="1" applyFont="1" applyBorder="1" applyAlignment="1">
      <alignment horizontal="center" vertical="center" wrapText="1"/>
    </xf>
    <xf numFmtId="0" fontId="23" fillId="6" borderId="8" xfId="0" applyFont="1" applyFill="1" applyBorder="1" applyAlignment="1">
      <alignment horizontal="center" vertical="center"/>
    </xf>
    <xf numFmtId="177" fontId="18" fillId="0" borderId="9" xfId="0" applyNumberFormat="1" applyFont="1" applyFill="1" applyBorder="1" applyAlignment="1">
      <alignment horizontal="center" vertical="center" wrapText="1"/>
    </xf>
    <xf numFmtId="177" fontId="18" fillId="0" borderId="10" xfId="0" applyNumberFormat="1" applyFont="1" applyFill="1" applyBorder="1" applyAlignment="1">
      <alignment horizontal="center" vertical="center" wrapText="1"/>
    </xf>
    <xf numFmtId="177" fontId="18" fillId="0" borderId="11" xfId="0" applyNumberFormat="1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23" fillId="0" borderId="8" xfId="0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2" fontId="18" fillId="0" borderId="8" xfId="0" applyNumberFormat="1" applyFont="1" applyFill="1" applyBorder="1" applyAlignment="1">
      <alignment horizontal="center" vertical="center" wrapText="1"/>
    </xf>
    <xf numFmtId="2" fontId="18" fillId="0" borderId="8" xfId="0" applyNumberFormat="1" applyFont="1" applyFill="1" applyBorder="1" applyAlignment="1">
      <alignment horizontal="left" vertical="center" wrapText="1"/>
    </xf>
    <xf numFmtId="0" fontId="20" fillId="0" borderId="8" xfId="0" applyFont="1" applyFill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/>
    </xf>
    <xf numFmtId="0" fontId="25" fillId="0" borderId="8" xfId="0" applyFont="1" applyBorder="1" applyAlignment="1">
      <alignment horizontal="left" vertical="center"/>
    </xf>
    <xf numFmtId="0" fontId="26" fillId="0" borderId="8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0" fillId="0" borderId="8" xfId="0" applyFont="1" applyFill="1" applyBorder="1" applyAlignment="1">
      <alignment horizontal="center" vertical="center" wrapText="1"/>
    </xf>
    <xf numFmtId="177" fontId="0" fillId="0" borderId="8" xfId="0" applyNumberFormat="1" applyFont="1" applyFill="1" applyBorder="1" applyAlignment="1">
      <alignment horizontal="center" vertical="center" wrapText="1"/>
    </xf>
    <xf numFmtId="176" fontId="0" fillId="0" borderId="8" xfId="0" applyNumberFormat="1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left" vertical="center" wrapText="1"/>
    </xf>
    <xf numFmtId="176" fontId="27" fillId="0" borderId="8" xfId="0" applyNumberFormat="1" applyFont="1" applyFill="1" applyBorder="1" applyAlignment="1">
      <alignment horizontal="center" vertical="center" wrapText="1"/>
    </xf>
    <xf numFmtId="2" fontId="18" fillId="0" borderId="8" xfId="0" applyNumberFormat="1" applyFont="1" applyBorder="1" applyAlignment="1">
      <alignment horizontal="left" vertical="center" wrapText="1"/>
    </xf>
    <xf numFmtId="0" fontId="20" fillId="5" borderId="8" xfId="0" applyFont="1" applyFill="1" applyBorder="1" applyAlignment="1">
      <alignment horizontal="left" vertical="center" wrapText="1" shrinkToFit="1"/>
    </xf>
    <xf numFmtId="0" fontId="18" fillId="6" borderId="8" xfId="0" applyFont="1" applyFill="1" applyBorder="1" applyAlignment="1">
      <alignment horizontal="left" vertical="center" wrapText="1"/>
    </xf>
    <xf numFmtId="176" fontId="0" fillId="0" borderId="0" xfId="0" applyNumberFormat="1" applyFont="1" applyAlignment="1">
      <alignment horizontal="left" wrapText="1"/>
    </xf>
    <xf numFmtId="0" fontId="20" fillId="0" borderId="8" xfId="0" applyFont="1" applyBorder="1" applyAlignment="1">
      <alignment horizontal="center" vertical="center" wrapText="1" shrinkToFit="1"/>
    </xf>
    <xf numFmtId="0" fontId="7" fillId="0" borderId="8" xfId="0" applyFont="1" applyBorder="1" applyAlignment="1">
      <alignment horizontal="center" vertical="center" wrapText="1" shrinkToFit="1"/>
    </xf>
    <xf numFmtId="0" fontId="18" fillId="0" borderId="8" xfId="0" applyFont="1" applyBorder="1" applyAlignment="1">
      <alignment horizontal="left" vertical="center" wrapText="1" shrinkToFit="1"/>
    </xf>
    <xf numFmtId="177" fontId="20" fillId="0" borderId="8" xfId="0" applyNumberFormat="1" applyFont="1" applyBorder="1" applyAlignment="1">
      <alignment horizontal="center" vertical="center"/>
    </xf>
    <xf numFmtId="0" fontId="18" fillId="0" borderId="11" xfId="0" applyFont="1" applyFill="1" applyBorder="1" applyAlignment="1">
      <alignment horizontal="left" vertical="center" wrapText="1"/>
    </xf>
    <xf numFmtId="1" fontId="18" fillId="0" borderId="8" xfId="0" applyNumberFormat="1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left" vertical="center" wrapText="1" shrinkToFit="1"/>
    </xf>
    <xf numFmtId="0" fontId="0" fillId="7" borderId="8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27" fillId="0" borderId="8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 wrapText="1"/>
    </xf>
    <xf numFmtId="2" fontId="0" fillId="0" borderId="8" xfId="0" applyNumberFormat="1" applyFont="1" applyFill="1" applyBorder="1" applyAlignment="1">
      <alignment horizontal="center" vertical="center" wrapText="1"/>
    </xf>
    <xf numFmtId="2" fontId="0" fillId="0" borderId="8" xfId="0" applyNumberFormat="1" applyFont="1" applyFill="1" applyBorder="1" applyAlignment="1">
      <alignment horizontal="left" vertical="center" wrapText="1"/>
    </xf>
    <xf numFmtId="2" fontId="27" fillId="0" borderId="8" xfId="0" applyNumberFormat="1" applyFont="1" applyFill="1" applyBorder="1" applyAlignment="1">
      <alignment horizontal="center" vertical="center" wrapText="1"/>
    </xf>
    <xf numFmtId="176" fontId="8" fillId="0" borderId="0" xfId="0" applyNumberFormat="1" applyFont="1" applyFill="1" applyBorder="1" applyAlignment="1">
      <alignment horizontal="left" vertical="center" wrapText="1"/>
    </xf>
    <xf numFmtId="176" fontId="8" fillId="0" borderId="0" xfId="0" applyNumberFormat="1" applyFont="1" applyFill="1" applyBorder="1" applyAlignment="1">
      <alignment horizontal="center" vertical="center" wrapText="1"/>
    </xf>
    <xf numFmtId="176" fontId="8" fillId="0" borderId="0" xfId="0" applyNumberFormat="1" applyFont="1" applyFill="1" applyAlignment="1">
      <alignment horizontal="left" wrapText="1"/>
    </xf>
    <xf numFmtId="176" fontId="0" fillId="0" borderId="0" xfId="0" applyNumberFormat="1" applyFont="1" applyFill="1" applyAlignment="1">
      <alignment horizontal="left" wrapText="1"/>
    </xf>
    <xf numFmtId="176" fontId="0" fillId="0" borderId="0" xfId="0" applyNumberFormat="1" applyFont="1" applyFill="1" applyAlignment="1">
      <alignment wrapText="1"/>
    </xf>
    <xf numFmtId="177" fontId="7" fillId="0" borderId="8" xfId="0" applyNumberFormat="1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left" vertical="center" wrapText="1"/>
    </xf>
    <xf numFmtId="10" fontId="0" fillId="0" borderId="8" xfId="0" applyNumberFormat="1" applyFont="1" applyFill="1" applyBorder="1" applyAlignment="1">
      <alignment horizontal="left" vertical="center" wrapText="1" shrinkToFit="1"/>
    </xf>
    <xf numFmtId="0" fontId="8" fillId="0" borderId="11" xfId="0" applyFont="1" applyFill="1" applyBorder="1" applyAlignment="1">
      <alignment horizontal="left" vertical="center" wrapText="1"/>
    </xf>
    <xf numFmtId="1" fontId="0" fillId="0" borderId="8" xfId="0" applyNumberFormat="1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2" fontId="0" fillId="0" borderId="12" xfId="0" applyNumberFormat="1" applyFont="1" applyFill="1" applyBorder="1" applyAlignment="1">
      <alignment horizontal="center" vertical="center" wrapText="1"/>
    </xf>
    <xf numFmtId="1" fontId="0" fillId="0" borderId="12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/>
    <xf numFmtId="0" fontId="28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center" vertical="center" wrapText="1"/>
    </xf>
    <xf numFmtId="179" fontId="6" fillId="4" borderId="5" xfId="0" applyNumberFormat="1" applyFont="1" applyFill="1" applyBorder="1" applyAlignment="1">
      <alignment horizontal="center" vertical="center" wrapText="1"/>
    </xf>
    <xf numFmtId="179" fontId="6" fillId="0" borderId="5" xfId="0" applyNumberFormat="1" applyFont="1" applyFill="1" applyBorder="1" applyAlignment="1">
      <alignment horizontal="center" vertical="center" wrapText="1"/>
    </xf>
    <xf numFmtId="179" fontId="8" fillId="0" borderId="0" xfId="0" applyNumberFormat="1" applyFont="1"/>
    <xf numFmtId="179" fontId="6" fillId="0" borderId="5" xfId="0" applyNumberFormat="1" applyFont="1" applyFill="1" applyBorder="1" applyAlignment="1">
      <alignment horizontal="center" vertical="center"/>
    </xf>
    <xf numFmtId="179" fontId="6" fillId="4" borderId="5" xfId="0" applyNumberFormat="1" applyFont="1" applyFill="1" applyBorder="1" applyAlignment="1">
      <alignment horizontal="center" vertical="center"/>
    </xf>
    <xf numFmtId="180" fontId="6" fillId="4" borderId="5" xfId="0" applyNumberFormat="1" applyFont="1" applyFill="1" applyBorder="1" applyAlignment="1">
      <alignment horizontal="left" vertical="center" wrapText="1"/>
    </xf>
    <xf numFmtId="180" fontId="6" fillId="4" borderId="5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00FFFF"/>
      <color rgb="00FFFFFF"/>
      <color rgb="00C0C0C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314960</xdr:colOff>
      <xdr:row>12</xdr:row>
      <xdr:rowOff>172085</xdr:rowOff>
    </xdr:from>
    <xdr:to>
      <xdr:col>1</xdr:col>
      <xdr:colOff>1276985</xdr:colOff>
      <xdr:row>13</xdr:row>
      <xdr:rowOff>0</xdr:rowOff>
    </xdr:to>
    <xdr:sp>
      <xdr:nvSpPr>
        <xdr:cNvPr id="3074" name="Line 1"/>
        <xdr:cNvSpPr/>
      </xdr:nvSpPr>
      <xdr:spPr>
        <a:xfrm>
          <a:off x="1000760" y="4229735"/>
          <a:ext cx="962025" cy="170815"/>
        </a:xfrm>
        <a:prstGeom prst="line">
          <a:avLst/>
        </a:prstGeom>
        <a:ln w="9271" cap="flat" cmpd="sng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247015</xdr:colOff>
      <xdr:row>17</xdr:row>
      <xdr:rowOff>40005</xdr:rowOff>
    </xdr:from>
    <xdr:to>
      <xdr:col>3</xdr:col>
      <xdr:colOff>163195</xdr:colOff>
      <xdr:row>19</xdr:row>
      <xdr:rowOff>40005</xdr:rowOff>
    </xdr:to>
    <xdr:sp>
      <xdr:nvSpPr>
        <xdr:cNvPr id="2" name="矩形 1"/>
        <xdr:cNvSpPr/>
      </xdr:nvSpPr>
      <xdr:spPr>
        <a:xfrm>
          <a:off x="917575" y="3116580"/>
          <a:ext cx="1257300" cy="36195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accent6">
                  <a:lumMod val="7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人工预算表</a:t>
          </a:r>
          <a:endParaRPr lang="zh-CN" altLang="en-US" sz="1200" b="1">
            <a:solidFill>
              <a:schemeClr val="accent6">
                <a:lumMod val="7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650240</xdr:colOff>
      <xdr:row>17</xdr:row>
      <xdr:rowOff>40005</xdr:rowOff>
    </xdr:from>
    <xdr:to>
      <xdr:col>6</xdr:col>
      <xdr:colOff>574040</xdr:colOff>
      <xdr:row>19</xdr:row>
      <xdr:rowOff>40005</xdr:rowOff>
    </xdr:to>
    <xdr:sp>
      <xdr:nvSpPr>
        <xdr:cNvPr id="3" name="矩形 2"/>
        <xdr:cNvSpPr/>
      </xdr:nvSpPr>
      <xdr:spPr>
        <a:xfrm>
          <a:off x="3332480" y="3116580"/>
          <a:ext cx="1264920" cy="36195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accent6">
                  <a:lumMod val="7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+mn-cs"/>
            </a:rPr>
            <a:t>工程预算详表</a:t>
          </a:r>
          <a:endParaRPr lang="zh-CN" altLang="en-US" sz="1200" b="1">
            <a:solidFill>
              <a:schemeClr val="accent6">
                <a:lumMod val="75000"/>
              </a:schemeClr>
            </a:solidFill>
            <a:latin typeface="微软雅黑" panose="020B0503020204020204" charset="-122"/>
            <a:ea typeface="微软雅黑" panose="020B0503020204020204" charset="-122"/>
            <a:cs typeface="+mn-cs"/>
          </a:endParaRPr>
        </a:p>
      </xdr:txBody>
    </xdr:sp>
    <xdr:clientData/>
  </xdr:twoCellAnchor>
  <xdr:twoCellAnchor>
    <xdr:from>
      <xdr:col>8</xdr:col>
      <xdr:colOff>364490</xdr:colOff>
      <xdr:row>17</xdr:row>
      <xdr:rowOff>40005</xdr:rowOff>
    </xdr:from>
    <xdr:to>
      <xdr:col>10</xdr:col>
      <xdr:colOff>387350</xdr:colOff>
      <xdr:row>19</xdr:row>
      <xdr:rowOff>40005</xdr:rowOff>
    </xdr:to>
    <xdr:sp>
      <xdr:nvSpPr>
        <xdr:cNvPr id="4" name="矩形 3"/>
        <xdr:cNvSpPr/>
      </xdr:nvSpPr>
      <xdr:spPr>
        <a:xfrm>
          <a:off x="5728970" y="3116580"/>
          <a:ext cx="1363980" cy="36195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accent6">
                  <a:lumMod val="7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+mn-cs"/>
            </a:rPr>
            <a:t>主材预算表</a:t>
          </a:r>
          <a:endParaRPr lang="zh-CN" altLang="en-US" sz="1200" b="1">
            <a:solidFill>
              <a:schemeClr val="accent6">
                <a:lumMod val="75000"/>
              </a:schemeClr>
            </a:solidFill>
            <a:latin typeface="微软雅黑" panose="020B0503020204020204" charset="-122"/>
            <a:ea typeface="微软雅黑" panose="020B0503020204020204" charset="-122"/>
            <a:cs typeface="+mn-cs"/>
          </a:endParaRPr>
        </a:p>
      </xdr:txBody>
    </xdr:sp>
    <xdr:clientData/>
  </xdr:twoCellAnchor>
  <xdr:twoCellAnchor editAs="oneCell">
    <xdr:from>
      <xdr:col>8</xdr:col>
      <xdr:colOff>661035</xdr:colOff>
      <xdr:row>11</xdr:row>
      <xdr:rowOff>87630</xdr:rowOff>
    </xdr:from>
    <xdr:to>
      <xdr:col>10</xdr:col>
      <xdr:colOff>89535</xdr:colOff>
      <xdr:row>16</xdr:row>
      <xdr:rowOff>9525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25515" y="2078355"/>
          <a:ext cx="769620" cy="826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495300</xdr:colOff>
      <xdr:row>11</xdr:row>
      <xdr:rowOff>20955</xdr:rowOff>
    </xdr:from>
    <xdr:to>
      <xdr:col>2</xdr:col>
      <xdr:colOff>592455</xdr:colOff>
      <xdr:row>16</xdr:row>
      <xdr:rowOff>9525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65860" y="2011680"/>
          <a:ext cx="767715" cy="8934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222885</xdr:colOff>
      <xdr:row>11</xdr:row>
      <xdr:rowOff>87630</xdr:rowOff>
    </xdr:from>
    <xdr:to>
      <xdr:col>6</xdr:col>
      <xdr:colOff>360045</xdr:colOff>
      <xdr:row>16</xdr:row>
      <xdr:rowOff>30480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575685" y="2078355"/>
          <a:ext cx="807720" cy="847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495300</xdr:colOff>
      <xdr:row>11</xdr:row>
      <xdr:rowOff>87630</xdr:rowOff>
    </xdr:from>
    <xdr:to>
      <xdr:col>2</xdr:col>
      <xdr:colOff>592455</xdr:colOff>
      <xdr:row>16</xdr:row>
      <xdr:rowOff>59055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65860" y="2078355"/>
          <a:ext cx="767715" cy="876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"/>
  <sheetViews>
    <sheetView zoomScale="90" zoomScaleNormal="90" workbookViewId="0">
      <selection activeCell="I13" sqref="I13"/>
    </sheetView>
  </sheetViews>
  <sheetFormatPr defaultColWidth="9" defaultRowHeight="14.25"/>
  <cols>
    <col min="1" max="1" width="5.375" style="39" customWidth="1"/>
    <col min="2" max="2" width="51.525" style="40" customWidth="1"/>
    <col min="3" max="3" width="8.625" style="33" customWidth="1"/>
    <col min="4" max="4" width="17.2833333333333" style="33" customWidth="1"/>
    <col min="5" max="5" width="11" style="33" customWidth="1"/>
    <col min="6" max="6" width="24.1166666666667" style="33" customWidth="1"/>
    <col min="7" max="7" width="10.25" style="41" customWidth="1"/>
    <col min="8" max="8" width="9" style="33"/>
    <col min="9" max="9" width="9.75" style="42"/>
    <col min="10" max="16384" width="9" style="33"/>
  </cols>
  <sheetData>
    <row r="1" ht="38.25" customHeight="1" spans="1:6">
      <c r="A1" s="174" t="s">
        <v>0</v>
      </c>
      <c r="B1" s="174"/>
      <c r="C1" s="174"/>
      <c r="D1" s="174"/>
      <c r="E1" s="174"/>
      <c r="F1" s="174"/>
    </row>
    <row r="2" s="37" customFormat="1" ht="21" customHeight="1" spans="1:9">
      <c r="A2" s="175" t="s">
        <v>1</v>
      </c>
      <c r="B2" s="175"/>
      <c r="C2" s="175"/>
      <c r="D2" s="175"/>
      <c r="E2" s="175"/>
      <c r="F2" s="175"/>
      <c r="G2" s="158"/>
      <c r="I2" s="159"/>
    </row>
    <row r="3" s="37" customFormat="1" ht="21" customHeight="1" spans="1:9">
      <c r="A3" s="176" t="s">
        <v>2</v>
      </c>
      <c r="B3" s="176" t="s">
        <v>3</v>
      </c>
      <c r="C3" s="176" t="s">
        <v>4</v>
      </c>
      <c r="D3" s="176" t="s">
        <v>5</v>
      </c>
      <c r="E3" s="176" t="s">
        <v>6</v>
      </c>
      <c r="F3" s="176" t="s">
        <v>7</v>
      </c>
      <c r="G3" s="158"/>
      <c r="I3" s="159"/>
    </row>
    <row r="4" s="37" customFormat="1" ht="21" customHeight="1" spans="1:9">
      <c r="A4" s="177" t="s">
        <v>8</v>
      </c>
      <c r="B4" s="178" t="s">
        <v>9</v>
      </c>
      <c r="C4" s="177"/>
      <c r="D4" s="11"/>
      <c r="E4" s="11"/>
      <c r="F4" s="11"/>
      <c r="G4" s="158"/>
      <c r="I4" s="159"/>
    </row>
    <row r="5" s="37" customFormat="1" ht="21" customHeight="1" spans="1:9">
      <c r="A5" s="179">
        <v>1</v>
      </c>
      <c r="B5" s="23" t="s">
        <v>10</v>
      </c>
      <c r="C5" s="179" t="s">
        <v>11</v>
      </c>
      <c r="D5" s="15">
        <v>5</v>
      </c>
      <c r="E5" s="15">
        <v>1000</v>
      </c>
      <c r="F5" s="15">
        <f>E5*D5</f>
        <v>5000</v>
      </c>
      <c r="G5" s="158"/>
      <c r="I5" s="159"/>
    </row>
    <row r="6" s="37" customFormat="1" ht="21" customHeight="1" spans="1:9">
      <c r="A6" s="21">
        <v>4</v>
      </c>
      <c r="B6" s="22" t="s">
        <v>12</v>
      </c>
      <c r="C6" s="21" t="s">
        <v>13</v>
      </c>
      <c r="D6" s="19">
        <f>1.3*0.9</f>
        <v>1.17</v>
      </c>
      <c r="E6" s="19">
        <v>450</v>
      </c>
      <c r="F6" s="19">
        <f t="shared" ref="F6:F69" si="0">E6*D6</f>
        <v>526.5</v>
      </c>
      <c r="G6" s="158"/>
      <c r="I6" s="159"/>
    </row>
    <row r="7" s="37" customFormat="1" ht="21" customHeight="1" spans="1:9">
      <c r="A7" s="179">
        <v>6</v>
      </c>
      <c r="B7" s="23" t="s">
        <v>14</v>
      </c>
      <c r="C7" s="179" t="s">
        <v>15</v>
      </c>
      <c r="D7" s="15">
        <v>1</v>
      </c>
      <c r="E7" s="15">
        <v>40</v>
      </c>
      <c r="F7" s="15">
        <f t="shared" si="0"/>
        <v>40</v>
      </c>
      <c r="G7" s="158"/>
      <c r="I7" s="159"/>
    </row>
    <row r="8" s="37" customFormat="1" ht="21" customHeight="1" spans="1:9">
      <c r="A8" s="21">
        <v>7</v>
      </c>
      <c r="B8" s="22" t="s">
        <v>16</v>
      </c>
      <c r="C8" s="21" t="s">
        <v>13</v>
      </c>
      <c r="D8" s="19">
        <f>0.75*0.37</f>
        <v>0.2775</v>
      </c>
      <c r="E8" s="19">
        <v>60</v>
      </c>
      <c r="F8" s="19">
        <f t="shared" si="0"/>
        <v>16.65</v>
      </c>
      <c r="G8" s="158"/>
      <c r="I8" s="159"/>
    </row>
    <row r="9" s="37" customFormat="1" ht="21" customHeight="1" spans="1:9">
      <c r="A9" s="179">
        <v>8</v>
      </c>
      <c r="B9" s="23" t="s">
        <v>17</v>
      </c>
      <c r="C9" s="179" t="s">
        <v>13</v>
      </c>
      <c r="D9" s="15">
        <f>1*2.72+4.6</f>
        <v>7.32</v>
      </c>
      <c r="E9" s="15">
        <v>60</v>
      </c>
      <c r="F9" s="15">
        <f t="shared" si="0"/>
        <v>439.2</v>
      </c>
      <c r="G9" s="158"/>
      <c r="I9" s="159"/>
    </row>
    <row r="10" s="37" customFormat="1" ht="21" customHeight="1" spans="1:9">
      <c r="A10" s="21">
        <v>9</v>
      </c>
      <c r="B10" s="22" t="s">
        <v>18</v>
      </c>
      <c r="C10" s="21" t="s">
        <v>13</v>
      </c>
      <c r="D10" s="19">
        <v>4.6</v>
      </c>
      <c r="E10" s="19">
        <v>50</v>
      </c>
      <c r="F10" s="19">
        <f t="shared" si="0"/>
        <v>230</v>
      </c>
      <c r="G10" s="158"/>
      <c r="I10" s="159"/>
    </row>
    <row r="11" s="37" customFormat="1" ht="21" customHeight="1" spans="1:9">
      <c r="A11" s="179">
        <v>10</v>
      </c>
      <c r="B11" s="23" t="s">
        <v>19</v>
      </c>
      <c r="C11" s="179" t="s">
        <v>11</v>
      </c>
      <c r="D11" s="15">
        <v>2</v>
      </c>
      <c r="E11" s="15">
        <v>12</v>
      </c>
      <c r="F11" s="15">
        <f t="shared" si="0"/>
        <v>24</v>
      </c>
      <c r="G11" s="158"/>
      <c r="I11" s="159"/>
    </row>
    <row r="12" s="37" customFormat="1" ht="21" customHeight="1" spans="1:9">
      <c r="A12" s="21">
        <v>11</v>
      </c>
      <c r="B12" s="22" t="s">
        <v>20</v>
      </c>
      <c r="C12" s="21" t="s">
        <v>11</v>
      </c>
      <c r="D12" s="19">
        <v>3.64</v>
      </c>
      <c r="E12" s="19">
        <v>80</v>
      </c>
      <c r="F12" s="19">
        <f t="shared" si="0"/>
        <v>291.2</v>
      </c>
      <c r="G12" s="158"/>
      <c r="I12" s="159"/>
    </row>
    <row r="13" s="37" customFormat="1" ht="21" customHeight="1" spans="1:9">
      <c r="A13" s="179">
        <v>12</v>
      </c>
      <c r="B13" s="23" t="s">
        <v>21</v>
      </c>
      <c r="C13" s="179" t="s">
        <v>15</v>
      </c>
      <c r="D13" s="15">
        <v>1</v>
      </c>
      <c r="E13" s="15">
        <v>120</v>
      </c>
      <c r="F13" s="15">
        <f t="shared" si="0"/>
        <v>120</v>
      </c>
      <c r="G13" s="158"/>
      <c r="I13" s="159"/>
    </row>
    <row r="14" s="37" customFormat="1" ht="21" customHeight="1" spans="1:9">
      <c r="A14" s="21">
        <v>13</v>
      </c>
      <c r="B14" s="22" t="s">
        <v>22</v>
      </c>
      <c r="C14" s="21" t="s">
        <v>23</v>
      </c>
      <c r="D14" s="19">
        <v>4</v>
      </c>
      <c r="E14" s="19">
        <v>60</v>
      </c>
      <c r="F14" s="19">
        <f t="shared" si="0"/>
        <v>240</v>
      </c>
      <c r="G14" s="158"/>
      <c r="I14" s="159"/>
    </row>
    <row r="15" s="37" customFormat="1" ht="21" customHeight="1" spans="1:9">
      <c r="A15" s="179">
        <v>14</v>
      </c>
      <c r="B15" s="23" t="s">
        <v>24</v>
      </c>
      <c r="C15" s="179" t="s">
        <v>13</v>
      </c>
      <c r="D15" s="15">
        <f>4.14*2.87</f>
        <v>11.8818</v>
      </c>
      <c r="E15" s="15">
        <v>50</v>
      </c>
      <c r="F15" s="15">
        <f t="shared" si="0"/>
        <v>594.09</v>
      </c>
      <c r="G15" s="158"/>
      <c r="I15" s="159"/>
    </row>
    <row r="16" s="37" customFormat="1" ht="21" customHeight="1" spans="1:9">
      <c r="A16" s="21">
        <v>16</v>
      </c>
      <c r="B16" s="22" t="s">
        <v>25</v>
      </c>
      <c r="C16" s="21" t="s">
        <v>13</v>
      </c>
      <c r="D16" s="19">
        <f>12.733</f>
        <v>12.733</v>
      </c>
      <c r="E16" s="19">
        <v>22</v>
      </c>
      <c r="F16" s="19">
        <f t="shared" si="0"/>
        <v>280.126</v>
      </c>
      <c r="G16" s="158"/>
      <c r="I16" s="159"/>
    </row>
    <row r="17" s="37" customFormat="1" ht="21" customHeight="1" spans="1:9">
      <c r="A17" s="179">
        <v>17</v>
      </c>
      <c r="B17" s="23" t="s">
        <v>26</v>
      </c>
      <c r="C17" s="179" t="s">
        <v>11</v>
      </c>
      <c r="D17" s="15">
        <f>19.11-2.69-0.8-1.5</f>
        <v>14.12</v>
      </c>
      <c r="E17" s="15">
        <v>5</v>
      </c>
      <c r="F17" s="15">
        <f t="shared" si="0"/>
        <v>70.6</v>
      </c>
      <c r="G17" s="158"/>
      <c r="I17" s="159"/>
    </row>
    <row r="18" s="171" customFormat="1" ht="21" customHeight="1" spans="1:9">
      <c r="A18" s="21">
        <v>19</v>
      </c>
      <c r="B18" s="22" t="s">
        <v>27</v>
      </c>
      <c r="C18" s="21" t="s">
        <v>13</v>
      </c>
      <c r="D18" s="180">
        <f>8.25+19.61*0.2+3.284+6.44*0.15+1.584</f>
        <v>18.006</v>
      </c>
      <c r="E18" s="180">
        <v>60</v>
      </c>
      <c r="F18" s="19">
        <f t="shared" si="0"/>
        <v>1080.36</v>
      </c>
      <c r="G18" s="158"/>
      <c r="I18" s="159"/>
    </row>
    <row r="19" s="37" customFormat="1" ht="21" customHeight="1" spans="1:9">
      <c r="A19" s="179">
        <v>20</v>
      </c>
      <c r="B19" s="23" t="s">
        <v>28</v>
      </c>
      <c r="C19" s="179" t="s">
        <v>13</v>
      </c>
      <c r="D19" s="181">
        <v>84.92</v>
      </c>
      <c r="E19" s="15">
        <v>5</v>
      </c>
      <c r="F19" s="15">
        <f t="shared" si="0"/>
        <v>424.6</v>
      </c>
      <c r="G19" s="158"/>
      <c r="I19" s="159"/>
    </row>
    <row r="20" s="37" customFormat="1" ht="21" customHeight="1" spans="1:9">
      <c r="A20" s="21">
        <v>21</v>
      </c>
      <c r="B20" s="22" t="s">
        <v>29</v>
      </c>
      <c r="C20" s="21" t="s">
        <v>13</v>
      </c>
      <c r="D20" s="180">
        <f>D19</f>
        <v>84.92</v>
      </c>
      <c r="E20" s="19">
        <v>7</v>
      </c>
      <c r="F20" s="19">
        <f t="shared" si="0"/>
        <v>594.44</v>
      </c>
      <c r="G20" s="158"/>
      <c r="I20" s="159"/>
    </row>
    <row r="21" s="37" customFormat="1" ht="21" customHeight="1" spans="1:9">
      <c r="A21" s="179">
        <v>22</v>
      </c>
      <c r="B21" s="23" t="s">
        <v>30</v>
      </c>
      <c r="C21" s="179" t="s">
        <v>13</v>
      </c>
      <c r="D21" s="181">
        <f>41.5*1.1</f>
        <v>45.65</v>
      </c>
      <c r="E21" s="15">
        <v>5</v>
      </c>
      <c r="F21" s="15">
        <f t="shared" si="0"/>
        <v>228.25</v>
      </c>
      <c r="G21" s="158"/>
      <c r="I21" s="159"/>
    </row>
    <row r="22" s="37" customFormat="1" ht="21" customHeight="1" spans="1:9">
      <c r="A22" s="21">
        <v>23</v>
      </c>
      <c r="B22" s="22" t="s">
        <v>31</v>
      </c>
      <c r="C22" s="21" t="s">
        <v>13</v>
      </c>
      <c r="D22" s="180">
        <f>D21</f>
        <v>45.65</v>
      </c>
      <c r="E22" s="19">
        <v>7</v>
      </c>
      <c r="F22" s="19">
        <f t="shared" si="0"/>
        <v>319.55</v>
      </c>
      <c r="G22" s="158"/>
      <c r="I22" s="159"/>
    </row>
    <row r="23" s="37" customFormat="1" ht="21" customHeight="1" spans="1:9">
      <c r="A23" s="179" t="s">
        <v>32</v>
      </c>
      <c r="B23" s="23" t="s">
        <v>33</v>
      </c>
      <c r="C23" s="179"/>
      <c r="D23" s="15"/>
      <c r="E23" s="15"/>
      <c r="F23" s="15">
        <f t="shared" si="0"/>
        <v>0</v>
      </c>
      <c r="G23" s="158"/>
      <c r="I23" s="159"/>
    </row>
    <row r="24" s="37" customFormat="1" ht="21" customHeight="1" spans="1:9">
      <c r="A24" s="21">
        <v>1</v>
      </c>
      <c r="B24" s="22" t="s">
        <v>34</v>
      </c>
      <c r="C24" s="21" t="s">
        <v>11</v>
      </c>
      <c r="D24" s="19">
        <f>2.7+2.2*2</f>
        <v>7.1</v>
      </c>
      <c r="E24" s="19">
        <v>58</v>
      </c>
      <c r="F24" s="19">
        <f t="shared" si="0"/>
        <v>411.8</v>
      </c>
      <c r="G24" s="158"/>
      <c r="I24" s="159"/>
    </row>
    <row r="25" s="37" customFormat="1" ht="21" customHeight="1" spans="1:9">
      <c r="A25" s="179">
        <v>3</v>
      </c>
      <c r="B25" s="23" t="s">
        <v>35</v>
      </c>
      <c r="C25" s="179" t="s">
        <v>11</v>
      </c>
      <c r="D25" s="15">
        <v>2.7</v>
      </c>
      <c r="E25" s="15">
        <v>40</v>
      </c>
      <c r="F25" s="15">
        <f t="shared" si="0"/>
        <v>108</v>
      </c>
      <c r="G25" s="158"/>
      <c r="I25" s="159"/>
    </row>
    <row r="26" s="37" customFormat="1" ht="21" customHeight="1" spans="1:9">
      <c r="A26" s="21">
        <v>4</v>
      </c>
      <c r="B26" s="22" t="s">
        <v>36</v>
      </c>
      <c r="C26" s="21" t="s">
        <v>13</v>
      </c>
      <c r="D26" s="19">
        <f>2.7*2.2-0.675*2.2*2</f>
        <v>2.97</v>
      </c>
      <c r="E26" s="19">
        <v>120</v>
      </c>
      <c r="F26" s="19">
        <f t="shared" si="0"/>
        <v>356.4</v>
      </c>
      <c r="G26" s="158"/>
      <c r="I26" s="159"/>
    </row>
    <row r="27" s="37" customFormat="1" ht="21" customHeight="1" spans="1:9">
      <c r="A27" s="179">
        <v>5</v>
      </c>
      <c r="B27" s="23" t="s">
        <v>37</v>
      </c>
      <c r="C27" s="179" t="s">
        <v>38</v>
      </c>
      <c r="D27" s="15">
        <v>2</v>
      </c>
      <c r="E27" s="15">
        <v>300</v>
      </c>
      <c r="F27" s="15">
        <f t="shared" si="0"/>
        <v>600</v>
      </c>
      <c r="G27" s="158"/>
      <c r="I27" s="159"/>
    </row>
    <row r="28" s="37" customFormat="1" ht="21" customHeight="1" spans="1:9">
      <c r="A28" s="21">
        <v>6</v>
      </c>
      <c r="B28" s="22" t="s">
        <v>39</v>
      </c>
      <c r="C28" s="21" t="s">
        <v>13</v>
      </c>
      <c r="D28" s="19">
        <f>5.634</f>
        <v>5.634</v>
      </c>
      <c r="E28" s="19">
        <v>85</v>
      </c>
      <c r="F28" s="19">
        <f t="shared" si="0"/>
        <v>478.89</v>
      </c>
      <c r="G28" s="158"/>
      <c r="I28" s="159"/>
    </row>
    <row r="29" s="37" customFormat="1" ht="21" customHeight="1" spans="1:9">
      <c r="A29" s="179">
        <v>7</v>
      </c>
      <c r="B29" s="23" t="s">
        <v>40</v>
      </c>
      <c r="C29" s="179" t="s">
        <v>13</v>
      </c>
      <c r="D29" s="15">
        <v>5.63</v>
      </c>
      <c r="E29" s="15">
        <v>20</v>
      </c>
      <c r="F29" s="15">
        <f t="shared" si="0"/>
        <v>112.6</v>
      </c>
      <c r="G29" s="158"/>
      <c r="I29" s="159"/>
    </row>
    <row r="30" s="37" customFormat="1" ht="21" customHeight="1" spans="1:9">
      <c r="A30" s="21">
        <v>8</v>
      </c>
      <c r="B30" s="22" t="s">
        <v>41</v>
      </c>
      <c r="C30" s="21" t="s">
        <v>13</v>
      </c>
      <c r="D30" s="180">
        <f>9.63*2.4-2.69*2*0.5-1</f>
        <v>19.422</v>
      </c>
      <c r="E30" s="19">
        <v>18</v>
      </c>
      <c r="F30" s="19">
        <f t="shared" si="0"/>
        <v>349.596</v>
      </c>
      <c r="G30" s="158"/>
      <c r="I30" s="159"/>
    </row>
    <row r="31" s="37" customFormat="1" ht="21" customHeight="1" spans="1:9">
      <c r="A31" s="179" t="s">
        <v>42</v>
      </c>
      <c r="B31" s="23" t="s">
        <v>43</v>
      </c>
      <c r="C31" s="179"/>
      <c r="D31" s="15"/>
      <c r="E31" s="15"/>
      <c r="F31" s="15">
        <f t="shared" si="0"/>
        <v>0</v>
      </c>
      <c r="G31" s="158"/>
      <c r="I31" s="159"/>
    </row>
    <row r="32" s="37" customFormat="1" ht="21" customHeight="1" spans="1:9">
      <c r="A32" s="21">
        <v>1</v>
      </c>
      <c r="B32" s="22" t="s">
        <v>10</v>
      </c>
      <c r="C32" s="21" t="s">
        <v>11</v>
      </c>
      <c r="D32" s="19">
        <f>1.9+2.2*2</f>
        <v>6.3</v>
      </c>
      <c r="E32" s="19">
        <v>48</v>
      </c>
      <c r="F32" s="19">
        <f t="shared" si="0"/>
        <v>302.4</v>
      </c>
      <c r="G32" s="158"/>
      <c r="I32" s="159"/>
    </row>
    <row r="33" s="37" customFormat="1" ht="21" customHeight="1" spans="1:9">
      <c r="A33" s="179">
        <v>3</v>
      </c>
      <c r="B33" s="23" t="s">
        <v>35</v>
      </c>
      <c r="C33" s="179" t="s">
        <v>11</v>
      </c>
      <c r="D33" s="15">
        <f>2</f>
        <v>2</v>
      </c>
      <c r="E33" s="15">
        <v>40</v>
      </c>
      <c r="F33" s="15">
        <f t="shared" si="0"/>
        <v>80</v>
      </c>
      <c r="G33" s="158"/>
      <c r="I33" s="159"/>
    </row>
    <row r="34" s="37" customFormat="1" ht="21" customHeight="1" spans="1:9">
      <c r="A34" s="21">
        <v>4</v>
      </c>
      <c r="B34" s="22" t="s">
        <v>36</v>
      </c>
      <c r="C34" s="21" t="s">
        <v>13</v>
      </c>
      <c r="D34" s="19">
        <f>2*2.2-0.675*2.2</f>
        <v>2.915</v>
      </c>
      <c r="E34" s="19">
        <v>120</v>
      </c>
      <c r="F34" s="19">
        <f t="shared" si="0"/>
        <v>349.8</v>
      </c>
      <c r="G34" s="158"/>
      <c r="I34" s="159"/>
    </row>
    <row r="35" s="37" customFormat="1" ht="21" customHeight="1" spans="1:9">
      <c r="A35" s="179">
        <v>5</v>
      </c>
      <c r="B35" s="23" t="s">
        <v>37</v>
      </c>
      <c r="C35" s="179" t="s">
        <v>38</v>
      </c>
      <c r="D35" s="15">
        <v>1</v>
      </c>
      <c r="E35" s="15">
        <v>300</v>
      </c>
      <c r="F35" s="15">
        <f t="shared" si="0"/>
        <v>300</v>
      </c>
      <c r="G35" s="158"/>
      <c r="I35" s="159"/>
    </row>
    <row r="36" s="37" customFormat="1" ht="21" customHeight="1" spans="1:9">
      <c r="A36" s="21">
        <v>6</v>
      </c>
      <c r="B36" s="22" t="s">
        <v>39</v>
      </c>
      <c r="C36" s="21" t="s">
        <v>13</v>
      </c>
      <c r="D36" s="19">
        <f>4.24</f>
        <v>4.24</v>
      </c>
      <c r="E36" s="19">
        <v>85</v>
      </c>
      <c r="F36" s="19">
        <f t="shared" si="0"/>
        <v>360.4</v>
      </c>
      <c r="G36" s="158"/>
      <c r="I36" s="159"/>
    </row>
    <row r="37" s="37" customFormat="1" ht="21" customHeight="1" spans="1:9">
      <c r="A37" s="179">
        <v>7</v>
      </c>
      <c r="B37" s="23" t="s">
        <v>40</v>
      </c>
      <c r="C37" s="179" t="s">
        <v>13</v>
      </c>
      <c r="D37" s="15">
        <f>4.24</f>
        <v>4.24</v>
      </c>
      <c r="E37" s="15">
        <v>20</v>
      </c>
      <c r="F37" s="15">
        <f t="shared" si="0"/>
        <v>84.8</v>
      </c>
      <c r="G37" s="158"/>
      <c r="I37" s="159"/>
    </row>
    <row r="38" s="37" customFormat="1" ht="21" customHeight="1" spans="1:9">
      <c r="A38" s="21">
        <v>8</v>
      </c>
      <c r="B38" s="22" t="s">
        <v>41</v>
      </c>
      <c r="C38" s="21" t="s">
        <v>13</v>
      </c>
      <c r="D38" s="19">
        <f>8.26*2.4-1.9*2.2</f>
        <v>15.644</v>
      </c>
      <c r="E38" s="19">
        <v>18</v>
      </c>
      <c r="F38" s="19">
        <f t="shared" si="0"/>
        <v>281.592</v>
      </c>
      <c r="G38" s="158"/>
      <c r="I38" s="159"/>
    </row>
    <row r="39" s="37" customFormat="1" ht="21" customHeight="1" spans="1:9">
      <c r="A39" s="179" t="s">
        <v>44</v>
      </c>
      <c r="B39" s="23" t="s">
        <v>45</v>
      </c>
      <c r="C39" s="179"/>
      <c r="D39" s="15"/>
      <c r="E39" s="15"/>
      <c r="F39" s="15">
        <f t="shared" si="0"/>
        <v>0</v>
      </c>
      <c r="G39" s="158"/>
      <c r="I39" s="159"/>
    </row>
    <row r="40" s="37" customFormat="1" ht="21" customHeight="1" spans="1:9">
      <c r="A40" s="21">
        <v>1</v>
      </c>
      <c r="B40" s="22" t="s">
        <v>10</v>
      </c>
      <c r="C40" s="21" t="s">
        <v>11</v>
      </c>
      <c r="D40" s="19">
        <v>5</v>
      </c>
      <c r="E40" s="19">
        <v>48</v>
      </c>
      <c r="F40" s="19">
        <f t="shared" si="0"/>
        <v>240</v>
      </c>
      <c r="G40" s="158"/>
      <c r="I40" s="159"/>
    </row>
    <row r="41" s="37" customFormat="1" ht="21" customHeight="1" spans="1:9">
      <c r="A41" s="179">
        <v>4</v>
      </c>
      <c r="B41" s="23" t="s">
        <v>39</v>
      </c>
      <c r="C41" s="179" t="s">
        <v>13</v>
      </c>
      <c r="D41" s="15">
        <f>2.83</f>
        <v>2.83</v>
      </c>
      <c r="E41" s="15">
        <v>85</v>
      </c>
      <c r="F41" s="15">
        <f t="shared" si="0"/>
        <v>240.55</v>
      </c>
      <c r="G41" s="158"/>
      <c r="I41" s="159"/>
    </row>
    <row r="42" s="37" customFormat="1" ht="21" customHeight="1" spans="1:9">
      <c r="A42" s="21">
        <v>5</v>
      </c>
      <c r="B42" s="22" t="s">
        <v>40</v>
      </c>
      <c r="C42" s="21" t="s">
        <v>13</v>
      </c>
      <c r="D42" s="19">
        <v>2.83</v>
      </c>
      <c r="E42" s="19">
        <v>20</v>
      </c>
      <c r="F42" s="19">
        <f t="shared" si="0"/>
        <v>56.6</v>
      </c>
      <c r="G42" s="158"/>
      <c r="I42" s="159"/>
    </row>
    <row r="43" s="37" customFormat="1" ht="21" customHeight="1" spans="1:9">
      <c r="A43" s="179">
        <v>6</v>
      </c>
      <c r="B43" s="23" t="s">
        <v>41</v>
      </c>
      <c r="C43" s="179" t="s">
        <v>13</v>
      </c>
      <c r="D43" s="181">
        <f>6.83*2.4-2</f>
        <v>14.392</v>
      </c>
      <c r="E43" s="15">
        <v>18</v>
      </c>
      <c r="F43" s="15">
        <f t="shared" si="0"/>
        <v>259.056</v>
      </c>
      <c r="G43" s="158"/>
      <c r="I43" s="159"/>
    </row>
    <row r="44" s="37" customFormat="1" ht="21" customHeight="1" spans="1:9">
      <c r="A44" s="21" t="s">
        <v>46</v>
      </c>
      <c r="B44" s="22" t="s">
        <v>47</v>
      </c>
      <c r="C44" s="21"/>
      <c r="D44" s="19"/>
      <c r="E44" s="19"/>
      <c r="F44" s="19">
        <f t="shared" si="0"/>
        <v>0</v>
      </c>
      <c r="G44" s="158"/>
      <c r="I44" s="159"/>
    </row>
    <row r="45" s="37" customFormat="1" ht="21" customHeight="1" spans="1:9">
      <c r="A45" s="179">
        <v>3</v>
      </c>
      <c r="B45" s="23" t="s">
        <v>48</v>
      </c>
      <c r="C45" s="179" t="s">
        <v>13</v>
      </c>
      <c r="D45" s="15">
        <f>1.62*2.4</f>
        <v>3.888</v>
      </c>
      <c r="E45" s="15">
        <v>320</v>
      </c>
      <c r="F45" s="15">
        <f t="shared" si="0"/>
        <v>1244.16</v>
      </c>
      <c r="G45" s="158"/>
      <c r="I45" s="159"/>
    </row>
    <row r="46" s="37" customFormat="1" ht="21" customHeight="1" spans="1:9">
      <c r="A46" s="21">
        <v>5</v>
      </c>
      <c r="B46" s="22" t="s">
        <v>49</v>
      </c>
      <c r="C46" s="21" t="s">
        <v>13</v>
      </c>
      <c r="D46" s="19">
        <f>1.62*0.4</f>
        <v>0.648</v>
      </c>
      <c r="E46" s="19">
        <v>40</v>
      </c>
      <c r="F46" s="19">
        <f t="shared" si="0"/>
        <v>25.92</v>
      </c>
      <c r="G46" s="158"/>
      <c r="I46" s="159"/>
    </row>
    <row r="47" s="37" customFormat="1" ht="21" customHeight="1" spans="1:9">
      <c r="A47" s="179">
        <v>6</v>
      </c>
      <c r="B47" s="23" t="s">
        <v>28</v>
      </c>
      <c r="C47" s="179" t="s">
        <v>13</v>
      </c>
      <c r="D47" s="181">
        <v>14.07</v>
      </c>
      <c r="E47" s="15">
        <v>5</v>
      </c>
      <c r="F47" s="15">
        <f t="shared" si="0"/>
        <v>70.35</v>
      </c>
      <c r="G47" s="158"/>
      <c r="I47" s="159"/>
    </row>
    <row r="48" s="37" customFormat="1" ht="21" customHeight="1" spans="1:9">
      <c r="A48" s="21">
        <v>7</v>
      </c>
      <c r="B48" s="22" t="s">
        <v>29</v>
      </c>
      <c r="C48" s="21" t="s">
        <v>13</v>
      </c>
      <c r="D48" s="180">
        <f>D47</f>
        <v>14.07</v>
      </c>
      <c r="E48" s="19">
        <v>7</v>
      </c>
      <c r="F48" s="19">
        <f t="shared" si="0"/>
        <v>98.49</v>
      </c>
      <c r="G48" s="158"/>
      <c r="I48" s="159"/>
    </row>
    <row r="49" s="37" customFormat="1" ht="21" customHeight="1" spans="1:9">
      <c r="A49" s="179">
        <v>8</v>
      </c>
      <c r="B49" s="23" t="s">
        <v>30</v>
      </c>
      <c r="C49" s="179" t="s">
        <v>13</v>
      </c>
      <c r="D49" s="181">
        <f>12.773*1.1</f>
        <v>14.0503</v>
      </c>
      <c r="E49" s="15">
        <v>5</v>
      </c>
      <c r="F49" s="15">
        <f t="shared" si="0"/>
        <v>70.2515</v>
      </c>
      <c r="G49" s="158"/>
      <c r="I49" s="159"/>
    </row>
    <row r="50" s="37" customFormat="1" ht="21" customHeight="1" spans="1:9">
      <c r="A50" s="21">
        <v>9</v>
      </c>
      <c r="B50" s="22" t="s">
        <v>31</v>
      </c>
      <c r="C50" s="21" t="s">
        <v>13</v>
      </c>
      <c r="D50" s="180">
        <f>D49</f>
        <v>14.0503</v>
      </c>
      <c r="E50" s="19">
        <v>7</v>
      </c>
      <c r="F50" s="19">
        <f t="shared" si="0"/>
        <v>98.3521</v>
      </c>
      <c r="G50" s="158"/>
      <c r="I50" s="159"/>
    </row>
    <row r="51" s="37" customFormat="1" ht="21" customHeight="1" spans="1:9">
      <c r="A51" s="179" t="s">
        <v>50</v>
      </c>
      <c r="B51" s="23" t="s">
        <v>51</v>
      </c>
      <c r="C51" s="179"/>
      <c r="D51" s="15"/>
      <c r="E51" s="15"/>
      <c r="F51" s="15">
        <f t="shared" si="0"/>
        <v>0</v>
      </c>
      <c r="G51" s="158"/>
      <c r="I51" s="159"/>
    </row>
    <row r="52" s="37" customFormat="1" ht="21" customHeight="1" spans="1:9">
      <c r="A52" s="21">
        <v>2</v>
      </c>
      <c r="B52" s="22" t="s">
        <v>52</v>
      </c>
      <c r="C52" s="21" t="s">
        <v>11</v>
      </c>
      <c r="D52" s="19">
        <f>1.78+2.4*2</f>
        <v>6.58</v>
      </c>
      <c r="E52" s="19">
        <v>58</v>
      </c>
      <c r="F52" s="19">
        <f t="shared" si="0"/>
        <v>381.64</v>
      </c>
      <c r="G52" s="158"/>
      <c r="I52" s="159"/>
    </row>
    <row r="53" s="37" customFormat="1" ht="21" customHeight="1" spans="1:9">
      <c r="A53" s="179">
        <v>4</v>
      </c>
      <c r="B53" s="23" t="s">
        <v>40</v>
      </c>
      <c r="C53" s="179" t="s">
        <v>13</v>
      </c>
      <c r="D53" s="15">
        <f>5.75</f>
        <v>5.75</v>
      </c>
      <c r="E53" s="15">
        <v>20</v>
      </c>
      <c r="F53" s="15">
        <f t="shared" si="0"/>
        <v>115</v>
      </c>
      <c r="G53" s="158"/>
      <c r="I53" s="159"/>
    </row>
    <row r="54" s="37" customFormat="1" ht="21" customHeight="1" spans="1:9">
      <c r="A54" s="21">
        <v>5</v>
      </c>
      <c r="B54" s="22" t="s">
        <v>41</v>
      </c>
      <c r="C54" s="21" t="s">
        <v>13</v>
      </c>
      <c r="D54" s="180">
        <f>1.33*1.2</f>
        <v>1.596</v>
      </c>
      <c r="E54" s="19">
        <v>18</v>
      </c>
      <c r="F54" s="19">
        <f t="shared" si="0"/>
        <v>28.728</v>
      </c>
      <c r="G54" s="158"/>
      <c r="I54" s="159"/>
    </row>
    <row r="55" s="37" customFormat="1" ht="21" customHeight="1" spans="1:9">
      <c r="A55" s="179">
        <v>6</v>
      </c>
      <c r="B55" s="23" t="s">
        <v>53</v>
      </c>
      <c r="C55" s="179" t="s">
        <v>13</v>
      </c>
      <c r="D55" s="15">
        <f>1.33*1</f>
        <v>1.33</v>
      </c>
      <c r="E55" s="15">
        <v>320</v>
      </c>
      <c r="F55" s="15">
        <f t="shared" si="0"/>
        <v>425.6</v>
      </c>
      <c r="G55" s="158"/>
      <c r="I55" s="159"/>
    </row>
    <row r="56" s="37" customFormat="1" ht="21" customHeight="1" spans="1:9">
      <c r="A56" s="21">
        <v>8</v>
      </c>
      <c r="B56" s="22" t="s">
        <v>49</v>
      </c>
      <c r="C56" s="21" t="s">
        <v>13</v>
      </c>
      <c r="D56" s="19">
        <f>1.33*0.67</f>
        <v>0.8911</v>
      </c>
      <c r="E56" s="19">
        <v>40</v>
      </c>
      <c r="F56" s="19">
        <f t="shared" si="0"/>
        <v>35.644</v>
      </c>
      <c r="G56" s="158"/>
      <c r="I56" s="159"/>
    </row>
    <row r="57" s="37" customFormat="1" ht="21" customHeight="1" spans="1:9">
      <c r="A57" s="179">
        <v>9</v>
      </c>
      <c r="B57" s="23" t="s">
        <v>28</v>
      </c>
      <c r="C57" s="179" t="s">
        <v>13</v>
      </c>
      <c r="D57" s="181">
        <v>15.92</v>
      </c>
      <c r="E57" s="15">
        <v>5</v>
      </c>
      <c r="F57" s="15">
        <f t="shared" si="0"/>
        <v>79.6</v>
      </c>
      <c r="G57" s="158"/>
      <c r="I57" s="159"/>
    </row>
    <row r="58" s="37" customFormat="1" ht="21" customHeight="1" spans="1:9">
      <c r="A58" s="21">
        <v>10</v>
      </c>
      <c r="B58" s="22" t="s">
        <v>29</v>
      </c>
      <c r="C58" s="21" t="s">
        <v>13</v>
      </c>
      <c r="D58" s="180">
        <f>D57</f>
        <v>15.92</v>
      </c>
      <c r="E58" s="19">
        <v>7</v>
      </c>
      <c r="F58" s="19">
        <f t="shared" si="0"/>
        <v>111.44</v>
      </c>
      <c r="G58" s="158"/>
      <c r="I58" s="159"/>
    </row>
    <row r="59" s="37" customFormat="1" ht="21" customHeight="1" spans="1:9">
      <c r="A59" s="179">
        <v>11</v>
      </c>
      <c r="B59" s="23" t="s">
        <v>30</v>
      </c>
      <c r="C59" s="179" t="s">
        <v>13</v>
      </c>
      <c r="D59" s="181">
        <f>5.75*1.1</f>
        <v>6.325</v>
      </c>
      <c r="E59" s="15">
        <v>5</v>
      </c>
      <c r="F59" s="15">
        <f t="shared" si="0"/>
        <v>31.625</v>
      </c>
      <c r="G59" s="158"/>
      <c r="I59" s="159"/>
    </row>
    <row r="60" s="37" customFormat="1" ht="21" customHeight="1" spans="1:9">
      <c r="A60" s="21">
        <v>12</v>
      </c>
      <c r="B60" s="22" t="s">
        <v>31</v>
      </c>
      <c r="C60" s="21" t="s">
        <v>13</v>
      </c>
      <c r="D60" s="180">
        <f>D59</f>
        <v>6.325</v>
      </c>
      <c r="E60" s="19">
        <v>7</v>
      </c>
      <c r="F60" s="19">
        <f t="shared" si="0"/>
        <v>44.275</v>
      </c>
      <c r="G60" s="158"/>
      <c r="I60" s="159"/>
    </row>
    <row r="61" s="37" customFormat="1" ht="21" customHeight="1" spans="1:9">
      <c r="A61" s="179" t="s">
        <v>54</v>
      </c>
      <c r="B61" s="23" t="s">
        <v>55</v>
      </c>
      <c r="C61" s="179"/>
      <c r="D61" s="15"/>
      <c r="E61" s="15"/>
      <c r="F61" s="15">
        <f t="shared" si="0"/>
        <v>0</v>
      </c>
      <c r="G61" s="158"/>
      <c r="I61" s="159"/>
    </row>
    <row r="62" s="37" customFormat="1" ht="21" customHeight="1" spans="1:9">
      <c r="A62" s="21">
        <v>1</v>
      </c>
      <c r="B62" s="22" t="s">
        <v>56</v>
      </c>
      <c r="C62" s="21" t="s">
        <v>57</v>
      </c>
      <c r="D62" s="19">
        <v>1</v>
      </c>
      <c r="E62" s="19">
        <v>400</v>
      </c>
      <c r="F62" s="19">
        <f t="shared" si="0"/>
        <v>400</v>
      </c>
      <c r="G62" s="158"/>
      <c r="I62" s="159"/>
    </row>
    <row r="63" s="37" customFormat="1" ht="21" customHeight="1" spans="1:9">
      <c r="A63" s="179">
        <v>3</v>
      </c>
      <c r="B63" s="23" t="s">
        <v>52</v>
      </c>
      <c r="C63" s="179" t="s">
        <v>11</v>
      </c>
      <c r="D63" s="15">
        <v>5</v>
      </c>
      <c r="E63" s="15">
        <v>58</v>
      </c>
      <c r="F63" s="15">
        <f t="shared" si="0"/>
        <v>290</v>
      </c>
      <c r="G63" s="158"/>
      <c r="I63" s="159"/>
    </row>
    <row r="64" s="37" customFormat="1" ht="21" customHeight="1" spans="1:9">
      <c r="A64" s="21">
        <v>5</v>
      </c>
      <c r="B64" s="22" t="s">
        <v>58</v>
      </c>
      <c r="C64" s="21" t="s">
        <v>13</v>
      </c>
      <c r="D64" s="19">
        <f>2.46*0.535*2+4.07*0.26</f>
        <v>3.6904</v>
      </c>
      <c r="E64" s="19">
        <v>60</v>
      </c>
      <c r="F64" s="19">
        <f t="shared" si="0"/>
        <v>221.424</v>
      </c>
      <c r="G64" s="158"/>
      <c r="I64" s="159"/>
    </row>
    <row r="65" s="37" customFormat="1" ht="21" customHeight="1" spans="1:9">
      <c r="A65" s="179">
        <v>6</v>
      </c>
      <c r="B65" s="23" t="s">
        <v>59</v>
      </c>
      <c r="C65" s="179" t="s">
        <v>13</v>
      </c>
      <c r="D65" s="15">
        <f>3*2.46</f>
        <v>7.38</v>
      </c>
      <c r="E65" s="15">
        <v>60</v>
      </c>
      <c r="F65" s="15">
        <f t="shared" si="0"/>
        <v>442.8</v>
      </c>
      <c r="G65" s="158"/>
      <c r="I65" s="159"/>
    </row>
    <row r="66" s="37" customFormat="1" ht="21" customHeight="1" spans="1:9">
      <c r="A66" s="21">
        <v>7</v>
      </c>
      <c r="B66" s="22" t="s">
        <v>60</v>
      </c>
      <c r="C66" s="21" t="s">
        <v>11</v>
      </c>
      <c r="D66" s="19">
        <v>2.04</v>
      </c>
      <c r="E66" s="19">
        <v>12</v>
      </c>
      <c r="F66" s="19">
        <f t="shared" si="0"/>
        <v>24.48</v>
      </c>
      <c r="G66" s="158"/>
      <c r="I66" s="159"/>
    </row>
    <row r="67" s="37" customFormat="1" ht="21" customHeight="1" spans="1:9">
      <c r="A67" s="179">
        <v>8</v>
      </c>
      <c r="B67" s="23" t="s">
        <v>61</v>
      </c>
      <c r="C67" s="179" t="s">
        <v>13</v>
      </c>
      <c r="D67" s="15">
        <f>4.015*2.4</f>
        <v>9.636</v>
      </c>
      <c r="E67" s="15">
        <v>230</v>
      </c>
      <c r="F67" s="15">
        <f t="shared" si="0"/>
        <v>2216.28</v>
      </c>
      <c r="G67" s="158"/>
      <c r="I67" s="159"/>
    </row>
    <row r="68" s="37" customFormat="1" ht="21" customHeight="1" spans="1:9">
      <c r="A68" s="21">
        <v>9</v>
      </c>
      <c r="B68" s="22" t="s">
        <v>49</v>
      </c>
      <c r="C68" s="21" t="s">
        <v>13</v>
      </c>
      <c r="D68" s="19">
        <f>4.015*0.47+0.32*0.47</f>
        <v>2.03745</v>
      </c>
      <c r="E68" s="19">
        <v>40</v>
      </c>
      <c r="F68" s="19">
        <f t="shared" si="0"/>
        <v>81.498</v>
      </c>
      <c r="G68" s="158"/>
      <c r="I68" s="159"/>
    </row>
    <row r="69" s="171" customFormat="1" ht="21" customHeight="1" spans="1:9">
      <c r="A69" s="179">
        <v>12</v>
      </c>
      <c r="B69" s="23" t="s">
        <v>62</v>
      </c>
      <c r="C69" s="179" t="s">
        <v>13</v>
      </c>
      <c r="D69" s="181">
        <f>4.07*0.4+4.07*0.15+1.51</f>
        <v>3.7485</v>
      </c>
      <c r="E69" s="181">
        <v>60</v>
      </c>
      <c r="F69" s="15">
        <f t="shared" si="0"/>
        <v>224.91</v>
      </c>
      <c r="G69" s="158"/>
      <c r="I69" s="159"/>
    </row>
    <row r="70" s="37" customFormat="1" ht="21" customHeight="1" spans="1:9">
      <c r="A70" s="21">
        <v>13</v>
      </c>
      <c r="B70" s="22" t="s">
        <v>28</v>
      </c>
      <c r="C70" s="21" t="s">
        <v>13</v>
      </c>
      <c r="D70" s="180">
        <v>31.54</v>
      </c>
      <c r="E70" s="19">
        <v>5</v>
      </c>
      <c r="F70" s="19">
        <f t="shared" ref="F70:F109" si="1">E70*D70</f>
        <v>157.7</v>
      </c>
      <c r="G70" s="158"/>
      <c r="I70" s="159"/>
    </row>
    <row r="71" s="37" customFormat="1" ht="21" customHeight="1" spans="1:9">
      <c r="A71" s="179">
        <v>14</v>
      </c>
      <c r="B71" s="23" t="s">
        <v>29</v>
      </c>
      <c r="C71" s="179" t="s">
        <v>13</v>
      </c>
      <c r="D71" s="181">
        <f>D70</f>
        <v>31.54</v>
      </c>
      <c r="E71" s="15">
        <v>7</v>
      </c>
      <c r="F71" s="15">
        <f t="shared" si="1"/>
        <v>220.78</v>
      </c>
      <c r="G71" s="158"/>
      <c r="I71" s="159"/>
    </row>
    <row r="72" s="37" customFormat="1" ht="21" customHeight="1" spans="1:9">
      <c r="A72" s="21">
        <v>15</v>
      </c>
      <c r="B72" s="22" t="s">
        <v>30</v>
      </c>
      <c r="C72" s="21" t="s">
        <v>13</v>
      </c>
      <c r="D72" s="180">
        <f>15.02*1.1</f>
        <v>16.522</v>
      </c>
      <c r="E72" s="19">
        <v>5</v>
      </c>
      <c r="F72" s="19">
        <f t="shared" si="1"/>
        <v>82.61</v>
      </c>
      <c r="G72" s="158"/>
      <c r="I72" s="159"/>
    </row>
    <row r="73" s="37" customFormat="1" ht="21" customHeight="1" spans="1:9">
      <c r="A73" s="179">
        <v>16</v>
      </c>
      <c r="B73" s="23" t="s">
        <v>31</v>
      </c>
      <c r="C73" s="179" t="s">
        <v>13</v>
      </c>
      <c r="D73" s="181">
        <f>D72</f>
        <v>16.522</v>
      </c>
      <c r="E73" s="15">
        <v>7</v>
      </c>
      <c r="F73" s="15">
        <f t="shared" si="1"/>
        <v>115.654</v>
      </c>
      <c r="G73" s="158"/>
      <c r="I73" s="159"/>
    </row>
    <row r="74" s="37" customFormat="1" ht="21" customHeight="1" spans="1:9">
      <c r="A74" s="21" t="s">
        <v>63</v>
      </c>
      <c r="B74" s="22" t="s">
        <v>64</v>
      </c>
      <c r="C74" s="21"/>
      <c r="D74" s="19"/>
      <c r="E74" s="19"/>
      <c r="F74" s="19">
        <f t="shared" si="1"/>
        <v>0</v>
      </c>
      <c r="G74" s="158"/>
      <c r="I74" s="159"/>
    </row>
    <row r="75" s="37" customFormat="1" ht="21" customHeight="1" spans="1:9">
      <c r="A75" s="179">
        <v>1</v>
      </c>
      <c r="B75" s="23" t="s">
        <v>56</v>
      </c>
      <c r="C75" s="179" t="s">
        <v>57</v>
      </c>
      <c r="D75" s="15">
        <v>1</v>
      </c>
      <c r="E75" s="15">
        <v>400</v>
      </c>
      <c r="F75" s="15">
        <f t="shared" si="1"/>
        <v>400</v>
      </c>
      <c r="G75" s="158"/>
      <c r="I75" s="159"/>
    </row>
    <row r="76" s="37" customFormat="1" ht="21" customHeight="1" spans="1:9">
      <c r="A76" s="21">
        <v>3</v>
      </c>
      <c r="B76" s="22" t="s">
        <v>65</v>
      </c>
      <c r="C76" s="21" t="s">
        <v>11</v>
      </c>
      <c r="D76" s="19">
        <v>5</v>
      </c>
      <c r="E76" s="19">
        <v>58</v>
      </c>
      <c r="F76" s="19">
        <f t="shared" si="1"/>
        <v>290</v>
      </c>
      <c r="G76" s="158"/>
      <c r="I76" s="159"/>
    </row>
    <row r="77" s="37" customFormat="1" ht="21" customHeight="1" spans="1:9">
      <c r="A77" s="179">
        <v>5</v>
      </c>
      <c r="B77" s="23" t="s">
        <v>61</v>
      </c>
      <c r="C77" s="179" t="s">
        <v>13</v>
      </c>
      <c r="D77" s="15">
        <f>1.83*2.4</f>
        <v>4.392</v>
      </c>
      <c r="E77" s="15">
        <v>230</v>
      </c>
      <c r="F77" s="15">
        <f t="shared" si="1"/>
        <v>1010.16</v>
      </c>
      <c r="G77" s="158"/>
      <c r="I77" s="159"/>
    </row>
    <row r="78" s="37" customFormat="1" ht="21" customHeight="1" spans="1:9">
      <c r="A78" s="21">
        <v>6</v>
      </c>
      <c r="B78" s="22" t="s">
        <v>49</v>
      </c>
      <c r="C78" s="21" t="s">
        <v>13</v>
      </c>
      <c r="D78" s="19">
        <f>1.83*0.47*2</f>
        <v>1.7202</v>
      </c>
      <c r="E78" s="19">
        <v>40</v>
      </c>
      <c r="F78" s="19">
        <f t="shared" si="1"/>
        <v>68.808</v>
      </c>
      <c r="G78" s="158"/>
      <c r="I78" s="159"/>
    </row>
    <row r="79" s="37" customFormat="1" ht="21" customHeight="1" spans="1:9">
      <c r="A79" s="179">
        <v>7</v>
      </c>
      <c r="B79" s="23" t="s">
        <v>66</v>
      </c>
      <c r="C79" s="179" t="s">
        <v>13</v>
      </c>
      <c r="D79" s="15">
        <f>1.5*0.8</f>
        <v>1.2</v>
      </c>
      <c r="E79" s="15">
        <v>320</v>
      </c>
      <c r="F79" s="15">
        <f t="shared" si="1"/>
        <v>384</v>
      </c>
      <c r="G79" s="158"/>
      <c r="I79" s="159"/>
    </row>
    <row r="80" s="37" customFormat="1" ht="21" customHeight="1" spans="1:9">
      <c r="A80" s="21">
        <v>9</v>
      </c>
      <c r="B80" s="22" t="s">
        <v>67</v>
      </c>
      <c r="C80" s="21" t="s">
        <v>11</v>
      </c>
      <c r="D80" s="19">
        <v>1.5</v>
      </c>
      <c r="E80" s="19">
        <v>220</v>
      </c>
      <c r="F80" s="19">
        <f t="shared" si="1"/>
        <v>330</v>
      </c>
      <c r="G80" s="158"/>
      <c r="I80" s="159"/>
    </row>
    <row r="81" s="172" customFormat="1" ht="21" customHeight="1" spans="1:7">
      <c r="A81" s="179">
        <v>10</v>
      </c>
      <c r="B81" s="23" t="s">
        <v>68</v>
      </c>
      <c r="C81" s="179" t="s">
        <v>13</v>
      </c>
      <c r="D81" s="15"/>
      <c r="E81" s="15"/>
      <c r="F81" s="15">
        <f t="shared" si="1"/>
        <v>0</v>
      </c>
      <c r="G81" s="182"/>
    </row>
    <row r="82" s="37" customFormat="1" ht="21" customHeight="1" spans="1:9">
      <c r="A82" s="21">
        <v>11</v>
      </c>
      <c r="B82" s="22" t="s">
        <v>28</v>
      </c>
      <c r="C82" s="21" t="s">
        <v>13</v>
      </c>
      <c r="D82" s="180">
        <v>29.71</v>
      </c>
      <c r="E82" s="19">
        <v>5</v>
      </c>
      <c r="F82" s="19">
        <f t="shared" si="1"/>
        <v>148.55</v>
      </c>
      <c r="G82" s="158"/>
      <c r="I82" s="159"/>
    </row>
    <row r="83" s="37" customFormat="1" ht="21" customHeight="1" spans="1:9">
      <c r="A83" s="179">
        <v>12</v>
      </c>
      <c r="B83" s="23" t="s">
        <v>29</v>
      </c>
      <c r="C83" s="179" t="s">
        <v>13</v>
      </c>
      <c r="D83" s="181">
        <f>D82</f>
        <v>29.71</v>
      </c>
      <c r="E83" s="15">
        <v>7</v>
      </c>
      <c r="F83" s="15">
        <f t="shared" si="1"/>
        <v>207.97</v>
      </c>
      <c r="G83" s="158"/>
      <c r="I83" s="159"/>
    </row>
    <row r="84" s="37" customFormat="1" ht="21" customHeight="1" spans="1:9">
      <c r="A84" s="21">
        <v>13</v>
      </c>
      <c r="B84" s="22" t="s">
        <v>30</v>
      </c>
      <c r="C84" s="21" t="s">
        <v>13</v>
      </c>
      <c r="D84" s="180">
        <f>10.852*1.1</f>
        <v>11.9372</v>
      </c>
      <c r="E84" s="19">
        <v>5</v>
      </c>
      <c r="F84" s="19">
        <f t="shared" si="1"/>
        <v>59.686</v>
      </c>
      <c r="G84" s="158"/>
      <c r="I84" s="159"/>
    </row>
    <row r="85" s="37" customFormat="1" ht="21" customHeight="1" spans="1:9">
      <c r="A85" s="179">
        <v>14</v>
      </c>
      <c r="B85" s="23" t="s">
        <v>31</v>
      </c>
      <c r="C85" s="179" t="s">
        <v>13</v>
      </c>
      <c r="D85" s="181">
        <f>D84</f>
        <v>11.9372</v>
      </c>
      <c r="E85" s="15">
        <v>7</v>
      </c>
      <c r="F85" s="15">
        <f t="shared" si="1"/>
        <v>83.5604</v>
      </c>
      <c r="G85" s="158"/>
      <c r="I85" s="159"/>
    </row>
    <row r="86" s="37" customFormat="1" ht="21" customHeight="1" spans="1:9">
      <c r="A86" s="21" t="s">
        <v>69</v>
      </c>
      <c r="B86" s="22" t="s">
        <v>70</v>
      </c>
      <c r="C86" s="21"/>
      <c r="D86" s="19"/>
      <c r="E86" s="19"/>
      <c r="F86" s="19">
        <f t="shared" si="1"/>
        <v>0</v>
      </c>
      <c r="G86" s="158"/>
      <c r="I86" s="159"/>
    </row>
    <row r="87" s="37" customFormat="1" ht="21" customHeight="1" spans="1:9">
      <c r="A87" s="179">
        <v>1</v>
      </c>
      <c r="B87" s="23" t="s">
        <v>56</v>
      </c>
      <c r="C87" s="179" t="s">
        <v>57</v>
      </c>
      <c r="D87" s="15">
        <v>1</v>
      </c>
      <c r="E87" s="15">
        <v>400</v>
      </c>
      <c r="F87" s="15">
        <f t="shared" si="1"/>
        <v>400</v>
      </c>
      <c r="G87" s="158"/>
      <c r="I87" s="159"/>
    </row>
    <row r="88" s="37" customFormat="1" ht="21" customHeight="1" spans="1:9">
      <c r="A88" s="21">
        <v>3</v>
      </c>
      <c r="B88" s="22" t="s">
        <v>65</v>
      </c>
      <c r="C88" s="21" t="s">
        <v>11</v>
      </c>
      <c r="D88" s="19">
        <v>5</v>
      </c>
      <c r="E88" s="19">
        <v>58</v>
      </c>
      <c r="F88" s="19">
        <f t="shared" si="1"/>
        <v>290</v>
      </c>
      <c r="G88" s="158"/>
      <c r="I88" s="159"/>
    </row>
    <row r="89" s="37" customFormat="1" ht="21" customHeight="1" spans="1:9">
      <c r="A89" s="179">
        <v>5</v>
      </c>
      <c r="B89" s="23" t="s">
        <v>61</v>
      </c>
      <c r="C89" s="179" t="s">
        <v>13</v>
      </c>
      <c r="D89" s="15">
        <f>1.83*2.4</f>
        <v>4.392</v>
      </c>
      <c r="E89" s="15">
        <v>230</v>
      </c>
      <c r="F89" s="15">
        <f t="shared" si="1"/>
        <v>1010.16</v>
      </c>
      <c r="G89" s="158"/>
      <c r="I89" s="159"/>
    </row>
    <row r="90" s="37" customFormat="1" ht="21" customHeight="1" spans="1:9">
      <c r="A90" s="21">
        <v>6</v>
      </c>
      <c r="B90" s="22" t="s">
        <v>49</v>
      </c>
      <c r="C90" s="21" t="s">
        <v>13</v>
      </c>
      <c r="D90" s="19">
        <f>1.83*0.47*2</f>
        <v>1.7202</v>
      </c>
      <c r="E90" s="19">
        <v>40</v>
      </c>
      <c r="F90" s="19">
        <f t="shared" si="1"/>
        <v>68.808</v>
      </c>
      <c r="G90" s="158"/>
      <c r="I90" s="159"/>
    </row>
    <row r="91" s="37" customFormat="1" ht="21" customHeight="1" spans="1:9">
      <c r="A91" s="179">
        <v>7</v>
      </c>
      <c r="B91" s="23" t="s">
        <v>71</v>
      </c>
      <c r="C91" s="179" t="s">
        <v>11</v>
      </c>
      <c r="D91" s="15">
        <f>0.55*3+1</f>
        <v>2.65</v>
      </c>
      <c r="E91" s="15">
        <v>70</v>
      </c>
      <c r="F91" s="15">
        <f t="shared" si="1"/>
        <v>185.5</v>
      </c>
      <c r="G91" s="158"/>
      <c r="I91" s="159"/>
    </row>
    <row r="92" s="37" customFormat="1" ht="21" customHeight="1" spans="1:9">
      <c r="A92" s="21">
        <v>8</v>
      </c>
      <c r="B92" s="22" t="s">
        <v>72</v>
      </c>
      <c r="C92" s="21" t="s">
        <v>13</v>
      </c>
      <c r="D92" s="19">
        <f>1*2.2</f>
        <v>2.2</v>
      </c>
      <c r="E92" s="19">
        <v>360</v>
      </c>
      <c r="F92" s="19">
        <f t="shared" si="1"/>
        <v>792</v>
      </c>
      <c r="G92" s="158"/>
      <c r="I92" s="159"/>
    </row>
    <row r="93" s="37" customFormat="1" ht="21" customHeight="1" spans="1:9">
      <c r="A93" s="179">
        <v>10</v>
      </c>
      <c r="B93" s="23" t="s">
        <v>73</v>
      </c>
      <c r="C93" s="179" t="s">
        <v>11</v>
      </c>
      <c r="D93" s="15">
        <f>2.615</f>
        <v>2.615</v>
      </c>
      <c r="E93" s="15">
        <v>220</v>
      </c>
      <c r="F93" s="15">
        <f t="shared" si="1"/>
        <v>575.3</v>
      </c>
      <c r="G93" s="158"/>
      <c r="I93" s="159"/>
    </row>
    <row r="94" s="37" customFormat="1" ht="21" customHeight="1" spans="1:9">
      <c r="A94" s="21">
        <v>12</v>
      </c>
      <c r="B94" s="22" t="s">
        <v>28</v>
      </c>
      <c r="C94" s="21" t="s">
        <v>13</v>
      </c>
      <c r="D94" s="180">
        <v>29.334</v>
      </c>
      <c r="E94" s="19">
        <v>5</v>
      </c>
      <c r="F94" s="19">
        <f t="shared" si="1"/>
        <v>146.67</v>
      </c>
      <c r="G94" s="158"/>
      <c r="I94" s="159"/>
    </row>
    <row r="95" s="37" customFormat="1" ht="21" customHeight="1" spans="1:9">
      <c r="A95" s="179">
        <v>13</v>
      </c>
      <c r="B95" s="23" t="s">
        <v>29</v>
      </c>
      <c r="C95" s="179" t="s">
        <v>13</v>
      </c>
      <c r="D95" s="181">
        <f>D94</f>
        <v>29.334</v>
      </c>
      <c r="E95" s="15">
        <v>7</v>
      </c>
      <c r="F95" s="15">
        <f t="shared" si="1"/>
        <v>205.338</v>
      </c>
      <c r="G95" s="158"/>
      <c r="I95" s="159"/>
    </row>
    <row r="96" s="37" customFormat="1" ht="21" customHeight="1" spans="1:9">
      <c r="A96" s="21">
        <v>14</v>
      </c>
      <c r="B96" s="22" t="s">
        <v>30</v>
      </c>
      <c r="C96" s="21" t="s">
        <v>13</v>
      </c>
      <c r="D96" s="180">
        <f>10.1*1.1</f>
        <v>11.11</v>
      </c>
      <c r="E96" s="19">
        <v>5</v>
      </c>
      <c r="F96" s="19">
        <f t="shared" si="1"/>
        <v>55.55</v>
      </c>
      <c r="G96" s="158"/>
      <c r="I96" s="159"/>
    </row>
    <row r="97" s="37" customFormat="1" ht="21" customHeight="1" spans="1:9">
      <c r="A97" s="179">
        <v>15</v>
      </c>
      <c r="B97" s="23" t="s">
        <v>31</v>
      </c>
      <c r="C97" s="179" t="s">
        <v>13</v>
      </c>
      <c r="D97" s="181">
        <f>D96</f>
        <v>11.11</v>
      </c>
      <c r="E97" s="15">
        <v>7</v>
      </c>
      <c r="F97" s="15">
        <f t="shared" si="1"/>
        <v>77.77</v>
      </c>
      <c r="G97" s="158"/>
      <c r="I97" s="159"/>
    </row>
    <row r="98" s="173" customFormat="1" ht="21" customHeight="1" spans="1:9">
      <c r="A98" s="21" t="s">
        <v>74</v>
      </c>
      <c r="B98" s="22" t="s">
        <v>75</v>
      </c>
      <c r="C98" s="21"/>
      <c r="D98" s="19"/>
      <c r="E98" s="19"/>
      <c r="F98" s="19">
        <f t="shared" si="1"/>
        <v>0</v>
      </c>
      <c r="G98" s="158"/>
      <c r="I98" s="159"/>
    </row>
    <row r="99" s="172" customFormat="1" ht="21" customHeight="1" spans="1:7">
      <c r="A99" s="13">
        <v>1</v>
      </c>
      <c r="B99" s="14" t="s">
        <v>76</v>
      </c>
      <c r="C99" s="13" t="s">
        <v>13</v>
      </c>
      <c r="D99" s="183">
        <f>2.065*2.8+3.66*2.8+3.32*2.8</f>
        <v>25.326</v>
      </c>
      <c r="E99" s="183">
        <v>18</v>
      </c>
      <c r="F99" s="15">
        <f t="shared" si="1"/>
        <v>455.868</v>
      </c>
      <c r="G99" s="182"/>
    </row>
    <row r="100" s="172" customFormat="1" ht="21" customHeight="1" spans="1:7">
      <c r="A100" s="17">
        <v>2</v>
      </c>
      <c r="B100" s="18" t="s">
        <v>77</v>
      </c>
      <c r="C100" s="17" t="s">
        <v>13</v>
      </c>
      <c r="D100" s="184">
        <f>1.6+0.641*2.8</f>
        <v>3.3948</v>
      </c>
      <c r="E100" s="184">
        <v>70</v>
      </c>
      <c r="F100" s="19">
        <f t="shared" si="1"/>
        <v>237.636</v>
      </c>
      <c r="G100" s="182"/>
    </row>
    <row r="101" s="37" customFormat="1" ht="21" customHeight="1" spans="1:9">
      <c r="A101" s="13">
        <v>4</v>
      </c>
      <c r="B101" s="23" t="s">
        <v>78</v>
      </c>
      <c r="C101" s="179" t="s">
        <v>79</v>
      </c>
      <c r="D101" s="15">
        <v>4</v>
      </c>
      <c r="E101" s="15">
        <v>65</v>
      </c>
      <c r="F101" s="15">
        <f t="shared" si="1"/>
        <v>260</v>
      </c>
      <c r="G101" s="158"/>
      <c r="I101" s="159"/>
    </row>
    <row r="102" s="37" customFormat="1" ht="21" customHeight="1" spans="1:9">
      <c r="A102" s="17">
        <v>5</v>
      </c>
      <c r="B102" s="22" t="s">
        <v>80</v>
      </c>
      <c r="C102" s="21" t="s">
        <v>13</v>
      </c>
      <c r="D102" s="19">
        <f>5.634+4.24+8.26+2.83+6.83-1-2.7-1.9</f>
        <v>22.194</v>
      </c>
      <c r="E102" s="180">
        <v>8</v>
      </c>
      <c r="F102" s="19">
        <f t="shared" si="1"/>
        <v>177.552</v>
      </c>
      <c r="G102" s="158"/>
      <c r="I102" s="159"/>
    </row>
    <row r="103" s="37" customFormat="1" ht="21" customHeight="1" spans="1:9">
      <c r="A103" s="13">
        <v>6</v>
      </c>
      <c r="B103" s="23" t="s">
        <v>81</v>
      </c>
      <c r="C103" s="179" t="s">
        <v>13</v>
      </c>
      <c r="D103" s="15">
        <f>D45+D55+0.6*2.4+1*0.4</f>
        <v>7.058</v>
      </c>
      <c r="E103" s="181">
        <v>8</v>
      </c>
      <c r="F103" s="15">
        <f t="shared" si="1"/>
        <v>56.464</v>
      </c>
      <c r="G103" s="158"/>
      <c r="I103" s="159"/>
    </row>
    <row r="104" s="37" customFormat="1" ht="21" customHeight="1" spans="1:9">
      <c r="A104" s="17">
        <v>7</v>
      </c>
      <c r="B104" s="22" t="s">
        <v>82</v>
      </c>
      <c r="C104" s="21" t="s">
        <v>13</v>
      </c>
      <c r="D104" s="19">
        <f>9.64</f>
        <v>9.64</v>
      </c>
      <c r="E104" s="180">
        <v>25</v>
      </c>
      <c r="F104" s="19">
        <f t="shared" si="1"/>
        <v>241</v>
      </c>
      <c r="G104" s="158"/>
      <c r="I104" s="159"/>
    </row>
    <row r="105" s="173" customFormat="1" ht="21" customHeight="1" spans="1:9">
      <c r="A105" s="179" t="s">
        <v>83</v>
      </c>
      <c r="B105" s="23" t="s">
        <v>84</v>
      </c>
      <c r="C105" s="179"/>
      <c r="D105" s="15"/>
      <c r="E105" s="15"/>
      <c r="F105" s="15">
        <f t="shared" si="1"/>
        <v>0</v>
      </c>
      <c r="G105" s="158"/>
      <c r="I105" s="159"/>
    </row>
    <row r="106" s="37" customFormat="1" ht="21" customHeight="1" spans="1:9">
      <c r="A106" s="21">
        <v>1</v>
      </c>
      <c r="B106" s="22" t="s">
        <v>85</v>
      </c>
      <c r="C106" s="21" t="s">
        <v>15</v>
      </c>
      <c r="D106" s="180">
        <v>1</v>
      </c>
      <c r="E106" s="21">
        <v>1400</v>
      </c>
      <c r="F106" s="19">
        <f t="shared" si="1"/>
        <v>1400</v>
      </c>
      <c r="G106" s="160"/>
      <c r="I106" s="159"/>
    </row>
    <row r="107" s="173" customFormat="1" ht="21" customHeight="1" spans="1:9">
      <c r="A107" s="179" t="s">
        <v>86</v>
      </c>
      <c r="B107" s="23" t="s">
        <v>87</v>
      </c>
      <c r="C107" s="179"/>
      <c r="D107" s="15"/>
      <c r="E107" s="15"/>
      <c r="F107" s="15">
        <f t="shared" si="1"/>
        <v>0</v>
      </c>
      <c r="G107" s="158"/>
      <c r="I107" s="159"/>
    </row>
    <row r="108" s="37" customFormat="1" ht="21" customHeight="1" spans="1:9">
      <c r="A108" s="21">
        <v>1</v>
      </c>
      <c r="B108" s="22" t="s">
        <v>88</v>
      </c>
      <c r="C108" s="21" t="s">
        <v>15</v>
      </c>
      <c r="D108" s="180">
        <v>1</v>
      </c>
      <c r="E108" s="180">
        <v>200</v>
      </c>
      <c r="F108" s="19">
        <f t="shared" si="1"/>
        <v>200</v>
      </c>
      <c r="G108" s="158"/>
      <c r="I108" s="159"/>
    </row>
    <row r="109" s="37" customFormat="1" ht="21" customHeight="1" spans="1:9">
      <c r="A109" s="179">
        <v>2</v>
      </c>
      <c r="B109" s="23" t="s">
        <v>89</v>
      </c>
      <c r="C109" s="179" t="s">
        <v>15</v>
      </c>
      <c r="D109" s="181">
        <v>1</v>
      </c>
      <c r="E109" s="15">
        <v>300</v>
      </c>
      <c r="F109" s="15">
        <f t="shared" si="1"/>
        <v>300</v>
      </c>
      <c r="G109" s="158"/>
      <c r="H109" s="159"/>
      <c r="I109" s="159"/>
    </row>
    <row r="110" s="37" customFormat="1" ht="21" customHeight="1" spans="1:9">
      <c r="A110" s="21"/>
      <c r="B110" s="22">
        <v>43600</v>
      </c>
      <c r="C110" s="185">
        <f>B110-F110</f>
        <v>10650.388</v>
      </c>
      <c r="D110" s="22">
        <f>C110/B110</f>
        <v>0.244274954128441</v>
      </c>
      <c r="E110" s="180"/>
      <c r="F110" s="186">
        <f>SUM(F4:F109)</f>
        <v>32949.612</v>
      </c>
      <c r="G110" s="160"/>
      <c r="I110" s="159"/>
    </row>
  </sheetData>
  <mergeCells count="2">
    <mergeCell ref="A1:F1"/>
    <mergeCell ref="A2:F2"/>
  </mergeCells>
  <printOptions horizontalCentered="1"/>
  <pageMargins left="0.6" right="0.55" top="0.429861111111111" bottom="0.389583333333333" header="0.239583333333333" footer="0.159722222222222"/>
  <pageSetup paperSize="9" scale="91" orientation="portrait" horizontalDpi="180" verticalDpi="180"/>
  <headerFooter alignWithMargins="0" scaleWithDoc="0"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24"/>
  <sheetViews>
    <sheetView showGridLines="0" zoomScale="60" zoomScaleNormal="60" workbookViewId="0">
      <selection activeCell="M8" sqref="M8"/>
    </sheetView>
  </sheetViews>
  <sheetFormatPr defaultColWidth="9" defaultRowHeight="14.25"/>
  <cols>
    <col min="1" max="1" width="9" style="33"/>
    <col min="2" max="2" width="6" style="39" customWidth="1"/>
    <col min="3" max="3" width="24" style="40" customWidth="1"/>
    <col min="4" max="4" width="6.5" style="33" customWidth="1"/>
    <col min="5" max="5" width="8.75" style="33" customWidth="1"/>
    <col min="6" max="6" width="9.25" style="33" customWidth="1"/>
    <col min="7" max="7" width="8.75" style="33" customWidth="1"/>
    <col min="8" max="8" width="8.625" style="33" customWidth="1"/>
    <col min="9" max="9" width="13.375" style="33" customWidth="1"/>
    <col min="10" max="10" width="128.5" style="40" customWidth="1"/>
    <col min="11" max="11" width="10.25" style="41" customWidth="1"/>
    <col min="12" max="12" width="9" style="33"/>
    <col min="13" max="13" width="9.75" style="42"/>
    <col min="14" max="16384" width="9" style="33"/>
  </cols>
  <sheetData>
    <row r="1" ht="49" customHeight="1" spans="2:10">
      <c r="B1" s="43" t="s">
        <v>90</v>
      </c>
      <c r="C1" s="43"/>
      <c r="D1" s="43"/>
      <c r="E1" s="43"/>
      <c r="F1" s="43"/>
      <c r="G1" s="43"/>
      <c r="H1" s="43"/>
      <c r="I1" s="43"/>
      <c r="J1" s="43"/>
    </row>
    <row r="2" ht="41" customHeight="1" spans="2:10">
      <c r="B2" s="44" t="s">
        <v>91</v>
      </c>
      <c r="C2" s="44"/>
      <c r="D2" s="44"/>
      <c r="E2" s="44"/>
      <c r="F2" s="44"/>
      <c r="G2" s="44"/>
      <c r="H2" s="44"/>
      <c r="I2" s="44"/>
      <c r="J2" s="44"/>
    </row>
    <row r="3" ht="39" customHeight="1" spans="2:10">
      <c r="B3" s="45" t="s">
        <v>2</v>
      </c>
      <c r="C3" s="45" t="s">
        <v>92</v>
      </c>
      <c r="D3" s="45" t="s">
        <v>4</v>
      </c>
      <c r="E3" s="45" t="s">
        <v>5</v>
      </c>
      <c r="F3" s="45" t="s">
        <v>93</v>
      </c>
      <c r="G3" s="45" t="s">
        <v>94</v>
      </c>
      <c r="H3" s="45" t="s">
        <v>95</v>
      </c>
      <c r="I3" s="45" t="s">
        <v>7</v>
      </c>
      <c r="J3" s="45" t="s">
        <v>96</v>
      </c>
    </row>
    <row r="4" s="32" customFormat="1" ht="36" customHeight="1" spans="2:13">
      <c r="B4" s="46" t="s">
        <v>8</v>
      </c>
      <c r="C4" s="47" t="s">
        <v>97</v>
      </c>
      <c r="D4" s="48"/>
      <c r="E4" s="49"/>
      <c r="F4" s="49"/>
      <c r="G4" s="50"/>
      <c r="H4" s="50"/>
      <c r="I4" s="49"/>
      <c r="J4" s="89"/>
      <c r="K4" s="90"/>
      <c r="M4" s="91"/>
    </row>
    <row r="5" ht="51.75" customHeight="1" spans="2:10">
      <c r="B5" s="51">
        <v>1</v>
      </c>
      <c r="C5" s="52" t="s">
        <v>98</v>
      </c>
      <c r="D5" s="53" t="s">
        <v>11</v>
      </c>
      <c r="E5" s="54">
        <v>5</v>
      </c>
      <c r="F5" s="55"/>
      <c r="G5" s="55"/>
      <c r="H5" s="55">
        <v>55</v>
      </c>
      <c r="I5" s="54">
        <v>275</v>
      </c>
      <c r="J5" s="52" t="s">
        <v>99</v>
      </c>
    </row>
    <row r="6" ht="51.75" customHeight="1" spans="2:10">
      <c r="B6" s="51"/>
      <c r="C6" s="52" t="s">
        <v>52</v>
      </c>
      <c r="D6" s="53" t="s">
        <v>11</v>
      </c>
      <c r="E6" s="54">
        <v>14.49</v>
      </c>
      <c r="F6" s="55"/>
      <c r="G6" s="55"/>
      <c r="H6" s="55">
        <v>66</v>
      </c>
      <c r="I6" s="54">
        <v>956.34</v>
      </c>
      <c r="J6" s="52" t="s">
        <v>99</v>
      </c>
    </row>
    <row r="7" ht="33.75" customHeight="1" spans="2:10">
      <c r="B7" s="51">
        <v>2</v>
      </c>
      <c r="C7" s="52" t="s">
        <v>100</v>
      </c>
      <c r="D7" s="53" t="s">
        <v>101</v>
      </c>
      <c r="E7" s="54">
        <v>3</v>
      </c>
      <c r="F7" s="55"/>
      <c r="G7" s="55"/>
      <c r="H7" s="55">
        <v>530</v>
      </c>
      <c r="I7" s="54">
        <f>+E7*H7</f>
        <v>1590</v>
      </c>
      <c r="J7" s="52" t="s">
        <v>102</v>
      </c>
    </row>
    <row r="8" s="33" customFormat="1" ht="32.25" customHeight="1" spans="2:13">
      <c r="B8" s="51">
        <v>3</v>
      </c>
      <c r="C8" s="52" t="s">
        <v>103</v>
      </c>
      <c r="D8" s="53" t="s">
        <v>11</v>
      </c>
      <c r="E8" s="56">
        <v>2.4</v>
      </c>
      <c r="F8" s="55"/>
      <c r="G8" s="57"/>
      <c r="H8" s="57">
        <v>320</v>
      </c>
      <c r="I8" s="54">
        <f>+E8*H8</f>
        <v>768</v>
      </c>
      <c r="J8" s="52" t="s">
        <v>102</v>
      </c>
      <c r="K8" s="41"/>
      <c r="M8" s="42"/>
    </row>
    <row r="9" s="33" customFormat="1" ht="32.25" customHeight="1" spans="2:13">
      <c r="B9" s="51">
        <v>4</v>
      </c>
      <c r="C9" s="52" t="s">
        <v>104</v>
      </c>
      <c r="D9" s="53" t="s">
        <v>101</v>
      </c>
      <c r="E9" s="56">
        <v>8.6</v>
      </c>
      <c r="F9" s="55">
        <v>100</v>
      </c>
      <c r="G9" s="57">
        <v>80</v>
      </c>
      <c r="H9" s="57">
        <f t="shared" ref="H9:H19" si="0">F9+G9</f>
        <v>180</v>
      </c>
      <c r="I9" s="54">
        <f>E9*H9</f>
        <v>1548</v>
      </c>
      <c r="J9" s="92" t="s">
        <v>105</v>
      </c>
      <c r="K9" s="41"/>
      <c r="M9" s="42"/>
    </row>
    <row r="10" s="33" customFormat="1" ht="32.25" customHeight="1" spans="2:13">
      <c r="B10" s="51"/>
      <c r="C10" s="52" t="s">
        <v>106</v>
      </c>
      <c r="D10" s="53" t="s">
        <v>107</v>
      </c>
      <c r="E10" s="56">
        <v>9.36</v>
      </c>
      <c r="F10" s="55"/>
      <c r="G10" s="57"/>
      <c r="H10" s="57">
        <v>380</v>
      </c>
      <c r="I10" s="54">
        <v>3556.8</v>
      </c>
      <c r="J10" s="92" t="s">
        <v>102</v>
      </c>
      <c r="K10" s="41"/>
      <c r="M10" s="42"/>
    </row>
    <row r="11" s="33" customFormat="1" ht="32.25" customHeight="1" spans="2:13">
      <c r="B11" s="51">
        <v>5</v>
      </c>
      <c r="C11" s="52" t="s">
        <v>108</v>
      </c>
      <c r="D11" s="53" t="s">
        <v>101</v>
      </c>
      <c r="E11" s="56">
        <v>3.36</v>
      </c>
      <c r="F11" s="55">
        <v>360</v>
      </c>
      <c r="G11" s="55">
        <v>170</v>
      </c>
      <c r="H11" s="55">
        <v>450</v>
      </c>
      <c r="I11" s="54">
        <f>E11*H11</f>
        <v>1512</v>
      </c>
      <c r="J11" s="92" t="s">
        <v>102</v>
      </c>
      <c r="K11" s="41"/>
      <c r="M11" s="42"/>
    </row>
    <row r="12" s="33" customFormat="1" ht="32.25" customHeight="1" spans="2:13">
      <c r="B12" s="51"/>
      <c r="C12" s="52" t="s">
        <v>109</v>
      </c>
      <c r="D12" s="53" t="s">
        <v>11</v>
      </c>
      <c r="E12" s="56">
        <v>6</v>
      </c>
      <c r="F12" s="55">
        <v>30</v>
      </c>
      <c r="G12" s="57">
        <v>25</v>
      </c>
      <c r="H12" s="57">
        <v>55</v>
      </c>
      <c r="I12" s="54">
        <v>330</v>
      </c>
      <c r="J12" s="92" t="s">
        <v>99</v>
      </c>
      <c r="K12" s="41"/>
      <c r="M12" s="42"/>
    </row>
    <row r="13" s="33" customFormat="1" ht="32.25" customHeight="1" spans="2:13">
      <c r="B13" s="51"/>
      <c r="C13" s="52" t="s">
        <v>110</v>
      </c>
      <c r="D13" s="53" t="s">
        <v>11</v>
      </c>
      <c r="E13" s="56">
        <v>4.22</v>
      </c>
      <c r="F13" s="55">
        <v>35</v>
      </c>
      <c r="G13" s="57">
        <v>25</v>
      </c>
      <c r="H13" s="57">
        <v>60</v>
      </c>
      <c r="I13" s="54">
        <v>253.2</v>
      </c>
      <c r="J13" s="92" t="s">
        <v>111</v>
      </c>
      <c r="K13" s="41"/>
      <c r="M13" s="42"/>
    </row>
    <row r="14" s="34" customFormat="1" ht="42.75" customHeight="1" spans="2:13">
      <c r="B14" s="51">
        <v>6</v>
      </c>
      <c r="C14" s="58" t="s">
        <v>112</v>
      </c>
      <c r="D14" s="59" t="s">
        <v>101</v>
      </c>
      <c r="E14" s="60">
        <v>37</v>
      </c>
      <c r="F14" s="61">
        <v>55</v>
      </c>
      <c r="G14" s="62">
        <v>35</v>
      </c>
      <c r="H14" s="62">
        <f t="shared" si="0"/>
        <v>90</v>
      </c>
      <c r="I14" s="54">
        <f t="shared" ref="I14:I16" si="1">+E14*H14</f>
        <v>3330</v>
      </c>
      <c r="J14" s="92" t="s">
        <v>113</v>
      </c>
      <c r="K14" s="93"/>
      <c r="M14" s="94"/>
    </row>
    <row r="15" ht="41.25" customHeight="1" spans="2:10">
      <c r="B15" s="51">
        <v>7</v>
      </c>
      <c r="C15" s="52" t="s">
        <v>114</v>
      </c>
      <c r="D15" s="53" t="s">
        <v>101</v>
      </c>
      <c r="E15" s="54">
        <v>135.5</v>
      </c>
      <c r="F15" s="55">
        <v>6</v>
      </c>
      <c r="G15" s="55">
        <v>6</v>
      </c>
      <c r="H15" s="55">
        <f t="shared" si="0"/>
        <v>12</v>
      </c>
      <c r="I15" s="54">
        <f t="shared" si="1"/>
        <v>1626</v>
      </c>
      <c r="J15" s="95" t="s">
        <v>115</v>
      </c>
    </row>
    <row r="16" ht="35.25" customHeight="1" spans="2:10">
      <c r="B16" s="51">
        <v>8</v>
      </c>
      <c r="C16" s="52" t="s">
        <v>116</v>
      </c>
      <c r="D16" s="53" t="s">
        <v>101</v>
      </c>
      <c r="E16" s="54">
        <v>135.5</v>
      </c>
      <c r="F16" s="55">
        <v>9</v>
      </c>
      <c r="G16" s="55">
        <v>6</v>
      </c>
      <c r="H16" s="55">
        <f t="shared" si="0"/>
        <v>15</v>
      </c>
      <c r="I16" s="54">
        <f t="shared" si="1"/>
        <v>2032.5</v>
      </c>
      <c r="J16" s="95" t="s">
        <v>117</v>
      </c>
    </row>
    <row r="17" ht="23.25" customHeight="1" spans="2:10">
      <c r="B17" s="51">
        <v>9</v>
      </c>
      <c r="C17" s="52" t="s">
        <v>118</v>
      </c>
      <c r="D17" s="53" t="s">
        <v>11</v>
      </c>
      <c r="E17" s="54">
        <v>25</v>
      </c>
      <c r="F17" s="55">
        <v>4</v>
      </c>
      <c r="G17" s="57">
        <v>8</v>
      </c>
      <c r="H17" s="57">
        <f t="shared" si="0"/>
        <v>12</v>
      </c>
      <c r="I17" s="54">
        <f>E17*H17</f>
        <v>300</v>
      </c>
      <c r="J17" s="92" t="s">
        <v>119</v>
      </c>
    </row>
    <row r="18" ht="38.25" customHeight="1" spans="2:10">
      <c r="B18" s="51">
        <v>10</v>
      </c>
      <c r="C18" s="52" t="s">
        <v>120</v>
      </c>
      <c r="D18" s="53" t="s">
        <v>101</v>
      </c>
      <c r="E18" s="54">
        <v>4.5</v>
      </c>
      <c r="F18" s="55">
        <v>20</v>
      </c>
      <c r="G18" s="57">
        <v>30</v>
      </c>
      <c r="H18" s="57">
        <f t="shared" si="0"/>
        <v>50</v>
      </c>
      <c r="I18" s="54">
        <f>E18*H18</f>
        <v>225</v>
      </c>
      <c r="J18" s="52" t="s">
        <v>121</v>
      </c>
    </row>
    <row r="19" ht="44.25" customHeight="1" spans="2:10">
      <c r="B19" s="51">
        <v>11</v>
      </c>
      <c r="C19" s="52" t="s">
        <v>122</v>
      </c>
      <c r="D19" s="53" t="s">
        <v>101</v>
      </c>
      <c r="E19" s="63">
        <v>40</v>
      </c>
      <c r="F19" s="55">
        <v>23</v>
      </c>
      <c r="G19" s="57">
        <v>15</v>
      </c>
      <c r="H19" s="57">
        <f t="shared" si="0"/>
        <v>38</v>
      </c>
      <c r="I19" s="54">
        <f>+E19*H19</f>
        <v>1520</v>
      </c>
      <c r="J19" s="52" t="s">
        <v>123</v>
      </c>
    </row>
    <row r="20" ht="19.5" customHeight="1" spans="2:10">
      <c r="B20" s="51"/>
      <c r="C20" s="64" t="s">
        <v>124</v>
      </c>
      <c r="D20" s="53"/>
      <c r="E20" s="63"/>
      <c r="F20" s="55"/>
      <c r="G20" s="57"/>
      <c r="H20" s="57"/>
      <c r="I20" s="96">
        <v>19822.84</v>
      </c>
      <c r="J20" s="92"/>
    </row>
    <row r="21" s="32" customFormat="1" ht="26.25" customHeight="1" spans="2:13">
      <c r="B21" s="65" t="s">
        <v>32</v>
      </c>
      <c r="C21" s="66" t="s">
        <v>33</v>
      </c>
      <c r="D21" s="67"/>
      <c r="E21" s="68"/>
      <c r="F21" s="69"/>
      <c r="G21" s="70"/>
      <c r="H21" s="70"/>
      <c r="I21" s="71" t="s">
        <v>125</v>
      </c>
      <c r="J21" s="97"/>
      <c r="K21" s="90"/>
      <c r="M21" s="91"/>
    </row>
    <row r="22" ht="46.5" customHeight="1" spans="2:10">
      <c r="B22" s="51">
        <v>2</v>
      </c>
      <c r="C22" s="52" t="s">
        <v>126</v>
      </c>
      <c r="D22" s="53" t="s">
        <v>101</v>
      </c>
      <c r="E22" s="56">
        <v>7.1314</v>
      </c>
      <c r="F22" s="55">
        <v>23</v>
      </c>
      <c r="G22" s="57">
        <v>15</v>
      </c>
      <c r="H22" s="57">
        <f t="shared" ref="H22:H25" si="2">F22+G22</f>
        <v>38</v>
      </c>
      <c r="I22" s="54">
        <f t="shared" ref="I22:I27" si="3">+E22*H22</f>
        <v>270.9932</v>
      </c>
      <c r="J22" s="52" t="s">
        <v>123</v>
      </c>
    </row>
    <row r="23" ht="45.75" customHeight="1" spans="2:10">
      <c r="B23" s="51">
        <v>3</v>
      </c>
      <c r="C23" s="52" t="s">
        <v>127</v>
      </c>
      <c r="D23" s="53" t="s">
        <v>101</v>
      </c>
      <c r="E23" s="56">
        <v>29</v>
      </c>
      <c r="F23" s="55">
        <v>20</v>
      </c>
      <c r="G23" s="57">
        <v>15</v>
      </c>
      <c r="H23" s="57">
        <f t="shared" si="2"/>
        <v>35</v>
      </c>
      <c r="I23" s="54">
        <f t="shared" si="3"/>
        <v>1015</v>
      </c>
      <c r="J23" s="52" t="s">
        <v>123</v>
      </c>
    </row>
    <row r="24" ht="26.25" customHeight="1" spans="2:10">
      <c r="B24" s="51">
        <v>4</v>
      </c>
      <c r="C24" s="52" t="s">
        <v>128</v>
      </c>
      <c r="D24" s="53" t="s">
        <v>101</v>
      </c>
      <c r="E24" s="54">
        <v>7.13</v>
      </c>
      <c r="F24" s="55">
        <v>120</v>
      </c>
      <c r="G24" s="55">
        <v>30</v>
      </c>
      <c r="H24" s="55">
        <f t="shared" si="2"/>
        <v>150</v>
      </c>
      <c r="I24" s="54">
        <f t="shared" si="3"/>
        <v>1069.5</v>
      </c>
      <c r="J24" s="52" t="s">
        <v>129</v>
      </c>
    </row>
    <row r="25" ht="21.75" customHeight="1" spans="2:10">
      <c r="B25" s="51">
        <v>5</v>
      </c>
      <c r="C25" s="52" t="s">
        <v>130</v>
      </c>
      <c r="D25" s="53" t="s">
        <v>101</v>
      </c>
      <c r="E25" s="54">
        <v>7.13</v>
      </c>
      <c r="F25" s="55">
        <v>65</v>
      </c>
      <c r="G25" s="55">
        <v>18</v>
      </c>
      <c r="H25" s="55">
        <f t="shared" si="2"/>
        <v>83</v>
      </c>
      <c r="I25" s="54">
        <f t="shared" si="3"/>
        <v>591.79</v>
      </c>
      <c r="J25" s="52" t="s">
        <v>131</v>
      </c>
    </row>
    <row r="26" ht="33" customHeight="1" spans="2:10">
      <c r="B26" s="51">
        <v>6</v>
      </c>
      <c r="C26" s="52" t="s">
        <v>132</v>
      </c>
      <c r="D26" s="53" t="s">
        <v>79</v>
      </c>
      <c r="E26" s="54">
        <v>1</v>
      </c>
      <c r="F26" s="55">
        <v>100</v>
      </c>
      <c r="G26" s="55">
        <v>120</v>
      </c>
      <c r="H26" s="55">
        <v>220</v>
      </c>
      <c r="I26" s="54">
        <f t="shared" si="3"/>
        <v>220</v>
      </c>
      <c r="J26" s="95" t="s">
        <v>133</v>
      </c>
    </row>
    <row r="27" ht="33" customHeight="1" spans="2:10">
      <c r="B27" s="51">
        <v>7</v>
      </c>
      <c r="C27" s="52" t="s">
        <v>120</v>
      </c>
      <c r="D27" s="53" t="s">
        <v>101</v>
      </c>
      <c r="E27" s="54">
        <v>1.75</v>
      </c>
      <c r="F27" s="55">
        <v>20</v>
      </c>
      <c r="G27" s="55">
        <v>30</v>
      </c>
      <c r="H27" s="55">
        <v>50</v>
      </c>
      <c r="I27" s="54">
        <f t="shared" si="3"/>
        <v>87.5</v>
      </c>
      <c r="J27" s="52" t="s">
        <v>121</v>
      </c>
    </row>
    <row r="28" ht="20.1" customHeight="1" spans="2:10">
      <c r="B28" s="51"/>
      <c r="C28" s="64" t="s">
        <v>124</v>
      </c>
      <c r="D28" s="53"/>
      <c r="E28" s="54"/>
      <c r="F28" s="55"/>
      <c r="G28" s="55"/>
      <c r="H28" s="55"/>
      <c r="I28" s="96">
        <f>SUM(I22:I27)</f>
        <v>3254.7832</v>
      </c>
      <c r="J28" s="52"/>
    </row>
    <row r="29" s="32" customFormat="1" ht="26.25" customHeight="1" spans="2:13">
      <c r="B29" s="65" t="s">
        <v>42</v>
      </c>
      <c r="C29" s="66" t="s">
        <v>134</v>
      </c>
      <c r="D29" s="67"/>
      <c r="E29" s="68"/>
      <c r="F29" s="69"/>
      <c r="G29" s="70"/>
      <c r="H29" s="70"/>
      <c r="I29" s="71"/>
      <c r="J29" s="97"/>
      <c r="K29" s="90"/>
      <c r="M29" s="91"/>
    </row>
    <row r="30" ht="47.25" customHeight="1" spans="2:10">
      <c r="B30" s="51">
        <v>1</v>
      </c>
      <c r="C30" s="52" t="s">
        <v>126</v>
      </c>
      <c r="D30" s="53" t="s">
        <v>101</v>
      </c>
      <c r="E30" s="56">
        <v>9.7</v>
      </c>
      <c r="F30" s="55">
        <v>20</v>
      </c>
      <c r="G30" s="57">
        <v>15</v>
      </c>
      <c r="H30" s="57">
        <f t="shared" ref="H30:H33" si="4">F30+G30</f>
        <v>35</v>
      </c>
      <c r="I30" s="54">
        <f t="shared" ref="I30:I35" si="5">+E30*H30</f>
        <v>339.5</v>
      </c>
      <c r="J30" s="52" t="s">
        <v>135</v>
      </c>
    </row>
    <row r="31" ht="48" customHeight="1" spans="2:10">
      <c r="B31" s="51">
        <v>2</v>
      </c>
      <c r="C31" s="52" t="s">
        <v>136</v>
      </c>
      <c r="D31" s="53" t="s">
        <v>101</v>
      </c>
      <c r="E31" s="56">
        <v>50</v>
      </c>
      <c r="F31" s="55">
        <v>20</v>
      </c>
      <c r="G31" s="57">
        <v>15</v>
      </c>
      <c r="H31" s="57">
        <f t="shared" si="4"/>
        <v>35</v>
      </c>
      <c r="I31" s="54">
        <f t="shared" si="5"/>
        <v>1750</v>
      </c>
      <c r="J31" s="52" t="s">
        <v>137</v>
      </c>
    </row>
    <row r="32" ht="27" customHeight="1" spans="2:10">
      <c r="B32" s="51">
        <v>3</v>
      </c>
      <c r="C32" s="52" t="s">
        <v>128</v>
      </c>
      <c r="D32" s="53" t="s">
        <v>101</v>
      </c>
      <c r="E32" s="54">
        <v>9.7</v>
      </c>
      <c r="F32" s="55">
        <v>120</v>
      </c>
      <c r="G32" s="55">
        <v>30</v>
      </c>
      <c r="H32" s="55">
        <f t="shared" si="4"/>
        <v>150</v>
      </c>
      <c r="I32" s="54">
        <f t="shared" si="5"/>
        <v>1455</v>
      </c>
      <c r="J32" s="52" t="s">
        <v>129</v>
      </c>
    </row>
    <row r="33" ht="23.25" customHeight="1" spans="2:10">
      <c r="B33" s="51">
        <v>4</v>
      </c>
      <c r="C33" s="52" t="s">
        <v>138</v>
      </c>
      <c r="D33" s="53" t="s">
        <v>101</v>
      </c>
      <c r="E33" s="54">
        <v>30</v>
      </c>
      <c r="F33" s="55">
        <v>65</v>
      </c>
      <c r="G33" s="55">
        <v>18</v>
      </c>
      <c r="H33" s="55">
        <f t="shared" si="4"/>
        <v>83</v>
      </c>
      <c r="I33" s="54">
        <f t="shared" si="5"/>
        <v>2490</v>
      </c>
      <c r="J33" s="52" t="s">
        <v>131</v>
      </c>
    </row>
    <row r="34" ht="33.75" customHeight="1" spans="2:10">
      <c r="B34" s="51">
        <v>5</v>
      </c>
      <c r="C34" s="52" t="s">
        <v>132</v>
      </c>
      <c r="D34" s="53" t="s">
        <v>79</v>
      </c>
      <c r="E34" s="54">
        <v>2</v>
      </c>
      <c r="F34" s="55">
        <v>100</v>
      </c>
      <c r="G34" s="55">
        <v>120</v>
      </c>
      <c r="H34" s="55">
        <v>220</v>
      </c>
      <c r="I34" s="54">
        <f t="shared" si="5"/>
        <v>440</v>
      </c>
      <c r="J34" s="95" t="s">
        <v>133</v>
      </c>
    </row>
    <row r="35" ht="33.75" customHeight="1" spans="2:10">
      <c r="B35" s="51">
        <v>6</v>
      </c>
      <c r="C35" s="52" t="s">
        <v>120</v>
      </c>
      <c r="D35" s="53" t="s">
        <v>11</v>
      </c>
      <c r="E35" s="54">
        <v>1.6</v>
      </c>
      <c r="F35" s="55">
        <v>20</v>
      </c>
      <c r="G35" s="55">
        <v>30</v>
      </c>
      <c r="H35" s="55">
        <v>50</v>
      </c>
      <c r="I35" s="54">
        <f t="shared" si="5"/>
        <v>80</v>
      </c>
      <c r="J35" s="52" t="s">
        <v>139</v>
      </c>
    </row>
    <row r="36" ht="20.1" customHeight="1" spans="2:10">
      <c r="B36" s="51"/>
      <c r="C36" s="64" t="s">
        <v>124</v>
      </c>
      <c r="D36" s="53"/>
      <c r="E36" s="54"/>
      <c r="F36" s="55"/>
      <c r="G36" s="55"/>
      <c r="H36" s="55"/>
      <c r="I36" s="96">
        <f>SUM(I30:I35)</f>
        <v>6554.5</v>
      </c>
      <c r="J36" s="52"/>
    </row>
    <row r="37" s="32" customFormat="1" ht="32.25" customHeight="1" spans="2:13">
      <c r="B37" s="65" t="s">
        <v>44</v>
      </c>
      <c r="C37" s="66" t="s">
        <v>140</v>
      </c>
      <c r="D37" s="67"/>
      <c r="E37" s="71"/>
      <c r="F37" s="69"/>
      <c r="G37" s="69"/>
      <c r="H37" s="69"/>
      <c r="I37" s="71"/>
      <c r="J37" s="98"/>
      <c r="K37" s="90"/>
      <c r="M37" s="91"/>
    </row>
    <row r="38" ht="33" customHeight="1" spans="2:10">
      <c r="B38" s="72">
        <v>6</v>
      </c>
      <c r="C38" s="52" t="s">
        <v>141</v>
      </c>
      <c r="D38" s="53" t="s">
        <v>101</v>
      </c>
      <c r="E38" s="54">
        <v>18</v>
      </c>
      <c r="F38" s="55">
        <v>50</v>
      </c>
      <c r="G38" s="55">
        <v>35</v>
      </c>
      <c r="H38" s="55">
        <v>85</v>
      </c>
      <c r="I38" s="54">
        <f>E38*H38</f>
        <v>1530</v>
      </c>
      <c r="J38" s="92" t="s">
        <v>142</v>
      </c>
    </row>
    <row r="39" ht="33" customHeight="1" spans="2:10">
      <c r="B39" s="72"/>
      <c r="C39" s="52" t="s">
        <v>143</v>
      </c>
      <c r="D39" s="53" t="s">
        <v>107</v>
      </c>
      <c r="E39" s="54">
        <v>7.17</v>
      </c>
      <c r="F39" s="55"/>
      <c r="G39" s="55"/>
      <c r="H39" s="55">
        <v>420</v>
      </c>
      <c r="I39" s="54">
        <v>3011.4</v>
      </c>
      <c r="J39" s="92" t="s">
        <v>102</v>
      </c>
    </row>
    <row r="40" ht="33" customHeight="1" spans="2:10">
      <c r="B40" s="73"/>
      <c r="C40" s="74" t="s">
        <v>144</v>
      </c>
      <c r="D40" s="75" t="s">
        <v>107</v>
      </c>
      <c r="E40" s="76">
        <v>5.7</v>
      </c>
      <c r="F40" s="77"/>
      <c r="G40" s="77"/>
      <c r="H40" s="77">
        <v>180</v>
      </c>
      <c r="I40" s="76">
        <v>1026</v>
      </c>
      <c r="J40" s="99" t="s">
        <v>102</v>
      </c>
    </row>
    <row r="41" ht="33" customHeight="1" spans="2:10">
      <c r="B41" s="73"/>
      <c r="C41" s="74" t="s">
        <v>145</v>
      </c>
      <c r="D41" s="75" t="s">
        <v>15</v>
      </c>
      <c r="E41" s="76">
        <v>1.2</v>
      </c>
      <c r="F41" s="77"/>
      <c r="G41" s="77"/>
      <c r="H41" s="77">
        <v>500</v>
      </c>
      <c r="I41" s="76">
        <v>600</v>
      </c>
      <c r="J41" s="99" t="s">
        <v>102</v>
      </c>
    </row>
    <row r="42" ht="33" customHeight="1" spans="2:10">
      <c r="B42" s="73"/>
      <c r="C42" s="74" t="s">
        <v>146</v>
      </c>
      <c r="D42" s="75" t="s">
        <v>11</v>
      </c>
      <c r="E42" s="76">
        <v>3.4</v>
      </c>
      <c r="F42" s="77"/>
      <c r="G42" s="77"/>
      <c r="H42" s="77">
        <v>450</v>
      </c>
      <c r="I42" s="76">
        <v>1530</v>
      </c>
      <c r="J42" s="99" t="s">
        <v>102</v>
      </c>
    </row>
    <row r="43" ht="41.25" customHeight="1" spans="2:10">
      <c r="B43" s="73">
        <v>6</v>
      </c>
      <c r="C43" s="74" t="s">
        <v>114</v>
      </c>
      <c r="D43" s="75" t="s">
        <v>147</v>
      </c>
      <c r="E43" s="76">
        <v>63.8</v>
      </c>
      <c r="F43" s="77">
        <v>6</v>
      </c>
      <c r="G43" s="77">
        <v>6</v>
      </c>
      <c r="H43" s="77">
        <f t="shared" ref="H43:H46" si="6">F43+G43</f>
        <v>12</v>
      </c>
      <c r="I43" s="76">
        <f t="shared" ref="I43:I46" si="7">E43*H43</f>
        <v>765.6</v>
      </c>
      <c r="J43" s="100" t="s">
        <v>148</v>
      </c>
    </row>
    <row r="44" ht="39.75" customHeight="1" spans="2:10">
      <c r="B44" s="73">
        <v>7</v>
      </c>
      <c r="C44" s="74" t="s">
        <v>116</v>
      </c>
      <c r="D44" s="75" t="s">
        <v>147</v>
      </c>
      <c r="E44" s="76">
        <v>63.796</v>
      </c>
      <c r="F44" s="77">
        <v>20</v>
      </c>
      <c r="G44" s="77">
        <v>18</v>
      </c>
      <c r="H44" s="77">
        <f t="shared" si="6"/>
        <v>38</v>
      </c>
      <c r="I44" s="76">
        <f>+E44*H44</f>
        <v>2424.248</v>
      </c>
      <c r="J44" s="100" t="s">
        <v>149</v>
      </c>
    </row>
    <row r="45" ht="24" customHeight="1" spans="2:10">
      <c r="B45" s="73">
        <v>8</v>
      </c>
      <c r="C45" s="74" t="s">
        <v>150</v>
      </c>
      <c r="D45" s="75" t="s">
        <v>147</v>
      </c>
      <c r="E45" s="78">
        <v>17.115</v>
      </c>
      <c r="F45" s="77">
        <v>8</v>
      </c>
      <c r="G45" s="79">
        <v>10</v>
      </c>
      <c r="H45" s="79">
        <f t="shared" si="6"/>
        <v>18</v>
      </c>
      <c r="I45" s="76">
        <f t="shared" si="7"/>
        <v>308.07</v>
      </c>
      <c r="J45" s="99" t="s">
        <v>123</v>
      </c>
    </row>
    <row r="46" ht="40.5" customHeight="1" spans="2:10">
      <c r="B46" s="73">
        <v>9</v>
      </c>
      <c r="C46" s="74" t="s">
        <v>120</v>
      </c>
      <c r="D46" s="75" t="s">
        <v>147</v>
      </c>
      <c r="E46" s="78">
        <v>3.285</v>
      </c>
      <c r="F46" s="77">
        <v>20</v>
      </c>
      <c r="G46" s="79">
        <v>30</v>
      </c>
      <c r="H46" s="79">
        <f t="shared" si="6"/>
        <v>50</v>
      </c>
      <c r="I46" s="76">
        <f t="shared" si="7"/>
        <v>164.25</v>
      </c>
      <c r="J46" s="74" t="s">
        <v>151</v>
      </c>
    </row>
    <row r="47" ht="28.5" customHeight="1" spans="2:10">
      <c r="B47" s="80"/>
      <c r="C47" s="81" t="s">
        <v>124</v>
      </c>
      <c r="D47" s="75"/>
      <c r="E47" s="76"/>
      <c r="F47" s="77"/>
      <c r="G47" s="77"/>
      <c r="H47" s="77"/>
      <c r="I47" s="101">
        <f>SUM(I38:I46)</f>
        <v>11359.568</v>
      </c>
      <c r="J47" s="74"/>
    </row>
    <row r="48" s="32" customFormat="1" ht="36" customHeight="1" spans="2:13">
      <c r="B48" s="82" t="s">
        <v>46</v>
      </c>
      <c r="C48" s="66" t="s">
        <v>70</v>
      </c>
      <c r="D48" s="83"/>
      <c r="E48" s="84"/>
      <c r="F48" s="85"/>
      <c r="G48" s="85"/>
      <c r="H48" s="85"/>
      <c r="I48" s="84"/>
      <c r="J48" s="102"/>
      <c r="K48" s="90"/>
      <c r="M48" s="91"/>
    </row>
    <row r="49" s="35" customFormat="1" ht="47.25" customHeight="1" spans="2:13">
      <c r="B49" s="73">
        <v>3</v>
      </c>
      <c r="C49" s="86" t="s">
        <v>152</v>
      </c>
      <c r="D49" s="87" t="s">
        <v>11</v>
      </c>
      <c r="E49" s="88">
        <v>17.8</v>
      </c>
      <c r="F49" s="88">
        <v>10</v>
      </c>
      <c r="G49" s="88">
        <v>5</v>
      </c>
      <c r="H49" s="88">
        <v>15</v>
      </c>
      <c r="I49" s="88">
        <f>E49*H49</f>
        <v>267</v>
      </c>
      <c r="J49" s="86" t="s">
        <v>153</v>
      </c>
      <c r="K49" s="103"/>
      <c r="M49" s="104"/>
    </row>
    <row r="50" s="35" customFormat="1" ht="47.25" customHeight="1" spans="2:13">
      <c r="B50" s="73"/>
      <c r="C50" s="86" t="s">
        <v>143</v>
      </c>
      <c r="D50" s="87" t="s">
        <v>107</v>
      </c>
      <c r="E50" s="88">
        <v>5.7</v>
      </c>
      <c r="F50" s="88"/>
      <c r="G50" s="88"/>
      <c r="H50" s="88">
        <v>420</v>
      </c>
      <c r="I50" s="88">
        <v>2394</v>
      </c>
      <c r="J50" s="86" t="s">
        <v>102</v>
      </c>
      <c r="K50" s="103"/>
      <c r="M50" s="104"/>
    </row>
    <row r="51" s="35" customFormat="1" ht="47.25" customHeight="1" spans="2:13">
      <c r="B51" s="73"/>
      <c r="C51" s="86" t="s">
        <v>146</v>
      </c>
      <c r="D51" s="87" t="s">
        <v>11</v>
      </c>
      <c r="E51" s="88">
        <v>2.8</v>
      </c>
      <c r="F51" s="88"/>
      <c r="G51" s="88"/>
      <c r="H51" s="88">
        <v>450</v>
      </c>
      <c r="I51" s="88">
        <v>1620</v>
      </c>
      <c r="J51" s="86" t="s">
        <v>102</v>
      </c>
      <c r="K51" s="103"/>
      <c r="M51" s="104"/>
    </row>
    <row r="52" s="35" customFormat="1" ht="47.25" customHeight="1" spans="2:13">
      <c r="B52" s="73"/>
      <c r="C52" s="86" t="s">
        <v>154</v>
      </c>
      <c r="D52" s="87" t="s">
        <v>107</v>
      </c>
      <c r="E52" s="88">
        <v>4.6</v>
      </c>
      <c r="F52" s="88"/>
      <c r="G52" s="88"/>
      <c r="H52" s="88">
        <v>180</v>
      </c>
      <c r="I52" s="88">
        <v>828</v>
      </c>
      <c r="J52" s="86" t="s">
        <v>102</v>
      </c>
      <c r="K52" s="103"/>
      <c r="M52" s="104"/>
    </row>
    <row r="53" ht="45" customHeight="1" spans="2:10">
      <c r="B53" s="73">
        <v>5</v>
      </c>
      <c r="C53" s="74" t="s">
        <v>114</v>
      </c>
      <c r="D53" s="75" t="s">
        <v>147</v>
      </c>
      <c r="E53" s="76">
        <v>66</v>
      </c>
      <c r="F53" s="77">
        <v>6</v>
      </c>
      <c r="G53" s="77">
        <v>6</v>
      </c>
      <c r="H53" s="77">
        <v>12</v>
      </c>
      <c r="I53" s="76">
        <f t="shared" ref="I53:I55" si="8">+E53*H53</f>
        <v>792</v>
      </c>
      <c r="J53" s="100" t="s">
        <v>148</v>
      </c>
    </row>
    <row r="54" ht="45" customHeight="1" spans="2:10">
      <c r="B54" s="73">
        <v>6</v>
      </c>
      <c r="C54" s="74" t="s">
        <v>116</v>
      </c>
      <c r="D54" s="75" t="s">
        <v>147</v>
      </c>
      <c r="E54" s="76">
        <v>66</v>
      </c>
      <c r="F54" s="77">
        <v>9</v>
      </c>
      <c r="G54" s="77">
        <v>6</v>
      </c>
      <c r="H54" s="77">
        <v>15</v>
      </c>
      <c r="I54" s="76">
        <f t="shared" si="8"/>
        <v>990</v>
      </c>
      <c r="J54" s="100" t="s">
        <v>149</v>
      </c>
    </row>
    <row r="55" ht="22.5" customHeight="1" spans="2:10">
      <c r="B55" s="73">
        <v>9</v>
      </c>
      <c r="C55" s="74" t="s">
        <v>150</v>
      </c>
      <c r="D55" s="75" t="s">
        <v>147</v>
      </c>
      <c r="E55" s="78">
        <v>17.8</v>
      </c>
      <c r="F55" s="77">
        <v>8</v>
      </c>
      <c r="G55" s="79">
        <v>10</v>
      </c>
      <c r="H55" s="79">
        <f>F55+G55</f>
        <v>18</v>
      </c>
      <c r="I55" s="76">
        <f t="shared" si="8"/>
        <v>320.4</v>
      </c>
      <c r="J55" s="99" t="s">
        <v>123</v>
      </c>
    </row>
    <row r="56" ht="22.5" customHeight="1" spans="2:10">
      <c r="B56" s="73"/>
      <c r="C56" s="74" t="s">
        <v>109</v>
      </c>
      <c r="D56" s="75" t="s">
        <v>155</v>
      </c>
      <c r="E56" s="78">
        <v>5.4</v>
      </c>
      <c r="F56" s="77"/>
      <c r="G56" s="79"/>
      <c r="H56" s="79">
        <v>80</v>
      </c>
      <c r="I56" s="76">
        <v>432</v>
      </c>
      <c r="J56" s="99"/>
    </row>
    <row r="57" ht="36.75" customHeight="1" spans="2:10">
      <c r="B57" s="73">
        <v>10</v>
      </c>
      <c r="C57" s="74" t="s">
        <v>156</v>
      </c>
      <c r="D57" s="75" t="s">
        <v>147</v>
      </c>
      <c r="E57" s="78">
        <v>2.7</v>
      </c>
      <c r="F57" s="77">
        <v>20</v>
      </c>
      <c r="G57" s="79">
        <v>30</v>
      </c>
      <c r="H57" s="79">
        <v>50</v>
      </c>
      <c r="I57" s="76">
        <f>E57*H57</f>
        <v>135</v>
      </c>
      <c r="J57" s="74" t="s">
        <v>151</v>
      </c>
    </row>
    <row r="58" ht="24.75" customHeight="1" spans="2:10">
      <c r="B58" s="80"/>
      <c r="C58" s="81" t="s">
        <v>124</v>
      </c>
      <c r="D58" s="75"/>
      <c r="E58" s="76"/>
      <c r="F58" s="77"/>
      <c r="G58" s="77"/>
      <c r="H58" s="77"/>
      <c r="I58" s="101">
        <f>SUM(I49:I57)</f>
        <v>7778.4</v>
      </c>
      <c r="J58" s="74"/>
    </row>
    <row r="59" ht="24.75" customHeight="1" spans="2:10">
      <c r="B59" s="80"/>
      <c r="C59" s="81" t="s">
        <v>157</v>
      </c>
      <c r="D59" s="75"/>
      <c r="E59" s="76"/>
      <c r="F59" s="77"/>
      <c r="G59" s="77"/>
      <c r="H59" s="77"/>
      <c r="I59" s="101"/>
      <c r="J59" s="74"/>
    </row>
    <row r="60" ht="24.75" customHeight="1" spans="2:10">
      <c r="B60" s="80"/>
      <c r="C60" s="81" t="s">
        <v>143</v>
      </c>
      <c r="D60" s="75" t="s">
        <v>107</v>
      </c>
      <c r="E60" s="76">
        <v>6.7</v>
      </c>
      <c r="F60" s="77"/>
      <c r="G60" s="77"/>
      <c r="H60" s="77">
        <v>420</v>
      </c>
      <c r="I60" s="101">
        <v>2814</v>
      </c>
      <c r="J60" s="74" t="s">
        <v>102</v>
      </c>
    </row>
    <row r="61" ht="24.75" customHeight="1" spans="2:10">
      <c r="B61" s="80"/>
      <c r="C61" s="81" t="s">
        <v>154</v>
      </c>
      <c r="D61" s="75" t="s">
        <v>107</v>
      </c>
      <c r="E61" s="76">
        <v>5.7</v>
      </c>
      <c r="F61" s="77"/>
      <c r="G61" s="77"/>
      <c r="H61" s="77">
        <v>180</v>
      </c>
      <c r="I61" s="101">
        <v>1026</v>
      </c>
      <c r="J61" s="74" t="s">
        <v>102</v>
      </c>
    </row>
    <row r="62" ht="24.75" customHeight="1" spans="2:10">
      <c r="B62" s="80"/>
      <c r="C62" s="81" t="s">
        <v>114</v>
      </c>
      <c r="D62" s="75" t="s">
        <v>107</v>
      </c>
      <c r="E62" s="76">
        <v>50</v>
      </c>
      <c r="F62" s="77">
        <v>6</v>
      </c>
      <c r="G62" s="77">
        <v>6</v>
      </c>
      <c r="H62" s="77">
        <v>12</v>
      </c>
      <c r="I62" s="101">
        <v>600</v>
      </c>
      <c r="J62" s="74" t="s">
        <v>102</v>
      </c>
    </row>
    <row r="63" ht="24.75" customHeight="1" spans="2:10">
      <c r="B63" s="80"/>
      <c r="C63" s="74" t="s">
        <v>116</v>
      </c>
      <c r="D63" s="75" t="s">
        <v>107</v>
      </c>
      <c r="E63" s="76">
        <v>50</v>
      </c>
      <c r="F63" s="77">
        <v>9</v>
      </c>
      <c r="G63" s="77">
        <v>6</v>
      </c>
      <c r="H63" s="77">
        <v>15</v>
      </c>
      <c r="I63" s="101">
        <v>750</v>
      </c>
      <c r="J63" s="74" t="s">
        <v>102</v>
      </c>
    </row>
    <row r="64" ht="24.75" customHeight="1" spans="2:10">
      <c r="B64" s="80"/>
      <c r="C64" s="74" t="s">
        <v>150</v>
      </c>
      <c r="D64" s="75" t="s">
        <v>107</v>
      </c>
      <c r="E64" s="76">
        <v>11.52</v>
      </c>
      <c r="F64" s="77">
        <v>8</v>
      </c>
      <c r="G64" s="77">
        <v>10</v>
      </c>
      <c r="H64" s="77">
        <v>18</v>
      </c>
      <c r="I64" s="101">
        <v>207.36</v>
      </c>
      <c r="J64" s="74"/>
    </row>
    <row r="65" ht="24.75" customHeight="1" spans="2:10">
      <c r="B65" s="80"/>
      <c r="C65" s="81" t="s">
        <v>109</v>
      </c>
      <c r="D65" s="75" t="s">
        <v>11</v>
      </c>
      <c r="E65" s="76">
        <v>5.4</v>
      </c>
      <c r="F65" s="77"/>
      <c r="G65" s="77"/>
      <c r="H65" s="77">
        <v>80</v>
      </c>
      <c r="I65" s="101">
        <v>432</v>
      </c>
      <c r="J65" s="74" t="s">
        <v>102</v>
      </c>
    </row>
    <row r="66" ht="24.75" customHeight="1" spans="2:10">
      <c r="B66" s="80"/>
      <c r="C66" s="81" t="s">
        <v>158</v>
      </c>
      <c r="D66" s="75" t="s">
        <v>11</v>
      </c>
      <c r="E66" s="76">
        <v>2</v>
      </c>
      <c r="F66" s="77"/>
      <c r="G66" s="77"/>
      <c r="H66" s="77">
        <v>400</v>
      </c>
      <c r="I66" s="101">
        <v>800</v>
      </c>
      <c r="J66" s="74" t="s">
        <v>102</v>
      </c>
    </row>
    <row r="67" ht="24.75" customHeight="1" spans="2:10">
      <c r="B67" s="80"/>
      <c r="C67" s="81" t="s">
        <v>159</v>
      </c>
      <c r="D67" s="75" t="s">
        <v>11</v>
      </c>
      <c r="E67" s="76">
        <v>13.6</v>
      </c>
      <c r="F67" s="77">
        <v>10</v>
      </c>
      <c r="G67" s="77">
        <v>5</v>
      </c>
      <c r="H67" s="77">
        <v>15</v>
      </c>
      <c r="I67" s="101">
        <v>204</v>
      </c>
      <c r="J67" s="74" t="s">
        <v>153</v>
      </c>
    </row>
    <row r="68" ht="24.75" customHeight="1" spans="2:10">
      <c r="B68" s="80"/>
      <c r="C68" s="81" t="s">
        <v>160</v>
      </c>
      <c r="D68" s="75"/>
      <c r="E68" s="76"/>
      <c r="F68" s="77"/>
      <c r="G68" s="77"/>
      <c r="H68" s="77"/>
      <c r="I68" s="101">
        <v>6833.36</v>
      </c>
      <c r="J68" s="74"/>
    </row>
    <row r="69" s="35" customFormat="1" ht="27.75" customHeight="1" spans="2:13">
      <c r="B69" s="105" t="s">
        <v>54</v>
      </c>
      <c r="C69" s="106" t="s">
        <v>51</v>
      </c>
      <c r="D69" s="83"/>
      <c r="E69" s="84"/>
      <c r="F69" s="84"/>
      <c r="G69" s="84"/>
      <c r="H69" s="84"/>
      <c r="I69" s="84"/>
      <c r="J69" s="102"/>
      <c r="K69" s="103"/>
      <c r="M69" s="104"/>
    </row>
    <row r="70" s="35" customFormat="1" ht="53.25" customHeight="1" spans="2:13">
      <c r="B70" s="73">
        <v>3</v>
      </c>
      <c r="C70" s="107" t="s">
        <v>30</v>
      </c>
      <c r="D70" s="87" t="s">
        <v>147</v>
      </c>
      <c r="E70" s="88">
        <v>8</v>
      </c>
      <c r="F70" s="88">
        <v>6</v>
      </c>
      <c r="G70" s="108">
        <v>6</v>
      </c>
      <c r="H70" s="88">
        <f t="shared" ref="H70:H74" si="9">F70+G70</f>
        <v>12</v>
      </c>
      <c r="I70" s="88">
        <f t="shared" ref="I70:I74" si="10">E70*H70</f>
        <v>96</v>
      </c>
      <c r="J70" s="107" t="s">
        <v>161</v>
      </c>
      <c r="K70" s="103"/>
      <c r="M70" s="104"/>
    </row>
    <row r="71" s="35" customFormat="1" ht="51" customHeight="1" spans="2:13">
      <c r="B71" s="73">
        <v>4</v>
      </c>
      <c r="C71" s="107" t="s">
        <v>31</v>
      </c>
      <c r="D71" s="87" t="s">
        <v>147</v>
      </c>
      <c r="E71" s="88">
        <v>8</v>
      </c>
      <c r="F71" s="88">
        <v>9</v>
      </c>
      <c r="G71" s="108">
        <v>6</v>
      </c>
      <c r="H71" s="88">
        <f t="shared" si="9"/>
        <v>15</v>
      </c>
      <c r="I71" s="88">
        <f t="shared" si="10"/>
        <v>120</v>
      </c>
      <c r="J71" s="107" t="s">
        <v>162</v>
      </c>
      <c r="K71" s="103"/>
      <c r="M71" s="104"/>
    </row>
    <row r="72" s="35" customFormat="1" ht="51" customHeight="1" spans="2:13">
      <c r="B72" s="73"/>
      <c r="C72" s="107" t="s">
        <v>163</v>
      </c>
      <c r="D72" s="87" t="s">
        <v>79</v>
      </c>
      <c r="E72" s="88">
        <v>1</v>
      </c>
      <c r="F72" s="88">
        <v>100</v>
      </c>
      <c r="G72" s="108">
        <v>120</v>
      </c>
      <c r="H72" s="88">
        <v>240</v>
      </c>
      <c r="I72" s="88">
        <v>240</v>
      </c>
      <c r="J72" s="107"/>
      <c r="K72" s="103"/>
      <c r="M72" s="104"/>
    </row>
    <row r="73" s="35" customFormat="1" ht="51" customHeight="1" spans="2:13">
      <c r="B73" s="73"/>
      <c r="C73" s="107" t="s">
        <v>164</v>
      </c>
      <c r="D73" s="87" t="s">
        <v>107</v>
      </c>
      <c r="E73" s="88">
        <v>14.84</v>
      </c>
      <c r="F73" s="88">
        <v>20</v>
      </c>
      <c r="G73" s="108">
        <v>15</v>
      </c>
      <c r="H73" s="88">
        <v>35</v>
      </c>
      <c r="I73" s="88">
        <v>519.4</v>
      </c>
      <c r="J73" s="107"/>
      <c r="K73" s="103"/>
      <c r="M73" s="104"/>
    </row>
    <row r="74" s="35" customFormat="1" ht="21" customHeight="1" spans="2:13">
      <c r="B74" s="73">
        <v>5</v>
      </c>
      <c r="C74" s="86" t="s">
        <v>165</v>
      </c>
      <c r="D74" s="87" t="s">
        <v>147</v>
      </c>
      <c r="E74" s="88">
        <v>8</v>
      </c>
      <c r="F74" s="88">
        <v>20</v>
      </c>
      <c r="G74" s="108">
        <v>15</v>
      </c>
      <c r="H74" s="88">
        <f t="shared" si="9"/>
        <v>35</v>
      </c>
      <c r="I74" s="88">
        <f t="shared" si="10"/>
        <v>280</v>
      </c>
      <c r="J74" s="136" t="s">
        <v>166</v>
      </c>
      <c r="K74" s="103"/>
      <c r="M74" s="104"/>
    </row>
    <row r="75" s="35" customFormat="1" ht="23.25" customHeight="1" spans="2:13">
      <c r="B75" s="109"/>
      <c r="C75" s="81" t="s">
        <v>124</v>
      </c>
      <c r="D75" s="87"/>
      <c r="E75" s="88"/>
      <c r="F75" s="88"/>
      <c r="G75" s="110"/>
      <c r="H75" s="88"/>
      <c r="I75" s="110">
        <f>SUM(I70:I74)</f>
        <v>1255.4</v>
      </c>
      <c r="J75" s="86"/>
      <c r="K75" s="103"/>
      <c r="M75" s="104"/>
    </row>
    <row r="76" s="35" customFormat="1" ht="23.25" customHeight="1" spans="2:13">
      <c r="B76" s="105" t="s">
        <v>63</v>
      </c>
      <c r="C76" s="102" t="s">
        <v>47</v>
      </c>
      <c r="D76" s="83"/>
      <c r="E76" s="84"/>
      <c r="F76" s="84"/>
      <c r="G76" s="111"/>
      <c r="H76" s="84"/>
      <c r="I76" s="111"/>
      <c r="J76" s="102"/>
      <c r="K76" s="103"/>
      <c r="M76" s="104"/>
    </row>
    <row r="77" s="35" customFormat="1" ht="59.25" customHeight="1" spans="2:13">
      <c r="B77" s="109">
        <v>2</v>
      </c>
      <c r="C77" s="107" t="s">
        <v>30</v>
      </c>
      <c r="D77" s="87" t="s">
        <v>147</v>
      </c>
      <c r="E77" s="88">
        <v>8</v>
      </c>
      <c r="F77" s="88">
        <v>6</v>
      </c>
      <c r="G77" s="110">
        <v>6</v>
      </c>
      <c r="H77" s="88">
        <v>12</v>
      </c>
      <c r="I77" s="110">
        <f t="shared" ref="I77:I81" si="11">E77*H77</f>
        <v>96</v>
      </c>
      <c r="J77" s="107" t="s">
        <v>167</v>
      </c>
      <c r="K77" s="103"/>
      <c r="M77" s="104"/>
    </row>
    <row r="78" s="35" customFormat="1" ht="59.25" customHeight="1" spans="2:13">
      <c r="B78" s="109"/>
      <c r="C78" s="107" t="s">
        <v>168</v>
      </c>
      <c r="D78" s="87" t="s">
        <v>107</v>
      </c>
      <c r="E78" s="88">
        <v>14.84</v>
      </c>
      <c r="F78" s="88">
        <v>20</v>
      </c>
      <c r="G78" s="110">
        <v>15</v>
      </c>
      <c r="H78" s="88">
        <v>35</v>
      </c>
      <c r="I78" s="110">
        <v>519.4</v>
      </c>
      <c r="J78" s="107"/>
      <c r="K78" s="103"/>
      <c r="M78" s="104"/>
    </row>
    <row r="79" s="35" customFormat="1" ht="59.25" customHeight="1" spans="2:13">
      <c r="B79" s="109"/>
      <c r="C79" s="107" t="s">
        <v>163</v>
      </c>
      <c r="D79" s="87" t="s">
        <v>79</v>
      </c>
      <c r="E79" s="88">
        <v>1</v>
      </c>
      <c r="F79" s="88">
        <v>100</v>
      </c>
      <c r="G79" s="110">
        <v>120</v>
      </c>
      <c r="H79" s="88">
        <v>220</v>
      </c>
      <c r="I79" s="110">
        <v>220</v>
      </c>
      <c r="J79" s="107"/>
      <c r="K79" s="103"/>
      <c r="M79" s="104"/>
    </row>
    <row r="80" s="35" customFormat="1" ht="59.25" customHeight="1" spans="2:13">
      <c r="B80" s="109">
        <v>3</v>
      </c>
      <c r="C80" s="107" t="s">
        <v>31</v>
      </c>
      <c r="D80" s="87" t="s">
        <v>147</v>
      </c>
      <c r="E80" s="88">
        <v>8</v>
      </c>
      <c r="F80" s="88">
        <v>9</v>
      </c>
      <c r="G80" s="110">
        <v>6</v>
      </c>
      <c r="H80" s="88">
        <v>15</v>
      </c>
      <c r="I80" s="110">
        <f t="shared" si="11"/>
        <v>120</v>
      </c>
      <c r="J80" s="107" t="s">
        <v>162</v>
      </c>
      <c r="K80" s="103"/>
      <c r="M80" s="104"/>
    </row>
    <row r="81" s="35" customFormat="1" ht="23.25" customHeight="1" spans="2:13">
      <c r="B81" s="109">
        <v>5</v>
      </c>
      <c r="C81" s="86" t="s">
        <v>165</v>
      </c>
      <c r="D81" s="87" t="s">
        <v>147</v>
      </c>
      <c r="E81" s="88">
        <v>8</v>
      </c>
      <c r="F81" s="88">
        <v>20</v>
      </c>
      <c r="G81" s="110">
        <v>15</v>
      </c>
      <c r="H81" s="88">
        <v>35</v>
      </c>
      <c r="I81" s="110">
        <f t="shared" si="11"/>
        <v>280</v>
      </c>
      <c r="J81" s="136" t="s">
        <v>166</v>
      </c>
      <c r="K81" s="103"/>
      <c r="M81" s="104"/>
    </row>
    <row r="82" s="35" customFormat="1" ht="23.25" customHeight="1" spans="2:13">
      <c r="B82" s="109"/>
      <c r="C82" s="81" t="s">
        <v>124</v>
      </c>
      <c r="D82" s="87"/>
      <c r="E82" s="88"/>
      <c r="F82" s="88"/>
      <c r="G82" s="110"/>
      <c r="H82" s="88"/>
      <c r="I82" s="110">
        <f>SUM(I77:I81)</f>
        <v>1235.4</v>
      </c>
      <c r="J82" s="86"/>
      <c r="K82" s="103"/>
      <c r="M82" s="104"/>
    </row>
    <row r="83" s="36" customFormat="1" ht="28.5" customHeight="1" spans="2:13">
      <c r="B83" s="105" t="s">
        <v>69</v>
      </c>
      <c r="C83" s="106" t="s">
        <v>84</v>
      </c>
      <c r="D83" s="112"/>
      <c r="E83" s="111"/>
      <c r="F83" s="111"/>
      <c r="G83" s="111"/>
      <c r="H83" s="84"/>
      <c r="I83" s="84"/>
      <c r="J83" s="137"/>
      <c r="K83" s="103"/>
      <c r="M83" s="104"/>
    </row>
    <row r="84" s="35" customFormat="1" ht="43.5" customHeight="1" spans="2:13">
      <c r="B84" s="109">
        <v>1</v>
      </c>
      <c r="C84" s="86" t="s">
        <v>84</v>
      </c>
      <c r="D84" s="87" t="s">
        <v>15</v>
      </c>
      <c r="E84" s="113">
        <v>120</v>
      </c>
      <c r="F84" s="114">
        <v>50</v>
      </c>
      <c r="G84" s="87">
        <v>15</v>
      </c>
      <c r="H84" s="88">
        <f t="shared" ref="H84:H88" si="12">F84+G84</f>
        <v>65</v>
      </c>
      <c r="I84" s="88">
        <f t="shared" ref="I84:I89" si="13">E84*H84</f>
        <v>7800</v>
      </c>
      <c r="J84" s="138" t="s">
        <v>169</v>
      </c>
      <c r="K84" s="139"/>
      <c r="M84" s="104"/>
    </row>
    <row r="85" s="35" customFormat="1" ht="27.75" customHeight="1" spans="2:14">
      <c r="B85" s="115"/>
      <c r="C85" s="81" t="s">
        <v>124</v>
      </c>
      <c r="D85" s="87"/>
      <c r="E85" s="88"/>
      <c r="F85" s="88"/>
      <c r="G85" s="110"/>
      <c r="H85" s="88"/>
      <c r="I85" s="110">
        <f>SUM(I84)</f>
        <v>7800</v>
      </c>
      <c r="J85" s="140"/>
      <c r="K85" s="141"/>
      <c r="L85" s="103"/>
      <c r="N85" s="104"/>
    </row>
    <row r="86" s="36" customFormat="1" ht="27" customHeight="1" spans="2:13">
      <c r="B86" s="105" t="s">
        <v>74</v>
      </c>
      <c r="C86" s="106" t="s">
        <v>87</v>
      </c>
      <c r="D86" s="112"/>
      <c r="E86" s="111"/>
      <c r="F86" s="111"/>
      <c r="G86" s="111"/>
      <c r="H86" s="84"/>
      <c r="I86" s="84"/>
      <c r="J86" s="137"/>
      <c r="K86" s="103"/>
      <c r="M86" s="104"/>
    </row>
    <row r="87" s="36" customFormat="1" ht="37.5" customHeight="1" spans="2:13">
      <c r="B87" s="109">
        <v>1</v>
      </c>
      <c r="C87" s="86" t="s">
        <v>170</v>
      </c>
      <c r="D87" s="87" t="s">
        <v>15</v>
      </c>
      <c r="E87" s="88">
        <v>1</v>
      </c>
      <c r="F87" s="88"/>
      <c r="G87" s="88">
        <v>550</v>
      </c>
      <c r="H87" s="88">
        <f t="shared" si="12"/>
        <v>550</v>
      </c>
      <c r="I87" s="88">
        <f t="shared" si="13"/>
        <v>550</v>
      </c>
      <c r="J87" s="138" t="s">
        <v>171</v>
      </c>
      <c r="K87" s="103"/>
      <c r="M87" s="104"/>
    </row>
    <row r="88" s="36" customFormat="1" ht="35.25" customHeight="1" spans="2:13">
      <c r="B88" s="109">
        <v>2</v>
      </c>
      <c r="C88" s="86" t="s">
        <v>172</v>
      </c>
      <c r="D88" s="87" t="s">
        <v>15</v>
      </c>
      <c r="E88" s="88">
        <v>1</v>
      </c>
      <c r="F88" s="88"/>
      <c r="G88" s="88">
        <v>440</v>
      </c>
      <c r="H88" s="88">
        <f t="shared" si="12"/>
        <v>440</v>
      </c>
      <c r="I88" s="88">
        <f t="shared" si="13"/>
        <v>440</v>
      </c>
      <c r="J88" s="138" t="s">
        <v>173</v>
      </c>
      <c r="K88" s="103"/>
      <c r="M88" s="104"/>
    </row>
    <row r="89" s="35" customFormat="1" ht="34.5" customHeight="1" spans="2:13">
      <c r="B89" s="109">
        <v>3</v>
      </c>
      <c r="C89" s="86" t="s">
        <v>88</v>
      </c>
      <c r="D89" s="87" t="s">
        <v>15</v>
      </c>
      <c r="E89" s="113">
        <v>1</v>
      </c>
      <c r="F89" s="113"/>
      <c r="G89" s="113">
        <v>429</v>
      </c>
      <c r="H89" s="88">
        <v>429</v>
      </c>
      <c r="I89" s="88">
        <f t="shared" si="13"/>
        <v>429</v>
      </c>
      <c r="J89" s="86" t="s">
        <v>174</v>
      </c>
      <c r="K89" s="103"/>
      <c r="M89" s="104"/>
    </row>
    <row r="90" s="35" customFormat="1" ht="28.5" customHeight="1" spans="2:13">
      <c r="B90" s="109">
        <v>4</v>
      </c>
      <c r="C90" s="86" t="s">
        <v>89</v>
      </c>
      <c r="D90" s="87" t="s">
        <v>15</v>
      </c>
      <c r="E90" s="113">
        <v>1</v>
      </c>
      <c r="F90" s="88"/>
      <c r="G90" s="88">
        <v>6002000</v>
      </c>
      <c r="H90" s="88">
        <v>2000</v>
      </c>
      <c r="I90" s="88">
        <v>2000</v>
      </c>
      <c r="J90" s="86" t="s">
        <v>175</v>
      </c>
      <c r="K90" s="103"/>
      <c r="L90" s="104"/>
      <c r="M90" s="104"/>
    </row>
    <row r="91" s="35" customFormat="1" ht="33" customHeight="1" spans="2:13">
      <c r="B91" s="109">
        <v>5</v>
      </c>
      <c r="C91" s="86" t="s">
        <v>176</v>
      </c>
      <c r="D91" s="87" t="s">
        <v>15</v>
      </c>
      <c r="E91" s="113">
        <v>1</v>
      </c>
      <c r="F91" s="88"/>
      <c r="G91" s="88">
        <v>600</v>
      </c>
      <c r="H91" s="88">
        <f>F91+G91</f>
        <v>600</v>
      </c>
      <c r="I91" s="88">
        <f>E91*H91</f>
        <v>600</v>
      </c>
      <c r="J91" s="86" t="s">
        <v>177</v>
      </c>
      <c r="K91" s="103"/>
      <c r="M91" s="104"/>
    </row>
    <row r="92" s="35" customFormat="1" ht="24.75" customHeight="1" spans="2:13">
      <c r="B92" s="109">
        <v>6</v>
      </c>
      <c r="C92" s="86" t="s">
        <v>178</v>
      </c>
      <c r="D92" s="87" t="s">
        <v>23</v>
      </c>
      <c r="E92" s="88">
        <v>1</v>
      </c>
      <c r="F92" s="88"/>
      <c r="G92" s="88"/>
      <c r="H92" s="88"/>
      <c r="I92" s="88"/>
      <c r="J92" s="142" t="s">
        <v>179</v>
      </c>
      <c r="K92" s="103"/>
      <c r="M92" s="104"/>
    </row>
    <row r="93" ht="20.25" customHeight="1" spans="2:10">
      <c r="B93" s="75"/>
      <c r="C93" s="81" t="s">
        <v>124</v>
      </c>
      <c r="D93" s="75"/>
      <c r="E93" s="76"/>
      <c r="F93" s="76"/>
      <c r="G93" s="77"/>
      <c r="H93" s="77"/>
      <c r="I93" s="76">
        <f>SUM(I87:I91)</f>
        <v>4019</v>
      </c>
      <c r="J93" s="100"/>
    </row>
    <row r="94" ht="22.5" customHeight="1" spans="2:10">
      <c r="B94" s="75" t="s">
        <v>180</v>
      </c>
      <c r="C94" s="74" t="s">
        <v>181</v>
      </c>
      <c r="D94" s="75"/>
      <c r="E94" s="76"/>
      <c r="F94" s="76"/>
      <c r="G94" s="77"/>
      <c r="H94" s="77"/>
      <c r="I94" s="143">
        <f>SUM(I5:I93)/2</f>
        <v>69913.2512</v>
      </c>
      <c r="J94" s="100"/>
    </row>
    <row r="95" ht="18.75" customHeight="1" spans="2:10">
      <c r="B95" s="75" t="s">
        <v>182</v>
      </c>
      <c r="C95" s="74" t="s">
        <v>183</v>
      </c>
      <c r="D95" s="75"/>
      <c r="E95" s="116" t="s">
        <v>184</v>
      </c>
      <c r="F95" s="117"/>
      <c r="G95" s="117"/>
      <c r="H95" s="118"/>
      <c r="I95" s="101">
        <f>I94*0.05</f>
        <v>3495.66256</v>
      </c>
      <c r="J95" s="100" t="s">
        <v>185</v>
      </c>
    </row>
    <row r="96" s="33" customFormat="1" ht="34.5" customHeight="1" spans="2:13">
      <c r="B96" s="75" t="s">
        <v>186</v>
      </c>
      <c r="C96" s="74" t="s">
        <v>187</v>
      </c>
      <c r="D96" s="75"/>
      <c r="E96" s="116" t="s">
        <v>188</v>
      </c>
      <c r="F96" s="117"/>
      <c r="G96" s="117"/>
      <c r="H96" s="118"/>
      <c r="I96" s="101">
        <f>+I94+I95</f>
        <v>73408.91376</v>
      </c>
      <c r="J96" s="100"/>
      <c r="K96" s="41"/>
      <c r="M96" s="42"/>
    </row>
    <row r="97" s="33" customFormat="1" ht="18" spans="2:13">
      <c r="B97" s="119"/>
      <c r="C97" s="81" t="s">
        <v>189</v>
      </c>
      <c r="D97" s="81"/>
      <c r="E97" s="81"/>
      <c r="F97" s="81"/>
      <c r="G97" s="81"/>
      <c r="H97" s="81"/>
      <c r="I97" s="81"/>
      <c r="J97" s="81"/>
      <c r="K97" s="41"/>
      <c r="M97" s="42"/>
    </row>
    <row r="98" ht="20.25" customHeight="1" spans="2:10">
      <c r="B98" s="120">
        <v>1</v>
      </c>
      <c r="C98" s="74" t="s">
        <v>190</v>
      </c>
      <c r="D98" s="74"/>
      <c r="E98" s="74"/>
      <c r="F98" s="74"/>
      <c r="G98" s="74"/>
      <c r="H98" s="74"/>
      <c r="I98" s="74"/>
      <c r="J98" s="74"/>
    </row>
    <row r="99" ht="49.5" customHeight="1" spans="2:10">
      <c r="B99" s="121">
        <v>2</v>
      </c>
      <c r="C99" s="74" t="s">
        <v>191</v>
      </c>
      <c r="D99" s="74"/>
      <c r="E99" s="74"/>
      <c r="F99" s="74"/>
      <c r="G99" s="74"/>
      <c r="H99" s="74"/>
      <c r="I99" s="74"/>
      <c r="J99" s="74"/>
    </row>
    <row r="100" ht="39" customHeight="1" spans="2:10">
      <c r="B100" s="120">
        <v>3</v>
      </c>
      <c r="C100" s="122" t="s">
        <v>192</v>
      </c>
      <c r="D100" s="123"/>
      <c r="E100" s="123"/>
      <c r="F100" s="123"/>
      <c r="G100" s="123"/>
      <c r="H100" s="123"/>
      <c r="I100" s="123"/>
      <c r="J100" s="144"/>
    </row>
    <row r="101" ht="36.75" customHeight="1" spans="2:10">
      <c r="B101" s="120">
        <v>4</v>
      </c>
      <c r="C101" s="74" t="s">
        <v>193</v>
      </c>
      <c r="D101" s="74"/>
      <c r="E101" s="74"/>
      <c r="F101" s="74"/>
      <c r="G101" s="74"/>
      <c r="H101" s="74"/>
      <c r="I101" s="74"/>
      <c r="J101" s="74"/>
    </row>
    <row r="102" ht="28.5" customHeight="1" spans="2:10">
      <c r="B102" s="120">
        <v>5</v>
      </c>
      <c r="C102" s="74" t="s">
        <v>194</v>
      </c>
      <c r="D102" s="74"/>
      <c r="E102" s="74"/>
      <c r="F102" s="74"/>
      <c r="G102" s="74"/>
      <c r="H102" s="74"/>
      <c r="I102" s="74"/>
      <c r="J102" s="74"/>
    </row>
    <row r="103" ht="20.25" customHeight="1" spans="2:10">
      <c r="B103" s="120">
        <v>6</v>
      </c>
      <c r="C103" s="74" t="s">
        <v>195</v>
      </c>
      <c r="D103" s="74"/>
      <c r="E103" s="74"/>
      <c r="F103" s="74"/>
      <c r="G103" s="74"/>
      <c r="H103" s="74"/>
      <c r="I103" s="74"/>
      <c r="J103" s="74"/>
    </row>
    <row r="104" ht="29.25" customHeight="1" spans="2:10">
      <c r="B104" s="120">
        <v>7</v>
      </c>
      <c r="C104" s="74" t="s">
        <v>196</v>
      </c>
      <c r="D104" s="74"/>
      <c r="E104" s="74"/>
      <c r="F104" s="74"/>
      <c r="G104" s="74"/>
      <c r="H104" s="74"/>
      <c r="I104" s="74"/>
      <c r="J104" s="74"/>
    </row>
    <row r="105" ht="29.25" customHeight="1" spans="2:10">
      <c r="B105" s="120"/>
      <c r="C105" s="81" t="s">
        <v>197</v>
      </c>
      <c r="D105" s="75" t="s">
        <v>4</v>
      </c>
      <c r="E105" s="124" t="s">
        <v>198</v>
      </c>
      <c r="F105" s="124" t="s">
        <v>199</v>
      </c>
      <c r="G105" s="124" t="s">
        <v>200</v>
      </c>
      <c r="H105" s="124"/>
      <c r="I105" s="145" t="s">
        <v>201</v>
      </c>
      <c r="J105" s="74"/>
    </row>
    <row r="106" ht="28.5" customHeight="1" spans="2:10">
      <c r="B106" s="120"/>
      <c r="C106" s="125" t="s">
        <v>202</v>
      </c>
      <c r="D106" s="124" t="s">
        <v>203</v>
      </c>
      <c r="E106" s="124" t="s">
        <v>204</v>
      </c>
      <c r="F106" s="124" t="s">
        <v>205</v>
      </c>
      <c r="G106" s="124"/>
      <c r="H106" s="124"/>
      <c r="I106" s="145" t="s">
        <v>206</v>
      </c>
      <c r="J106" s="74"/>
    </row>
    <row r="107" ht="29.25" customHeight="1" spans="2:10">
      <c r="B107" s="120"/>
      <c r="C107" s="125" t="s">
        <v>207</v>
      </c>
      <c r="D107" s="124" t="s">
        <v>203</v>
      </c>
      <c r="E107" s="124" t="s">
        <v>204</v>
      </c>
      <c r="F107" s="124" t="s">
        <v>205</v>
      </c>
      <c r="G107" s="124"/>
      <c r="H107" s="124"/>
      <c r="I107" s="145" t="s">
        <v>206</v>
      </c>
      <c r="J107" s="74"/>
    </row>
    <row r="108" ht="30" customHeight="1" spans="2:10">
      <c r="B108" s="120"/>
      <c r="C108" s="74" t="s">
        <v>208</v>
      </c>
      <c r="D108" s="124" t="s">
        <v>203</v>
      </c>
      <c r="E108" s="124" t="s">
        <v>209</v>
      </c>
      <c r="F108" s="124" t="s">
        <v>205</v>
      </c>
      <c r="G108" s="124"/>
      <c r="H108" s="124"/>
      <c r="I108" s="145" t="s">
        <v>206</v>
      </c>
      <c r="J108" s="74"/>
    </row>
    <row r="109" ht="30" customHeight="1" spans="2:10">
      <c r="B109" s="120"/>
      <c r="C109" s="74" t="s">
        <v>210</v>
      </c>
      <c r="D109" s="124" t="s">
        <v>203</v>
      </c>
      <c r="E109" s="124" t="s">
        <v>209</v>
      </c>
      <c r="F109" s="124" t="s">
        <v>205</v>
      </c>
      <c r="G109" s="124"/>
      <c r="H109" s="124"/>
      <c r="I109" s="145" t="s">
        <v>206</v>
      </c>
      <c r="J109" s="74"/>
    </row>
    <row r="110" ht="33" customHeight="1" spans="2:10">
      <c r="B110" s="120"/>
      <c r="C110" s="125" t="s">
        <v>211</v>
      </c>
      <c r="D110" s="124" t="s">
        <v>203</v>
      </c>
      <c r="E110" s="124" t="s">
        <v>212</v>
      </c>
      <c r="F110" s="124" t="s">
        <v>205</v>
      </c>
      <c r="G110" s="124"/>
      <c r="H110" s="124"/>
      <c r="I110" s="145" t="s">
        <v>206</v>
      </c>
      <c r="J110" s="74"/>
    </row>
    <row r="111" ht="36.75" customHeight="1" spans="2:10">
      <c r="B111" s="120"/>
      <c r="C111" s="125" t="s">
        <v>213</v>
      </c>
      <c r="D111" s="124" t="s">
        <v>203</v>
      </c>
      <c r="E111" s="124"/>
      <c r="F111" s="124"/>
      <c r="G111" s="124"/>
      <c r="H111" s="124"/>
      <c r="I111" s="145" t="s">
        <v>206</v>
      </c>
      <c r="J111" s="74"/>
    </row>
    <row r="112" ht="33.75" customHeight="1" spans="2:10">
      <c r="B112" s="120"/>
      <c r="C112" s="125" t="s">
        <v>214</v>
      </c>
      <c r="D112" s="124" t="s">
        <v>203</v>
      </c>
      <c r="E112" s="124" t="s">
        <v>215</v>
      </c>
      <c r="F112" s="124" t="s">
        <v>205</v>
      </c>
      <c r="G112" s="124"/>
      <c r="H112" s="124"/>
      <c r="I112" s="145" t="s">
        <v>216</v>
      </c>
      <c r="J112" s="74"/>
    </row>
    <row r="113" ht="29.25" customHeight="1" spans="2:10">
      <c r="B113" s="120"/>
      <c r="C113" s="74" t="s">
        <v>217</v>
      </c>
      <c r="D113" s="75" t="s">
        <v>218</v>
      </c>
      <c r="E113" s="124" t="s">
        <v>219</v>
      </c>
      <c r="F113" s="124" t="s">
        <v>220</v>
      </c>
      <c r="G113" s="124"/>
      <c r="H113" s="124"/>
      <c r="I113" s="145" t="s">
        <v>221</v>
      </c>
      <c r="J113" s="74"/>
    </row>
    <row r="114" ht="20.25" customHeight="1" spans="2:10">
      <c r="B114" s="126"/>
      <c r="C114" s="127"/>
      <c r="D114" s="127"/>
      <c r="E114" s="128"/>
      <c r="F114" s="128"/>
      <c r="G114" s="128"/>
      <c r="H114" s="128"/>
      <c r="I114" s="128"/>
      <c r="J114" s="128"/>
    </row>
    <row r="115" ht="20.25" customHeight="1" spans="2:10">
      <c r="B115" s="126"/>
      <c r="C115" s="81"/>
      <c r="D115" s="75"/>
      <c r="E115" s="76"/>
      <c r="F115" s="76"/>
      <c r="G115" s="76"/>
      <c r="H115" s="76"/>
      <c r="I115" s="76"/>
      <c r="J115" s="100"/>
    </row>
    <row r="116" ht="20.25" customHeight="1" spans="2:10">
      <c r="B116" s="75"/>
      <c r="C116" s="74"/>
      <c r="D116" s="75"/>
      <c r="E116" s="76"/>
      <c r="F116" s="77"/>
      <c r="G116" s="77"/>
      <c r="H116" s="77"/>
      <c r="I116" s="76"/>
      <c r="J116" s="100"/>
    </row>
    <row r="117" ht="107.25" customHeight="1" spans="2:10">
      <c r="B117" s="75"/>
      <c r="C117" s="74"/>
      <c r="D117" s="75"/>
      <c r="E117" s="76"/>
      <c r="F117" s="77"/>
      <c r="G117" s="77"/>
      <c r="H117" s="77"/>
      <c r="I117" s="76"/>
      <c r="J117" s="100"/>
    </row>
    <row r="118" ht="29.25" customHeight="1" spans="2:10">
      <c r="B118" s="75"/>
      <c r="C118" s="74"/>
      <c r="D118" s="75"/>
      <c r="E118" s="76"/>
      <c r="F118" s="77"/>
      <c r="G118" s="77"/>
      <c r="H118" s="77"/>
      <c r="I118" s="76"/>
      <c r="J118" s="100"/>
    </row>
    <row r="119" ht="31.5" customHeight="1" spans="2:10">
      <c r="B119" s="75"/>
      <c r="C119" s="74"/>
      <c r="D119" s="75"/>
      <c r="E119" s="76"/>
      <c r="F119" s="77"/>
      <c r="G119" s="77"/>
      <c r="H119" s="77"/>
      <c r="I119" s="76"/>
      <c r="J119" s="100"/>
    </row>
    <row r="120" ht="56.25" customHeight="1" spans="2:10">
      <c r="B120" s="75"/>
      <c r="C120" s="74"/>
      <c r="D120" s="75"/>
      <c r="E120" s="76"/>
      <c r="F120" s="77"/>
      <c r="G120" s="77"/>
      <c r="H120" s="77"/>
      <c r="I120" s="76"/>
      <c r="J120" s="100"/>
    </row>
    <row r="121" ht="31.5" customHeight="1" spans="2:10">
      <c r="B121" s="129"/>
      <c r="C121" s="130"/>
      <c r="D121" s="131"/>
      <c r="E121" s="132"/>
      <c r="F121" s="133"/>
      <c r="G121" s="133"/>
      <c r="H121" s="133"/>
      <c r="I121" s="132"/>
      <c r="J121" s="146"/>
    </row>
    <row r="122" ht="30.75" customHeight="1" spans="2:10">
      <c r="B122" s="131">
        <v>1</v>
      </c>
      <c r="C122" s="134"/>
      <c r="D122" s="131"/>
      <c r="E122" s="132"/>
      <c r="F122" s="133"/>
      <c r="G122" s="133"/>
      <c r="H122" s="135"/>
      <c r="I122" s="132"/>
      <c r="J122" s="146"/>
    </row>
    <row r="123" ht="29.25" customHeight="1" spans="2:10">
      <c r="B123" s="131">
        <v>2</v>
      </c>
      <c r="C123" s="134"/>
      <c r="D123" s="131"/>
      <c r="E123" s="132"/>
      <c r="F123" s="133"/>
      <c r="G123" s="133"/>
      <c r="H123" s="133"/>
      <c r="I123" s="132"/>
      <c r="J123" s="146"/>
    </row>
    <row r="124" ht="29.25" customHeight="1" spans="2:10">
      <c r="B124" s="131">
        <v>3</v>
      </c>
      <c r="C124" s="134"/>
      <c r="D124" s="131"/>
      <c r="E124" s="132"/>
      <c r="F124" s="133"/>
      <c r="G124" s="133"/>
      <c r="H124" s="133"/>
      <c r="I124" s="132"/>
      <c r="J124" s="146"/>
    </row>
    <row r="125" ht="20.25" customHeight="1" spans="2:10">
      <c r="B125" s="131">
        <v>4</v>
      </c>
      <c r="C125" s="134"/>
      <c r="D125" s="131"/>
      <c r="E125" s="132"/>
      <c r="F125" s="133"/>
      <c r="G125" s="133"/>
      <c r="H125" s="133"/>
      <c r="I125" s="132"/>
      <c r="J125" s="146"/>
    </row>
    <row r="126" ht="20.25" customHeight="1" spans="2:10">
      <c r="B126" s="131">
        <v>5</v>
      </c>
      <c r="C126" s="134"/>
      <c r="D126" s="131"/>
      <c r="E126" s="132"/>
      <c r="F126" s="133"/>
      <c r="G126" s="133"/>
      <c r="H126" s="133"/>
      <c r="I126" s="132"/>
      <c r="J126" s="146"/>
    </row>
    <row r="127" ht="35.25" customHeight="1" spans="2:10">
      <c r="B127" s="131">
        <v>6</v>
      </c>
      <c r="C127" s="134"/>
      <c r="D127" s="131"/>
      <c r="E127" s="132"/>
      <c r="F127" s="133"/>
      <c r="G127" s="133"/>
      <c r="H127" s="133"/>
      <c r="I127" s="132"/>
      <c r="J127" s="146"/>
    </row>
    <row r="128" ht="35.25" customHeight="1" spans="2:10">
      <c r="B128" s="131">
        <v>7</v>
      </c>
      <c r="C128" s="134"/>
      <c r="D128" s="131"/>
      <c r="E128" s="132"/>
      <c r="F128" s="133"/>
      <c r="G128" s="133"/>
      <c r="H128" s="133"/>
      <c r="I128" s="132"/>
      <c r="J128" s="146"/>
    </row>
    <row r="129" ht="20.25" customHeight="1" spans="2:10">
      <c r="B129" s="131">
        <v>8</v>
      </c>
      <c r="C129" s="134"/>
      <c r="D129" s="131"/>
      <c r="E129" s="132"/>
      <c r="F129" s="133"/>
      <c r="G129" s="133"/>
      <c r="H129" s="133"/>
      <c r="I129" s="132"/>
      <c r="J129" s="146"/>
    </row>
    <row r="130" ht="20.25" customHeight="1" spans="2:10">
      <c r="B130" s="131">
        <v>9</v>
      </c>
      <c r="C130" s="134"/>
      <c r="D130" s="131"/>
      <c r="E130" s="132"/>
      <c r="F130" s="133"/>
      <c r="G130" s="133"/>
      <c r="H130" s="133"/>
      <c r="I130" s="132"/>
      <c r="J130" s="146"/>
    </row>
    <row r="131" ht="20.25" customHeight="1" spans="2:10">
      <c r="B131" s="131">
        <v>10</v>
      </c>
      <c r="C131" s="134"/>
      <c r="D131" s="131"/>
      <c r="E131" s="132"/>
      <c r="F131" s="133"/>
      <c r="G131" s="133"/>
      <c r="H131" s="133"/>
      <c r="I131" s="132"/>
      <c r="J131" s="146"/>
    </row>
    <row r="132" ht="20.25" customHeight="1" spans="2:10">
      <c r="B132" s="129" t="s">
        <v>186</v>
      </c>
      <c r="C132" s="130"/>
      <c r="D132" s="131"/>
      <c r="E132" s="132"/>
      <c r="F132" s="133"/>
      <c r="G132" s="133"/>
      <c r="H132" s="133"/>
      <c r="I132" s="132"/>
      <c r="J132" s="146"/>
    </row>
    <row r="133" s="37" customFormat="1" ht="15.75" customHeight="1" spans="2:13">
      <c r="B133" s="131">
        <v>1</v>
      </c>
      <c r="C133" s="134"/>
      <c r="D133" s="131"/>
      <c r="E133" s="132"/>
      <c r="F133" s="133"/>
      <c r="G133" s="133"/>
      <c r="H133" s="133"/>
      <c r="I133" s="132"/>
      <c r="J133" s="146"/>
      <c r="K133" s="158"/>
      <c r="M133" s="159"/>
    </row>
    <row r="134" s="37" customFormat="1" ht="16.5" customHeight="1" spans="2:13">
      <c r="B134" s="131">
        <v>2</v>
      </c>
      <c r="C134" s="134"/>
      <c r="D134" s="131"/>
      <c r="E134" s="132"/>
      <c r="F134" s="133"/>
      <c r="G134" s="133"/>
      <c r="H134" s="133"/>
      <c r="I134" s="132"/>
      <c r="J134" s="146"/>
      <c r="K134" s="158"/>
      <c r="M134" s="159"/>
    </row>
    <row r="135" s="37" customFormat="1" ht="42.75" customHeight="1" spans="2:13">
      <c r="B135" s="131">
        <v>3</v>
      </c>
      <c r="C135" s="134"/>
      <c r="D135" s="131"/>
      <c r="E135" s="132"/>
      <c r="F135" s="133"/>
      <c r="G135" s="133"/>
      <c r="H135" s="133"/>
      <c r="I135" s="132"/>
      <c r="J135" s="146"/>
      <c r="K135" s="158"/>
      <c r="M135" s="159"/>
    </row>
    <row r="136" s="37" customFormat="1" ht="28.5" customHeight="1" spans="2:13">
      <c r="B136" s="131">
        <v>4</v>
      </c>
      <c r="C136" s="134"/>
      <c r="D136" s="131"/>
      <c r="E136" s="132"/>
      <c r="F136" s="133"/>
      <c r="G136" s="133"/>
      <c r="H136" s="133"/>
      <c r="I136" s="132"/>
      <c r="J136" s="146"/>
      <c r="K136" s="158"/>
      <c r="M136" s="159"/>
    </row>
    <row r="137" s="37" customFormat="1" ht="28.5" customHeight="1" spans="2:13">
      <c r="B137" s="131">
        <v>5</v>
      </c>
      <c r="C137" s="134"/>
      <c r="D137" s="131"/>
      <c r="E137" s="132"/>
      <c r="F137" s="133"/>
      <c r="G137" s="133"/>
      <c r="H137" s="133"/>
      <c r="I137" s="132"/>
      <c r="J137" s="146"/>
      <c r="K137" s="158"/>
      <c r="M137" s="159"/>
    </row>
    <row r="138" s="37" customFormat="1" ht="16.5" customHeight="1" spans="2:13">
      <c r="B138" s="131">
        <v>6</v>
      </c>
      <c r="C138" s="134"/>
      <c r="D138" s="131"/>
      <c r="E138" s="132"/>
      <c r="F138" s="133"/>
      <c r="G138" s="133"/>
      <c r="H138" s="133"/>
      <c r="I138" s="132"/>
      <c r="J138" s="146"/>
      <c r="K138" s="158"/>
      <c r="M138" s="159"/>
    </row>
    <row r="139" s="37" customFormat="1" ht="16.5" customHeight="1" spans="2:13">
      <c r="B139" s="131">
        <v>7</v>
      </c>
      <c r="C139" s="134"/>
      <c r="D139" s="131"/>
      <c r="E139" s="132"/>
      <c r="F139" s="133"/>
      <c r="G139" s="133"/>
      <c r="H139" s="133"/>
      <c r="I139" s="132"/>
      <c r="J139" s="146"/>
      <c r="K139" s="160"/>
      <c r="M139" s="159"/>
    </row>
    <row r="140" s="37" customFormat="1" ht="26.25" customHeight="1" spans="2:13">
      <c r="B140" s="131">
        <v>8</v>
      </c>
      <c r="C140" s="134"/>
      <c r="D140" s="131"/>
      <c r="E140" s="132"/>
      <c r="F140" s="133"/>
      <c r="G140" s="133"/>
      <c r="H140" s="133"/>
      <c r="I140" s="132"/>
      <c r="J140" s="146"/>
      <c r="K140" s="160"/>
      <c r="M140" s="159"/>
    </row>
    <row r="141" ht="25.5" customHeight="1" spans="2:10">
      <c r="B141" s="131">
        <v>9</v>
      </c>
      <c r="C141" s="134"/>
      <c r="D141" s="131"/>
      <c r="E141" s="132"/>
      <c r="F141" s="133"/>
      <c r="G141" s="133"/>
      <c r="H141" s="133"/>
      <c r="I141" s="132"/>
      <c r="J141" s="146"/>
    </row>
    <row r="142" ht="28.5" customHeight="1" spans="2:10">
      <c r="B142" s="131">
        <v>10</v>
      </c>
      <c r="C142" s="134"/>
      <c r="D142" s="131"/>
      <c r="E142" s="132"/>
      <c r="F142" s="133"/>
      <c r="G142" s="133"/>
      <c r="H142" s="133"/>
      <c r="I142" s="132"/>
      <c r="J142" s="146"/>
    </row>
    <row r="143" ht="25.5" customHeight="1" spans="2:10">
      <c r="B143" s="129" t="s">
        <v>222</v>
      </c>
      <c r="C143" s="130"/>
      <c r="D143" s="131"/>
      <c r="E143" s="132"/>
      <c r="F143" s="132"/>
      <c r="G143" s="132"/>
      <c r="H143" s="132"/>
      <c r="I143" s="132"/>
      <c r="J143" s="146"/>
    </row>
    <row r="144" ht="25.5" customHeight="1" spans="2:10">
      <c r="B144" s="131">
        <v>1</v>
      </c>
      <c r="C144" s="134"/>
      <c r="D144" s="131"/>
      <c r="E144" s="132"/>
      <c r="F144" s="133"/>
      <c r="G144" s="133"/>
      <c r="H144" s="133"/>
      <c r="I144" s="132"/>
      <c r="J144" s="146"/>
    </row>
    <row r="145" ht="26.25" customHeight="1" spans="2:10">
      <c r="B145" s="131">
        <v>2</v>
      </c>
      <c r="C145" s="134"/>
      <c r="D145" s="131"/>
      <c r="E145" s="132"/>
      <c r="F145" s="133"/>
      <c r="G145" s="133"/>
      <c r="H145" s="133"/>
      <c r="I145" s="132"/>
      <c r="J145" s="146"/>
    </row>
    <row r="146" ht="24.75" customHeight="1" spans="2:10">
      <c r="B146" s="131">
        <v>3</v>
      </c>
      <c r="C146" s="134"/>
      <c r="D146" s="131"/>
      <c r="E146" s="132"/>
      <c r="F146" s="133"/>
      <c r="G146" s="133"/>
      <c r="H146" s="133"/>
      <c r="I146" s="132"/>
      <c r="J146" s="146"/>
    </row>
    <row r="147" ht="27.75" customHeight="1" spans="2:10">
      <c r="B147" s="131">
        <v>4</v>
      </c>
      <c r="C147" s="134"/>
      <c r="D147" s="131"/>
      <c r="E147" s="132"/>
      <c r="F147" s="133"/>
      <c r="G147" s="133"/>
      <c r="H147" s="133"/>
      <c r="I147" s="132"/>
      <c r="J147" s="146"/>
    </row>
    <row r="148" ht="26.25" customHeight="1" spans="2:10">
      <c r="B148" s="131">
        <v>5</v>
      </c>
      <c r="C148" s="134"/>
      <c r="D148" s="131"/>
      <c r="E148" s="132"/>
      <c r="F148" s="133"/>
      <c r="G148" s="133"/>
      <c r="H148" s="133"/>
      <c r="I148" s="132"/>
      <c r="J148" s="146"/>
    </row>
    <row r="149" ht="27" customHeight="1" spans="2:10">
      <c r="B149" s="129" t="s">
        <v>223</v>
      </c>
      <c r="C149" s="130"/>
      <c r="D149" s="131"/>
      <c r="E149" s="132"/>
      <c r="F149" s="132"/>
      <c r="G149" s="132"/>
      <c r="H149" s="132"/>
      <c r="I149" s="132"/>
      <c r="J149" s="146"/>
    </row>
    <row r="150" ht="20.25" customHeight="1" spans="2:10">
      <c r="B150" s="147">
        <v>1</v>
      </c>
      <c r="C150" s="134"/>
      <c r="D150" s="131"/>
      <c r="E150" s="132"/>
      <c r="F150" s="133"/>
      <c r="G150" s="133"/>
      <c r="H150" s="133"/>
      <c r="I150" s="132"/>
      <c r="J150" s="146"/>
    </row>
    <row r="151" s="38" customFormat="1" ht="20.25" customHeight="1" spans="2:13">
      <c r="B151" s="147">
        <v>2</v>
      </c>
      <c r="C151" s="134"/>
      <c r="D151" s="131"/>
      <c r="E151" s="132"/>
      <c r="F151" s="133"/>
      <c r="G151" s="133"/>
      <c r="H151" s="133"/>
      <c r="I151" s="132"/>
      <c r="J151" s="146"/>
      <c r="K151" s="161"/>
      <c r="M151" s="162"/>
    </row>
    <row r="152" s="38" customFormat="1" ht="20.25" customHeight="1" spans="2:13">
      <c r="B152" s="131">
        <v>3</v>
      </c>
      <c r="C152" s="134"/>
      <c r="D152" s="131"/>
      <c r="E152" s="132"/>
      <c r="F152" s="133"/>
      <c r="G152" s="133"/>
      <c r="H152" s="133"/>
      <c r="I152" s="132"/>
      <c r="J152" s="146"/>
      <c r="K152" s="161"/>
      <c r="M152" s="162"/>
    </row>
    <row r="153" s="38" customFormat="1" ht="20.25" customHeight="1" spans="2:13">
      <c r="B153" s="131">
        <v>4</v>
      </c>
      <c r="C153" s="134"/>
      <c r="D153" s="131"/>
      <c r="E153" s="132"/>
      <c r="F153" s="133"/>
      <c r="G153" s="133"/>
      <c r="H153" s="133"/>
      <c r="I153" s="132"/>
      <c r="J153" s="146"/>
      <c r="K153" s="161"/>
      <c r="M153" s="162"/>
    </row>
    <row r="154" s="38" customFormat="1" ht="20.25" customHeight="1" spans="2:13">
      <c r="B154" s="131">
        <v>5</v>
      </c>
      <c r="C154" s="134"/>
      <c r="D154" s="131"/>
      <c r="E154" s="132"/>
      <c r="F154" s="133"/>
      <c r="G154" s="133"/>
      <c r="H154" s="133"/>
      <c r="I154" s="132"/>
      <c r="J154" s="146"/>
      <c r="K154" s="161"/>
      <c r="M154" s="162"/>
    </row>
    <row r="155" ht="15.75" spans="2:10">
      <c r="B155" s="129" t="s">
        <v>224</v>
      </c>
      <c r="C155" s="130"/>
      <c r="D155" s="131"/>
      <c r="E155" s="132"/>
      <c r="F155" s="132"/>
      <c r="G155" s="132"/>
      <c r="H155" s="133"/>
      <c r="I155" s="132"/>
      <c r="J155" s="146"/>
    </row>
    <row r="156" spans="2:10">
      <c r="B156" s="131"/>
      <c r="C156" s="134"/>
      <c r="D156" s="131"/>
      <c r="E156" s="132"/>
      <c r="F156" s="132"/>
      <c r="G156" s="132"/>
      <c r="H156" s="132"/>
      <c r="I156" s="132"/>
      <c r="J156" s="146"/>
    </row>
    <row r="157" spans="2:10">
      <c r="B157" s="148" t="s">
        <v>54</v>
      </c>
      <c r="C157" s="130"/>
      <c r="D157" s="131"/>
      <c r="E157" s="132"/>
      <c r="F157" s="132"/>
      <c r="G157" s="132"/>
      <c r="H157" s="132"/>
      <c r="I157" s="132"/>
      <c r="J157" s="146"/>
    </row>
    <row r="158" ht="15.75" spans="2:10">
      <c r="B158" s="149" t="s">
        <v>225</v>
      </c>
      <c r="C158" s="134"/>
      <c r="D158" s="131"/>
      <c r="E158" s="132"/>
      <c r="F158" s="133"/>
      <c r="G158" s="133"/>
      <c r="H158" s="133"/>
      <c r="I158" s="163"/>
      <c r="J158" s="164"/>
    </row>
    <row r="159" ht="15.75" spans="2:10">
      <c r="B159" s="150" t="s">
        <v>226</v>
      </c>
      <c r="C159" s="134"/>
      <c r="D159" s="131"/>
      <c r="E159" s="132"/>
      <c r="F159" s="133"/>
      <c r="G159" s="133"/>
      <c r="H159" s="133"/>
      <c r="I159" s="163"/>
      <c r="J159" s="146"/>
    </row>
    <row r="160" ht="15.75" spans="2:10">
      <c r="B160" s="150" t="s">
        <v>227</v>
      </c>
      <c r="C160" s="134"/>
      <c r="D160" s="131"/>
      <c r="E160" s="132"/>
      <c r="F160" s="133"/>
      <c r="G160" s="133"/>
      <c r="H160" s="133"/>
      <c r="I160" s="163"/>
      <c r="J160" s="146"/>
    </row>
    <row r="161" ht="15.75" spans="2:10">
      <c r="B161" s="150" t="s">
        <v>228</v>
      </c>
      <c r="C161" s="134"/>
      <c r="D161" s="131"/>
      <c r="E161" s="132"/>
      <c r="F161" s="133"/>
      <c r="G161" s="133"/>
      <c r="H161" s="133"/>
      <c r="I161" s="163"/>
      <c r="J161" s="146"/>
    </row>
    <row r="162" ht="15.75" spans="2:10">
      <c r="B162" s="150" t="s">
        <v>229</v>
      </c>
      <c r="C162" s="134"/>
      <c r="D162" s="131"/>
      <c r="E162" s="132"/>
      <c r="F162" s="133"/>
      <c r="G162" s="133"/>
      <c r="H162" s="133"/>
      <c r="I162" s="163"/>
      <c r="J162" s="146"/>
    </row>
    <row r="163" spans="2:10">
      <c r="B163" s="147">
        <v>2</v>
      </c>
      <c r="C163" s="134"/>
      <c r="D163" s="131"/>
      <c r="E163" s="132"/>
      <c r="F163" s="132"/>
      <c r="G163" s="133"/>
      <c r="H163" s="133"/>
      <c r="I163" s="132"/>
      <c r="J163" s="146"/>
    </row>
    <row r="164" spans="2:10">
      <c r="B164" s="147">
        <v>3</v>
      </c>
      <c r="C164" s="134"/>
      <c r="D164" s="131"/>
      <c r="E164" s="132"/>
      <c r="F164" s="132"/>
      <c r="G164" s="132"/>
      <c r="H164" s="133"/>
      <c r="I164" s="132"/>
      <c r="J164" s="146"/>
    </row>
    <row r="165" spans="2:10">
      <c r="B165" s="147">
        <v>4</v>
      </c>
      <c r="C165" s="134"/>
      <c r="D165" s="131"/>
      <c r="E165" s="132"/>
      <c r="F165" s="133"/>
      <c r="G165" s="133"/>
      <c r="H165" s="133"/>
      <c r="I165" s="163"/>
      <c r="J165" s="146"/>
    </row>
    <row r="166" spans="2:10">
      <c r="B166" s="148"/>
      <c r="C166" s="130"/>
      <c r="D166" s="131"/>
      <c r="E166" s="132"/>
      <c r="F166" s="132"/>
      <c r="G166" s="132"/>
      <c r="H166" s="132"/>
      <c r="I166" s="132"/>
      <c r="J166" s="146"/>
    </row>
    <row r="167" spans="2:10">
      <c r="B167" s="131"/>
      <c r="C167" s="134"/>
      <c r="D167" s="131"/>
      <c r="E167" s="132"/>
      <c r="F167" s="132"/>
      <c r="G167" s="132"/>
      <c r="H167" s="132"/>
      <c r="I167" s="132"/>
      <c r="J167" s="146"/>
    </row>
    <row r="168" spans="2:10">
      <c r="B168" s="131"/>
      <c r="C168" s="134"/>
      <c r="D168" s="131"/>
      <c r="E168" s="132"/>
      <c r="F168" s="132"/>
      <c r="G168" s="133"/>
      <c r="H168" s="133"/>
      <c r="I168" s="132"/>
      <c r="J168" s="146"/>
    </row>
    <row r="169" spans="2:10">
      <c r="B169" s="131"/>
      <c r="C169" s="134"/>
      <c r="D169" s="131"/>
      <c r="E169" s="132"/>
      <c r="F169" s="132"/>
      <c r="G169" s="132"/>
      <c r="H169" s="133"/>
      <c r="I169" s="132"/>
      <c r="J169" s="146"/>
    </row>
    <row r="170" spans="2:10">
      <c r="B170" s="131"/>
      <c r="C170" s="134"/>
      <c r="D170" s="131"/>
      <c r="E170" s="132"/>
      <c r="F170" s="132"/>
      <c r="G170" s="133"/>
      <c r="H170" s="133"/>
      <c r="I170" s="132"/>
      <c r="J170" s="146"/>
    </row>
    <row r="171" spans="2:10">
      <c r="B171" s="131"/>
      <c r="C171" s="134"/>
      <c r="D171" s="131"/>
      <c r="E171" s="132"/>
      <c r="F171" s="132"/>
      <c r="G171" s="132"/>
      <c r="H171" s="132"/>
      <c r="I171" s="132"/>
      <c r="J171" s="146"/>
    </row>
    <row r="172" spans="2:10">
      <c r="B172" s="131"/>
      <c r="C172" s="134"/>
      <c r="D172" s="131"/>
      <c r="E172" s="132"/>
      <c r="F172" s="132"/>
      <c r="G172" s="132"/>
      <c r="H172" s="132"/>
      <c r="I172" s="132"/>
      <c r="J172" s="146"/>
    </row>
    <row r="173" spans="2:10">
      <c r="B173" s="131"/>
      <c r="C173" s="134"/>
      <c r="D173" s="131"/>
      <c r="E173" s="132"/>
      <c r="F173" s="132"/>
      <c r="G173" s="132"/>
      <c r="H173" s="132"/>
      <c r="I173" s="132"/>
      <c r="J173" s="165"/>
    </row>
    <row r="174" spans="2:10">
      <c r="B174" s="151"/>
      <c r="C174" s="152"/>
      <c r="D174" s="152"/>
      <c r="E174" s="152"/>
      <c r="F174" s="152"/>
      <c r="G174" s="152"/>
      <c r="H174" s="152"/>
      <c r="I174" s="152"/>
      <c r="J174" s="152"/>
    </row>
    <row r="175" spans="2:10">
      <c r="B175" s="151"/>
      <c r="C175" s="152"/>
      <c r="D175" s="152"/>
      <c r="E175" s="152"/>
      <c r="F175" s="152"/>
      <c r="G175" s="152"/>
      <c r="H175" s="152"/>
      <c r="I175" s="152"/>
      <c r="J175" s="152"/>
    </row>
    <row r="176" spans="2:10">
      <c r="B176" s="151"/>
      <c r="C176" s="152"/>
      <c r="D176" s="152"/>
      <c r="E176" s="152"/>
      <c r="F176" s="152"/>
      <c r="G176" s="152"/>
      <c r="H176" s="152"/>
      <c r="I176" s="152"/>
      <c r="J176" s="152"/>
    </row>
    <row r="177" spans="2:10">
      <c r="B177" s="151"/>
      <c r="C177" s="153"/>
      <c r="D177" s="154"/>
      <c r="E177" s="154"/>
      <c r="F177" s="154"/>
      <c r="G177" s="154"/>
      <c r="H177" s="154"/>
      <c r="I177" s="154"/>
      <c r="J177" s="166"/>
    </row>
    <row r="178" spans="2:10">
      <c r="B178" s="151"/>
      <c r="C178" s="152"/>
      <c r="D178" s="152"/>
      <c r="E178" s="152"/>
      <c r="F178" s="152"/>
      <c r="G178" s="152"/>
      <c r="H178" s="152"/>
      <c r="I178" s="152"/>
      <c r="J178" s="152"/>
    </row>
    <row r="179" spans="2:10">
      <c r="B179" s="151"/>
      <c r="C179" s="152"/>
      <c r="D179" s="152"/>
      <c r="E179" s="152"/>
      <c r="F179" s="152"/>
      <c r="G179" s="152"/>
      <c r="H179" s="152"/>
      <c r="I179" s="152"/>
      <c r="J179" s="152"/>
    </row>
    <row r="180" spans="2:10">
      <c r="B180" s="151"/>
      <c r="C180" s="152"/>
      <c r="D180" s="152"/>
      <c r="E180" s="152"/>
      <c r="F180" s="152"/>
      <c r="G180" s="152"/>
      <c r="H180" s="152"/>
      <c r="I180" s="152"/>
      <c r="J180" s="152"/>
    </row>
    <row r="181" spans="2:10">
      <c r="B181" s="151"/>
      <c r="C181" s="152"/>
      <c r="D181" s="152"/>
      <c r="E181" s="152"/>
      <c r="F181" s="152"/>
      <c r="G181" s="152"/>
      <c r="H181" s="152"/>
      <c r="I181" s="152"/>
      <c r="J181" s="152"/>
    </row>
    <row r="182" spans="2:10">
      <c r="B182" s="148"/>
      <c r="C182" s="130"/>
      <c r="D182" s="131"/>
      <c r="E182" s="155"/>
      <c r="F182" s="155"/>
      <c r="G182" s="155"/>
      <c r="H182" s="155"/>
      <c r="I182" s="167"/>
      <c r="J182" s="134"/>
    </row>
    <row r="183" ht="15.75" spans="2:10">
      <c r="B183" s="131"/>
      <c r="C183" s="156"/>
      <c r="D183" s="155"/>
      <c r="E183" s="155"/>
      <c r="F183" s="155"/>
      <c r="G183" s="157"/>
      <c r="H183" s="157"/>
      <c r="I183" s="167"/>
      <c r="J183" s="134"/>
    </row>
    <row r="184" ht="15.75" spans="2:10">
      <c r="B184" s="131"/>
      <c r="C184" s="156"/>
      <c r="D184" s="155"/>
      <c r="E184" s="155"/>
      <c r="F184" s="155"/>
      <c r="G184" s="157"/>
      <c r="H184" s="157"/>
      <c r="I184" s="167"/>
      <c r="J184" s="134"/>
    </row>
    <row r="185" ht="15.75" spans="2:10">
      <c r="B185" s="131"/>
      <c r="C185" s="134"/>
      <c r="D185" s="155"/>
      <c r="E185" s="155"/>
      <c r="F185" s="155"/>
      <c r="G185" s="157"/>
      <c r="H185" s="157"/>
      <c r="I185" s="167"/>
      <c r="J185" s="134"/>
    </row>
    <row r="186" ht="15.75" spans="2:10">
      <c r="B186" s="131"/>
      <c r="C186" s="134"/>
      <c r="D186" s="155"/>
      <c r="E186" s="155"/>
      <c r="F186" s="155"/>
      <c r="G186" s="157"/>
      <c r="H186" s="157"/>
      <c r="I186" s="167"/>
      <c r="J186" s="134"/>
    </row>
    <row r="187" ht="15.75" spans="2:10">
      <c r="B187" s="131"/>
      <c r="C187" s="156"/>
      <c r="D187" s="155"/>
      <c r="E187" s="155"/>
      <c r="F187" s="155"/>
      <c r="G187" s="157"/>
      <c r="H187" s="157"/>
      <c r="I187" s="167"/>
      <c r="J187" s="134"/>
    </row>
    <row r="188" ht="15.75" spans="2:10">
      <c r="B188" s="131"/>
      <c r="C188" s="156"/>
      <c r="D188" s="155"/>
      <c r="E188" s="155"/>
      <c r="F188" s="155"/>
      <c r="G188" s="157"/>
      <c r="H188" s="157"/>
      <c r="I188" s="167"/>
      <c r="J188" s="134"/>
    </row>
    <row r="189" ht="15.75" spans="2:10">
      <c r="B189" s="131"/>
      <c r="C189" s="156"/>
      <c r="D189" s="155"/>
      <c r="E189" s="155"/>
      <c r="F189" s="155"/>
      <c r="G189" s="157"/>
      <c r="H189" s="157"/>
      <c r="I189" s="167"/>
      <c r="J189" s="134"/>
    </row>
    <row r="190" spans="2:10">
      <c r="B190" s="131"/>
      <c r="C190" s="156"/>
      <c r="D190" s="155"/>
      <c r="E190" s="155"/>
      <c r="F190" s="155"/>
      <c r="G190" s="155"/>
      <c r="H190" s="155"/>
      <c r="I190" s="167"/>
      <c r="J190" s="134"/>
    </row>
    <row r="191" ht="15.75" spans="2:10">
      <c r="B191" s="131"/>
      <c r="C191" s="134"/>
      <c r="D191" s="131"/>
      <c r="E191" s="155"/>
      <c r="F191" s="155"/>
      <c r="G191" s="157"/>
      <c r="H191" s="157"/>
      <c r="I191" s="167"/>
      <c r="J191" s="134"/>
    </row>
    <row r="192" spans="2:10">
      <c r="B192" s="131"/>
      <c r="C192" s="134"/>
      <c r="D192" s="131"/>
      <c r="E192" s="155"/>
      <c r="F192" s="155"/>
      <c r="G192" s="155"/>
      <c r="H192" s="155"/>
      <c r="I192" s="167"/>
      <c r="J192" s="134"/>
    </row>
    <row r="193" spans="2:10">
      <c r="B193" s="131"/>
      <c r="C193" s="134"/>
      <c r="D193" s="131"/>
      <c r="E193" s="155"/>
      <c r="F193" s="155"/>
      <c r="G193" s="155"/>
      <c r="H193" s="155"/>
      <c r="I193" s="167"/>
      <c r="J193" s="134"/>
    </row>
    <row r="194" spans="2:10">
      <c r="B194" s="131"/>
      <c r="C194" s="134"/>
      <c r="D194" s="131"/>
      <c r="E194" s="155"/>
      <c r="F194" s="155"/>
      <c r="G194" s="155"/>
      <c r="H194" s="155"/>
      <c r="I194" s="167"/>
      <c r="J194" s="134"/>
    </row>
    <row r="195" spans="2:10">
      <c r="B195" s="168"/>
      <c r="C195" s="164"/>
      <c r="D195" s="168"/>
      <c r="E195" s="169"/>
      <c r="F195" s="169"/>
      <c r="G195" s="169"/>
      <c r="H195" s="169"/>
      <c r="I195" s="170"/>
      <c r="J195" s="164"/>
    </row>
    <row r="196" spans="2:10">
      <c r="B196" s="131"/>
      <c r="C196" s="134"/>
      <c r="D196" s="131"/>
      <c r="E196" s="131"/>
      <c r="F196" s="131"/>
      <c r="G196" s="131"/>
      <c r="H196" s="131"/>
      <c r="I196" s="131"/>
      <c r="J196" s="134"/>
    </row>
    <row r="197" spans="2:10">
      <c r="B197" s="131"/>
      <c r="C197" s="134"/>
      <c r="D197" s="131"/>
      <c r="E197" s="131"/>
      <c r="F197" s="131"/>
      <c r="G197" s="131"/>
      <c r="H197" s="131"/>
      <c r="I197" s="131"/>
      <c r="J197" s="134"/>
    </row>
    <row r="198" spans="2:10">
      <c r="B198" s="131"/>
      <c r="C198" s="134"/>
      <c r="D198" s="131"/>
      <c r="E198" s="155"/>
      <c r="F198" s="155"/>
      <c r="G198" s="155"/>
      <c r="H198" s="155"/>
      <c r="I198" s="167"/>
      <c r="J198" s="134"/>
    </row>
    <row r="199" spans="2:2">
      <c r="B199" s="33"/>
    </row>
    <row r="200" spans="2:2">
      <c r="B200" s="33"/>
    </row>
    <row r="201" spans="2:2">
      <c r="B201" s="33"/>
    </row>
    <row r="202" spans="2:2">
      <c r="B202" s="33"/>
    </row>
    <row r="203" spans="2:2">
      <c r="B203" s="33"/>
    </row>
    <row r="204" spans="2:2">
      <c r="B204" s="33"/>
    </row>
    <row r="205" spans="2:2">
      <c r="B205" s="33"/>
    </row>
    <row r="206" spans="2:2">
      <c r="B206" s="33"/>
    </row>
    <row r="207" spans="2:2">
      <c r="B207" s="33"/>
    </row>
    <row r="208" spans="2:2">
      <c r="B208" s="33"/>
    </row>
    <row r="209" spans="2:2">
      <c r="B209" s="33"/>
    </row>
    <row r="210" spans="2:2">
      <c r="B210" s="33"/>
    </row>
    <row r="211" spans="2:2">
      <c r="B211" s="33"/>
    </row>
    <row r="212" spans="2:2">
      <c r="B212" s="33"/>
    </row>
    <row r="213" spans="2:2">
      <c r="B213" s="33"/>
    </row>
    <row r="214" spans="2:2">
      <c r="B214" s="33"/>
    </row>
    <row r="215" spans="2:2">
      <c r="B215" s="33"/>
    </row>
    <row r="216" spans="2:2">
      <c r="B216" s="33"/>
    </row>
    <row r="217" spans="2:2">
      <c r="B217" s="33"/>
    </row>
    <row r="218" spans="2:2">
      <c r="B218" s="33"/>
    </row>
    <row r="219" spans="2:2">
      <c r="B219" s="33"/>
    </row>
    <row r="220" spans="2:2">
      <c r="B220" s="33"/>
    </row>
    <row r="221" spans="2:2">
      <c r="B221" s="33"/>
    </row>
    <row r="222" spans="2:2">
      <c r="B222" s="33"/>
    </row>
    <row r="223" spans="2:2">
      <c r="B223" s="33"/>
    </row>
    <row r="224" spans="2:2">
      <c r="B224" s="33"/>
    </row>
  </sheetData>
  <mergeCells count="21">
    <mergeCell ref="B1:J1"/>
    <mergeCell ref="B2:J2"/>
    <mergeCell ref="E95:H95"/>
    <mergeCell ref="E96:H96"/>
    <mergeCell ref="C97:J97"/>
    <mergeCell ref="C98:J98"/>
    <mergeCell ref="C99:J99"/>
    <mergeCell ref="C100:J100"/>
    <mergeCell ref="C101:J101"/>
    <mergeCell ref="C102:J102"/>
    <mergeCell ref="C103:J103"/>
    <mergeCell ref="C104:J104"/>
    <mergeCell ref="E114:J114"/>
    <mergeCell ref="C174:J174"/>
    <mergeCell ref="C175:J175"/>
    <mergeCell ref="C176:J176"/>
    <mergeCell ref="C177:J177"/>
    <mergeCell ref="C178:J178"/>
    <mergeCell ref="C179:J179"/>
    <mergeCell ref="C180:J180"/>
    <mergeCell ref="C181:J181"/>
  </mergeCells>
  <printOptions horizontalCentered="1"/>
  <pageMargins left="0.6" right="0.55" top="0.429861111111111" bottom="0.389583333333333" header="0.239583333333333" footer="0.159722222222222"/>
  <pageSetup paperSize="9" scale="80" orientation="landscape" horizontalDpi="180" verticalDpi="180"/>
  <headerFooter alignWithMargins="0" scaleWithDoc="0">
    <oddFooter>&amp;C第 &amp;P 页</oddFooter>
  </headerFooter>
  <rowBreaks count="1" manualBreakCount="1">
    <brk id="174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workbookViewId="0">
      <selection activeCell="J10" sqref="J10"/>
    </sheetView>
  </sheetViews>
  <sheetFormatPr defaultColWidth="9" defaultRowHeight="14.25" outlineLevelCol="7"/>
  <cols>
    <col min="2" max="2" width="22.375" customWidth="1"/>
    <col min="3" max="3" width="24.75" customWidth="1"/>
    <col min="4" max="4" width="8.125" customWidth="1"/>
    <col min="5" max="5" width="17.75" customWidth="1"/>
    <col min="6" max="6" width="13.5" customWidth="1"/>
    <col min="7" max="7" width="17.125" customWidth="1"/>
  </cols>
  <sheetData>
    <row r="1" ht="22.5" spans="1:7">
      <c r="A1" s="4" t="s">
        <v>230</v>
      </c>
      <c r="B1" s="5"/>
      <c r="C1" s="5"/>
      <c r="D1" s="5"/>
      <c r="E1" s="5"/>
      <c r="F1" s="5"/>
      <c r="G1" s="5"/>
    </row>
    <row r="2" ht="27" customHeight="1" spans="1:8">
      <c r="A2" s="6" t="s">
        <v>2</v>
      </c>
      <c r="B2" s="6" t="s">
        <v>231</v>
      </c>
      <c r="C2" s="6" t="s">
        <v>232</v>
      </c>
      <c r="D2" s="6" t="s">
        <v>4</v>
      </c>
      <c r="E2" s="7" t="s">
        <v>233</v>
      </c>
      <c r="F2" s="7" t="s">
        <v>234</v>
      </c>
      <c r="G2" s="7" t="s">
        <v>235</v>
      </c>
      <c r="H2" s="8"/>
    </row>
    <row r="3" ht="27" customHeight="1" spans="1:8">
      <c r="A3" s="9">
        <v>1</v>
      </c>
      <c r="B3" s="10" t="s">
        <v>236</v>
      </c>
      <c r="C3" s="9" t="s">
        <v>237</v>
      </c>
      <c r="D3" s="11" t="s">
        <v>238</v>
      </c>
      <c r="E3" s="12"/>
      <c r="F3" s="12"/>
      <c r="G3" s="12">
        <v>20000</v>
      </c>
      <c r="H3" s="8"/>
    </row>
    <row r="4" ht="27" customHeight="1" spans="1:8">
      <c r="A4" s="13">
        <v>2</v>
      </c>
      <c r="B4" s="14" t="s">
        <v>239</v>
      </c>
      <c r="C4" s="13" t="s">
        <v>240</v>
      </c>
      <c r="D4" s="15" t="s">
        <v>57</v>
      </c>
      <c r="E4" s="16">
        <v>5</v>
      </c>
      <c r="F4" s="16">
        <v>600</v>
      </c>
      <c r="G4" s="16">
        <f>F4*E4</f>
        <v>3000</v>
      </c>
      <c r="H4" s="8"/>
    </row>
    <row r="5" ht="27" customHeight="1" spans="1:8">
      <c r="A5" s="17">
        <v>3</v>
      </c>
      <c r="B5" s="18" t="s">
        <v>241</v>
      </c>
      <c r="C5" s="17" t="s">
        <v>242</v>
      </c>
      <c r="D5" s="19" t="s">
        <v>238</v>
      </c>
      <c r="E5" s="20"/>
      <c r="F5" s="20"/>
      <c r="G5" s="20">
        <v>6000</v>
      </c>
      <c r="H5" s="8"/>
    </row>
    <row r="6" ht="27" customHeight="1" spans="1:8">
      <c r="A6" s="13">
        <v>4</v>
      </c>
      <c r="B6" s="14" t="s">
        <v>243</v>
      </c>
      <c r="C6" s="13" t="s">
        <v>244</v>
      </c>
      <c r="D6" s="15" t="s">
        <v>238</v>
      </c>
      <c r="E6" s="16"/>
      <c r="F6" s="16"/>
      <c r="G6" s="16">
        <v>4000</v>
      </c>
      <c r="H6" s="8"/>
    </row>
    <row r="7" ht="27" customHeight="1" spans="1:8">
      <c r="A7" s="17">
        <v>5</v>
      </c>
      <c r="B7" s="18" t="s">
        <v>245</v>
      </c>
      <c r="C7" s="17"/>
      <c r="D7" s="21" t="s">
        <v>11</v>
      </c>
      <c r="E7" s="20"/>
      <c r="F7" s="20">
        <v>80</v>
      </c>
      <c r="G7" s="20">
        <v>3000</v>
      </c>
      <c r="H7" s="8"/>
    </row>
    <row r="8" ht="27" customHeight="1" spans="1:8">
      <c r="A8" s="13">
        <v>6</v>
      </c>
      <c r="B8" s="14" t="s">
        <v>246</v>
      </c>
      <c r="C8" s="13"/>
      <c r="D8" s="15" t="s">
        <v>238</v>
      </c>
      <c r="E8" s="16">
        <v>14.75</v>
      </c>
      <c r="F8" s="16">
        <v>320</v>
      </c>
      <c r="G8" s="16">
        <f>E8*F8</f>
        <v>4720</v>
      </c>
      <c r="H8" s="8"/>
    </row>
    <row r="9" ht="27" customHeight="1" spans="1:8">
      <c r="A9" s="17">
        <v>7</v>
      </c>
      <c r="B9" s="22" t="s">
        <v>247</v>
      </c>
      <c r="C9" s="17"/>
      <c r="D9" s="19"/>
      <c r="E9" s="17">
        <v>12.42</v>
      </c>
      <c r="F9" s="17">
        <v>360</v>
      </c>
      <c r="G9" s="17">
        <f>F9*E9</f>
        <v>4471.2</v>
      </c>
      <c r="H9" s="8"/>
    </row>
    <row r="10" ht="27" customHeight="1" spans="1:8">
      <c r="A10" s="13">
        <v>8</v>
      </c>
      <c r="B10" s="23" t="s">
        <v>248</v>
      </c>
      <c r="C10" s="13"/>
      <c r="D10" s="15"/>
      <c r="E10" s="13">
        <v>2</v>
      </c>
      <c r="F10" s="16">
        <v>450</v>
      </c>
      <c r="G10" s="13">
        <v>900</v>
      </c>
      <c r="H10" s="8"/>
    </row>
    <row r="11" ht="27" customHeight="1" spans="1:8">
      <c r="A11" s="17">
        <v>12</v>
      </c>
      <c r="B11" s="18" t="s">
        <v>249</v>
      </c>
      <c r="C11" s="17"/>
      <c r="D11" s="19"/>
      <c r="E11" s="20"/>
      <c r="F11" s="20"/>
      <c r="G11" s="20">
        <v>4000</v>
      </c>
      <c r="H11" s="8"/>
    </row>
    <row r="12" ht="27" customHeight="1" spans="1:8">
      <c r="A12" s="13">
        <v>13</v>
      </c>
      <c r="B12" s="13"/>
      <c r="C12" s="13"/>
      <c r="D12" s="15"/>
      <c r="E12" s="16"/>
      <c r="F12" s="16"/>
      <c r="G12" s="16"/>
      <c r="H12" s="8"/>
    </row>
    <row r="13" ht="27" customHeight="1" spans="1:8">
      <c r="A13" s="24"/>
      <c r="B13" s="21" t="s">
        <v>250</v>
      </c>
      <c r="C13" s="24"/>
      <c r="D13" s="24"/>
      <c r="E13" s="25"/>
      <c r="F13" s="25"/>
      <c r="G13" s="20">
        <f>SUM(G3:G12)</f>
        <v>50091.2</v>
      </c>
      <c r="H13" s="8"/>
    </row>
    <row r="14" spans="1:8">
      <c r="A14" s="26"/>
      <c r="B14" s="27"/>
      <c r="C14" s="28"/>
      <c r="D14" s="29"/>
      <c r="E14" s="30"/>
      <c r="F14" s="31"/>
      <c r="G14" s="31"/>
      <c r="H14" s="8"/>
    </row>
    <row r="15" spans="1:8">
      <c r="A15" s="8"/>
      <c r="B15" s="8"/>
      <c r="C15" s="8"/>
      <c r="D15" s="8"/>
      <c r="E15" s="8"/>
      <c r="F15" s="8"/>
      <c r="G15" s="8"/>
      <c r="H15" s="8"/>
    </row>
  </sheetData>
  <mergeCells count="1">
    <mergeCell ref="A1:G1"/>
  </mergeCells>
  <pageMargins left="0.75" right="0.75" top="1" bottom="1" header="0.5" footer="0.5"/>
  <pageSetup paperSize="9" orientation="landscape" verticalDpi="360"/>
  <headerFooter alignWithMargins="0" scaleWithDoc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4"/>
  <sheetViews>
    <sheetView workbookViewId="0">
      <selection activeCell="N15" sqref="N15"/>
    </sheetView>
  </sheetViews>
  <sheetFormatPr defaultColWidth="8.8" defaultRowHeight="14.25"/>
  <sheetData>
    <row r="2" spans="2:11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>
      <c r="B4" s="1"/>
      <c r="C4" s="1"/>
      <c r="D4" s="1"/>
      <c r="E4" s="1"/>
      <c r="F4" s="1"/>
      <c r="G4" s="1"/>
      <c r="H4" s="1"/>
      <c r="I4" s="1"/>
      <c r="J4" s="1"/>
      <c r="K4" s="1"/>
    </row>
    <row r="5" spans="2:11">
      <c r="B5" s="2" t="s">
        <v>251</v>
      </c>
      <c r="C5" s="3"/>
      <c r="D5" s="3"/>
      <c r="E5" s="3"/>
      <c r="F5" s="3"/>
      <c r="G5" s="3"/>
      <c r="H5" s="3"/>
      <c r="I5" s="3"/>
      <c r="J5" s="3"/>
      <c r="K5" s="3"/>
    </row>
    <row r="6" spans="2:11">
      <c r="B6" s="3"/>
      <c r="C6" s="3"/>
      <c r="D6" s="3"/>
      <c r="E6" s="3"/>
      <c r="F6" s="3"/>
      <c r="G6" s="3"/>
      <c r="H6" s="3"/>
      <c r="I6" s="3"/>
      <c r="J6" s="3"/>
      <c r="K6" s="3"/>
    </row>
    <row r="7" spans="2:11">
      <c r="B7" s="3"/>
      <c r="C7" s="3"/>
      <c r="D7" s="3"/>
      <c r="E7" s="3"/>
      <c r="F7" s="3"/>
      <c r="G7" s="3"/>
      <c r="H7" s="3"/>
      <c r="I7" s="3"/>
      <c r="J7" s="3"/>
      <c r="K7" s="3"/>
    </row>
    <row r="8" spans="2:11">
      <c r="B8" s="3"/>
      <c r="C8" s="3"/>
      <c r="D8" s="3"/>
      <c r="E8" s="3"/>
      <c r="F8" s="3"/>
      <c r="G8" s="3"/>
      <c r="H8" s="3"/>
      <c r="I8" s="3"/>
      <c r="J8" s="3"/>
      <c r="K8" s="3"/>
    </row>
    <row r="9" spans="2:11">
      <c r="B9" s="1"/>
      <c r="C9" s="1"/>
      <c r="D9" s="1"/>
      <c r="E9" s="1"/>
      <c r="F9" s="1"/>
      <c r="G9" s="1"/>
      <c r="H9" s="1"/>
      <c r="I9" s="1"/>
      <c r="J9" s="1"/>
      <c r="K9" s="1"/>
    </row>
    <row r="10" spans="2:11"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2:11"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2:11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2:11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2:11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2:11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2:11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2:11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1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2:11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2:11"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2:11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2:11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2:11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2:11">
      <c r="B24" s="1"/>
      <c r="C24" s="1"/>
      <c r="D24" s="1"/>
      <c r="E24" s="1"/>
      <c r="F24" s="1"/>
      <c r="G24" s="1"/>
      <c r="H24" s="1"/>
      <c r="I24" s="1"/>
      <c r="J24" s="1"/>
      <c r="K24" s="1"/>
    </row>
  </sheetData>
  <mergeCells count="1">
    <mergeCell ref="B5:K8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hz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人工预算</vt:lpstr>
      <vt:lpstr>公司预算</vt:lpstr>
      <vt:lpstr>主材部份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WJY</dc:creator>
  <cp:lastModifiedBy>  旪    、</cp:lastModifiedBy>
  <cp:revision>1</cp:revision>
  <dcterms:created xsi:type="dcterms:W3CDTF">2004-04-14T10:15:00Z</dcterms:created>
  <cp:lastPrinted>2008-10-17T08:50:00Z</cp:lastPrinted>
  <dcterms:modified xsi:type="dcterms:W3CDTF">2019-08-13T02:44:09Z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