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aGrant Proposal Team\Amy Jackson\2022.09.21 - Srikrishnan - SloanFoundation-BEE\"/>
    </mc:Choice>
  </mc:AlternateContent>
  <xr:revisionPtr revIDLastSave="0" documentId="13_ncr:1_{9493AEF3-6A6A-4C1C-BD7C-8A45668AE45C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rates, dates, etc" sheetId="5" r:id="rId1"/>
    <sheet name="RASS Input" sheetId="31" r:id="rId2"/>
    <sheet name="Budget Summary" sheetId="16" r:id="rId3"/>
    <sheet name="IDC Tab (NICRA)" sheetId="33" state="hidden" r:id="rId4"/>
    <sheet name="IDC Tab (TFF)" sheetId="34" state="hidden" r:id="rId5"/>
    <sheet name="Industry RollUp Budget" sheetId="24" state="hidden" r:id="rId6"/>
    <sheet name="NIH Modular" sheetId="21" state="hidden" r:id="rId7"/>
    <sheet name="Cost Share" sheetId="22" state="hidden" r:id="rId8"/>
    <sheet name="Budget Summary %" sheetId="19" state="hidden" r:id="rId9"/>
    <sheet name="Lead Budget" sheetId="1" r:id="rId10"/>
    <sheet name="Expense Details" sheetId="3" r:id="rId11"/>
    <sheet name="CALS Recovery" sheetId="17" state="hidden" r:id="rId12"/>
    <sheet name="Stedman" sheetId="11" r:id="rId13"/>
    <sheet name="Co PI 2" sheetId="12" state="hidden" r:id="rId14"/>
    <sheet name="Co PI 3" sheetId="13" state="hidden" r:id="rId15"/>
    <sheet name="Co-PI Budget (4)" sheetId="14" state="hidden" r:id="rId16"/>
    <sheet name="Co-PI Budget (5)" sheetId="15" state="hidden" r:id="rId17"/>
    <sheet name="Co-PI Budget (6)" sheetId="30" state="hidden" r:id="rId18"/>
    <sheet name="Consortium 1" sheetId="4" state="hidden" r:id="rId19"/>
    <sheet name="Consortium 2" sheetId="7" state="hidden" r:id="rId20"/>
    <sheet name="Consortium 3" sheetId="8" state="hidden" r:id="rId21"/>
    <sheet name="Consortium 4" sheetId="9" state="hidden" r:id="rId22"/>
    <sheet name="Consortium 5" sheetId="10" state="hidden" r:id="rId23"/>
    <sheet name="Consortium 6" sheetId="25" state="hidden" r:id="rId24"/>
    <sheet name="Consortium 7" sheetId="26" state="hidden" r:id="rId25"/>
    <sheet name="Consortium 8" sheetId="27" state="hidden" r:id="rId26"/>
    <sheet name="Consortium 9" sheetId="28" state="hidden" r:id="rId27"/>
    <sheet name="Consortium 10" sheetId="29" state="hidden" r:id="rId28"/>
    <sheet name="NSF Totals - Do not use" sheetId="20" state="hidden" r:id="rId29"/>
    <sheet name="Do not use-GRA CostShare calc" sheetId="23" state="hidden" r:id="rId30"/>
  </sheets>
  <definedNames>
    <definedName name="_xlnm.Print_Area" localSheetId="2">'Budget Summary'!$A$1:$H$99</definedName>
    <definedName name="_xlnm.Print_Area" localSheetId="8">'Budget Summary %'!$A$1:$AA$88</definedName>
    <definedName name="_xlnm.Print_Area" localSheetId="11">'CALS Recovery'!#REF!</definedName>
    <definedName name="_xlnm.Print_Area" localSheetId="13">'Co PI 2'!$A$1:$H$58</definedName>
    <definedName name="_xlnm.Print_Area" localSheetId="14">'Co PI 3'!$A$1:$H$58</definedName>
    <definedName name="_xlnm.Print_Area" localSheetId="18">'Consortium 1'!$A$1:$H$57</definedName>
    <definedName name="_xlnm.Print_Area" localSheetId="27">'Consortium 10'!$A$1:$H$56</definedName>
    <definedName name="_xlnm.Print_Area" localSheetId="19">'Consortium 2'!$A$1:$H$56</definedName>
    <definedName name="_xlnm.Print_Area" localSheetId="20">'Consortium 3'!$A$1:$H$56</definedName>
    <definedName name="_xlnm.Print_Area" localSheetId="21">'Consortium 4'!$A$1:$H$56</definedName>
    <definedName name="_xlnm.Print_Area" localSheetId="22">'Consortium 5'!$A$1:$H$56</definedName>
    <definedName name="_xlnm.Print_Area" localSheetId="23">'Consortium 6'!$A$1:$H$56</definedName>
    <definedName name="_xlnm.Print_Area" localSheetId="24">'Consortium 7'!$A$1:$H$56</definedName>
    <definedName name="_xlnm.Print_Area" localSheetId="25">'Consortium 8'!$A$1:$H$56</definedName>
    <definedName name="_xlnm.Print_Area" localSheetId="26">'Consortium 9'!$A$1:$H$56</definedName>
    <definedName name="_xlnm.Print_Area" localSheetId="15">'Co-PI Budget (4)'!$A$1:$H$58</definedName>
    <definedName name="_xlnm.Print_Area" localSheetId="16">'Co-PI Budget (5)'!$A$1:$H$58</definedName>
    <definedName name="_xlnm.Print_Area" localSheetId="17">'Co-PI Budget (6)'!$A$1:$H$58</definedName>
    <definedName name="_xlnm.Print_Area" localSheetId="7">'Cost Share'!$A$1:$H$92</definedName>
    <definedName name="_xlnm.Print_Area" localSheetId="29">'Do not use-GRA CostShare calc'!$A$1:$J$110</definedName>
    <definedName name="_xlnm.Print_Area" localSheetId="5">'Industry RollUp Budget'!$A$1:$G$20</definedName>
    <definedName name="_xlnm.Print_Area" localSheetId="9">'Lead Budget'!$A$1:$G$59</definedName>
    <definedName name="_xlnm.Print_Area" localSheetId="0">'rates, dates, etc'!$A$1:$J$653</definedName>
    <definedName name="_xlnm.Print_Area" localSheetId="12">Stedman!$A$1:$H$58</definedName>
    <definedName name="Stipend9Mo" localSheetId="29">'Do not use-GRA CostShare calc'!#REF!</definedName>
    <definedName name="Stipend9Mo">'rates, dates, etc'!$C$47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8" i="11" l="1"/>
  <c r="I77" i="11"/>
  <c r="L76" i="11"/>
  <c r="K76" i="11"/>
  <c r="J76" i="11"/>
  <c r="I76" i="11"/>
  <c r="H76" i="11"/>
  <c r="I75" i="11"/>
  <c r="L74" i="11"/>
  <c r="K74" i="11"/>
  <c r="J74" i="11"/>
  <c r="I74" i="11"/>
  <c r="H74" i="11"/>
  <c r="L73" i="11"/>
  <c r="K73" i="11"/>
  <c r="J73" i="11"/>
  <c r="I73" i="11"/>
  <c r="H73" i="11"/>
  <c r="L72" i="11"/>
  <c r="L79" i="11" s="1"/>
  <c r="K72" i="11"/>
  <c r="K79" i="11" s="1"/>
  <c r="J72" i="11"/>
  <c r="J79" i="11" s="1"/>
  <c r="I72" i="11"/>
  <c r="I79" i="11" s="1"/>
  <c r="H72" i="11"/>
  <c r="H79" i="11" s="1"/>
  <c r="I18" i="3"/>
  <c r="J52" i="11"/>
  <c r="N35" i="5"/>
  <c r="M35" i="5"/>
  <c r="N31" i="5"/>
  <c r="N30" i="5"/>
  <c r="A54" i="5" l="1"/>
  <c r="A718" i="5"/>
  <c r="A704" i="5"/>
  <c r="A690" i="5"/>
  <c r="A612" i="5"/>
  <c r="A598" i="5"/>
  <c r="A584" i="5"/>
  <c r="A506" i="5"/>
  <c r="A492" i="5"/>
  <c r="A478" i="5"/>
  <c r="A400" i="5"/>
  <c r="A386" i="5"/>
  <c r="A372" i="5"/>
  <c r="A294" i="5"/>
  <c r="A280" i="5"/>
  <c r="A266" i="5"/>
  <c r="A188" i="5"/>
  <c r="A174" i="5"/>
  <c r="A160" i="5"/>
  <c r="A82" i="5"/>
  <c r="A68" i="5"/>
  <c r="H723" i="5"/>
  <c r="G723" i="5"/>
  <c r="F723" i="5"/>
  <c r="E723" i="5"/>
  <c r="D723" i="5"/>
  <c r="C723" i="5"/>
  <c r="B723" i="5"/>
  <c r="H709" i="5"/>
  <c r="G709" i="5"/>
  <c r="F709" i="5"/>
  <c r="E709" i="5"/>
  <c r="D709" i="5"/>
  <c r="C709" i="5"/>
  <c r="B709" i="5"/>
  <c r="H695" i="5"/>
  <c r="G695" i="5"/>
  <c r="F695" i="5"/>
  <c r="E695" i="5"/>
  <c r="D695" i="5"/>
  <c r="C695" i="5"/>
  <c r="B695" i="5"/>
  <c r="B617" i="5"/>
  <c r="H617" i="5"/>
  <c r="G617" i="5"/>
  <c r="F617" i="5"/>
  <c r="E617" i="5"/>
  <c r="D617" i="5"/>
  <c r="C617" i="5"/>
  <c r="H603" i="5"/>
  <c r="G603" i="5"/>
  <c r="F603" i="5"/>
  <c r="E603" i="5"/>
  <c r="D603" i="5"/>
  <c r="C603" i="5"/>
  <c r="B603" i="5"/>
  <c r="H589" i="5"/>
  <c r="G589" i="5"/>
  <c r="F589" i="5"/>
  <c r="E589" i="5"/>
  <c r="D589" i="5"/>
  <c r="C589" i="5"/>
  <c r="B589" i="5"/>
  <c r="H511" i="5"/>
  <c r="G511" i="5"/>
  <c r="F511" i="5"/>
  <c r="E511" i="5"/>
  <c r="D511" i="5"/>
  <c r="C511" i="5"/>
  <c r="B511" i="5"/>
  <c r="H497" i="5"/>
  <c r="G497" i="5"/>
  <c r="F497" i="5"/>
  <c r="E497" i="5"/>
  <c r="D497" i="5"/>
  <c r="C497" i="5"/>
  <c r="B497" i="5"/>
  <c r="H483" i="5"/>
  <c r="G483" i="5"/>
  <c r="F483" i="5"/>
  <c r="E483" i="5"/>
  <c r="D483" i="5"/>
  <c r="C483" i="5"/>
  <c r="B483" i="5"/>
  <c r="H405" i="5"/>
  <c r="G405" i="5"/>
  <c r="F405" i="5"/>
  <c r="E405" i="5"/>
  <c r="D405" i="5"/>
  <c r="C405" i="5"/>
  <c r="B405" i="5"/>
  <c r="H391" i="5"/>
  <c r="G391" i="5"/>
  <c r="F391" i="5"/>
  <c r="E391" i="5"/>
  <c r="D391" i="5"/>
  <c r="C391" i="5"/>
  <c r="B391" i="5"/>
  <c r="H377" i="5"/>
  <c r="G377" i="5"/>
  <c r="F377" i="5"/>
  <c r="E377" i="5"/>
  <c r="D377" i="5"/>
  <c r="C377" i="5"/>
  <c r="B377" i="5"/>
  <c r="H299" i="5"/>
  <c r="G299" i="5"/>
  <c r="F299" i="5"/>
  <c r="E299" i="5"/>
  <c r="D299" i="5"/>
  <c r="C299" i="5"/>
  <c r="B299" i="5"/>
  <c r="H285" i="5"/>
  <c r="G285" i="5"/>
  <c r="F285" i="5"/>
  <c r="E285" i="5"/>
  <c r="D285" i="5"/>
  <c r="C285" i="5"/>
  <c r="B285" i="5"/>
  <c r="H271" i="5"/>
  <c r="G271" i="5"/>
  <c r="F271" i="5"/>
  <c r="E271" i="5"/>
  <c r="D271" i="5"/>
  <c r="C271" i="5"/>
  <c r="B271" i="5"/>
  <c r="H193" i="5"/>
  <c r="G193" i="5"/>
  <c r="F193" i="5"/>
  <c r="E193" i="5"/>
  <c r="D193" i="5"/>
  <c r="C193" i="5"/>
  <c r="B193" i="5"/>
  <c r="H179" i="5"/>
  <c r="G179" i="5"/>
  <c r="F179" i="5"/>
  <c r="E179" i="5"/>
  <c r="D179" i="5"/>
  <c r="C179" i="5"/>
  <c r="B179" i="5"/>
  <c r="H165" i="5"/>
  <c r="G165" i="5"/>
  <c r="F165" i="5"/>
  <c r="E165" i="5"/>
  <c r="D165" i="5"/>
  <c r="C165" i="5"/>
  <c r="B165" i="5"/>
  <c r="H87" i="5"/>
  <c r="G87" i="5"/>
  <c r="F87" i="5"/>
  <c r="E87" i="5"/>
  <c r="D87" i="5"/>
  <c r="C87" i="5"/>
  <c r="B87" i="5"/>
  <c r="H73" i="5"/>
  <c r="G73" i="5"/>
  <c r="F73" i="5"/>
  <c r="E73" i="5"/>
  <c r="D73" i="5"/>
  <c r="C73" i="5"/>
  <c r="B73" i="5"/>
  <c r="C59" i="5"/>
  <c r="D59" i="5"/>
  <c r="E59" i="5"/>
  <c r="F59" i="5"/>
  <c r="G59" i="5"/>
  <c r="H59" i="5"/>
  <c r="B59" i="5"/>
  <c r="B16" i="5"/>
  <c r="C16" i="5" s="1"/>
  <c r="C101" i="22"/>
  <c r="D101" i="22" s="1"/>
  <c r="C88" i="22"/>
  <c r="B90" i="22"/>
  <c r="B88" i="22"/>
  <c r="D88" i="22"/>
  <c r="E88" i="22"/>
  <c r="F88" i="22"/>
  <c r="C90" i="22"/>
  <c r="D90" i="22"/>
  <c r="E90" i="22"/>
  <c r="F90" i="22"/>
  <c r="A268" i="5"/>
  <c r="A282" i="5"/>
  <c r="A296" i="5"/>
  <c r="A374" i="5"/>
  <c r="A388" i="5"/>
  <c r="A402" i="5"/>
  <c r="A480" i="5"/>
  <c r="A494" i="5"/>
  <c r="A508" i="5"/>
  <c r="A692" i="5"/>
  <c r="A586" i="5"/>
  <c r="A614" i="5"/>
  <c r="A600" i="5"/>
  <c r="A715" i="5"/>
  <c r="A706" i="5"/>
  <c r="A720" i="5"/>
  <c r="A190" i="5"/>
  <c r="A183" i="5"/>
  <c r="A162" i="5"/>
  <c r="A157" i="5"/>
  <c r="A84" i="5"/>
  <c r="A79" i="5"/>
  <c r="A70" i="5"/>
  <c r="A65" i="5"/>
  <c r="A56" i="5"/>
  <c r="A51" i="5"/>
  <c r="A176" i="5"/>
  <c r="A171" i="5"/>
  <c r="B751" i="5"/>
  <c r="B748" i="5"/>
  <c r="C745" i="5"/>
  <c r="D745" i="5" s="1"/>
  <c r="B745" i="5"/>
  <c r="B645" i="5"/>
  <c r="B642" i="5"/>
  <c r="C639" i="5"/>
  <c r="D639" i="5" s="1"/>
  <c r="B639" i="5"/>
  <c r="B539" i="5"/>
  <c r="B536" i="5"/>
  <c r="B533" i="5"/>
  <c r="C533" i="5" s="1"/>
  <c r="B430" i="5"/>
  <c r="B427" i="5"/>
  <c r="C427" i="5" s="1"/>
  <c r="B327" i="5"/>
  <c r="B324" i="5"/>
  <c r="C321" i="5"/>
  <c r="D321" i="5" s="1"/>
  <c r="B321" i="5"/>
  <c r="B221" i="5"/>
  <c r="B218" i="5"/>
  <c r="B215" i="5"/>
  <c r="C215" i="5" s="1"/>
  <c r="B115" i="5"/>
  <c r="B112" i="5"/>
  <c r="C109" i="5"/>
  <c r="C112" i="5" s="1"/>
  <c r="B109" i="5"/>
  <c r="A91" i="5"/>
  <c r="A63" i="5"/>
  <c r="B4" i="34" l="1"/>
  <c r="B18" i="34"/>
  <c r="E17" i="34"/>
  <c r="D14" i="34"/>
  <c r="C11" i="34"/>
  <c r="D17" i="34"/>
  <c r="C14" i="34"/>
  <c r="B11" i="34"/>
  <c r="D16" i="34"/>
  <c r="F11" i="34"/>
  <c r="F14" i="34"/>
  <c r="C17" i="34"/>
  <c r="B14" i="34"/>
  <c r="F10" i="34"/>
  <c r="E13" i="34"/>
  <c r="E16" i="34"/>
  <c r="C10" i="34"/>
  <c r="C13" i="34"/>
  <c r="G4" i="34"/>
  <c r="E14" i="34"/>
  <c r="B17" i="34"/>
  <c r="F13" i="34"/>
  <c r="E10" i="34"/>
  <c r="F16" i="34"/>
  <c r="D10" i="34"/>
  <c r="F19" i="34"/>
  <c r="D13" i="34"/>
  <c r="B10" i="34"/>
  <c r="C18" i="34"/>
  <c r="E19" i="34"/>
  <c r="D19" i="34"/>
  <c r="C16" i="34"/>
  <c r="B13" i="34"/>
  <c r="C19" i="34"/>
  <c r="B16" i="34"/>
  <c r="F12" i="34"/>
  <c r="C4" i="34"/>
  <c r="B19" i="34"/>
  <c r="F15" i="34"/>
  <c r="E12" i="34"/>
  <c r="B15" i="34"/>
  <c r="E11" i="34"/>
  <c r="D11" i="34"/>
  <c r="D4" i="34"/>
  <c r="F18" i="34"/>
  <c r="E15" i="34"/>
  <c r="D12" i="34"/>
  <c r="E18" i="34"/>
  <c r="D15" i="34"/>
  <c r="E4" i="34"/>
  <c r="C12" i="34"/>
  <c r="F4" i="34"/>
  <c r="D18" i="34"/>
  <c r="C15" i="34"/>
  <c r="B12" i="34"/>
  <c r="F17" i="34"/>
  <c r="B222" i="5"/>
  <c r="B328" i="5"/>
  <c r="B540" i="5"/>
  <c r="B646" i="5"/>
  <c r="B752" i="5"/>
  <c r="C751" i="5"/>
  <c r="D751" i="5"/>
  <c r="D748" i="5"/>
  <c r="E745" i="5"/>
  <c r="C748" i="5"/>
  <c r="C752" i="5" s="1"/>
  <c r="E639" i="5"/>
  <c r="D645" i="5"/>
  <c r="D642" i="5"/>
  <c r="C642" i="5"/>
  <c r="C645" i="5"/>
  <c r="D533" i="5"/>
  <c r="C539" i="5"/>
  <c r="C536" i="5"/>
  <c r="D427" i="5"/>
  <c r="C430" i="5"/>
  <c r="C433" i="5"/>
  <c r="B433" i="5"/>
  <c r="B434" i="5" s="1"/>
  <c r="D324" i="5"/>
  <c r="D327" i="5"/>
  <c r="E321" i="5"/>
  <c r="C324" i="5"/>
  <c r="C327" i="5"/>
  <c r="D215" i="5"/>
  <c r="C218" i="5"/>
  <c r="C221" i="5"/>
  <c r="D109" i="5"/>
  <c r="C115" i="5"/>
  <c r="B116" i="5"/>
  <c r="G17" i="34" l="1"/>
  <c r="G11" i="34"/>
  <c r="G13" i="34"/>
  <c r="G18" i="34"/>
  <c r="G14" i="34"/>
  <c r="G16" i="34"/>
  <c r="G19" i="34"/>
  <c r="G12" i="34"/>
  <c r="G10" i="34"/>
  <c r="G15" i="34"/>
  <c r="C222" i="5"/>
  <c r="D328" i="5"/>
  <c r="C646" i="5"/>
  <c r="E751" i="5"/>
  <c r="E748" i="5"/>
  <c r="F745" i="5"/>
  <c r="D752" i="5"/>
  <c r="D646" i="5"/>
  <c r="E642" i="5"/>
  <c r="F639" i="5"/>
  <c r="E645" i="5"/>
  <c r="C540" i="5"/>
  <c r="E533" i="5"/>
  <c r="D539" i="5"/>
  <c r="D536" i="5"/>
  <c r="D540" i="5" s="1"/>
  <c r="C434" i="5"/>
  <c r="D433" i="5"/>
  <c r="D430" i="5"/>
  <c r="D434" i="5" s="1"/>
  <c r="E427" i="5"/>
  <c r="C328" i="5"/>
  <c r="E327" i="5"/>
  <c r="F321" i="5"/>
  <c r="E324" i="5"/>
  <c r="E328" i="5" s="1"/>
  <c r="E215" i="5"/>
  <c r="D221" i="5"/>
  <c r="D218" i="5"/>
  <c r="D222" i="5" s="1"/>
  <c r="D112" i="5"/>
  <c r="D115" i="5"/>
  <c r="E109" i="5"/>
  <c r="A15" i="31"/>
  <c r="C31" i="31"/>
  <c r="A14" i="31"/>
  <c r="F751" i="5" l="1"/>
  <c r="F748" i="5"/>
  <c r="E752" i="5"/>
  <c r="F642" i="5"/>
  <c r="F645" i="5"/>
  <c r="E646" i="5"/>
  <c r="E536" i="5"/>
  <c r="E539" i="5"/>
  <c r="F533" i="5"/>
  <c r="E433" i="5"/>
  <c r="E430" i="5"/>
  <c r="E434" i="5" s="1"/>
  <c r="F427" i="5"/>
  <c r="F327" i="5"/>
  <c r="F324" i="5"/>
  <c r="E221" i="5"/>
  <c r="F215" i="5"/>
  <c r="E218" i="5"/>
  <c r="E112" i="5"/>
  <c r="F109" i="5"/>
  <c r="E115" i="5"/>
  <c r="B6" i="31"/>
  <c r="B7" i="31" s="1"/>
  <c r="E222" i="5" l="1"/>
  <c r="E540" i="5"/>
  <c r="F752" i="5"/>
  <c r="F646" i="5"/>
  <c r="F539" i="5"/>
  <c r="F536" i="5"/>
  <c r="F540" i="5" s="1"/>
  <c r="F433" i="5"/>
  <c r="F430" i="5"/>
  <c r="F434" i="5" s="1"/>
  <c r="F328" i="5"/>
  <c r="F221" i="5"/>
  <c r="F218" i="5"/>
  <c r="F115" i="5"/>
  <c r="F112" i="5"/>
  <c r="C8" i="31"/>
  <c r="B3" i="31"/>
  <c r="B5" i="31"/>
  <c r="F222" i="5" l="1"/>
  <c r="D24" i="31"/>
  <c r="C24" i="31"/>
  <c r="D23" i="31"/>
  <c r="C23" i="31"/>
  <c r="D22" i="31"/>
  <c r="C22" i="31"/>
  <c r="D21" i="31"/>
  <c r="C21" i="31"/>
  <c r="D20" i="31"/>
  <c r="D19" i="31"/>
  <c r="C19" i="31"/>
  <c r="C18" i="31"/>
  <c r="B18" i="31"/>
  <c r="B20" i="31"/>
  <c r="B21" i="31"/>
  <c r="B22" i="31"/>
  <c r="B23" i="31"/>
  <c r="B24" i="31"/>
  <c r="B19" i="31"/>
  <c r="A10" i="5"/>
  <c r="A9" i="5"/>
  <c r="A18" i="11" l="1"/>
  <c r="B235" i="5"/>
  <c r="B18" i="11" s="1"/>
  <c r="C233" i="5"/>
  <c r="D233" i="5" s="1"/>
  <c r="B734" i="5"/>
  <c r="B628" i="5"/>
  <c r="B522" i="5"/>
  <c r="B416" i="5"/>
  <c r="B310" i="5"/>
  <c r="B98" i="5"/>
  <c r="B727" i="5"/>
  <c r="B621" i="5"/>
  <c r="B515" i="5"/>
  <c r="B409" i="5"/>
  <c r="B303" i="5"/>
  <c r="B197" i="5"/>
  <c r="B91" i="5"/>
  <c r="A18" i="30"/>
  <c r="A17" i="30"/>
  <c r="A16" i="30"/>
  <c r="A14" i="30"/>
  <c r="A13" i="30"/>
  <c r="A5" i="30"/>
  <c r="E233" i="5" l="1"/>
  <c r="D235" i="5"/>
  <c r="D18" i="11" s="1"/>
  <c r="C235" i="5"/>
  <c r="C18" i="11" s="1"/>
  <c r="C75" i="22"/>
  <c r="D75" i="22"/>
  <c r="E75" i="22"/>
  <c r="F75" i="22"/>
  <c r="B75" i="22"/>
  <c r="E235" i="5" l="1"/>
  <c r="E18" i="11" s="1"/>
  <c r="F233" i="5"/>
  <c r="F235" i="5" s="1"/>
  <c r="F18" i="11" s="1"/>
  <c r="G93" i="22"/>
  <c r="G94" i="22"/>
  <c r="G95" i="22"/>
  <c r="G96" i="22"/>
  <c r="L90" i="22"/>
  <c r="M90" i="22"/>
  <c r="N90" i="22"/>
  <c r="O90" i="22"/>
  <c r="P90" i="22"/>
  <c r="K90" i="22"/>
  <c r="J90" i="22"/>
  <c r="A50" i="29"/>
  <c r="A49" i="29"/>
  <c r="A47" i="29"/>
  <c r="A50" i="28"/>
  <c r="A49" i="28"/>
  <c r="A47" i="28"/>
  <c r="A50" i="27"/>
  <c r="A49" i="27"/>
  <c r="A47" i="27"/>
  <c r="A50" i="26"/>
  <c r="A49" i="26"/>
  <c r="A47" i="26"/>
  <c r="A50" i="25"/>
  <c r="A49" i="25"/>
  <c r="A47" i="25"/>
  <c r="A50" i="10"/>
  <c r="A49" i="10"/>
  <c r="A47" i="10"/>
  <c r="A50" i="9"/>
  <c r="A49" i="9"/>
  <c r="A47" i="9"/>
  <c r="A50" i="8"/>
  <c r="A49" i="8"/>
  <c r="A47" i="8"/>
  <c r="A50" i="7"/>
  <c r="A49" i="7"/>
  <c r="A47" i="7"/>
  <c r="A47" i="4"/>
  <c r="A49" i="4"/>
  <c r="A50" i="4"/>
  <c r="A53" i="30"/>
  <c r="A52" i="30"/>
  <c r="A50" i="30"/>
  <c r="A53" i="15"/>
  <c r="A52" i="15"/>
  <c r="A50" i="15"/>
  <c r="A53" i="14"/>
  <c r="A52" i="14"/>
  <c r="A50" i="14"/>
  <c r="A53" i="13"/>
  <c r="A52" i="13"/>
  <c r="A50" i="13"/>
  <c r="A53" i="12"/>
  <c r="A52" i="12"/>
  <c r="A50" i="12"/>
  <c r="A50" i="11"/>
  <c r="A52" i="11"/>
  <c r="A53" i="11"/>
  <c r="B95" i="16"/>
  <c r="K108" i="16"/>
  <c r="L108" i="16"/>
  <c r="M108" i="16"/>
  <c r="N108" i="16"/>
  <c r="O108" i="16"/>
  <c r="J108" i="16"/>
  <c r="I108" i="16"/>
  <c r="B10" i="33" l="1"/>
  <c r="F95" i="16"/>
  <c r="F97" i="16"/>
  <c r="C95" i="16"/>
  <c r="D95" i="16"/>
  <c r="E95" i="16"/>
  <c r="C97" i="16"/>
  <c r="D97" i="16"/>
  <c r="E97" i="16"/>
  <c r="B97" i="16"/>
  <c r="F12" i="33" l="1"/>
  <c r="E10" i="33"/>
  <c r="F10" i="33"/>
  <c r="E12" i="33"/>
  <c r="D10" i="33"/>
  <c r="C12" i="33"/>
  <c r="B12" i="33"/>
  <c r="D12" i="33"/>
  <c r="C10" i="33"/>
  <c r="B663" i="5"/>
  <c r="A684" i="5" s="1"/>
  <c r="A8" i="30" s="1"/>
  <c r="B669" i="5"/>
  <c r="B670" i="5"/>
  <c r="A673" i="5"/>
  <c r="A677" i="5"/>
  <c r="A678" i="5"/>
  <c r="A683" i="5"/>
  <c r="B684" i="5"/>
  <c r="A685" i="5"/>
  <c r="C685" i="5"/>
  <c r="A687" i="5"/>
  <c r="B687" i="5"/>
  <c r="B689" i="5" s="1"/>
  <c r="C687" i="5"/>
  <c r="D687" i="5"/>
  <c r="E687" i="5"/>
  <c r="F687" i="5"/>
  <c r="G687" i="5"/>
  <c r="H687" i="5"/>
  <c r="B688" i="5"/>
  <c r="C688" i="5"/>
  <c r="D688" i="5"/>
  <c r="E688" i="5"/>
  <c r="F688" i="5"/>
  <c r="G688" i="5"/>
  <c r="H688" i="5"/>
  <c r="B692" i="5"/>
  <c r="B694" i="5" s="1"/>
  <c r="C692" i="5"/>
  <c r="D692" i="5"/>
  <c r="E692" i="5"/>
  <c r="F692" i="5"/>
  <c r="G692" i="5"/>
  <c r="H692" i="5"/>
  <c r="B693" i="5"/>
  <c r="C693" i="5"/>
  <c r="D693" i="5"/>
  <c r="E693" i="5"/>
  <c r="F693" i="5"/>
  <c r="G693" i="5"/>
  <c r="H693" i="5"/>
  <c r="A695" i="5"/>
  <c r="A697" i="5"/>
  <c r="A698" i="5"/>
  <c r="A9" i="30" s="1"/>
  <c r="B698" i="5"/>
  <c r="A699" i="5"/>
  <c r="C699" i="5"/>
  <c r="A701" i="5"/>
  <c r="B701" i="5"/>
  <c r="B703" i="5" s="1"/>
  <c r="C701" i="5"/>
  <c r="D701" i="5"/>
  <c r="E701" i="5"/>
  <c r="F701" i="5"/>
  <c r="G701" i="5"/>
  <c r="H701" i="5"/>
  <c r="B702" i="5"/>
  <c r="C702" i="5"/>
  <c r="D702" i="5"/>
  <c r="E702" i="5"/>
  <c r="F702" i="5"/>
  <c r="G702" i="5"/>
  <c r="H702" i="5"/>
  <c r="B706" i="5"/>
  <c r="B708" i="5" s="1"/>
  <c r="C706" i="5"/>
  <c r="D706" i="5"/>
  <c r="E706" i="5"/>
  <c r="F706" i="5"/>
  <c r="G706" i="5"/>
  <c r="H706" i="5"/>
  <c r="B707" i="5"/>
  <c r="C707" i="5"/>
  <c r="D707" i="5"/>
  <c r="E707" i="5"/>
  <c r="F707" i="5"/>
  <c r="G707" i="5"/>
  <c r="H707" i="5"/>
  <c r="A709" i="5"/>
  <c r="A711" i="5"/>
  <c r="A712" i="5"/>
  <c r="A10" i="30" s="1"/>
  <c r="B712" i="5"/>
  <c r="A713" i="5"/>
  <c r="C713" i="5"/>
  <c r="B715" i="5"/>
  <c r="B717" i="5" s="1"/>
  <c r="C715" i="5"/>
  <c r="D715" i="5"/>
  <c r="E715" i="5"/>
  <c r="F715" i="5"/>
  <c r="G715" i="5"/>
  <c r="H715" i="5"/>
  <c r="B716" i="5"/>
  <c r="C716" i="5"/>
  <c r="D716" i="5"/>
  <c r="E716" i="5"/>
  <c r="F716" i="5"/>
  <c r="G716" i="5"/>
  <c r="H716" i="5"/>
  <c r="B720" i="5"/>
  <c r="B722" i="5" s="1"/>
  <c r="C720" i="5"/>
  <c r="D720" i="5"/>
  <c r="E720" i="5"/>
  <c r="F720" i="5"/>
  <c r="G720" i="5"/>
  <c r="H720" i="5"/>
  <c r="L720" i="5"/>
  <c r="B721" i="5"/>
  <c r="C721" i="5"/>
  <c r="D721" i="5"/>
  <c r="E721" i="5"/>
  <c r="F721" i="5"/>
  <c r="G721" i="5"/>
  <c r="H721" i="5"/>
  <c r="M722" i="5"/>
  <c r="N722" i="5" s="1"/>
  <c r="A723" i="5"/>
  <c r="M723" i="5"/>
  <c r="N723" i="5"/>
  <c r="O723" i="5" s="1"/>
  <c r="P723" i="5" s="1"/>
  <c r="Q723" i="5" s="1"/>
  <c r="R723" i="5" s="1"/>
  <c r="S723" i="5" s="1"/>
  <c r="M725" i="5"/>
  <c r="N725" i="5" s="1"/>
  <c r="O725" i="5" s="1"/>
  <c r="P725" i="5" s="1"/>
  <c r="Q725" i="5" s="1"/>
  <c r="R725" i="5" s="1"/>
  <c r="S725" i="5" s="1"/>
  <c r="B726" i="5"/>
  <c r="M726" i="5"/>
  <c r="A727" i="5"/>
  <c r="C727" i="5"/>
  <c r="D727" i="5" s="1"/>
  <c r="E727" i="5" s="1"/>
  <c r="F727" i="5" s="1"/>
  <c r="G727" i="5" s="1"/>
  <c r="A729" i="5"/>
  <c r="B729" i="5"/>
  <c r="C729" i="5"/>
  <c r="D729" i="5"/>
  <c r="E729" i="5"/>
  <c r="F729" i="5"/>
  <c r="G729" i="5"/>
  <c r="H729" i="5"/>
  <c r="B733" i="5"/>
  <c r="A734" i="5"/>
  <c r="C734" i="5"/>
  <c r="D734" i="5" s="1"/>
  <c r="E734" i="5" s="1"/>
  <c r="M734" i="5"/>
  <c r="N734" i="5"/>
  <c r="O734" i="5"/>
  <c r="P734" i="5"/>
  <c r="Q734" i="5"/>
  <c r="A736" i="5"/>
  <c r="B736" i="5"/>
  <c r="C736" i="5"/>
  <c r="D736" i="5"/>
  <c r="E736" i="5"/>
  <c r="F736" i="5"/>
  <c r="G736" i="5"/>
  <c r="H736" i="5"/>
  <c r="B741" i="5"/>
  <c r="M735" i="5" s="1"/>
  <c r="C741" i="5"/>
  <c r="N735" i="5" s="1"/>
  <c r="D741" i="5"/>
  <c r="O735" i="5" s="1"/>
  <c r="E741" i="5"/>
  <c r="P735" i="5" s="1"/>
  <c r="F741" i="5"/>
  <c r="Q735" i="5" s="1"/>
  <c r="B742" i="5"/>
  <c r="M736" i="5" s="1"/>
  <c r="C742" i="5"/>
  <c r="N736" i="5" s="1"/>
  <c r="D742" i="5"/>
  <c r="O736" i="5" s="1"/>
  <c r="E742" i="5"/>
  <c r="P736" i="5" s="1"/>
  <c r="F742" i="5"/>
  <c r="Q736" i="5" s="1"/>
  <c r="B755" i="5"/>
  <c r="A756" i="5"/>
  <c r="C756" i="5"/>
  <c r="D756" i="5" s="1"/>
  <c r="A758" i="5"/>
  <c r="B758" i="5"/>
  <c r="C758" i="5"/>
  <c r="D758" i="5"/>
  <c r="E758" i="5"/>
  <c r="F758" i="5"/>
  <c r="G758" i="5"/>
  <c r="H758" i="5"/>
  <c r="C763" i="5"/>
  <c r="D763" i="5" s="1"/>
  <c r="D765" i="5" s="1"/>
  <c r="D18" i="30" s="1"/>
  <c r="B765" i="5"/>
  <c r="B18" i="30" s="1"/>
  <c r="G10" i="33" l="1"/>
  <c r="G12" i="33"/>
  <c r="C765" i="5"/>
  <c r="C18" i="30" s="1"/>
  <c r="E763" i="5"/>
  <c r="F763" i="5" s="1"/>
  <c r="F765" i="5" s="1"/>
  <c r="F18" i="30" s="1"/>
  <c r="C717" i="5"/>
  <c r="E756" i="5"/>
  <c r="F756" i="5" s="1"/>
  <c r="F734" i="5"/>
  <c r="C16" i="30"/>
  <c r="A675" i="5"/>
  <c r="O722" i="5"/>
  <c r="N724" i="5"/>
  <c r="D699" i="5"/>
  <c r="C708" i="5"/>
  <c r="G734" i="5"/>
  <c r="D713" i="5"/>
  <c r="C722" i="5"/>
  <c r="H727" i="5"/>
  <c r="D685" i="5"/>
  <c r="C694" i="5"/>
  <c r="C689" i="5"/>
  <c r="B16" i="30"/>
  <c r="C703" i="5"/>
  <c r="A674" i="5"/>
  <c r="AH8" i="5"/>
  <c r="F63" i="30"/>
  <c r="E63" i="30"/>
  <c r="D63" i="30"/>
  <c r="C63" i="30"/>
  <c r="B63" i="30"/>
  <c r="G63" i="30" s="1"/>
  <c r="A55" i="30"/>
  <c r="G54" i="30"/>
  <c r="G51" i="30"/>
  <c r="G50" i="30"/>
  <c r="G49" i="30"/>
  <c r="G48" i="30"/>
  <c r="G47" i="30"/>
  <c r="G46" i="30"/>
  <c r="F44" i="30"/>
  <c r="E44" i="30"/>
  <c r="D44" i="30"/>
  <c r="C44" i="30"/>
  <c r="B44" i="30"/>
  <c r="A44" i="30"/>
  <c r="G43" i="30"/>
  <c r="G42" i="30"/>
  <c r="G41" i="30"/>
  <c r="G40" i="30"/>
  <c r="G39" i="30"/>
  <c r="F37" i="30"/>
  <c r="E37" i="30"/>
  <c r="D37" i="30"/>
  <c r="C37" i="30"/>
  <c r="B37" i="30"/>
  <c r="A37" i="30"/>
  <c r="G36" i="30"/>
  <c r="G35" i="30"/>
  <c r="G37" i="30" s="1"/>
  <c r="I34" i="30"/>
  <c r="F33" i="30"/>
  <c r="E33" i="30"/>
  <c r="D33" i="30"/>
  <c r="C33" i="30"/>
  <c r="B33" i="30"/>
  <c r="A33" i="30"/>
  <c r="G32" i="30"/>
  <c r="G31" i="30"/>
  <c r="G33" i="30" s="1"/>
  <c r="I29" i="30"/>
  <c r="A28" i="30"/>
  <c r="A19" i="30"/>
  <c r="A27" i="30"/>
  <c r="A26" i="30"/>
  <c r="A15" i="30"/>
  <c r="A25" i="30"/>
  <c r="A24" i="30"/>
  <c r="N12" i="30"/>
  <c r="M12" i="30"/>
  <c r="L12" i="30"/>
  <c r="K12" i="30"/>
  <c r="J12" i="30"/>
  <c r="A11" i="30"/>
  <c r="B5" i="30"/>
  <c r="B6" i="30" s="1"/>
  <c r="C5" i="30" s="1"/>
  <c r="C6" i="30" s="1"/>
  <c r="D5" i="30" s="1"/>
  <c r="D6" i="30" s="1"/>
  <c r="E5" i="30" s="1"/>
  <c r="E6" i="30" s="1"/>
  <c r="F5" i="30" s="1"/>
  <c r="F6" i="30" s="1"/>
  <c r="A2" i="30"/>
  <c r="A1" i="30"/>
  <c r="B140" i="5"/>
  <c r="A18" i="15"/>
  <c r="A27" i="15" s="1"/>
  <c r="I29" i="15"/>
  <c r="B659" i="5"/>
  <c r="B18" i="15" s="1"/>
  <c r="C657" i="5"/>
  <c r="C659" i="5" s="1"/>
  <c r="C18" i="15" s="1"/>
  <c r="I29" i="14"/>
  <c r="A18" i="14"/>
  <c r="A27" i="14" s="1"/>
  <c r="B553" i="5"/>
  <c r="B18" i="14" s="1"/>
  <c r="C551" i="5"/>
  <c r="C553" i="5" s="1"/>
  <c r="C18" i="14" s="1"/>
  <c r="I29" i="13"/>
  <c r="A18" i="13"/>
  <c r="A27" i="13" s="1"/>
  <c r="B447" i="5"/>
  <c r="B18" i="13" s="1"/>
  <c r="C445" i="5"/>
  <c r="C447" i="5" s="1"/>
  <c r="C18" i="13" s="1"/>
  <c r="I29" i="1"/>
  <c r="I29" i="12"/>
  <c r="A18" i="12"/>
  <c r="A27" i="12" s="1"/>
  <c r="B341" i="5"/>
  <c r="B18" i="12" s="1"/>
  <c r="C339" i="5"/>
  <c r="C341" i="5" s="1"/>
  <c r="C18" i="12" s="1"/>
  <c r="I29" i="11"/>
  <c r="C127" i="5"/>
  <c r="D127" i="5" s="1"/>
  <c r="E127" i="5" s="1"/>
  <c r="F127" i="5" s="1"/>
  <c r="A27" i="11"/>
  <c r="G44" i="30" l="1"/>
  <c r="E765" i="5"/>
  <c r="E18" i="30" s="1"/>
  <c r="G18" i="30" s="1"/>
  <c r="D657" i="5"/>
  <c r="D659" i="5" s="1"/>
  <c r="D18" i="15" s="1"/>
  <c r="D445" i="5"/>
  <c r="E445" i="5" s="1"/>
  <c r="F445" i="5" s="1"/>
  <c r="F447" i="5" s="1"/>
  <c r="F18" i="13" s="1"/>
  <c r="D551" i="5"/>
  <c r="D553" i="5" s="1"/>
  <c r="D18" i="14" s="1"/>
  <c r="A24" i="5"/>
  <c r="A4" i="30" s="1"/>
  <c r="K94" i="16"/>
  <c r="P722" i="5"/>
  <c r="O724" i="5"/>
  <c r="E685" i="5"/>
  <c r="D694" i="5"/>
  <c r="D689" i="5"/>
  <c r="H734" i="5"/>
  <c r="G756" i="5"/>
  <c r="E713" i="5"/>
  <c r="D722" i="5"/>
  <c r="D717" i="5"/>
  <c r="D16" i="30"/>
  <c r="E699" i="5"/>
  <c r="D708" i="5"/>
  <c r="D703" i="5"/>
  <c r="D339" i="5"/>
  <c r="D341" i="5" s="1"/>
  <c r="D18" i="12" s="1"/>
  <c r="E447" i="5" l="1"/>
  <c r="E18" i="13" s="1"/>
  <c r="E551" i="5"/>
  <c r="E657" i="5"/>
  <c r="D447" i="5"/>
  <c r="D18" i="13" s="1"/>
  <c r="A662" i="5"/>
  <c r="E16" i="30"/>
  <c r="H756" i="5"/>
  <c r="E689" i="5"/>
  <c r="F685" i="5"/>
  <c r="E694" i="5"/>
  <c r="E703" i="5"/>
  <c r="E708" i="5"/>
  <c r="F699" i="5"/>
  <c r="E717" i="5"/>
  <c r="F713" i="5"/>
  <c r="E722" i="5"/>
  <c r="Q722" i="5"/>
  <c r="P724" i="5"/>
  <c r="E659" i="5"/>
  <c r="E18" i="15" s="1"/>
  <c r="F657" i="5"/>
  <c r="F659" i="5" s="1"/>
  <c r="F18" i="15" s="1"/>
  <c r="E553" i="5"/>
  <c r="E18" i="14" s="1"/>
  <c r="F551" i="5"/>
  <c r="F553" i="5" s="1"/>
  <c r="F18" i="14" s="1"/>
  <c r="E339" i="5"/>
  <c r="E341" i="5" s="1"/>
  <c r="E18" i="12" s="1"/>
  <c r="F339" i="5" l="1"/>
  <c r="F341" i="5" s="1"/>
  <c r="F18" i="12" s="1"/>
  <c r="F689" i="5"/>
  <c r="G685" i="5"/>
  <c r="F694" i="5"/>
  <c r="F717" i="5"/>
  <c r="G713" i="5"/>
  <c r="F722" i="5"/>
  <c r="F703" i="5"/>
  <c r="F708" i="5"/>
  <c r="G699" i="5"/>
  <c r="Q724" i="5"/>
  <c r="R722" i="5"/>
  <c r="F16" i="30"/>
  <c r="G16" i="30" s="1"/>
  <c r="H713" i="5" l="1"/>
  <c r="G722" i="5"/>
  <c r="G717" i="5"/>
  <c r="S722" i="5"/>
  <c r="S724" i="5" s="1"/>
  <c r="R724" i="5"/>
  <c r="H699" i="5"/>
  <c r="G708" i="5"/>
  <c r="G703" i="5"/>
  <c r="H685" i="5"/>
  <c r="G694" i="5"/>
  <c r="G689" i="5"/>
  <c r="A18" i="1"/>
  <c r="B129" i="5"/>
  <c r="B18" i="1" s="1"/>
  <c r="B36" i="16" l="1"/>
  <c r="H708" i="5"/>
  <c r="H703" i="5"/>
  <c r="H694" i="5"/>
  <c r="H689" i="5"/>
  <c r="H722" i="5"/>
  <c r="H717" i="5"/>
  <c r="A27" i="1"/>
  <c r="A36" i="16"/>
  <c r="A64" i="16" s="1"/>
  <c r="D129" i="5"/>
  <c r="D18" i="1" s="1"/>
  <c r="D36" i="16" s="1"/>
  <c r="C129" i="5"/>
  <c r="C18" i="1" s="1"/>
  <c r="C36" i="16" s="1"/>
  <c r="F129" i="5" l="1"/>
  <c r="F18" i="1" s="1"/>
  <c r="F36" i="16" s="1"/>
  <c r="E129" i="5"/>
  <c r="E18" i="1" s="1"/>
  <c r="E36" i="16" s="1"/>
  <c r="G36" i="16" l="1"/>
  <c r="G18" i="1"/>
  <c r="A16" i="5"/>
  <c r="A15" i="5"/>
  <c r="A13" i="5"/>
  <c r="B13" i="17" s="1"/>
  <c r="B15" i="17" s="1"/>
  <c r="C12" i="5"/>
  <c r="A12" i="5"/>
  <c r="H3" i="34" l="1"/>
  <c r="A3" i="34" s="1"/>
  <c r="H9" i="34"/>
  <c r="A9" i="34" s="1"/>
  <c r="B15" i="5"/>
  <c r="C13" i="5" l="1"/>
  <c r="M192" i="5" l="1"/>
  <c r="N192" i="5" s="1"/>
  <c r="M193" i="5"/>
  <c r="N193" i="5" s="1"/>
  <c r="AH18" i="5" l="1"/>
  <c r="A19" i="34" s="1"/>
  <c r="AH17" i="5"/>
  <c r="A18" i="34" s="1"/>
  <c r="AH16" i="5"/>
  <c r="A17" i="34" s="1"/>
  <c r="AH15" i="5"/>
  <c r="A16" i="34" s="1"/>
  <c r="AH14" i="5"/>
  <c r="A15" i="34" s="1"/>
  <c r="AH13" i="5"/>
  <c r="A14" i="34" s="1"/>
  <c r="C59" i="26" l="1"/>
  <c r="C59" i="27"/>
  <c r="C59" i="28"/>
  <c r="C59" i="29"/>
  <c r="C59" i="25"/>
  <c r="A5" i="29"/>
  <c r="A5" i="28"/>
  <c r="A5" i="27"/>
  <c r="A5" i="26"/>
  <c r="A5" i="25"/>
  <c r="G54" i="29"/>
  <c r="G54" i="28"/>
  <c r="G54" i="27"/>
  <c r="G54" i="26"/>
  <c r="G54" i="25"/>
  <c r="G54" i="10"/>
  <c r="G54" i="9"/>
  <c r="G54" i="8"/>
  <c r="G54" i="7"/>
  <c r="G54" i="4"/>
  <c r="F52" i="29" l="1"/>
  <c r="E52" i="29"/>
  <c r="D52" i="29"/>
  <c r="C52" i="29"/>
  <c r="B52" i="29"/>
  <c r="G51" i="29"/>
  <c r="G50" i="29"/>
  <c r="G49" i="29"/>
  <c r="G48" i="29"/>
  <c r="G47" i="29"/>
  <c r="G46" i="29"/>
  <c r="G45" i="29"/>
  <c r="G44" i="29"/>
  <c r="G43" i="29"/>
  <c r="F41" i="29"/>
  <c r="E41" i="29"/>
  <c r="D41" i="29"/>
  <c r="C41" i="29"/>
  <c r="B41" i="29"/>
  <c r="G40" i="29"/>
  <c r="G39" i="29"/>
  <c r="G38" i="29"/>
  <c r="G37" i="29"/>
  <c r="G36" i="29"/>
  <c r="F34" i="29"/>
  <c r="E34" i="29"/>
  <c r="D34" i="29"/>
  <c r="C34" i="29"/>
  <c r="B34" i="29"/>
  <c r="G33" i="29"/>
  <c r="G32" i="29"/>
  <c r="G34" i="29" s="1"/>
  <c r="F30" i="29"/>
  <c r="E30" i="29"/>
  <c r="D30" i="29"/>
  <c r="C30" i="29"/>
  <c r="B30" i="29"/>
  <c r="G29" i="29"/>
  <c r="G28" i="29"/>
  <c r="G30" i="29" s="1"/>
  <c r="F25" i="29"/>
  <c r="E25" i="29"/>
  <c r="D25" i="29"/>
  <c r="C25" i="29"/>
  <c r="B25" i="29"/>
  <c r="G24" i="29"/>
  <c r="G23" i="29"/>
  <c r="G22" i="29"/>
  <c r="G21" i="29"/>
  <c r="A21" i="29"/>
  <c r="G20" i="29"/>
  <c r="A20" i="29"/>
  <c r="F18" i="29"/>
  <c r="E18" i="29"/>
  <c r="D18" i="29"/>
  <c r="C18" i="29"/>
  <c r="B18" i="29"/>
  <c r="A18" i="29"/>
  <c r="G17" i="29"/>
  <c r="G16" i="29"/>
  <c r="G15" i="29"/>
  <c r="G14" i="29"/>
  <c r="G13" i="29"/>
  <c r="G12" i="29"/>
  <c r="G18" i="29" s="1"/>
  <c r="F10" i="29"/>
  <c r="E10" i="29"/>
  <c r="E26" i="29" s="1"/>
  <c r="D10" i="29"/>
  <c r="C10" i="29"/>
  <c r="B10" i="29"/>
  <c r="A10" i="29"/>
  <c r="G9" i="29"/>
  <c r="G8" i="29"/>
  <c r="G10" i="29" s="1"/>
  <c r="F52" i="28"/>
  <c r="E52" i="28"/>
  <c r="D52" i="28"/>
  <c r="C52" i="28"/>
  <c r="B52" i="28"/>
  <c r="G51" i="28"/>
  <c r="G50" i="28"/>
  <c r="G49" i="28"/>
  <c r="G48" i="28"/>
  <c r="G47" i="28"/>
  <c r="G46" i="28"/>
  <c r="G45" i="28"/>
  <c r="G44" i="28"/>
  <c r="G43" i="28"/>
  <c r="F41" i="28"/>
  <c r="E41" i="28"/>
  <c r="D41" i="28"/>
  <c r="C41" i="28"/>
  <c r="B41" i="28"/>
  <c r="G40" i="28"/>
  <c r="G39" i="28"/>
  <c r="G38" i="28"/>
  <c r="G37" i="28"/>
  <c r="G36" i="28"/>
  <c r="F34" i="28"/>
  <c r="E34" i="28"/>
  <c r="D34" i="28"/>
  <c r="C34" i="28"/>
  <c r="B34" i="28"/>
  <c r="G33" i="28"/>
  <c r="G32" i="28"/>
  <c r="F30" i="28"/>
  <c r="E30" i="28"/>
  <c r="D30" i="28"/>
  <c r="C30" i="28"/>
  <c r="B30" i="28"/>
  <c r="G29" i="28"/>
  <c r="G28" i="28"/>
  <c r="G30" i="28" s="1"/>
  <c r="F25" i="28"/>
  <c r="E25" i="28"/>
  <c r="D25" i="28"/>
  <c r="C25" i="28"/>
  <c r="B25" i="28"/>
  <c r="G24" i="28"/>
  <c r="G23" i="28"/>
  <c r="G22" i="28"/>
  <c r="G21" i="28"/>
  <c r="A21" i="28"/>
  <c r="G20" i="28"/>
  <c r="A20" i="28"/>
  <c r="F18" i="28"/>
  <c r="E18" i="28"/>
  <c r="D18" i="28"/>
  <c r="C18" i="28"/>
  <c r="B18" i="28"/>
  <c r="A18" i="28"/>
  <c r="G17" i="28"/>
  <c r="G16" i="28"/>
  <c r="G15" i="28"/>
  <c r="G14" i="28"/>
  <c r="G13" i="28"/>
  <c r="G12" i="28"/>
  <c r="F10" i="28"/>
  <c r="E10" i="28"/>
  <c r="D10" i="28"/>
  <c r="C10" i="28"/>
  <c r="B10" i="28"/>
  <c r="A10" i="28"/>
  <c r="G9" i="28"/>
  <c r="G8" i="28"/>
  <c r="G10" i="28" s="1"/>
  <c r="F52" i="27"/>
  <c r="E52" i="27"/>
  <c r="D52" i="27"/>
  <c r="C52" i="27"/>
  <c r="C53" i="27" s="1"/>
  <c r="C55" i="27" s="1"/>
  <c r="C56" i="27" s="1"/>
  <c r="B52" i="27"/>
  <c r="G51" i="27"/>
  <c r="G50" i="27"/>
  <c r="G49" i="27"/>
  <c r="G48" i="27"/>
  <c r="G47" i="27"/>
  <c r="G46" i="27"/>
  <c r="G45" i="27"/>
  <c r="G44" i="27"/>
  <c r="G43" i="27"/>
  <c r="F41" i="27"/>
  <c r="E41" i="27"/>
  <c r="D41" i="27"/>
  <c r="C41" i="27"/>
  <c r="B41" i="27"/>
  <c r="G40" i="27"/>
  <c r="G39" i="27"/>
  <c r="G38" i="27"/>
  <c r="G37" i="27"/>
  <c r="G36" i="27"/>
  <c r="F34" i="27"/>
  <c r="E34" i="27"/>
  <c r="D34" i="27"/>
  <c r="C34" i="27"/>
  <c r="B34" i="27"/>
  <c r="G33" i="27"/>
  <c r="G32" i="27"/>
  <c r="F30" i="27"/>
  <c r="E30" i="27"/>
  <c r="D30" i="27"/>
  <c r="C30" i="27"/>
  <c r="B30" i="27"/>
  <c r="G29" i="27"/>
  <c r="G28" i="27"/>
  <c r="F25" i="27"/>
  <c r="E25" i="27"/>
  <c r="D25" i="27"/>
  <c r="C25" i="27"/>
  <c r="B25" i="27"/>
  <c r="G24" i="27"/>
  <c r="G23" i="27"/>
  <c r="G22" i="27"/>
  <c r="G21" i="27"/>
  <c r="A21" i="27"/>
  <c r="G20" i="27"/>
  <c r="A20" i="27"/>
  <c r="F18" i="27"/>
  <c r="E18" i="27"/>
  <c r="D18" i="27"/>
  <c r="C18" i="27"/>
  <c r="B18" i="27"/>
  <c r="A18" i="27"/>
  <c r="G17" i="27"/>
  <c r="G16" i="27"/>
  <c r="G15" i="27"/>
  <c r="G14" i="27"/>
  <c r="G13" i="27"/>
  <c r="G12" i="27"/>
  <c r="F10" i="27"/>
  <c r="E10" i="27"/>
  <c r="D10" i="27"/>
  <c r="C10" i="27"/>
  <c r="B10" i="27"/>
  <c r="A10" i="27"/>
  <c r="G9" i="27"/>
  <c r="G8" i="27"/>
  <c r="G10" i="27" s="1"/>
  <c r="F52" i="26"/>
  <c r="E52" i="26"/>
  <c r="D52" i="26"/>
  <c r="C52" i="26"/>
  <c r="B52" i="26"/>
  <c r="G51" i="26"/>
  <c r="G50" i="26"/>
  <c r="G49" i="26"/>
  <c r="G48" i="26"/>
  <c r="G47" i="26"/>
  <c r="G46" i="26"/>
  <c r="G45" i="26"/>
  <c r="G44" i="26"/>
  <c r="G43" i="26"/>
  <c r="F41" i="26"/>
  <c r="E41" i="26"/>
  <c r="D41" i="26"/>
  <c r="C41" i="26"/>
  <c r="B41" i="26"/>
  <c r="G40" i="26"/>
  <c r="G39" i="26"/>
  <c r="G38" i="26"/>
  <c r="G37" i="26"/>
  <c r="G36" i="26"/>
  <c r="F34" i="26"/>
  <c r="E34" i="26"/>
  <c r="D34" i="26"/>
  <c r="C34" i="26"/>
  <c r="B34" i="26"/>
  <c r="G33" i="26"/>
  <c r="G32" i="26"/>
  <c r="F30" i="26"/>
  <c r="E30" i="26"/>
  <c r="D30" i="26"/>
  <c r="C30" i="26"/>
  <c r="B30" i="26"/>
  <c r="G29" i="26"/>
  <c r="G28" i="26"/>
  <c r="G30" i="26" s="1"/>
  <c r="F25" i="26"/>
  <c r="E25" i="26"/>
  <c r="D25" i="26"/>
  <c r="C25" i="26"/>
  <c r="B25" i="26"/>
  <c r="G24" i="26"/>
  <c r="G23" i="26"/>
  <c r="G22" i="26"/>
  <c r="G21" i="26"/>
  <c r="A21" i="26"/>
  <c r="G20" i="26"/>
  <c r="A20" i="26"/>
  <c r="F18" i="26"/>
  <c r="E18" i="26"/>
  <c r="D18" i="26"/>
  <c r="C18" i="26"/>
  <c r="B18" i="26"/>
  <c r="A18" i="26"/>
  <c r="G17" i="26"/>
  <c r="G16" i="26"/>
  <c r="G15" i="26"/>
  <c r="G14" i="26"/>
  <c r="G13" i="26"/>
  <c r="G12" i="26"/>
  <c r="G18" i="26" s="1"/>
  <c r="F10" i="26"/>
  <c r="F26" i="26" s="1"/>
  <c r="E10" i="26"/>
  <c r="D10" i="26"/>
  <c r="C10" i="26"/>
  <c r="B10" i="26"/>
  <c r="A10" i="26"/>
  <c r="G9" i="26"/>
  <c r="G8" i="26"/>
  <c r="G10" i="26" s="1"/>
  <c r="F52" i="25"/>
  <c r="E52" i="25"/>
  <c r="D52" i="25"/>
  <c r="C52" i="25"/>
  <c r="B52" i="25"/>
  <c r="G51" i="25"/>
  <c r="G50" i="25"/>
  <c r="G49" i="25"/>
  <c r="G48" i="25"/>
  <c r="G47" i="25"/>
  <c r="G46" i="25"/>
  <c r="G45" i="25"/>
  <c r="G44" i="25"/>
  <c r="G43" i="25"/>
  <c r="F41" i="25"/>
  <c r="E41" i="25"/>
  <c r="D41" i="25"/>
  <c r="C41" i="25"/>
  <c r="B41" i="25"/>
  <c r="G40" i="25"/>
  <c r="G39" i="25"/>
  <c r="G38" i="25"/>
  <c r="G37" i="25"/>
  <c r="G36" i="25"/>
  <c r="F34" i="25"/>
  <c r="E34" i="25"/>
  <c r="D34" i="25"/>
  <c r="C34" i="25"/>
  <c r="B34" i="25"/>
  <c r="G33" i="25"/>
  <c r="G34" i="25" s="1"/>
  <c r="G32" i="25"/>
  <c r="F30" i="25"/>
  <c r="E30" i="25"/>
  <c r="D30" i="25"/>
  <c r="C30" i="25"/>
  <c r="B30" i="25"/>
  <c r="G29" i="25"/>
  <c r="G28" i="25"/>
  <c r="F25" i="25"/>
  <c r="E25" i="25"/>
  <c r="D25" i="25"/>
  <c r="C25" i="25"/>
  <c r="B25" i="25"/>
  <c r="G24" i="25"/>
  <c r="G23" i="25"/>
  <c r="G22" i="25"/>
  <c r="G21" i="25"/>
  <c r="A21" i="25"/>
  <c r="G20" i="25"/>
  <c r="A20" i="25"/>
  <c r="F18" i="25"/>
  <c r="E18" i="25"/>
  <c r="D18" i="25"/>
  <c r="C18" i="25"/>
  <c r="B18" i="25"/>
  <c r="A18" i="25"/>
  <c r="G17" i="25"/>
  <c r="G16" i="25"/>
  <c r="G15" i="25"/>
  <c r="G14" i="25"/>
  <c r="G13" i="25"/>
  <c r="G12" i="25"/>
  <c r="G18" i="25" s="1"/>
  <c r="F10" i="25"/>
  <c r="E10" i="25"/>
  <c r="D10" i="25"/>
  <c r="C10" i="25"/>
  <c r="B10" i="25"/>
  <c r="A10" i="25"/>
  <c r="G9" i="25"/>
  <c r="G8" i="25"/>
  <c r="G10" i="25" s="1"/>
  <c r="G18" i="27" l="1"/>
  <c r="G34" i="28"/>
  <c r="D53" i="27"/>
  <c r="D55" i="27" s="1"/>
  <c r="D56" i="27" s="1"/>
  <c r="E53" i="27"/>
  <c r="G30" i="25"/>
  <c r="B53" i="25"/>
  <c r="F53" i="27"/>
  <c r="F55" i="27" s="1"/>
  <c r="F56" i="27" s="1"/>
  <c r="C53" i="25"/>
  <c r="E26" i="27"/>
  <c r="G52" i="29"/>
  <c r="D53" i="25"/>
  <c r="D55" i="25" s="1"/>
  <c r="D56" i="25" s="1"/>
  <c r="F26" i="27"/>
  <c r="G34" i="27"/>
  <c r="B53" i="28"/>
  <c r="B55" i="28" s="1"/>
  <c r="E53" i="25"/>
  <c r="E55" i="25" s="1"/>
  <c r="E56" i="25" s="1"/>
  <c r="C53" i="28"/>
  <c r="C55" i="28" s="1"/>
  <c r="C56" i="28" s="1"/>
  <c r="F53" i="25"/>
  <c r="F55" i="25" s="1"/>
  <c r="F56" i="25" s="1"/>
  <c r="D53" i="28"/>
  <c r="D55" i="28" s="1"/>
  <c r="D56" i="28" s="1"/>
  <c r="E26" i="25"/>
  <c r="E53" i="28"/>
  <c r="B53" i="26"/>
  <c r="B55" i="26" s="1"/>
  <c r="F53" i="28"/>
  <c r="C53" i="26"/>
  <c r="C55" i="26" s="1"/>
  <c r="C56" i="26" s="1"/>
  <c r="D53" i="26"/>
  <c r="D55" i="26" s="1"/>
  <c r="D56" i="26" s="1"/>
  <c r="B53" i="29"/>
  <c r="B55" i="29" s="1"/>
  <c r="E53" i="26"/>
  <c r="E55" i="26" s="1"/>
  <c r="E56" i="26" s="1"/>
  <c r="G18" i="28"/>
  <c r="C53" i="29"/>
  <c r="C55" i="29" s="1"/>
  <c r="C56" i="29" s="1"/>
  <c r="F53" i="26"/>
  <c r="F55" i="26" s="1"/>
  <c r="F56" i="26" s="1"/>
  <c r="B26" i="29"/>
  <c r="D53" i="29"/>
  <c r="D55" i="29" s="1"/>
  <c r="D56" i="29" s="1"/>
  <c r="G30" i="27"/>
  <c r="E53" i="29"/>
  <c r="E55" i="29" s="1"/>
  <c r="E56" i="29" s="1"/>
  <c r="G34" i="26"/>
  <c r="B53" i="27"/>
  <c r="F53" i="29"/>
  <c r="F55" i="29" s="1"/>
  <c r="F56" i="29" s="1"/>
  <c r="E55" i="28"/>
  <c r="E56" i="28" s="1"/>
  <c r="F55" i="28"/>
  <c r="F56" i="28" s="1"/>
  <c r="C57" i="27"/>
  <c r="D57" i="27"/>
  <c r="E55" i="27"/>
  <c r="E56" i="27" s="1"/>
  <c r="B55" i="27"/>
  <c r="B56" i="26"/>
  <c r="D57" i="25"/>
  <c r="B55" i="25"/>
  <c r="C55" i="25"/>
  <c r="C56" i="25" s="1"/>
  <c r="G25" i="28"/>
  <c r="G52" i="27"/>
  <c r="G25" i="26"/>
  <c r="G26" i="26" s="1"/>
  <c r="G41" i="25"/>
  <c r="G52" i="25"/>
  <c r="G41" i="29"/>
  <c r="G25" i="29"/>
  <c r="G26" i="29" s="1"/>
  <c r="G52" i="28"/>
  <c r="G41" i="28"/>
  <c r="G41" i="27"/>
  <c r="G25" i="27"/>
  <c r="G26" i="27" s="1"/>
  <c r="G52" i="26"/>
  <c r="G41" i="26"/>
  <c r="G25" i="25"/>
  <c r="F26" i="29"/>
  <c r="C26" i="29"/>
  <c r="D26" i="29"/>
  <c r="B26" i="28"/>
  <c r="F26" i="28"/>
  <c r="C26" i="28"/>
  <c r="E26" i="28"/>
  <c r="D26" i="28"/>
  <c r="B26" i="27"/>
  <c r="C26" i="27"/>
  <c r="D26" i="27"/>
  <c r="E26" i="26"/>
  <c r="B26" i="26"/>
  <c r="C26" i="26"/>
  <c r="D26" i="26"/>
  <c r="B26" i="25"/>
  <c r="F26" i="25"/>
  <c r="C26" i="25"/>
  <c r="D26" i="25"/>
  <c r="M32" i="5"/>
  <c r="M406" i="5" s="1"/>
  <c r="M2" i="23"/>
  <c r="N2" i="23" s="1"/>
  <c r="E6" i="3"/>
  <c r="C31" i="1" s="1"/>
  <c r="C68" i="16" s="1"/>
  <c r="F6" i="3"/>
  <c r="G6" i="3"/>
  <c r="H6" i="3"/>
  <c r="D6" i="3"/>
  <c r="B31" i="1" s="1"/>
  <c r="B68" i="16" s="1"/>
  <c r="G90" i="3"/>
  <c r="H90" i="3"/>
  <c r="I90" i="3"/>
  <c r="J90" i="3"/>
  <c r="F90" i="3"/>
  <c r="G82" i="3"/>
  <c r="H82" i="3"/>
  <c r="I82" i="3"/>
  <c r="J82" i="3"/>
  <c r="F51" i="1" s="1"/>
  <c r="F88" i="16" s="1"/>
  <c r="F82" i="3"/>
  <c r="G74" i="3"/>
  <c r="H74" i="3"/>
  <c r="I74" i="3"/>
  <c r="J74" i="3"/>
  <c r="F74" i="3"/>
  <c r="F58" i="3"/>
  <c r="B47" i="1" s="1"/>
  <c r="F50" i="3"/>
  <c r="B46" i="1" s="1"/>
  <c r="G42" i="3"/>
  <c r="H42" i="3"/>
  <c r="I42" i="3"/>
  <c r="J42" i="3"/>
  <c r="F42" i="3"/>
  <c r="B51" i="21"/>
  <c r="C51" i="21"/>
  <c r="D51" i="21"/>
  <c r="E51" i="21"/>
  <c r="F51" i="21"/>
  <c r="B62" i="24"/>
  <c r="C62" i="24"/>
  <c r="C65" i="24"/>
  <c r="A62" i="24"/>
  <c r="A63" i="24"/>
  <c r="A64" i="24"/>
  <c r="A2" i="24"/>
  <c r="A1" i="24"/>
  <c r="B5" i="24"/>
  <c r="J88" i="24" s="1"/>
  <c r="J89" i="24" s="1"/>
  <c r="K88" i="24" s="1"/>
  <c r="K89" i="24" s="1"/>
  <c r="L88" i="24" s="1"/>
  <c r="L89" i="24" s="1"/>
  <c r="M88" i="24" s="1"/>
  <c r="M89" i="24" s="1"/>
  <c r="N88" i="24" s="1"/>
  <c r="N89" i="24" s="1"/>
  <c r="I30" i="22"/>
  <c r="I54" i="22" s="1"/>
  <c r="H30" i="22"/>
  <c r="H54" i="22" s="1"/>
  <c r="I32" i="22"/>
  <c r="I56" i="22" s="1"/>
  <c r="H32" i="22"/>
  <c r="H56" i="22" s="1"/>
  <c r="I31" i="22"/>
  <c r="I55" i="22" s="1"/>
  <c r="H31" i="22"/>
  <c r="H55" i="22" s="1"/>
  <c r="G30" i="22"/>
  <c r="G31" i="22"/>
  <c r="G32" i="22"/>
  <c r="G65" i="22"/>
  <c r="G66" i="22"/>
  <c r="G67" i="22"/>
  <c r="A55" i="22"/>
  <c r="A56" i="22"/>
  <c r="A54" i="22"/>
  <c r="I24" i="22"/>
  <c r="I52" i="22" s="1"/>
  <c r="I25" i="22"/>
  <c r="I53" i="22" s="1"/>
  <c r="I23" i="22"/>
  <c r="I51" i="22" s="1"/>
  <c r="I21" i="22"/>
  <c r="I49" i="22" s="1"/>
  <c r="I22" i="22"/>
  <c r="I50" i="22" s="1"/>
  <c r="I20" i="22"/>
  <c r="I48" i="22" s="1"/>
  <c r="I18" i="22"/>
  <c r="I46" i="22" s="1"/>
  <c r="I19" i="22"/>
  <c r="I47" i="22" s="1"/>
  <c r="I17" i="22"/>
  <c r="I45" i="22" s="1"/>
  <c r="I15" i="22"/>
  <c r="I43" i="22" s="1"/>
  <c r="I16" i="22"/>
  <c r="I44" i="22" s="1"/>
  <c r="I14" i="22"/>
  <c r="I42" i="22" s="1"/>
  <c r="I12" i="22"/>
  <c r="I40" i="22" s="1"/>
  <c r="I13" i="22"/>
  <c r="I41" i="22" s="1"/>
  <c r="I11" i="22"/>
  <c r="I39" i="22" s="1"/>
  <c r="I9" i="22"/>
  <c r="I37" i="22" s="1"/>
  <c r="I10" i="22"/>
  <c r="I38" i="22" s="1"/>
  <c r="I8" i="22"/>
  <c r="I36" i="22" s="1"/>
  <c r="C2" i="20"/>
  <c r="D2" i="20"/>
  <c r="E2" i="20"/>
  <c r="F2" i="20"/>
  <c r="G2" i="20"/>
  <c r="B2" i="20"/>
  <c r="H25" i="22"/>
  <c r="H53" i="22" s="1"/>
  <c r="H24" i="22"/>
  <c r="H52" i="22" s="1"/>
  <c r="H22" i="22"/>
  <c r="H50" i="22" s="1"/>
  <c r="H23" i="22"/>
  <c r="H51" i="22" s="1"/>
  <c r="H21" i="22"/>
  <c r="H49" i="22" s="1"/>
  <c r="H18" i="22"/>
  <c r="H46" i="22" s="1"/>
  <c r="H19" i="22"/>
  <c r="H47" i="22" s="1"/>
  <c r="H20" i="22"/>
  <c r="H48" i="22" s="1"/>
  <c r="H17" i="22"/>
  <c r="H45" i="22" s="1"/>
  <c r="H15" i="22"/>
  <c r="H43" i="22" s="1"/>
  <c r="H16" i="22"/>
  <c r="H44" i="22" s="1"/>
  <c r="H14" i="22"/>
  <c r="H42" i="22" s="1"/>
  <c r="H12" i="22"/>
  <c r="H40" i="22" s="1"/>
  <c r="H13" i="22"/>
  <c r="H41" i="22" s="1"/>
  <c r="H11" i="22"/>
  <c r="H39" i="22" s="1"/>
  <c r="H9" i="22"/>
  <c r="H37" i="22" s="1"/>
  <c r="H10" i="22"/>
  <c r="H38" i="22" s="1"/>
  <c r="H8" i="22"/>
  <c r="C19" i="23"/>
  <c r="N85" i="23" s="1"/>
  <c r="D19" i="23"/>
  <c r="O85" i="23" s="1"/>
  <c r="E19" i="23"/>
  <c r="P85" i="23" s="1"/>
  <c r="F19" i="23"/>
  <c r="Q85" i="23" s="1"/>
  <c r="B19" i="23"/>
  <c r="M85" i="23" s="1"/>
  <c r="C10" i="23"/>
  <c r="N41" i="23" s="1"/>
  <c r="D10" i="23"/>
  <c r="O41" i="23" s="1"/>
  <c r="E10" i="23"/>
  <c r="P41" i="23" s="1"/>
  <c r="F10" i="23"/>
  <c r="Q41" i="23" s="1"/>
  <c r="B10" i="23"/>
  <c r="M41" i="23" s="1"/>
  <c r="O47" i="22"/>
  <c r="F21" i="23" s="1"/>
  <c r="Q87" i="23" s="1"/>
  <c r="N47" i="22"/>
  <c r="E21" i="23" s="1"/>
  <c r="P87" i="23" s="1"/>
  <c r="M47" i="22"/>
  <c r="D21" i="23" s="1"/>
  <c r="O87" i="23" s="1"/>
  <c r="L47" i="22"/>
  <c r="C21" i="23" s="1"/>
  <c r="N87" i="23" s="1"/>
  <c r="K47" i="22"/>
  <c r="B21" i="23" s="1"/>
  <c r="M87" i="23" s="1"/>
  <c r="O46" i="22"/>
  <c r="F20" i="23" s="1"/>
  <c r="Q86" i="23" s="1"/>
  <c r="N46" i="22"/>
  <c r="E20" i="23" s="1"/>
  <c r="P86" i="23" s="1"/>
  <c r="M46" i="22"/>
  <c r="D20" i="23" s="1"/>
  <c r="O86" i="23" s="1"/>
  <c r="L46" i="22"/>
  <c r="C20" i="23" s="1"/>
  <c r="N86" i="23" s="1"/>
  <c r="K46" i="22"/>
  <c r="B20" i="23" s="1"/>
  <c r="M86" i="23" s="1"/>
  <c r="O33" i="22"/>
  <c r="F12" i="23" s="1"/>
  <c r="Q43" i="23" s="1"/>
  <c r="N33" i="22"/>
  <c r="E12" i="23" s="1"/>
  <c r="P43" i="23" s="1"/>
  <c r="M33" i="22"/>
  <c r="D12" i="23" s="1"/>
  <c r="O43" i="23" s="1"/>
  <c r="L33" i="22"/>
  <c r="C12" i="23" s="1"/>
  <c r="N43" i="23" s="1"/>
  <c r="K33" i="22"/>
  <c r="B12" i="23" s="1"/>
  <c r="M43" i="23" s="1"/>
  <c r="O32" i="22"/>
  <c r="F11" i="23" s="1"/>
  <c r="Q42" i="23" s="1"/>
  <c r="N32" i="22"/>
  <c r="E11" i="23" s="1"/>
  <c r="P42" i="23" s="1"/>
  <c r="M32" i="22"/>
  <c r="D11" i="23" s="1"/>
  <c r="O42" i="23" s="1"/>
  <c r="L32" i="22"/>
  <c r="C11" i="23" s="1"/>
  <c r="N42" i="23" s="1"/>
  <c r="K32" i="22"/>
  <c r="B11" i="23" s="1"/>
  <c r="M42" i="23" s="1"/>
  <c r="C291" i="5"/>
  <c r="C292" i="5"/>
  <c r="C176" i="5"/>
  <c r="C177" i="5"/>
  <c r="K49" i="22"/>
  <c r="L49" i="22"/>
  <c r="M49" i="22"/>
  <c r="N49" i="22"/>
  <c r="O49" i="22"/>
  <c r="N11" i="23"/>
  <c r="N12" i="23"/>
  <c r="N33" i="5"/>
  <c r="O33" i="5" s="1"/>
  <c r="N34" i="5"/>
  <c r="O34" i="5" s="1"/>
  <c r="M12" i="23"/>
  <c r="M74" i="23" s="1"/>
  <c r="M14" i="23"/>
  <c r="M32" i="23" s="1"/>
  <c r="N32" i="23" s="1"/>
  <c r="O32" i="23" s="1"/>
  <c r="P32" i="23" s="1"/>
  <c r="Q32" i="23" s="1"/>
  <c r="R32" i="23" s="1"/>
  <c r="S32" i="23" s="1"/>
  <c r="M15" i="23"/>
  <c r="M76" i="23" s="1"/>
  <c r="N76" i="23" s="1"/>
  <c r="O76" i="23" s="1"/>
  <c r="P76" i="23" s="1"/>
  <c r="Q76" i="23" s="1"/>
  <c r="R76" i="23" s="1"/>
  <c r="S76" i="23" s="1"/>
  <c r="M16" i="23"/>
  <c r="M77" i="23" s="1"/>
  <c r="M11" i="23"/>
  <c r="M73" i="23" s="1"/>
  <c r="L35" i="22"/>
  <c r="M35" i="22"/>
  <c r="N35" i="22"/>
  <c r="O35" i="22"/>
  <c r="K35" i="22"/>
  <c r="B5" i="23"/>
  <c r="L71" i="23"/>
  <c r="L27" i="23"/>
  <c r="J88" i="22"/>
  <c r="J87" i="22"/>
  <c r="A85" i="22"/>
  <c r="A84" i="22"/>
  <c r="A82" i="22"/>
  <c r="G81" i="22"/>
  <c r="G80" i="22"/>
  <c r="G79" i="22"/>
  <c r="A75" i="22"/>
  <c r="G74" i="22"/>
  <c r="A74" i="22"/>
  <c r="G73" i="22"/>
  <c r="A73" i="22"/>
  <c r="G72" i="22"/>
  <c r="A72" i="22"/>
  <c r="G71" i="22"/>
  <c r="A71" i="22"/>
  <c r="G70" i="22"/>
  <c r="A70" i="22"/>
  <c r="C68" i="22"/>
  <c r="A68" i="22"/>
  <c r="F68" i="22"/>
  <c r="E68" i="22"/>
  <c r="D68" i="22"/>
  <c r="B68" i="22"/>
  <c r="A62" i="22"/>
  <c r="G61" i="22"/>
  <c r="F62" i="22"/>
  <c r="E62" i="22"/>
  <c r="D62" i="22"/>
  <c r="C62" i="22"/>
  <c r="G60" i="22"/>
  <c r="A57" i="22"/>
  <c r="A33" i="22"/>
  <c r="O24" i="22"/>
  <c r="N24" i="22"/>
  <c r="M24" i="22"/>
  <c r="L24" i="22"/>
  <c r="K24" i="22"/>
  <c r="A26" i="22"/>
  <c r="B5" i="22"/>
  <c r="B6" i="22" s="1"/>
  <c r="C5" i="22" s="1"/>
  <c r="C6" i="22" s="1"/>
  <c r="D5" i="22" s="1"/>
  <c r="D6" i="22" s="1"/>
  <c r="E5" i="22" s="1"/>
  <c r="E6" i="22" s="1"/>
  <c r="F5" i="22" s="1"/>
  <c r="F6" i="22" s="1"/>
  <c r="A2" i="22"/>
  <c r="A1" i="22"/>
  <c r="G29" i="22"/>
  <c r="G78" i="22"/>
  <c r="B62" i="22"/>
  <c r="G77" i="22"/>
  <c r="G64" i="22"/>
  <c r="G68" i="22" s="1"/>
  <c r="K50" i="21"/>
  <c r="J46" i="21"/>
  <c r="K46" i="21"/>
  <c r="I46" i="21"/>
  <c r="I47" i="21"/>
  <c r="I48" i="21"/>
  <c r="T47" i="20"/>
  <c r="T49" i="20"/>
  <c r="T51" i="20"/>
  <c r="T53" i="20"/>
  <c r="T55" i="20"/>
  <c r="T57" i="20"/>
  <c r="T59" i="20"/>
  <c r="T61" i="20"/>
  <c r="T63" i="20"/>
  <c r="T65" i="20"/>
  <c r="T67" i="20"/>
  <c r="T69" i="20"/>
  <c r="T71" i="20"/>
  <c r="T73" i="20"/>
  <c r="G47" i="10"/>
  <c r="G48" i="10"/>
  <c r="G49" i="10"/>
  <c r="G50" i="10"/>
  <c r="G51" i="10"/>
  <c r="G46" i="9"/>
  <c r="G47" i="9"/>
  <c r="G48" i="9"/>
  <c r="G49" i="9"/>
  <c r="G50" i="9"/>
  <c r="G51" i="9"/>
  <c r="G47" i="8"/>
  <c r="G48" i="8"/>
  <c r="G49" i="8"/>
  <c r="G50" i="8"/>
  <c r="G51" i="8"/>
  <c r="G48" i="7"/>
  <c r="G49" i="7"/>
  <c r="G50" i="7"/>
  <c r="G51" i="7"/>
  <c r="G48" i="4"/>
  <c r="G49" i="4"/>
  <c r="G50" i="4"/>
  <c r="G51" i="4"/>
  <c r="A617" i="5"/>
  <c r="H615" i="5"/>
  <c r="G615" i="5"/>
  <c r="F615" i="5"/>
  <c r="E615" i="5"/>
  <c r="D615" i="5"/>
  <c r="C615" i="5"/>
  <c r="B615" i="5"/>
  <c r="H614" i="5"/>
  <c r="G614" i="5"/>
  <c r="F614" i="5"/>
  <c r="E614" i="5"/>
  <c r="D614" i="5"/>
  <c r="C614" i="5"/>
  <c r="B614" i="5"/>
  <c r="B616" i="5" s="1"/>
  <c r="A603" i="5"/>
  <c r="H601" i="5"/>
  <c r="G601" i="5"/>
  <c r="F601" i="5"/>
  <c r="E601" i="5"/>
  <c r="D601" i="5"/>
  <c r="C601" i="5"/>
  <c r="B601" i="5"/>
  <c r="H600" i="5"/>
  <c r="G600" i="5"/>
  <c r="F600" i="5"/>
  <c r="E600" i="5"/>
  <c r="D600" i="5"/>
  <c r="C600" i="5"/>
  <c r="B600" i="5"/>
  <c r="B602" i="5" s="1"/>
  <c r="A589" i="5"/>
  <c r="H587" i="5"/>
  <c r="G587" i="5"/>
  <c r="F587" i="5"/>
  <c r="E587" i="5"/>
  <c r="D587" i="5"/>
  <c r="C587" i="5"/>
  <c r="B587" i="5"/>
  <c r="H586" i="5"/>
  <c r="G586" i="5"/>
  <c r="F586" i="5"/>
  <c r="E586" i="5"/>
  <c r="D586" i="5"/>
  <c r="C586" i="5"/>
  <c r="B586" i="5"/>
  <c r="B588" i="5" s="1"/>
  <c r="A511" i="5"/>
  <c r="H509" i="5"/>
  <c r="G509" i="5"/>
  <c r="F509" i="5"/>
  <c r="E509" i="5"/>
  <c r="D509" i="5"/>
  <c r="C509" i="5"/>
  <c r="B509" i="5"/>
  <c r="H508" i="5"/>
  <c r="G508" i="5"/>
  <c r="F508" i="5"/>
  <c r="E508" i="5"/>
  <c r="D508" i="5"/>
  <c r="C508" i="5"/>
  <c r="B508" i="5"/>
  <c r="B510" i="5" s="1"/>
  <c r="A497" i="5"/>
  <c r="H495" i="5"/>
  <c r="G495" i="5"/>
  <c r="F495" i="5"/>
  <c r="E495" i="5"/>
  <c r="D495" i="5"/>
  <c r="C495" i="5"/>
  <c r="B495" i="5"/>
  <c r="H494" i="5"/>
  <c r="G494" i="5"/>
  <c r="F494" i="5"/>
  <c r="E494" i="5"/>
  <c r="D494" i="5"/>
  <c r="C494" i="5"/>
  <c r="B494" i="5"/>
  <c r="B496" i="5" s="1"/>
  <c r="A483" i="5"/>
  <c r="H481" i="5"/>
  <c r="G481" i="5"/>
  <c r="F481" i="5"/>
  <c r="E481" i="5"/>
  <c r="D481" i="5"/>
  <c r="C481" i="5"/>
  <c r="B481" i="5"/>
  <c r="H480" i="5"/>
  <c r="G480" i="5"/>
  <c r="F480" i="5"/>
  <c r="E480" i="5"/>
  <c r="D480" i="5"/>
  <c r="C480" i="5"/>
  <c r="B480" i="5"/>
  <c r="B482" i="5" s="1"/>
  <c r="A405" i="5"/>
  <c r="H403" i="5"/>
  <c r="G403" i="5"/>
  <c r="F403" i="5"/>
  <c r="E403" i="5"/>
  <c r="D403" i="5"/>
  <c r="C403" i="5"/>
  <c r="B403" i="5"/>
  <c r="H402" i="5"/>
  <c r="G402" i="5"/>
  <c r="F402" i="5"/>
  <c r="E402" i="5"/>
  <c r="D402" i="5"/>
  <c r="C402" i="5"/>
  <c r="B402" i="5"/>
  <c r="B404" i="5" s="1"/>
  <c r="A391" i="5"/>
  <c r="H389" i="5"/>
  <c r="G389" i="5"/>
  <c r="F389" i="5"/>
  <c r="E389" i="5"/>
  <c r="D389" i="5"/>
  <c r="C389" i="5"/>
  <c r="B389" i="5"/>
  <c r="H388" i="5"/>
  <c r="G388" i="5"/>
  <c r="F388" i="5"/>
  <c r="E388" i="5"/>
  <c r="D388" i="5"/>
  <c r="C388" i="5"/>
  <c r="B388" i="5"/>
  <c r="B390" i="5" s="1"/>
  <c r="A377" i="5"/>
  <c r="H375" i="5"/>
  <c r="G375" i="5"/>
  <c r="F375" i="5"/>
  <c r="E375" i="5"/>
  <c r="D375" i="5"/>
  <c r="C375" i="5"/>
  <c r="B375" i="5"/>
  <c r="H374" i="5"/>
  <c r="G374" i="5"/>
  <c r="F374" i="5"/>
  <c r="E374" i="5"/>
  <c r="D374" i="5"/>
  <c r="C374" i="5"/>
  <c r="B374" i="5"/>
  <c r="B376" i="5" s="1"/>
  <c r="A299" i="5"/>
  <c r="H297" i="5"/>
  <c r="G297" i="5"/>
  <c r="F297" i="5"/>
  <c r="E297" i="5"/>
  <c r="D297" i="5"/>
  <c r="C297" i="5"/>
  <c r="B297" i="5"/>
  <c r="H296" i="5"/>
  <c r="G296" i="5"/>
  <c r="F296" i="5"/>
  <c r="E296" i="5"/>
  <c r="D296" i="5"/>
  <c r="C296" i="5"/>
  <c r="B296" i="5"/>
  <c r="B298" i="5" s="1"/>
  <c r="A285" i="5"/>
  <c r="H283" i="5"/>
  <c r="G283" i="5"/>
  <c r="F283" i="5"/>
  <c r="E283" i="5"/>
  <c r="D283" i="5"/>
  <c r="C283" i="5"/>
  <c r="B283" i="5"/>
  <c r="H282" i="5"/>
  <c r="G282" i="5"/>
  <c r="F282" i="5"/>
  <c r="E282" i="5"/>
  <c r="D282" i="5"/>
  <c r="C282" i="5"/>
  <c r="B282" i="5"/>
  <c r="B284" i="5" s="1"/>
  <c r="A271" i="5"/>
  <c r="H269" i="5"/>
  <c r="G269" i="5"/>
  <c r="F269" i="5"/>
  <c r="E269" i="5"/>
  <c r="D269" i="5"/>
  <c r="C269" i="5"/>
  <c r="B269" i="5"/>
  <c r="H268" i="5"/>
  <c r="G268" i="5"/>
  <c r="F268" i="5"/>
  <c r="E268" i="5"/>
  <c r="D268" i="5"/>
  <c r="C268" i="5"/>
  <c r="B268" i="5"/>
  <c r="B270" i="5" s="1"/>
  <c r="A193" i="5"/>
  <c r="H191" i="5"/>
  <c r="G191" i="5"/>
  <c r="F191" i="5"/>
  <c r="E191" i="5"/>
  <c r="D191" i="5"/>
  <c r="C191" i="5"/>
  <c r="B191" i="5"/>
  <c r="H190" i="5"/>
  <c r="G190" i="5"/>
  <c r="F190" i="5"/>
  <c r="E190" i="5"/>
  <c r="D190" i="5"/>
  <c r="C190" i="5"/>
  <c r="B190" i="5"/>
  <c r="B192" i="5" s="1"/>
  <c r="A179" i="5"/>
  <c r="H177" i="5"/>
  <c r="G177" i="5"/>
  <c r="F177" i="5"/>
  <c r="E177" i="5"/>
  <c r="D177" i="5"/>
  <c r="B177" i="5"/>
  <c r="H176" i="5"/>
  <c r="G176" i="5"/>
  <c r="F176" i="5"/>
  <c r="E176" i="5"/>
  <c r="D176" i="5"/>
  <c r="B176" i="5"/>
  <c r="B178" i="5" s="1"/>
  <c r="A165" i="5"/>
  <c r="H163" i="5"/>
  <c r="G163" i="5"/>
  <c r="F163" i="5"/>
  <c r="E163" i="5"/>
  <c r="D163" i="5"/>
  <c r="C163" i="5"/>
  <c r="B163" i="5"/>
  <c r="H162" i="5"/>
  <c r="G162" i="5"/>
  <c r="F162" i="5"/>
  <c r="E162" i="5"/>
  <c r="D162" i="5"/>
  <c r="C162" i="5"/>
  <c r="B162" i="5"/>
  <c r="B164" i="5" s="1"/>
  <c r="A87" i="5"/>
  <c r="H85" i="5"/>
  <c r="G85" i="5"/>
  <c r="F85" i="5"/>
  <c r="E85" i="5"/>
  <c r="D85" i="5"/>
  <c r="C85" i="5"/>
  <c r="B85" i="5"/>
  <c r="H84" i="5"/>
  <c r="G84" i="5"/>
  <c r="F84" i="5"/>
  <c r="E84" i="5"/>
  <c r="D84" i="5"/>
  <c r="C84" i="5"/>
  <c r="B84" i="5"/>
  <c r="B86" i="5" s="1"/>
  <c r="A73" i="5"/>
  <c r="A59" i="5"/>
  <c r="H71" i="5"/>
  <c r="G71" i="5"/>
  <c r="F71" i="5"/>
  <c r="E71" i="5"/>
  <c r="D71" i="5"/>
  <c r="C71" i="5"/>
  <c r="B71" i="5"/>
  <c r="H70" i="5"/>
  <c r="G70" i="5"/>
  <c r="F70" i="5"/>
  <c r="E70" i="5"/>
  <c r="D70" i="5"/>
  <c r="C70" i="5"/>
  <c r="B70" i="5"/>
  <c r="B72" i="5" s="1"/>
  <c r="B52" i="5"/>
  <c r="B51" i="5"/>
  <c r="B53" i="5" s="1"/>
  <c r="C52" i="5"/>
  <c r="C51" i="5"/>
  <c r="AB83" i="19"/>
  <c r="AC83" i="19"/>
  <c r="AC82" i="19"/>
  <c r="AB82" i="19"/>
  <c r="AB56" i="19"/>
  <c r="AD56" i="19" s="1"/>
  <c r="AS73" i="19"/>
  <c r="AR73" i="19"/>
  <c r="AO73" i="19"/>
  <c r="AN73" i="19"/>
  <c r="AK73" i="19"/>
  <c r="AJ73" i="19"/>
  <c r="AL73" i="19" s="1"/>
  <c r="AG73" i="19"/>
  <c r="AF73" i="19"/>
  <c r="AH73" i="19" s="1"/>
  <c r="AD73" i="19"/>
  <c r="AS72" i="19"/>
  <c r="AR72" i="19"/>
  <c r="AT72" i="19" s="1"/>
  <c r="AO72" i="19"/>
  <c r="AN72" i="19"/>
  <c r="AP72" i="19" s="1"/>
  <c r="AK72" i="19"/>
  <c r="AJ72" i="19"/>
  <c r="AL72" i="19" s="1"/>
  <c r="AG72" i="19"/>
  <c r="AF72" i="19"/>
  <c r="AH72" i="19" s="1"/>
  <c r="AD72" i="19"/>
  <c r="AS71" i="19"/>
  <c r="AR71" i="19"/>
  <c r="AO71" i="19"/>
  <c r="AN71" i="19"/>
  <c r="AK71" i="19"/>
  <c r="AJ71" i="19"/>
  <c r="AG71" i="19"/>
  <c r="AF71" i="19"/>
  <c r="AD71" i="19"/>
  <c r="AS70" i="19"/>
  <c r="AR70" i="19"/>
  <c r="AT70" i="19" s="1"/>
  <c r="AO70" i="19"/>
  <c r="AN70" i="19"/>
  <c r="AK70" i="19"/>
  <c r="AJ70" i="19"/>
  <c r="AL70" i="19" s="1"/>
  <c r="AG70" i="19"/>
  <c r="AF70" i="19"/>
  <c r="AD70" i="19"/>
  <c r="AS69" i="19"/>
  <c r="AR69" i="19"/>
  <c r="AO69" i="19"/>
  <c r="AN69" i="19"/>
  <c r="AK69" i="19"/>
  <c r="AJ69" i="19"/>
  <c r="AL69" i="19" s="1"/>
  <c r="AG69" i="19"/>
  <c r="AF69" i="19"/>
  <c r="AD69" i="19"/>
  <c r="AS84" i="19"/>
  <c r="AR84" i="19"/>
  <c r="AT84" i="19" s="1"/>
  <c r="AS81" i="19"/>
  <c r="AR81" i="19"/>
  <c r="AS80" i="19"/>
  <c r="AR80" i="19"/>
  <c r="AS79" i="19"/>
  <c r="AR79" i="19"/>
  <c r="AS78" i="19"/>
  <c r="AR78" i="19"/>
  <c r="AT78" i="19" s="1"/>
  <c r="AS77" i="19"/>
  <c r="AR77" i="19"/>
  <c r="AS76" i="19"/>
  <c r="AR76" i="19"/>
  <c r="AO84" i="19"/>
  <c r="AN84" i="19"/>
  <c r="AO81" i="19"/>
  <c r="AN81" i="19"/>
  <c r="AP81" i="19" s="1"/>
  <c r="AO80" i="19"/>
  <c r="AN80" i="19"/>
  <c r="AO79" i="19"/>
  <c r="AN79" i="19"/>
  <c r="AO78" i="19"/>
  <c r="AN78" i="19"/>
  <c r="AO77" i="19"/>
  <c r="AN77" i="19"/>
  <c r="AP77" i="19" s="1"/>
  <c r="AO76" i="19"/>
  <c r="AN76" i="19"/>
  <c r="AK84" i="19"/>
  <c r="AJ84" i="19"/>
  <c r="AK81" i="19"/>
  <c r="AJ81" i="19"/>
  <c r="AK80" i="19"/>
  <c r="AJ80" i="19"/>
  <c r="AL80" i="19" s="1"/>
  <c r="AK79" i="19"/>
  <c r="AJ79" i="19"/>
  <c r="AK78" i="19"/>
  <c r="AJ78" i="19"/>
  <c r="AK77" i="19"/>
  <c r="AJ77" i="19"/>
  <c r="AK76" i="19"/>
  <c r="AJ76" i="19"/>
  <c r="AL76" i="19" s="1"/>
  <c r="AG66" i="19"/>
  <c r="AF66" i="19"/>
  <c r="AG65" i="19"/>
  <c r="AF65" i="19"/>
  <c r="AJ66" i="19"/>
  <c r="AK66" i="19"/>
  <c r="AK65" i="19"/>
  <c r="AJ65" i="19"/>
  <c r="AL65" i="19" s="1"/>
  <c r="AS61" i="19"/>
  <c r="AR61" i="19"/>
  <c r="AO61" i="19"/>
  <c r="AN61" i="19"/>
  <c r="AK61" i="19"/>
  <c r="AJ61" i="19"/>
  <c r="AG61" i="19"/>
  <c r="AF61" i="19"/>
  <c r="AH61" i="19" s="1"/>
  <c r="AB37" i="19"/>
  <c r="AK32" i="19"/>
  <c r="AJ32" i="19"/>
  <c r="AK31" i="19"/>
  <c r="AJ31" i="19"/>
  <c r="AK30" i="19"/>
  <c r="AK83" i="19" s="1"/>
  <c r="AJ30" i="19"/>
  <c r="AJ83" i="19" s="1"/>
  <c r="AL83" i="19" s="1"/>
  <c r="AK29" i="19"/>
  <c r="AL29" i="19" s="1"/>
  <c r="AJ29" i="19"/>
  <c r="AK28" i="19"/>
  <c r="AJ28" i="19"/>
  <c r="AG32" i="19"/>
  <c r="AF32" i="19"/>
  <c r="AG31" i="19"/>
  <c r="AF31" i="19"/>
  <c r="AG30" i="19"/>
  <c r="AG83" i="19" s="1"/>
  <c r="AF30" i="19"/>
  <c r="AF83" i="19" s="1"/>
  <c r="AG29" i="19"/>
  <c r="AF29" i="19"/>
  <c r="AF56" i="19" s="1"/>
  <c r="AG28" i="19"/>
  <c r="AF28" i="19"/>
  <c r="AG25" i="19"/>
  <c r="AF25" i="19"/>
  <c r="AG24" i="19"/>
  <c r="AG53" i="19" s="1"/>
  <c r="AF24" i="19"/>
  <c r="AG23" i="19"/>
  <c r="AF23" i="19"/>
  <c r="AG22" i="19"/>
  <c r="AF22" i="19"/>
  <c r="AG21" i="19"/>
  <c r="AF21" i="19"/>
  <c r="AF50" i="19" s="1"/>
  <c r="AG20" i="19"/>
  <c r="AH20" i="19" s="1"/>
  <c r="AF20" i="19"/>
  <c r="AG19" i="19"/>
  <c r="AF19" i="19"/>
  <c r="AG18" i="19"/>
  <c r="AF18" i="19"/>
  <c r="AG17" i="19"/>
  <c r="AF17" i="19"/>
  <c r="AG16" i="19"/>
  <c r="AG45" i="19" s="1"/>
  <c r="AF16" i="19"/>
  <c r="AG15" i="19"/>
  <c r="AF15" i="19"/>
  <c r="AG14" i="19"/>
  <c r="AF14" i="19"/>
  <c r="AG13" i="19"/>
  <c r="AF13" i="19"/>
  <c r="AH13" i="19" s="1"/>
  <c r="AG12" i="19"/>
  <c r="AH12" i="19" s="1"/>
  <c r="AF12" i="19"/>
  <c r="AG11" i="19"/>
  <c r="AF11" i="19"/>
  <c r="AG10" i="19"/>
  <c r="AF10" i="19"/>
  <c r="AG9" i="19"/>
  <c r="AF9" i="19"/>
  <c r="AG8" i="19"/>
  <c r="AH8" i="19" s="1"/>
  <c r="AF8" i="19"/>
  <c r="AF37" i="19" s="1"/>
  <c r="AK25" i="19"/>
  <c r="AJ25" i="19"/>
  <c r="AK24" i="19"/>
  <c r="AJ24" i="19"/>
  <c r="AK23" i="19"/>
  <c r="AJ23" i="19"/>
  <c r="AJ52" i="19" s="1"/>
  <c r="AK22" i="19"/>
  <c r="AL22" i="19" s="1"/>
  <c r="AJ22" i="19"/>
  <c r="AK21" i="19"/>
  <c r="AJ21" i="19"/>
  <c r="AK20" i="19"/>
  <c r="AJ20" i="19"/>
  <c r="AK19" i="19"/>
  <c r="AJ19" i="19"/>
  <c r="AK18" i="19"/>
  <c r="AL18" i="19" s="1"/>
  <c r="AJ18" i="19"/>
  <c r="AK17" i="19"/>
  <c r="AJ17" i="19"/>
  <c r="AK16" i="19"/>
  <c r="AJ16" i="19"/>
  <c r="AK15" i="19"/>
  <c r="AJ15" i="19"/>
  <c r="AJ44" i="19" s="1"/>
  <c r="AK14" i="19"/>
  <c r="AL14" i="19" s="1"/>
  <c r="AJ14" i="19"/>
  <c r="AK13" i="19"/>
  <c r="AJ13" i="19"/>
  <c r="AK12" i="19"/>
  <c r="AJ12" i="19"/>
  <c r="AK11" i="19"/>
  <c r="AJ11" i="19"/>
  <c r="AK10" i="19"/>
  <c r="AK39" i="19" s="1"/>
  <c r="AL39" i="19" s="1"/>
  <c r="AJ10" i="19"/>
  <c r="AK9" i="19"/>
  <c r="AJ9" i="19"/>
  <c r="AK8" i="19"/>
  <c r="AJ8" i="19"/>
  <c r="AO25" i="19"/>
  <c r="AN25" i="19"/>
  <c r="AN54" i="19" s="1"/>
  <c r="AO24" i="19"/>
  <c r="AP24" i="19" s="1"/>
  <c r="AN24" i="19"/>
  <c r="AO23" i="19"/>
  <c r="AN23" i="19"/>
  <c r="AO22" i="19"/>
  <c r="AN22" i="19"/>
  <c r="AO21" i="19"/>
  <c r="AN21" i="19"/>
  <c r="AO20" i="19"/>
  <c r="AP20" i="19" s="1"/>
  <c r="AN20" i="19"/>
  <c r="AO19" i="19"/>
  <c r="AN19" i="19"/>
  <c r="AO18" i="19"/>
  <c r="AN18" i="19"/>
  <c r="AO17" i="19"/>
  <c r="AN17" i="19"/>
  <c r="AN46" i="19" s="1"/>
  <c r="AO16" i="19"/>
  <c r="AP16" i="19" s="1"/>
  <c r="AN16" i="19"/>
  <c r="AO15" i="19"/>
  <c r="AN15" i="19"/>
  <c r="AO14" i="19"/>
  <c r="AN14" i="19"/>
  <c r="AO13" i="19"/>
  <c r="AN13" i="19"/>
  <c r="AO12" i="19"/>
  <c r="AO41" i="19" s="1"/>
  <c r="AP41" i="19" s="1"/>
  <c r="AN12" i="19"/>
  <c r="AO11" i="19"/>
  <c r="AN11" i="19"/>
  <c r="AO10" i="19"/>
  <c r="AN10" i="19"/>
  <c r="AO9" i="19"/>
  <c r="AN9" i="19"/>
  <c r="AN38" i="19" s="1"/>
  <c r="AO8" i="19"/>
  <c r="AP8" i="19" s="1"/>
  <c r="AN8" i="19"/>
  <c r="L29" i="3"/>
  <c r="K29" i="3"/>
  <c r="J29" i="3"/>
  <c r="I29" i="3"/>
  <c r="H29" i="3"/>
  <c r="L28" i="3"/>
  <c r="K28" i="3"/>
  <c r="J28" i="3"/>
  <c r="I28" i="3"/>
  <c r="H28" i="3"/>
  <c r="L27" i="3"/>
  <c r="K27" i="3"/>
  <c r="J27" i="3"/>
  <c r="I27" i="3"/>
  <c r="H27" i="3"/>
  <c r="L26" i="3"/>
  <c r="K26" i="3"/>
  <c r="J26" i="3"/>
  <c r="I26" i="3"/>
  <c r="H26" i="3"/>
  <c r="L25" i="3"/>
  <c r="L31" i="3" s="1"/>
  <c r="F36" i="1" s="1"/>
  <c r="K25" i="3"/>
  <c r="J25" i="3"/>
  <c r="J31" i="3" s="1"/>
  <c r="D36" i="1" s="1"/>
  <c r="I25" i="3"/>
  <c r="H25" i="3"/>
  <c r="I17" i="3"/>
  <c r="L16" i="3"/>
  <c r="K16" i="3"/>
  <c r="J16" i="3"/>
  <c r="I16" i="3"/>
  <c r="H16" i="3"/>
  <c r="I15" i="3"/>
  <c r="L14" i="3"/>
  <c r="K14" i="3"/>
  <c r="J14" i="3"/>
  <c r="I14" i="3"/>
  <c r="H14" i="3"/>
  <c r="L13" i="3"/>
  <c r="K13" i="3"/>
  <c r="J13" i="3"/>
  <c r="I13" i="3"/>
  <c r="H13" i="3"/>
  <c r="L12" i="3"/>
  <c r="K12" i="3"/>
  <c r="J12" i="3"/>
  <c r="I12" i="3"/>
  <c r="H12" i="3"/>
  <c r="B56" i="5"/>
  <c r="B58" i="5" s="1"/>
  <c r="C56" i="5"/>
  <c r="D56" i="5"/>
  <c r="E56" i="5"/>
  <c r="F56" i="5"/>
  <c r="G56" i="5"/>
  <c r="H56" i="5"/>
  <c r="B57" i="5"/>
  <c r="C57" i="5"/>
  <c r="D57" i="5"/>
  <c r="E57" i="5"/>
  <c r="F57" i="5"/>
  <c r="G57" i="5"/>
  <c r="H57" i="5"/>
  <c r="AL61" i="19"/>
  <c r="AO37" i="19"/>
  <c r="AP37" i="19" s="1"/>
  <c r="AN37" i="19"/>
  <c r="AK57" i="19"/>
  <c r="AJ57" i="19"/>
  <c r="AJ56" i="19"/>
  <c r="AK55" i="19"/>
  <c r="AJ55" i="19"/>
  <c r="AK54" i="19"/>
  <c r="AL54" i="19" s="1"/>
  <c r="AJ54" i="19"/>
  <c r="AK53" i="19"/>
  <c r="AJ53" i="19"/>
  <c r="AK52" i="19"/>
  <c r="AJ51" i="19"/>
  <c r="AK50" i="19"/>
  <c r="AJ50" i="19"/>
  <c r="AK49" i="19"/>
  <c r="AJ49" i="19"/>
  <c r="AK48" i="19"/>
  <c r="AL48" i="19" s="1"/>
  <c r="AJ48" i="19"/>
  <c r="AJ47" i="19"/>
  <c r="AK46" i="19"/>
  <c r="AJ46" i="19"/>
  <c r="AK45" i="19"/>
  <c r="AJ45" i="19"/>
  <c r="AL45" i="19" s="1"/>
  <c r="AK44" i="19"/>
  <c r="AJ43" i="19"/>
  <c r="AK42" i="19"/>
  <c r="AJ42" i="19"/>
  <c r="AL42" i="19" s="1"/>
  <c r="AK41" i="19"/>
  <c r="AJ41" i="19"/>
  <c r="AL41" i="19" s="1"/>
  <c r="AK40" i="19"/>
  <c r="AJ40" i="19"/>
  <c r="AJ39" i="19"/>
  <c r="AK38" i="19"/>
  <c r="AJ38" i="19"/>
  <c r="AK37" i="19"/>
  <c r="AJ37" i="19"/>
  <c r="AG57" i="19"/>
  <c r="AF57" i="19"/>
  <c r="AG55" i="19"/>
  <c r="AF55" i="19"/>
  <c r="AG54" i="19"/>
  <c r="AF54" i="19"/>
  <c r="AF53" i="19"/>
  <c r="AG52" i="19"/>
  <c r="AH52" i="19" s="1"/>
  <c r="AF52" i="19"/>
  <c r="AG51" i="19"/>
  <c r="AF51" i="19"/>
  <c r="AG50" i="19"/>
  <c r="AG49" i="19"/>
  <c r="AH49" i="19" s="1"/>
  <c r="AF49" i="19"/>
  <c r="AG48" i="19"/>
  <c r="AF48" i="19"/>
  <c r="AH48" i="19" s="1"/>
  <c r="AG47" i="19"/>
  <c r="AF47" i="19"/>
  <c r="AG46" i="19"/>
  <c r="AF46" i="19"/>
  <c r="AH46" i="19" s="1"/>
  <c r="AF45" i="19"/>
  <c r="AG44" i="19"/>
  <c r="AF44" i="19"/>
  <c r="AG43" i="19"/>
  <c r="AF43" i="19"/>
  <c r="AG42" i="19"/>
  <c r="AG41" i="19"/>
  <c r="AF41" i="19"/>
  <c r="AG40" i="19"/>
  <c r="AF40" i="19"/>
  <c r="AG39" i="19"/>
  <c r="AF39" i="19"/>
  <c r="AG38" i="19"/>
  <c r="AF38" i="19"/>
  <c r="AG37" i="19"/>
  <c r="AC57" i="19"/>
  <c r="AC56" i="19"/>
  <c r="AC55" i="19"/>
  <c r="AB57" i="19"/>
  <c r="AB55" i="19"/>
  <c r="AD55" i="19"/>
  <c r="AB38" i="19"/>
  <c r="AD38" i="19" s="1"/>
  <c r="AC38" i="19"/>
  <c r="AB39" i="19"/>
  <c r="AC39" i="19"/>
  <c r="AB40" i="19"/>
  <c r="AC40" i="19"/>
  <c r="AB41" i="19"/>
  <c r="AC41" i="19"/>
  <c r="AD41" i="19"/>
  <c r="AB42" i="19"/>
  <c r="AC42" i="19"/>
  <c r="AD42" i="19" s="1"/>
  <c r="AB43" i="19"/>
  <c r="AC43" i="19"/>
  <c r="AB44" i="19"/>
  <c r="AC44" i="19"/>
  <c r="AB45" i="19"/>
  <c r="AC45" i="19"/>
  <c r="AD45" i="19" s="1"/>
  <c r="AB46" i="19"/>
  <c r="AD46" i="19" s="1"/>
  <c r="AC46" i="19"/>
  <c r="AB47" i="19"/>
  <c r="AC47" i="19"/>
  <c r="AD47" i="19" s="1"/>
  <c r="AB48" i="19"/>
  <c r="AC48" i="19"/>
  <c r="AB49" i="19"/>
  <c r="AC49" i="19"/>
  <c r="AB50" i="19"/>
  <c r="AD50" i="19" s="1"/>
  <c r="AC50" i="19"/>
  <c r="AB51" i="19"/>
  <c r="AC51" i="19"/>
  <c r="AD51" i="19" s="1"/>
  <c r="AB52" i="19"/>
  <c r="AC52" i="19"/>
  <c r="AD52" i="19" s="1"/>
  <c r="AB53" i="19"/>
  <c r="AC53" i="19"/>
  <c r="AB54" i="19"/>
  <c r="AD54" i="19" s="1"/>
  <c r="AC54" i="19"/>
  <c r="AC37" i="19"/>
  <c r="AD66" i="19"/>
  <c r="AH66" i="19"/>
  <c r="AL66" i="19"/>
  <c r="AN66" i="19"/>
  <c r="AP66" i="19" s="1"/>
  <c r="AO66" i="19"/>
  <c r="AR66" i="19"/>
  <c r="AS66" i="19"/>
  <c r="A82" i="19"/>
  <c r="A83" i="19"/>
  <c r="A80" i="19"/>
  <c r="AL57" i="19"/>
  <c r="AL38" i="19"/>
  <c r="AH39" i="19"/>
  <c r="AH38" i="19"/>
  <c r="AH40" i="19"/>
  <c r="AH44" i="19"/>
  <c r="AL40" i="19"/>
  <c r="AL46" i="19"/>
  <c r="AD40" i="19"/>
  <c r="AH43" i="19"/>
  <c r="AL49" i="19"/>
  <c r="AH47" i="19"/>
  <c r="AL37" i="19"/>
  <c r="AL53" i="19"/>
  <c r="AD48" i="19"/>
  <c r="AD43" i="19"/>
  <c r="AD44" i="19"/>
  <c r="AD39" i="19"/>
  <c r="AH51" i="19"/>
  <c r="AH55" i="19"/>
  <c r="AH57" i="19"/>
  <c r="U57" i="19"/>
  <c r="U56" i="19"/>
  <c r="U55" i="19"/>
  <c r="U54" i="19"/>
  <c r="U53" i="19"/>
  <c r="U52" i="19"/>
  <c r="U51" i="19"/>
  <c r="U50" i="19"/>
  <c r="U49" i="19"/>
  <c r="U48" i="19"/>
  <c r="U47" i="19"/>
  <c r="U46" i="19"/>
  <c r="U45" i="19"/>
  <c r="U44" i="19"/>
  <c r="U43" i="19"/>
  <c r="U42" i="19"/>
  <c r="U41" i="19"/>
  <c r="U40" i="19"/>
  <c r="U39" i="19"/>
  <c r="U38" i="19"/>
  <c r="U37" i="19"/>
  <c r="AS25" i="19"/>
  <c r="AS54" i="19" s="1"/>
  <c r="AR25" i="19"/>
  <c r="AR54" i="19"/>
  <c r="R54" i="19" s="1"/>
  <c r="AO54" i="19"/>
  <c r="AL25" i="19"/>
  <c r="AH25" i="19"/>
  <c r="AD25" i="19"/>
  <c r="AS24" i="19"/>
  <c r="AS53" i="19"/>
  <c r="AR24" i="19"/>
  <c r="AR53" i="19" s="1"/>
  <c r="AO53" i="19"/>
  <c r="AP53" i="19" s="1"/>
  <c r="AN53" i="19"/>
  <c r="AL24" i="19"/>
  <c r="AD24" i="19"/>
  <c r="AS23" i="19"/>
  <c r="AS52" i="19" s="1"/>
  <c r="AR23" i="19"/>
  <c r="AR52" i="19" s="1"/>
  <c r="AO52" i="19"/>
  <c r="AN52" i="19"/>
  <c r="AP52" i="19" s="1"/>
  <c r="AH23" i="19"/>
  <c r="AD23" i="19"/>
  <c r="AS22" i="19"/>
  <c r="AS51" i="19" s="1"/>
  <c r="AR22" i="19"/>
  <c r="AR51" i="19" s="1"/>
  <c r="AO51" i="19"/>
  <c r="AP51" i="19" s="1"/>
  <c r="AN51" i="19"/>
  <c r="AH22" i="19"/>
  <c r="AD22" i="19"/>
  <c r="AS21" i="19"/>
  <c r="AS50" i="19" s="1"/>
  <c r="AR21" i="19"/>
  <c r="AR50" i="19" s="1"/>
  <c r="R50" i="19" s="1"/>
  <c r="AO50" i="19"/>
  <c r="AP50" i="19" s="1"/>
  <c r="AN50" i="19"/>
  <c r="AL21" i="19"/>
  <c r="AH21" i="19"/>
  <c r="AD21" i="19"/>
  <c r="AS20" i="19"/>
  <c r="AS49" i="19" s="1"/>
  <c r="S49" i="19" s="1"/>
  <c r="AR20" i="19"/>
  <c r="AR49" i="19" s="1"/>
  <c r="AO49" i="19"/>
  <c r="AP49" i="19" s="1"/>
  <c r="AN49" i="19"/>
  <c r="AL20" i="19"/>
  <c r="AD20" i="19"/>
  <c r="AS19" i="19"/>
  <c r="AS48" i="19" s="1"/>
  <c r="S48" i="19" s="1"/>
  <c r="AR19" i="19"/>
  <c r="AR48" i="19" s="1"/>
  <c r="AO48" i="19"/>
  <c r="AN48" i="19"/>
  <c r="AP48" i="19" s="1"/>
  <c r="AL19" i="19"/>
  <c r="AH19" i="19"/>
  <c r="AD19" i="19"/>
  <c r="AS18" i="19"/>
  <c r="AS47" i="19" s="1"/>
  <c r="AR18" i="19"/>
  <c r="AR47" i="19" s="1"/>
  <c r="AO47" i="19"/>
  <c r="AN47" i="19"/>
  <c r="AH18" i="19"/>
  <c r="AD18" i="19"/>
  <c r="AS17" i="19"/>
  <c r="AS46" i="19" s="1"/>
  <c r="S46" i="19" s="1"/>
  <c r="AR17" i="19"/>
  <c r="AR46" i="19" s="1"/>
  <c r="AO46" i="19"/>
  <c r="AL17" i="19"/>
  <c r="AH17" i="19"/>
  <c r="AD17" i="19"/>
  <c r="AS16" i="19"/>
  <c r="AS45" i="19" s="1"/>
  <c r="S45" i="19" s="1"/>
  <c r="AR16" i="19"/>
  <c r="AR45" i="19" s="1"/>
  <c r="AN45" i="19"/>
  <c r="AL16" i="19"/>
  <c r="AD16" i="19"/>
  <c r="AS15" i="19"/>
  <c r="AS44" i="19" s="1"/>
  <c r="S44" i="19" s="1"/>
  <c r="AR15" i="19"/>
  <c r="AR44" i="19" s="1"/>
  <c r="AO44" i="19"/>
  <c r="AN44" i="19"/>
  <c r="AP44" i="19" s="1"/>
  <c r="AH15" i="19"/>
  <c r="AD15" i="19"/>
  <c r="AS14" i="19"/>
  <c r="AS43" i="19" s="1"/>
  <c r="AR14" i="19"/>
  <c r="AR43" i="19" s="1"/>
  <c r="AO43" i="19"/>
  <c r="AN43" i="19"/>
  <c r="AH14" i="19"/>
  <c r="AD14" i="19"/>
  <c r="AS13" i="19"/>
  <c r="AS42" i="19"/>
  <c r="S42" i="19" s="1"/>
  <c r="AR13" i="19"/>
  <c r="AR42" i="19" s="1"/>
  <c r="AO42" i="19"/>
  <c r="AN42" i="19"/>
  <c r="AL13" i="19"/>
  <c r="AD13" i="19"/>
  <c r="AS12" i="19"/>
  <c r="AS41" i="19" s="1"/>
  <c r="AR12" i="19"/>
  <c r="AR41" i="19"/>
  <c r="AN41" i="19"/>
  <c r="AL12" i="19"/>
  <c r="AD12" i="19"/>
  <c r="AS11" i="19"/>
  <c r="AS40" i="19" s="1"/>
  <c r="S40" i="19" s="1"/>
  <c r="AR11" i="19"/>
  <c r="AR40" i="19" s="1"/>
  <c r="AO40" i="19"/>
  <c r="AN40" i="19"/>
  <c r="AL11" i="19"/>
  <c r="AH11" i="19"/>
  <c r="AD11" i="19"/>
  <c r="E5" i="19"/>
  <c r="E6" i="19" s="1"/>
  <c r="I5" i="19" s="1"/>
  <c r="I6" i="19" s="1"/>
  <c r="M5" i="19" s="1"/>
  <c r="M6" i="19" s="1"/>
  <c r="Q5" i="19" s="1"/>
  <c r="Q6" i="19" s="1"/>
  <c r="U5" i="19" s="1"/>
  <c r="U6" i="19" s="1"/>
  <c r="A2" i="19"/>
  <c r="A1" i="19"/>
  <c r="A1" i="16"/>
  <c r="AT23" i="19"/>
  <c r="AT18" i="19"/>
  <c r="AP21" i="19"/>
  <c r="AD57" i="19"/>
  <c r="AP19" i="19"/>
  <c r="AT22" i="19"/>
  <c r="AT21" i="19"/>
  <c r="AT24" i="19"/>
  <c r="AT13" i="19"/>
  <c r="AT16" i="19"/>
  <c r="AP18" i="19"/>
  <c r="AP11" i="19"/>
  <c r="AT15" i="19"/>
  <c r="AT17" i="19"/>
  <c r="AT12" i="19"/>
  <c r="AT20" i="19"/>
  <c r="AP14" i="19"/>
  <c r="AP15" i="19"/>
  <c r="AT19" i="19"/>
  <c r="AP22" i="19"/>
  <c r="AP23" i="19"/>
  <c r="AP13" i="19"/>
  <c r="F6" i="19"/>
  <c r="G6" i="19"/>
  <c r="H6" i="19"/>
  <c r="J6" i="19"/>
  <c r="K6" i="19"/>
  <c r="L6" i="19"/>
  <c r="N6" i="19"/>
  <c r="O6" i="19"/>
  <c r="P6" i="19"/>
  <c r="R6" i="19"/>
  <c r="S6" i="19"/>
  <c r="T6" i="19"/>
  <c r="W6" i="19"/>
  <c r="X6" i="19"/>
  <c r="Y6" i="19"/>
  <c r="AB6" i="19"/>
  <c r="AC6" i="19"/>
  <c r="AD6" i="19"/>
  <c r="AF6" i="19"/>
  <c r="AG6" i="19"/>
  <c r="AH6" i="19"/>
  <c r="AJ6" i="19"/>
  <c r="AK6" i="19"/>
  <c r="AL6" i="19"/>
  <c r="AN6" i="19"/>
  <c r="AO6" i="19"/>
  <c r="AP6" i="19"/>
  <c r="AR6" i="19"/>
  <c r="AS6" i="19"/>
  <c r="AT6" i="19"/>
  <c r="AD8" i="19"/>
  <c r="AL8" i="19"/>
  <c r="AR8" i="19"/>
  <c r="AR37" i="19" s="1"/>
  <c r="AS8" i="19"/>
  <c r="AS37" i="19" s="1"/>
  <c r="S37" i="19" s="1"/>
  <c r="AD9" i="19"/>
  <c r="AH9" i="19"/>
  <c r="AL9" i="19"/>
  <c r="AO38" i="19"/>
  <c r="AR9" i="19"/>
  <c r="AT9" i="19" s="1"/>
  <c r="AS9" i="19"/>
  <c r="AS38" i="19"/>
  <c r="AD10" i="19"/>
  <c r="AH10" i="19"/>
  <c r="AL10" i="19"/>
  <c r="AN39" i="19"/>
  <c r="AP39" i="19" s="1"/>
  <c r="AO39" i="19"/>
  <c r="AR10" i="19"/>
  <c r="AR39" i="19" s="1"/>
  <c r="AS10" i="19"/>
  <c r="AS39" i="19" s="1"/>
  <c r="A26" i="19"/>
  <c r="AD28" i="19"/>
  <c r="AH28" i="19"/>
  <c r="AL28" i="19"/>
  <c r="AN28" i="19"/>
  <c r="AN55" i="19" s="1"/>
  <c r="AP55" i="19" s="1"/>
  <c r="AO28" i="19"/>
  <c r="AO55" i="19" s="1"/>
  <c r="AR28" i="19"/>
  <c r="AR55" i="19" s="1"/>
  <c r="AS28" i="19"/>
  <c r="AD29" i="19"/>
  <c r="AG56" i="19"/>
  <c r="AN29" i="19"/>
  <c r="AN56" i="19" s="1"/>
  <c r="AO29" i="19"/>
  <c r="AO56" i="19" s="1"/>
  <c r="AR29" i="19"/>
  <c r="AR56" i="19" s="1"/>
  <c r="AS29" i="19"/>
  <c r="AS56" i="19" s="1"/>
  <c r="AD30" i="19"/>
  <c r="AL30" i="19"/>
  <c r="AN30" i="19"/>
  <c r="AN83" i="19" s="1"/>
  <c r="AO30" i="19"/>
  <c r="AO83" i="19" s="1"/>
  <c r="AR30" i="19"/>
  <c r="AR83" i="19" s="1"/>
  <c r="AS30" i="19"/>
  <c r="AS82" i="19" s="1"/>
  <c r="AD31" i="19"/>
  <c r="AH31" i="19"/>
  <c r="AL31" i="19"/>
  <c r="AN31" i="19"/>
  <c r="AO31" i="19"/>
  <c r="AP31" i="19" s="1"/>
  <c r="AR31" i="19"/>
  <c r="AS31" i="19"/>
  <c r="AD32" i="19"/>
  <c r="AH32" i="19"/>
  <c r="AL32" i="19"/>
  <c r="AN32" i="19"/>
  <c r="AN57" i="19" s="1"/>
  <c r="AO32" i="19"/>
  <c r="AR32" i="19"/>
  <c r="AR57" i="19" s="1"/>
  <c r="AS32" i="19"/>
  <c r="AS57" i="19" s="1"/>
  <c r="A34" i="19"/>
  <c r="S53" i="19"/>
  <c r="A58" i="19"/>
  <c r="AD61" i="19"/>
  <c r="A63" i="19"/>
  <c r="AD65" i="19"/>
  <c r="AH65" i="19"/>
  <c r="AN65" i="19"/>
  <c r="AO65" i="19"/>
  <c r="AR65" i="19"/>
  <c r="AS65" i="19"/>
  <c r="A67" i="19"/>
  <c r="A74" i="19"/>
  <c r="AD76" i="19"/>
  <c r="AF76" i="19"/>
  <c r="AG76" i="19"/>
  <c r="AD77" i="19"/>
  <c r="AF77" i="19"/>
  <c r="AH77" i="19" s="1"/>
  <c r="AG77" i="19"/>
  <c r="AL77" i="19"/>
  <c r="AD78" i="19"/>
  <c r="AF78" i="19"/>
  <c r="AG78" i="19"/>
  <c r="AL78" i="19"/>
  <c r="AD79" i="19"/>
  <c r="AF79" i="19"/>
  <c r="AG79" i="19"/>
  <c r="AL79" i="19"/>
  <c r="AD80" i="19"/>
  <c r="AF80" i="19"/>
  <c r="AG80" i="19"/>
  <c r="AD81" i="19"/>
  <c r="AF81" i="19"/>
  <c r="AH81" i="19" s="1"/>
  <c r="AG81" i="19"/>
  <c r="AL81" i="19"/>
  <c r="AD82" i="19"/>
  <c r="AD84" i="19"/>
  <c r="AF84" i="19"/>
  <c r="AG84" i="19"/>
  <c r="A85" i="19"/>
  <c r="AH80" i="19"/>
  <c r="AS55" i="19"/>
  <c r="AP80" i="19"/>
  <c r="AT8" i="19"/>
  <c r="AT79" i="19"/>
  <c r="AD37" i="19"/>
  <c r="AP65" i="19"/>
  <c r="AT61" i="19"/>
  <c r="AH29" i="19"/>
  <c r="AL84" i="19"/>
  <c r="AP28" i="19"/>
  <c r="AT80" i="19"/>
  <c r="AT31" i="19"/>
  <c r="AP29" i="19"/>
  <c r="AH84" i="19"/>
  <c r="AH76" i="19"/>
  <c r="AT77" i="19"/>
  <c r="AH78" i="19"/>
  <c r="AP78" i="19"/>
  <c r="AT76" i="19"/>
  <c r="AP79" i="19"/>
  <c r="AP84" i="19"/>
  <c r="AT81" i="19"/>
  <c r="AP61" i="19"/>
  <c r="AT30" i="19"/>
  <c r="AP76" i="19"/>
  <c r="AP10" i="19"/>
  <c r="AT29" i="19"/>
  <c r="G51" i="15"/>
  <c r="G54" i="15"/>
  <c r="G51" i="14"/>
  <c r="G54" i="14"/>
  <c r="G54" i="13"/>
  <c r="G51" i="12"/>
  <c r="G54" i="12"/>
  <c r="G51" i="11"/>
  <c r="G54" i="11"/>
  <c r="A91" i="16"/>
  <c r="A89" i="16"/>
  <c r="A90" i="16"/>
  <c r="N32" i="5"/>
  <c r="N13" i="23" s="1"/>
  <c r="M41" i="5"/>
  <c r="Y3" i="5"/>
  <c r="Y2" i="5"/>
  <c r="A78" i="3"/>
  <c r="A81" i="22" s="1"/>
  <c r="A70" i="3"/>
  <c r="A49" i="1" s="1"/>
  <c r="A54" i="3"/>
  <c r="A47" i="1" s="1"/>
  <c r="AH2" i="5"/>
  <c r="B564" i="5"/>
  <c r="A569" i="5" s="1"/>
  <c r="B563" i="5"/>
  <c r="A568" i="5" s="1"/>
  <c r="B458" i="5"/>
  <c r="A463" i="5" s="1"/>
  <c r="I28" i="14" s="1"/>
  <c r="B457" i="5"/>
  <c r="A462" i="5" s="1"/>
  <c r="I27" i="14" s="1"/>
  <c r="B352" i="5"/>
  <c r="A357" i="5" s="1"/>
  <c r="I28" i="13" s="1"/>
  <c r="B351" i="5"/>
  <c r="A356" i="5" s="1"/>
  <c r="I27" i="13" s="1"/>
  <c r="B246" i="5"/>
  <c r="A251" i="5" s="1"/>
  <c r="I28" i="12" s="1"/>
  <c r="B245" i="5"/>
  <c r="A250" i="5" s="1"/>
  <c r="I27" i="12" s="1"/>
  <c r="A145" i="5"/>
  <c r="I28" i="11" s="1"/>
  <c r="B139" i="5"/>
  <c r="A144" i="5" s="1"/>
  <c r="I27" i="11" s="1"/>
  <c r="B33" i="5"/>
  <c r="N2" i="5"/>
  <c r="M404" i="5"/>
  <c r="N404" i="5" s="1"/>
  <c r="M405" i="5"/>
  <c r="N405" i="5" s="1"/>
  <c r="O405" i="5" s="1"/>
  <c r="P405" i="5" s="1"/>
  <c r="Q405" i="5" s="1"/>
  <c r="R405" i="5" s="1"/>
  <c r="S405" i="5" s="1"/>
  <c r="M407" i="5"/>
  <c r="N407" i="5" s="1"/>
  <c r="O407" i="5" s="1"/>
  <c r="P407" i="5" s="1"/>
  <c r="Q407" i="5" s="1"/>
  <c r="R407" i="5" s="1"/>
  <c r="S407" i="5" s="1"/>
  <c r="M408" i="5"/>
  <c r="C409" i="5"/>
  <c r="D409" i="5" s="1"/>
  <c r="E409" i="5" s="1"/>
  <c r="F409" i="5" s="1"/>
  <c r="G409" i="5" s="1"/>
  <c r="H409" i="5" s="1"/>
  <c r="C367" i="5"/>
  <c r="D367" i="5" s="1"/>
  <c r="E367" i="5" s="1"/>
  <c r="C369" i="5"/>
  <c r="M298" i="5"/>
  <c r="N298" i="5" s="1"/>
  <c r="M299" i="5"/>
  <c r="N299" i="5" s="1"/>
  <c r="O299" i="5" s="1"/>
  <c r="P299" i="5" s="1"/>
  <c r="Q299" i="5" s="1"/>
  <c r="R299" i="5" s="1"/>
  <c r="S299" i="5" s="1"/>
  <c r="M301" i="5"/>
  <c r="N301" i="5" s="1"/>
  <c r="O301" i="5" s="1"/>
  <c r="P301" i="5" s="1"/>
  <c r="Q301" i="5" s="1"/>
  <c r="R301" i="5" s="1"/>
  <c r="S301" i="5" s="1"/>
  <c r="M302" i="5"/>
  <c r="C303" i="5"/>
  <c r="D303" i="5" s="1"/>
  <c r="E303" i="5" s="1"/>
  <c r="F303" i="5" s="1"/>
  <c r="G303" i="5" s="1"/>
  <c r="H303" i="5" s="1"/>
  <c r="C263" i="5"/>
  <c r="C261" i="5"/>
  <c r="D261" i="5" s="1"/>
  <c r="C49" i="5"/>
  <c r="D49" i="5" s="1"/>
  <c r="C91" i="5"/>
  <c r="D91" i="5" s="1"/>
  <c r="E91" i="5" s="1"/>
  <c r="F91" i="5" s="1"/>
  <c r="G91" i="5" s="1"/>
  <c r="H91" i="5" s="1"/>
  <c r="M86" i="5"/>
  <c r="N86" i="5" s="1"/>
  <c r="N98" i="5"/>
  <c r="C105" i="5"/>
  <c r="N99" i="5" s="1"/>
  <c r="M87" i="5"/>
  <c r="N87" i="5" s="1"/>
  <c r="O87" i="5" s="1"/>
  <c r="P87" i="5" s="1"/>
  <c r="Q87" i="5" s="1"/>
  <c r="R87" i="5" s="1"/>
  <c r="S87" i="5" s="1"/>
  <c r="C106" i="5"/>
  <c r="N100" i="5" s="1"/>
  <c r="M90" i="5"/>
  <c r="N90" i="5" s="1"/>
  <c r="C155" i="5"/>
  <c r="D155" i="5" s="1"/>
  <c r="C157" i="5"/>
  <c r="C197" i="5"/>
  <c r="D197" i="5" s="1"/>
  <c r="E197" i="5" s="1"/>
  <c r="F197" i="5" s="1"/>
  <c r="G197" i="5" s="1"/>
  <c r="H197" i="5" s="1"/>
  <c r="O192" i="5"/>
  <c r="N204" i="5"/>
  <c r="C211" i="5"/>
  <c r="N205" i="5" s="1"/>
  <c r="O193" i="5"/>
  <c r="P193" i="5" s="1"/>
  <c r="Q193" i="5" s="1"/>
  <c r="R193" i="5" s="1"/>
  <c r="S193" i="5" s="1"/>
  <c r="C212" i="5"/>
  <c r="N206" i="5" s="1"/>
  <c r="M196" i="5"/>
  <c r="M510" i="5"/>
  <c r="N510" i="5" s="1"/>
  <c r="M511" i="5"/>
  <c r="N511" i="5" s="1"/>
  <c r="O511" i="5" s="1"/>
  <c r="P511" i="5" s="1"/>
  <c r="Q511" i="5" s="1"/>
  <c r="R511" i="5" s="1"/>
  <c r="S511" i="5" s="1"/>
  <c r="M514" i="5"/>
  <c r="M616" i="5"/>
  <c r="N616" i="5" s="1"/>
  <c r="M617" i="5"/>
  <c r="N617" i="5" s="1"/>
  <c r="O617" i="5" s="1"/>
  <c r="P617" i="5" s="1"/>
  <c r="Q617" i="5" s="1"/>
  <c r="R617" i="5" s="1"/>
  <c r="S617" i="5" s="1"/>
  <c r="M620" i="5"/>
  <c r="D369" i="5"/>
  <c r="D263" i="5"/>
  <c r="D51" i="5"/>
  <c r="O98" i="5"/>
  <c r="D105" i="5"/>
  <c r="O99" i="5" s="1"/>
  <c r="D106" i="5"/>
  <c r="O100" i="5" s="1"/>
  <c r="D157" i="5"/>
  <c r="O204" i="5"/>
  <c r="D211" i="5"/>
  <c r="O205" i="5" s="1"/>
  <c r="D212" i="5"/>
  <c r="O206" i="5" s="1"/>
  <c r="E369" i="5"/>
  <c r="E263" i="5"/>
  <c r="E51" i="5"/>
  <c r="P98" i="5"/>
  <c r="E105" i="5"/>
  <c r="P99" i="5" s="1"/>
  <c r="E106" i="5"/>
  <c r="P100" i="5" s="1"/>
  <c r="E157" i="5"/>
  <c r="P204" i="5"/>
  <c r="E211" i="5"/>
  <c r="P205" i="5" s="1"/>
  <c r="E212" i="5"/>
  <c r="P206" i="5" s="1"/>
  <c r="F369" i="5"/>
  <c r="F263" i="5"/>
  <c r="F51" i="5"/>
  <c r="Q98" i="5"/>
  <c r="F105" i="5"/>
  <c r="Q99" i="5" s="1"/>
  <c r="F106" i="5"/>
  <c r="Q100" i="5" s="1"/>
  <c r="F157" i="5"/>
  <c r="Q204" i="5"/>
  <c r="F211" i="5"/>
  <c r="Q205" i="5" s="1"/>
  <c r="F212" i="5"/>
  <c r="Q206" i="5" s="1"/>
  <c r="M29" i="5"/>
  <c r="B408" i="5"/>
  <c r="B415" i="5"/>
  <c r="B437" i="5"/>
  <c r="B366" i="5"/>
  <c r="B380" i="5"/>
  <c r="B394" i="5"/>
  <c r="B302" i="5"/>
  <c r="B309" i="5"/>
  <c r="B331" i="5"/>
  <c r="B260" i="5"/>
  <c r="B274" i="5"/>
  <c r="B288" i="5"/>
  <c r="B48" i="5"/>
  <c r="B62" i="5"/>
  <c r="B76" i="5"/>
  <c r="B90" i="5"/>
  <c r="B97" i="5"/>
  <c r="M98" i="5"/>
  <c r="B105" i="5"/>
  <c r="M99" i="5" s="1"/>
  <c r="B106" i="5"/>
  <c r="M100" i="5" s="1"/>
  <c r="B119" i="5"/>
  <c r="B154" i="5"/>
  <c r="B168" i="5"/>
  <c r="B182" i="5"/>
  <c r="B196" i="5"/>
  <c r="B203" i="5"/>
  <c r="M204" i="5"/>
  <c r="B211" i="5"/>
  <c r="M205" i="5" s="1"/>
  <c r="B212" i="5"/>
  <c r="M206" i="5" s="1"/>
  <c r="B225" i="5"/>
  <c r="B472" i="5"/>
  <c r="B486" i="5"/>
  <c r="B500" i="5"/>
  <c r="B514" i="5"/>
  <c r="B521" i="5"/>
  <c r="B543" i="5"/>
  <c r="B578" i="5"/>
  <c r="B592" i="5"/>
  <c r="B606" i="5"/>
  <c r="B620" i="5"/>
  <c r="B627" i="5"/>
  <c r="B649" i="5"/>
  <c r="C63" i="5"/>
  <c r="D63" i="5" s="1"/>
  <c r="C65" i="5"/>
  <c r="C77" i="5"/>
  <c r="D77" i="5" s="1"/>
  <c r="C79" i="5"/>
  <c r="C93" i="5"/>
  <c r="C98" i="5"/>
  <c r="D98" i="5" s="1"/>
  <c r="C100" i="5"/>
  <c r="M89" i="5"/>
  <c r="N89" i="5" s="1"/>
  <c r="O89" i="5" s="1"/>
  <c r="P89" i="5" s="1"/>
  <c r="Q89" i="5" s="1"/>
  <c r="R89" i="5" s="1"/>
  <c r="S89" i="5" s="1"/>
  <c r="C120" i="5"/>
  <c r="C122" i="5"/>
  <c r="B39" i="1"/>
  <c r="B76" i="16" s="1"/>
  <c r="B40" i="1"/>
  <c r="B77" i="16" s="1"/>
  <c r="B41" i="1"/>
  <c r="B42" i="1"/>
  <c r="B79" i="16" s="1"/>
  <c r="B43" i="1"/>
  <c r="F63" i="3"/>
  <c r="F66" i="3" s="1"/>
  <c r="B48" i="1" s="1"/>
  <c r="B49" i="1"/>
  <c r="B86" i="16" s="1"/>
  <c r="B10" i="4"/>
  <c r="B18" i="4"/>
  <c r="B25" i="4"/>
  <c r="B30" i="4"/>
  <c r="B34" i="4"/>
  <c r="B41" i="4"/>
  <c r="B52" i="4"/>
  <c r="B10" i="7"/>
  <c r="B18" i="7"/>
  <c r="B25" i="7"/>
  <c r="B30" i="7"/>
  <c r="B34" i="7"/>
  <c r="B41" i="7"/>
  <c r="B52" i="7"/>
  <c r="B10" i="8"/>
  <c r="B18" i="8"/>
  <c r="B25" i="8"/>
  <c r="B30" i="8"/>
  <c r="B34" i="8"/>
  <c r="B41" i="8"/>
  <c r="B52" i="8"/>
  <c r="B10" i="9"/>
  <c r="B18" i="9"/>
  <c r="B25" i="9"/>
  <c r="B30" i="9"/>
  <c r="B34" i="9"/>
  <c r="B41" i="9"/>
  <c r="B52" i="9"/>
  <c r="B10" i="10"/>
  <c r="B18" i="10"/>
  <c r="B26" i="10" s="1"/>
  <c r="B25" i="10"/>
  <c r="B30" i="10"/>
  <c r="B34" i="10"/>
  <c r="B41" i="10"/>
  <c r="B52" i="10"/>
  <c r="B51" i="1"/>
  <c r="B88" i="16" s="1"/>
  <c r="B54" i="1"/>
  <c r="B91" i="16" s="1"/>
  <c r="C169" i="5"/>
  <c r="C171" i="5"/>
  <c r="C183" i="5"/>
  <c r="C185" i="5"/>
  <c r="C199" i="5"/>
  <c r="C204" i="5"/>
  <c r="D204" i="5" s="1"/>
  <c r="C206" i="5"/>
  <c r="M195" i="5"/>
  <c r="N195" i="5" s="1"/>
  <c r="O195" i="5" s="1"/>
  <c r="P195" i="5" s="1"/>
  <c r="Q195" i="5" s="1"/>
  <c r="R195" i="5" s="1"/>
  <c r="S195" i="5" s="1"/>
  <c r="C226" i="5"/>
  <c r="D226" i="5" s="1"/>
  <c r="E226" i="5" s="1"/>
  <c r="F226" i="5" s="1"/>
  <c r="G226" i="5" s="1"/>
  <c r="H226" i="5" s="1"/>
  <c r="C228" i="5"/>
  <c r="B33" i="11"/>
  <c r="B37" i="11"/>
  <c r="B44" i="11"/>
  <c r="B63" i="11"/>
  <c r="C275" i="5"/>
  <c r="D275" i="5" s="1"/>
  <c r="E275" i="5" s="1"/>
  <c r="C277" i="5"/>
  <c r="C289" i="5"/>
  <c r="C293" i="5" s="1"/>
  <c r="C305" i="5"/>
  <c r="C310" i="5"/>
  <c r="D310" i="5" s="1"/>
  <c r="E310" i="5" s="1"/>
  <c r="C312" i="5"/>
  <c r="M310" i="5"/>
  <c r="B317" i="5"/>
  <c r="M311" i="5" s="1"/>
  <c r="B318" i="5"/>
  <c r="M312" i="5" s="1"/>
  <c r="C332" i="5"/>
  <c r="D332" i="5" s="1"/>
  <c r="E332" i="5" s="1"/>
  <c r="F332" i="5" s="1"/>
  <c r="G332" i="5" s="1"/>
  <c r="H332" i="5" s="1"/>
  <c r="C334" i="5"/>
  <c r="B33" i="12"/>
  <c r="B37" i="12"/>
  <c r="B44" i="12"/>
  <c r="B63" i="12"/>
  <c r="C381" i="5"/>
  <c r="C383" i="5"/>
  <c r="C395" i="5"/>
  <c r="C397" i="5"/>
  <c r="C411" i="5"/>
  <c r="C416" i="5"/>
  <c r="D416" i="5" s="1"/>
  <c r="C418" i="5"/>
  <c r="M416" i="5"/>
  <c r="B423" i="5"/>
  <c r="M417" i="5" s="1"/>
  <c r="B424" i="5"/>
  <c r="M418" i="5" s="1"/>
  <c r="C438" i="5"/>
  <c r="D438" i="5" s="1"/>
  <c r="E438" i="5" s="1"/>
  <c r="F438" i="5" s="1"/>
  <c r="G438" i="5" s="1"/>
  <c r="H438" i="5" s="1"/>
  <c r="C440" i="5"/>
  <c r="B33" i="13"/>
  <c r="B37" i="13"/>
  <c r="B44" i="13"/>
  <c r="B63" i="13"/>
  <c r="C473" i="5"/>
  <c r="C475" i="5"/>
  <c r="C487" i="5"/>
  <c r="D487" i="5" s="1"/>
  <c r="C489" i="5"/>
  <c r="C501" i="5"/>
  <c r="C503" i="5"/>
  <c r="C515" i="5"/>
  <c r="D515" i="5" s="1"/>
  <c r="E515" i="5" s="1"/>
  <c r="F515" i="5" s="1"/>
  <c r="G515" i="5" s="1"/>
  <c r="H515" i="5" s="1"/>
  <c r="C517" i="5"/>
  <c r="C522" i="5"/>
  <c r="D522" i="5" s="1"/>
  <c r="E522" i="5" s="1"/>
  <c r="C524" i="5"/>
  <c r="M522" i="5"/>
  <c r="M513" i="5"/>
  <c r="N513" i="5" s="1"/>
  <c r="O513" i="5" s="1"/>
  <c r="P513" i="5" s="1"/>
  <c r="Q513" i="5" s="1"/>
  <c r="R513" i="5" s="1"/>
  <c r="S513" i="5" s="1"/>
  <c r="B529" i="5"/>
  <c r="M523" i="5" s="1"/>
  <c r="B530" i="5"/>
  <c r="M524" i="5" s="1"/>
  <c r="C544" i="5"/>
  <c r="D544" i="5" s="1"/>
  <c r="E544" i="5" s="1"/>
  <c r="F544" i="5" s="1"/>
  <c r="G544" i="5" s="1"/>
  <c r="H544" i="5" s="1"/>
  <c r="C546" i="5"/>
  <c r="B33" i="14"/>
  <c r="B37" i="14"/>
  <c r="B44" i="14"/>
  <c r="B63" i="14"/>
  <c r="C579" i="5"/>
  <c r="C581" i="5"/>
  <c r="C593" i="5"/>
  <c r="D593" i="5" s="1"/>
  <c r="E593" i="5" s="1"/>
  <c r="C595" i="5"/>
  <c r="C607" i="5"/>
  <c r="D607" i="5" s="1"/>
  <c r="E607" i="5" s="1"/>
  <c r="C609" i="5"/>
  <c r="C621" i="5"/>
  <c r="D621" i="5" s="1"/>
  <c r="E621" i="5" s="1"/>
  <c r="F621" i="5" s="1"/>
  <c r="G621" i="5" s="1"/>
  <c r="H621" i="5" s="1"/>
  <c r="C623" i="5"/>
  <c r="C628" i="5"/>
  <c r="D628" i="5" s="1"/>
  <c r="C630" i="5"/>
  <c r="M628" i="5"/>
  <c r="M619" i="5"/>
  <c r="N619" i="5" s="1"/>
  <c r="O619" i="5" s="1"/>
  <c r="P619" i="5" s="1"/>
  <c r="Q619" i="5" s="1"/>
  <c r="R619" i="5" s="1"/>
  <c r="S619" i="5" s="1"/>
  <c r="B635" i="5"/>
  <c r="M629" i="5" s="1"/>
  <c r="B636" i="5"/>
  <c r="M630" i="5" s="1"/>
  <c r="C650" i="5"/>
  <c r="D650" i="5" s="1"/>
  <c r="E650" i="5" s="1"/>
  <c r="F650" i="5" s="1"/>
  <c r="G650" i="5" s="1"/>
  <c r="H650" i="5" s="1"/>
  <c r="C652" i="5"/>
  <c r="B33" i="15"/>
  <c r="B37" i="15"/>
  <c r="B44" i="15"/>
  <c r="B63" i="15"/>
  <c r="F10" i="10"/>
  <c r="F18" i="10"/>
  <c r="F25" i="10"/>
  <c r="F26" i="10" s="1"/>
  <c r="F30" i="10"/>
  <c r="F34" i="10"/>
  <c r="F41" i="10"/>
  <c r="F52" i="10"/>
  <c r="F10" i="9"/>
  <c r="F18" i="9"/>
  <c r="F25" i="9"/>
  <c r="F30" i="9"/>
  <c r="F34" i="9"/>
  <c r="F41" i="9"/>
  <c r="F52" i="9"/>
  <c r="F10" i="8"/>
  <c r="F18" i="8"/>
  <c r="F25" i="8"/>
  <c r="F30" i="8"/>
  <c r="F34" i="8"/>
  <c r="F41" i="8"/>
  <c r="F52" i="8"/>
  <c r="F10" i="7"/>
  <c r="F18" i="7"/>
  <c r="F25" i="7"/>
  <c r="F30" i="7"/>
  <c r="F34" i="7"/>
  <c r="F41" i="7"/>
  <c r="F52" i="7"/>
  <c r="E10" i="4"/>
  <c r="E18" i="4"/>
  <c r="E25" i="4"/>
  <c r="E30" i="4"/>
  <c r="E34" i="4"/>
  <c r="E41" i="4"/>
  <c r="E52" i="4"/>
  <c r="E53" i="4" s="1"/>
  <c r="D10" i="4"/>
  <c r="D18" i="4"/>
  <c r="D25" i="4"/>
  <c r="D30" i="4"/>
  <c r="D34" i="4"/>
  <c r="D41" i="4"/>
  <c r="D52" i="4"/>
  <c r="C10" i="4"/>
  <c r="C18" i="4"/>
  <c r="C25" i="4"/>
  <c r="C30" i="4"/>
  <c r="C34" i="4"/>
  <c r="C41" i="4"/>
  <c r="C52" i="4"/>
  <c r="A572" i="5"/>
  <c r="A466" i="5"/>
  <c r="A360" i="5"/>
  <c r="A254" i="5"/>
  <c r="A148" i="5"/>
  <c r="D79" i="5"/>
  <c r="E79" i="5"/>
  <c r="F79" i="5"/>
  <c r="G79" i="5"/>
  <c r="H79" i="5"/>
  <c r="D65" i="5"/>
  <c r="E65" i="5"/>
  <c r="F65" i="5"/>
  <c r="G65" i="5"/>
  <c r="H65" i="5"/>
  <c r="G51" i="5"/>
  <c r="H51" i="5"/>
  <c r="D171" i="5"/>
  <c r="D185" i="5"/>
  <c r="D277" i="5"/>
  <c r="D291" i="5"/>
  <c r="D383" i="5"/>
  <c r="D397" i="5"/>
  <c r="D475" i="5"/>
  <c r="D489" i="5"/>
  <c r="D503" i="5"/>
  <c r="D581" i="5"/>
  <c r="D595" i="5"/>
  <c r="D609" i="5"/>
  <c r="B93" i="5"/>
  <c r="B199" i="5"/>
  <c r="B305" i="5"/>
  <c r="B411" i="5"/>
  <c r="B517" i="5"/>
  <c r="B623" i="5"/>
  <c r="B100" i="5"/>
  <c r="B206" i="5"/>
  <c r="B312" i="5"/>
  <c r="B418" i="5"/>
  <c r="B524" i="5"/>
  <c r="B630" i="5"/>
  <c r="B122" i="5"/>
  <c r="B228" i="5"/>
  <c r="B334" i="5"/>
  <c r="B440" i="5"/>
  <c r="B546" i="5"/>
  <c r="B652" i="5"/>
  <c r="E171" i="5"/>
  <c r="E185" i="5"/>
  <c r="E277" i="5"/>
  <c r="E291" i="5"/>
  <c r="E383" i="5"/>
  <c r="E397" i="5"/>
  <c r="E475" i="5"/>
  <c r="E489" i="5"/>
  <c r="E503" i="5"/>
  <c r="E581" i="5"/>
  <c r="E595" i="5"/>
  <c r="E609" i="5"/>
  <c r="D93" i="5"/>
  <c r="D199" i="5"/>
  <c r="D305" i="5"/>
  <c r="D411" i="5"/>
  <c r="D517" i="5"/>
  <c r="D623" i="5"/>
  <c r="D100" i="5"/>
  <c r="D206" i="5"/>
  <c r="D312" i="5"/>
  <c r="D418" i="5"/>
  <c r="D524" i="5"/>
  <c r="D630" i="5"/>
  <c r="N310" i="5"/>
  <c r="C317" i="5"/>
  <c r="N311" i="5" s="1"/>
  <c r="C318" i="5"/>
  <c r="N312" i="5" s="1"/>
  <c r="N416" i="5"/>
  <c r="C423" i="5"/>
  <c r="N417" i="5" s="1"/>
  <c r="C424" i="5"/>
  <c r="N418" i="5" s="1"/>
  <c r="N522" i="5"/>
  <c r="C529" i="5"/>
  <c r="N523" i="5" s="1"/>
  <c r="C530" i="5"/>
  <c r="N524" i="5" s="1"/>
  <c r="N628" i="5"/>
  <c r="C635" i="5"/>
  <c r="N629" i="5" s="1"/>
  <c r="C636" i="5"/>
  <c r="N630" i="5" s="1"/>
  <c r="D122" i="5"/>
  <c r="D228" i="5"/>
  <c r="D334" i="5"/>
  <c r="D440" i="5"/>
  <c r="D546" i="5"/>
  <c r="D652" i="5"/>
  <c r="C10" i="7"/>
  <c r="C26" i="7" s="1"/>
  <c r="C18" i="7"/>
  <c r="C25" i="7"/>
  <c r="C30" i="7"/>
  <c r="C34" i="7"/>
  <c r="C41" i="7"/>
  <c r="C52" i="7"/>
  <c r="C10" i="8"/>
  <c r="C18" i="8"/>
  <c r="C25" i="8"/>
  <c r="C30" i="8"/>
  <c r="C34" i="8"/>
  <c r="C41" i="8"/>
  <c r="C52" i="8"/>
  <c r="C10" i="9"/>
  <c r="C18" i="9"/>
  <c r="C25" i="9"/>
  <c r="C30" i="9"/>
  <c r="C34" i="9"/>
  <c r="C41" i="9"/>
  <c r="C52" i="9"/>
  <c r="C10" i="10"/>
  <c r="C18" i="10"/>
  <c r="C25" i="10"/>
  <c r="C30" i="10"/>
  <c r="C34" i="10"/>
  <c r="C41" i="10"/>
  <c r="C52" i="10"/>
  <c r="G47" i="3"/>
  <c r="G50" i="3" s="1"/>
  <c r="C46" i="1" s="1"/>
  <c r="C83" i="16" s="1"/>
  <c r="G55" i="3"/>
  <c r="G58" i="3" s="1"/>
  <c r="C47" i="1" s="1"/>
  <c r="C84" i="16" s="1"/>
  <c r="G63" i="3"/>
  <c r="H63" i="3" s="1"/>
  <c r="C49" i="1"/>
  <c r="C86" i="16" s="1"/>
  <c r="C51" i="1"/>
  <c r="C88" i="16" s="1"/>
  <c r="C54" i="1"/>
  <c r="C91" i="16" s="1"/>
  <c r="C39" i="1"/>
  <c r="C76" i="16" s="1"/>
  <c r="C40" i="1"/>
  <c r="C77" i="16" s="1"/>
  <c r="C41" i="1"/>
  <c r="C78" i="16" s="1"/>
  <c r="C42" i="1"/>
  <c r="C79" i="16" s="1"/>
  <c r="C43" i="1"/>
  <c r="C80" i="16" s="1"/>
  <c r="F171" i="5"/>
  <c r="F185" i="5"/>
  <c r="F277" i="5"/>
  <c r="F291" i="5"/>
  <c r="F383" i="5"/>
  <c r="F397" i="5"/>
  <c r="F475" i="5"/>
  <c r="F489" i="5"/>
  <c r="F503" i="5"/>
  <c r="F581" i="5"/>
  <c r="F595" i="5"/>
  <c r="F609" i="5"/>
  <c r="E93" i="5"/>
  <c r="E199" i="5"/>
  <c r="E305" i="5"/>
  <c r="E411" i="5"/>
  <c r="E517" i="5"/>
  <c r="E623" i="5"/>
  <c r="E100" i="5"/>
  <c r="E206" i="5"/>
  <c r="E312" i="5"/>
  <c r="E418" i="5"/>
  <c r="E524" i="5"/>
  <c r="E630" i="5"/>
  <c r="O310" i="5"/>
  <c r="D317" i="5"/>
  <c r="O311" i="5" s="1"/>
  <c r="D318" i="5"/>
  <c r="O312" i="5" s="1"/>
  <c r="O416" i="5"/>
  <c r="D423" i="5"/>
  <c r="O417" i="5" s="1"/>
  <c r="D424" i="5"/>
  <c r="O418" i="5" s="1"/>
  <c r="O522" i="5"/>
  <c r="D529" i="5"/>
  <c r="O523" i="5" s="1"/>
  <c r="D530" i="5"/>
  <c r="O524" i="5" s="1"/>
  <c r="O628" i="5"/>
  <c r="D635" i="5"/>
  <c r="O629" i="5" s="1"/>
  <c r="D636" i="5"/>
  <c r="O630" i="5" s="1"/>
  <c r="E122" i="5"/>
  <c r="E228" i="5"/>
  <c r="E334" i="5"/>
  <c r="E440" i="5"/>
  <c r="E546" i="5"/>
  <c r="E652" i="5"/>
  <c r="D10" i="7"/>
  <c r="D18" i="7"/>
  <c r="D25" i="7"/>
  <c r="D30" i="7"/>
  <c r="D34" i="7"/>
  <c r="D41" i="7"/>
  <c r="D52" i="7"/>
  <c r="D10" i="8"/>
  <c r="D18" i="8"/>
  <c r="D25" i="8"/>
  <c r="D30" i="8"/>
  <c r="D34" i="8"/>
  <c r="D41" i="8"/>
  <c r="D52" i="8"/>
  <c r="D10" i="9"/>
  <c r="D18" i="9"/>
  <c r="D26" i="9" s="1"/>
  <c r="D25" i="9"/>
  <c r="D30" i="9"/>
  <c r="D34" i="9"/>
  <c r="D41" i="9"/>
  <c r="D52" i="9"/>
  <c r="D10" i="10"/>
  <c r="D18" i="10"/>
  <c r="D25" i="10"/>
  <c r="D26" i="10" s="1"/>
  <c r="D30" i="10"/>
  <c r="D34" i="10"/>
  <c r="D41" i="10"/>
  <c r="D52" i="10"/>
  <c r="D49" i="1"/>
  <c r="D86" i="16" s="1"/>
  <c r="D51" i="1"/>
  <c r="D54" i="1"/>
  <c r="D91" i="16" s="1"/>
  <c r="D31" i="1"/>
  <c r="D68" i="16" s="1"/>
  <c r="D70" i="16" s="1"/>
  <c r="D3" i="33" s="1"/>
  <c r="D39" i="1"/>
  <c r="D76" i="16" s="1"/>
  <c r="D40" i="1"/>
  <c r="D77" i="16" s="1"/>
  <c r="D41" i="1"/>
  <c r="D78" i="16" s="1"/>
  <c r="D42" i="1"/>
  <c r="D43" i="1"/>
  <c r="D80" i="16" s="1"/>
  <c r="G157" i="5"/>
  <c r="G171" i="5"/>
  <c r="G185" i="5"/>
  <c r="G263" i="5"/>
  <c r="G277" i="5"/>
  <c r="G291" i="5"/>
  <c r="G369" i="5"/>
  <c r="G383" i="5"/>
  <c r="G397" i="5"/>
  <c r="G475" i="5"/>
  <c r="G489" i="5"/>
  <c r="G503" i="5"/>
  <c r="G581" i="5"/>
  <c r="G595" i="5"/>
  <c r="G609" i="5"/>
  <c r="F93" i="5"/>
  <c r="F199" i="5"/>
  <c r="F305" i="5"/>
  <c r="F411" i="5"/>
  <c r="F517" i="5"/>
  <c r="F623" i="5"/>
  <c r="F100" i="5"/>
  <c r="F206" i="5"/>
  <c r="F312" i="5"/>
  <c r="F418" i="5"/>
  <c r="F524" i="5"/>
  <c r="F630" i="5"/>
  <c r="P310" i="5"/>
  <c r="E317" i="5"/>
  <c r="P311" i="5" s="1"/>
  <c r="E318" i="5"/>
  <c r="P312" i="5" s="1"/>
  <c r="P416" i="5"/>
  <c r="E423" i="5"/>
  <c r="P417" i="5" s="1"/>
  <c r="E424" i="5"/>
  <c r="P418" i="5" s="1"/>
  <c r="P522" i="5"/>
  <c r="E529" i="5"/>
  <c r="P523" i="5" s="1"/>
  <c r="E530" i="5"/>
  <c r="P524" i="5" s="1"/>
  <c r="P628" i="5"/>
  <c r="E635" i="5"/>
  <c r="P629" i="5" s="1"/>
  <c r="E636" i="5"/>
  <c r="P630" i="5" s="1"/>
  <c r="F122" i="5"/>
  <c r="F228" i="5"/>
  <c r="F334" i="5"/>
  <c r="F440" i="5"/>
  <c r="F546" i="5"/>
  <c r="F652" i="5"/>
  <c r="E10" i="7"/>
  <c r="E18" i="7"/>
  <c r="E25" i="7"/>
  <c r="E30" i="7"/>
  <c r="E34" i="7"/>
  <c r="E41" i="7"/>
  <c r="E52" i="7"/>
  <c r="E10" i="8"/>
  <c r="E18" i="8"/>
  <c r="E25" i="8"/>
  <c r="E30" i="8"/>
  <c r="E34" i="8"/>
  <c r="E41" i="8"/>
  <c r="E52" i="8"/>
  <c r="E10" i="9"/>
  <c r="E18" i="9"/>
  <c r="E25" i="9"/>
  <c r="E30" i="9"/>
  <c r="E34" i="9"/>
  <c r="E41" i="9"/>
  <c r="E52" i="9"/>
  <c r="E10" i="10"/>
  <c r="E26" i="10" s="1"/>
  <c r="E18" i="10"/>
  <c r="E25" i="10"/>
  <c r="E30" i="10"/>
  <c r="E34" i="10"/>
  <c r="E41" i="10"/>
  <c r="E52" i="10"/>
  <c r="E49" i="1"/>
  <c r="E51" i="1"/>
  <c r="E88" i="16" s="1"/>
  <c r="E54" i="1"/>
  <c r="E91" i="16" s="1"/>
  <c r="E31" i="1"/>
  <c r="E68" i="16" s="1"/>
  <c r="E39" i="1"/>
  <c r="E76" i="16" s="1"/>
  <c r="E40" i="1"/>
  <c r="E77" i="16" s="1"/>
  <c r="E41" i="1"/>
  <c r="E78" i="16" s="1"/>
  <c r="E42" i="1"/>
  <c r="E79" i="16" s="1"/>
  <c r="E43" i="1"/>
  <c r="H157" i="5"/>
  <c r="H171" i="5"/>
  <c r="H185" i="5"/>
  <c r="H263" i="5"/>
  <c r="H277" i="5"/>
  <c r="H291" i="5"/>
  <c r="H369" i="5"/>
  <c r="H383" i="5"/>
  <c r="H397" i="5"/>
  <c r="H475" i="5"/>
  <c r="H489" i="5"/>
  <c r="H503" i="5"/>
  <c r="H581" i="5"/>
  <c r="H595" i="5"/>
  <c r="H609" i="5"/>
  <c r="G93" i="5"/>
  <c r="G199" i="5"/>
  <c r="G305" i="5"/>
  <c r="G411" i="5"/>
  <c r="G517" i="5"/>
  <c r="G623" i="5"/>
  <c r="G100" i="5"/>
  <c r="G206" i="5"/>
  <c r="G312" i="5"/>
  <c r="G418" i="5"/>
  <c r="G524" i="5"/>
  <c r="G630" i="5"/>
  <c r="Q310" i="5"/>
  <c r="F317" i="5"/>
  <c r="Q311" i="5" s="1"/>
  <c r="F318" i="5"/>
  <c r="Q312" i="5" s="1"/>
  <c r="Q416" i="5"/>
  <c r="F423" i="5"/>
  <c r="Q417" i="5" s="1"/>
  <c r="F424" i="5"/>
  <c r="Q418" i="5" s="1"/>
  <c r="Q522" i="5"/>
  <c r="F529" i="5"/>
  <c r="Q523" i="5" s="1"/>
  <c r="F530" i="5"/>
  <c r="Q524" i="5" s="1"/>
  <c r="Q628" i="5"/>
  <c r="F635" i="5"/>
  <c r="Q629" i="5" s="1"/>
  <c r="F636" i="5"/>
  <c r="Q630" i="5" s="1"/>
  <c r="G122" i="5"/>
  <c r="G228" i="5"/>
  <c r="G334" i="5"/>
  <c r="G440" i="5"/>
  <c r="G546" i="5"/>
  <c r="G652" i="5"/>
  <c r="F10" i="4"/>
  <c r="F18" i="4"/>
  <c r="F25" i="4"/>
  <c r="F30" i="4"/>
  <c r="F34" i="4"/>
  <c r="F41" i="4"/>
  <c r="F52" i="4"/>
  <c r="F49" i="1"/>
  <c r="F86" i="16" s="1"/>
  <c r="F54" i="1"/>
  <c r="F91" i="16" s="1"/>
  <c r="F31" i="1"/>
  <c r="F39" i="1"/>
  <c r="F76" i="16" s="1"/>
  <c r="F40" i="1"/>
  <c r="F77" i="16" s="1"/>
  <c r="F41" i="1"/>
  <c r="F42" i="1"/>
  <c r="F79" i="16" s="1"/>
  <c r="F43" i="1"/>
  <c r="C33" i="11"/>
  <c r="M54" i="20" s="1"/>
  <c r="C37" i="11"/>
  <c r="C44" i="11"/>
  <c r="C63" i="11"/>
  <c r="C33" i="12"/>
  <c r="C37" i="12"/>
  <c r="C44" i="12"/>
  <c r="C63" i="12"/>
  <c r="C33" i="13"/>
  <c r="C37" i="13"/>
  <c r="C44" i="13"/>
  <c r="C63" i="13"/>
  <c r="C33" i="14"/>
  <c r="C37" i="14"/>
  <c r="C44" i="14"/>
  <c r="C63" i="14"/>
  <c r="C33" i="15"/>
  <c r="C37" i="15"/>
  <c r="C44" i="15"/>
  <c r="C63" i="15"/>
  <c r="D33" i="11"/>
  <c r="D37" i="11"/>
  <c r="D44" i="11"/>
  <c r="D63" i="11"/>
  <c r="D33" i="12"/>
  <c r="D37" i="12"/>
  <c r="D44" i="12"/>
  <c r="D63" i="12"/>
  <c r="D33" i="13"/>
  <c r="D37" i="13"/>
  <c r="D44" i="13"/>
  <c r="D63" i="13"/>
  <c r="D33" i="14"/>
  <c r="D37" i="14"/>
  <c r="D44" i="14"/>
  <c r="D63" i="14"/>
  <c r="D33" i="15"/>
  <c r="D37" i="15"/>
  <c r="D44" i="15"/>
  <c r="D63" i="15"/>
  <c r="E33" i="11"/>
  <c r="E37" i="11"/>
  <c r="E44" i="11"/>
  <c r="E63" i="11"/>
  <c r="E33" i="12"/>
  <c r="E37" i="12"/>
  <c r="E44" i="12"/>
  <c r="E63" i="12"/>
  <c r="E33" i="13"/>
  <c r="E37" i="13"/>
  <c r="E44" i="13"/>
  <c r="E63" i="13"/>
  <c r="E33" i="14"/>
  <c r="E37" i="14"/>
  <c r="E44" i="14"/>
  <c r="E63" i="14"/>
  <c r="E33" i="15"/>
  <c r="E37" i="15"/>
  <c r="E44" i="15"/>
  <c r="E63" i="15"/>
  <c r="F33" i="11"/>
  <c r="F37" i="11"/>
  <c r="F44" i="11"/>
  <c r="F63" i="11"/>
  <c r="F33" i="12"/>
  <c r="F37" i="12"/>
  <c r="F44" i="12"/>
  <c r="F63" i="12"/>
  <c r="F33" i="13"/>
  <c r="F37" i="13"/>
  <c r="F44" i="13"/>
  <c r="F63" i="13"/>
  <c r="F33" i="14"/>
  <c r="F37" i="14"/>
  <c r="F44" i="14"/>
  <c r="F63" i="14"/>
  <c r="F33" i="15"/>
  <c r="F37" i="15"/>
  <c r="F44" i="15"/>
  <c r="F63" i="15"/>
  <c r="B14" i="17"/>
  <c r="G8" i="10"/>
  <c r="G9" i="10"/>
  <c r="G12" i="10"/>
  <c r="G13" i="10"/>
  <c r="G14" i="10"/>
  <c r="G15" i="10"/>
  <c r="G16" i="10"/>
  <c r="G17" i="10"/>
  <c r="G20" i="10"/>
  <c r="G21" i="10"/>
  <c r="G22" i="10"/>
  <c r="G23" i="10"/>
  <c r="G24" i="10"/>
  <c r="G28" i="10"/>
  <c r="G29" i="10"/>
  <c r="G32" i="10"/>
  <c r="G34" i="10" s="1"/>
  <c r="G33" i="10"/>
  <c r="G36" i="10"/>
  <c r="G37" i="10"/>
  <c r="G38" i="10"/>
  <c r="G39" i="10"/>
  <c r="G40" i="10"/>
  <c r="G43" i="10"/>
  <c r="G44" i="10"/>
  <c r="G45" i="10"/>
  <c r="G46" i="10"/>
  <c r="G8" i="9"/>
  <c r="G9" i="9"/>
  <c r="G10" i="9" s="1"/>
  <c r="G12" i="9"/>
  <c r="G13" i="9"/>
  <c r="G14" i="9"/>
  <c r="G15" i="9"/>
  <c r="G16" i="9"/>
  <c r="G17" i="9"/>
  <c r="G20" i="9"/>
  <c r="G21" i="9"/>
  <c r="G22" i="9"/>
  <c r="G23" i="9"/>
  <c r="G24" i="9"/>
  <c r="G28" i="9"/>
  <c r="G29" i="9"/>
  <c r="G32" i="9"/>
  <c r="G33" i="9"/>
  <c r="G36" i="9"/>
  <c r="G37" i="9"/>
  <c r="G38" i="9"/>
  <c r="G39" i="9"/>
  <c r="G40" i="9"/>
  <c r="G43" i="9"/>
  <c r="G44" i="9"/>
  <c r="G45" i="9"/>
  <c r="G8" i="8"/>
  <c r="G9" i="8"/>
  <c r="G12" i="8"/>
  <c r="G13" i="8"/>
  <c r="G14" i="8"/>
  <c r="G15" i="8"/>
  <c r="G16" i="8"/>
  <c r="G17" i="8"/>
  <c r="G20" i="8"/>
  <c r="G21" i="8"/>
  <c r="G22" i="8"/>
  <c r="G23" i="8"/>
  <c r="G24" i="8"/>
  <c r="G28" i="8"/>
  <c r="G30" i="8" s="1"/>
  <c r="G29" i="8"/>
  <c r="G32" i="8"/>
  <c r="G33" i="8"/>
  <c r="G34" i="8" s="1"/>
  <c r="G36" i="8"/>
  <c r="G37" i="8"/>
  <c r="G38" i="8"/>
  <c r="G39" i="8"/>
  <c r="G40" i="8"/>
  <c r="G43" i="8"/>
  <c r="G44" i="8"/>
  <c r="G45" i="8"/>
  <c r="G46" i="8"/>
  <c r="G8" i="7"/>
  <c r="G9" i="7"/>
  <c r="G12" i="7"/>
  <c r="G13" i="7"/>
  <c r="G14" i="7"/>
  <c r="G15" i="7"/>
  <c r="G16" i="7"/>
  <c r="G18" i="7" s="1"/>
  <c r="G17" i="7"/>
  <c r="G20" i="7"/>
  <c r="G21" i="7"/>
  <c r="G22" i="7"/>
  <c r="G23" i="7"/>
  <c r="G24" i="7"/>
  <c r="G28" i="7"/>
  <c r="G30" i="7" s="1"/>
  <c r="G29" i="7"/>
  <c r="G32" i="7"/>
  <c r="G34" i="7" s="1"/>
  <c r="G33" i="7"/>
  <c r="G36" i="7"/>
  <c r="G37" i="7"/>
  <c r="G38" i="7"/>
  <c r="G39" i="7"/>
  <c r="G40" i="7"/>
  <c r="G43" i="7"/>
  <c r="G44" i="7"/>
  <c r="G45" i="7"/>
  <c r="G46" i="7"/>
  <c r="G47" i="7"/>
  <c r="G8" i="4"/>
  <c r="G9" i="4"/>
  <c r="G12" i="4"/>
  <c r="G13" i="4"/>
  <c r="G14" i="4"/>
  <c r="G15" i="4"/>
  <c r="G16" i="4"/>
  <c r="G17" i="4"/>
  <c r="G20" i="4"/>
  <c r="G21" i="4"/>
  <c r="G22" i="4"/>
  <c r="G23" i="4"/>
  <c r="G24" i="4"/>
  <c r="G28" i="4"/>
  <c r="G29" i="4"/>
  <c r="G32" i="4"/>
  <c r="G33" i="4"/>
  <c r="G36" i="4"/>
  <c r="G37" i="4"/>
  <c r="G38" i="4"/>
  <c r="G39" i="4"/>
  <c r="G40" i="4"/>
  <c r="G43" i="4"/>
  <c r="G44" i="4"/>
  <c r="G45" i="4"/>
  <c r="G46" i="4"/>
  <c r="G47" i="4"/>
  <c r="A5" i="15"/>
  <c r="A5" i="14"/>
  <c r="A5" i="13"/>
  <c r="A5" i="12"/>
  <c r="A5" i="11"/>
  <c r="A21" i="10"/>
  <c r="A20" i="10"/>
  <c r="A21" i="9"/>
  <c r="A20" i="9"/>
  <c r="A21" i="8"/>
  <c r="A20" i="8"/>
  <c r="A21" i="7"/>
  <c r="A20" i="7"/>
  <c r="A20" i="4"/>
  <c r="A359" i="5"/>
  <c r="I32" i="13" s="1"/>
  <c r="A253" i="5"/>
  <c r="I32" i="12" s="1"/>
  <c r="A571" i="5"/>
  <c r="A465" i="5"/>
  <c r="I32" i="14" s="1"/>
  <c r="A147" i="5"/>
  <c r="I32" i="11" s="1"/>
  <c r="A41" i="5"/>
  <c r="I32" i="1" s="1"/>
  <c r="A42" i="5"/>
  <c r="A567" i="5"/>
  <c r="A461" i="5"/>
  <c r="I26" i="14" s="1"/>
  <c r="A355" i="5"/>
  <c r="I23" i="13" s="1"/>
  <c r="A249" i="5"/>
  <c r="I23" i="12" s="1"/>
  <c r="A143" i="5"/>
  <c r="I26" i="11" s="1"/>
  <c r="A37" i="5"/>
  <c r="I26" i="1" s="1"/>
  <c r="C59" i="10"/>
  <c r="AH12" i="5"/>
  <c r="A13" i="34" s="1"/>
  <c r="AH11" i="5"/>
  <c r="A12" i="34" s="1"/>
  <c r="AH10" i="5"/>
  <c r="A11" i="34" s="1"/>
  <c r="AH9" i="5"/>
  <c r="A10" i="34" s="1"/>
  <c r="K31" i="16"/>
  <c r="L31" i="16"/>
  <c r="M31" i="16"/>
  <c r="N31" i="16"/>
  <c r="J31" i="16"/>
  <c r="B5" i="16"/>
  <c r="B6" i="16" s="1"/>
  <c r="C5" i="16" s="1"/>
  <c r="C6" i="16" s="1"/>
  <c r="D5" i="16" s="1"/>
  <c r="D6" i="16" s="1"/>
  <c r="E5" i="16" s="1"/>
  <c r="E6" i="16" s="1"/>
  <c r="F5" i="16" s="1"/>
  <c r="F6" i="16" s="1"/>
  <c r="I106" i="16"/>
  <c r="I42" i="21" s="1"/>
  <c r="I105" i="16"/>
  <c r="I41" i="21" s="1"/>
  <c r="A87" i="16"/>
  <c r="A77" i="16"/>
  <c r="A78" i="16"/>
  <c r="A79" i="16"/>
  <c r="A80" i="16"/>
  <c r="A76" i="16"/>
  <c r="A17" i="15"/>
  <c r="A26" i="15" s="1"/>
  <c r="A16" i="15"/>
  <c r="A15" i="15"/>
  <c r="A14" i="15"/>
  <c r="A25" i="15" s="1"/>
  <c r="A13" i="15"/>
  <c r="A24" i="15" s="1"/>
  <c r="A17" i="14"/>
  <c r="A26" i="14" s="1"/>
  <c r="A16" i="14"/>
  <c r="A15" i="14"/>
  <c r="A14" i="14"/>
  <c r="A25" i="14" s="1"/>
  <c r="A13" i="14"/>
  <c r="A24" i="14" s="1"/>
  <c r="A17" i="13"/>
  <c r="A26" i="13" s="1"/>
  <c r="A16" i="13"/>
  <c r="A15" i="13"/>
  <c r="A14" i="13"/>
  <c r="A25" i="13" s="1"/>
  <c r="A13" i="13"/>
  <c r="A24" i="13" s="1"/>
  <c r="A17" i="12"/>
  <c r="A26" i="12" s="1"/>
  <c r="A16" i="12"/>
  <c r="A15" i="12"/>
  <c r="A14" i="12"/>
  <c r="A25" i="12" s="1"/>
  <c r="A13" i="12"/>
  <c r="A24" i="12" s="1"/>
  <c r="A17" i="11"/>
  <c r="A26" i="11" s="1"/>
  <c r="A16" i="11"/>
  <c r="A15" i="11"/>
  <c r="A14" i="11"/>
  <c r="A25" i="11" s="1"/>
  <c r="A13" i="11"/>
  <c r="A24" i="11" s="1"/>
  <c r="A2" i="16"/>
  <c r="A92" i="16"/>
  <c r="A81" i="16"/>
  <c r="A74" i="16"/>
  <c r="A70" i="16"/>
  <c r="G69" i="16"/>
  <c r="A65" i="16"/>
  <c r="A37" i="16"/>
  <c r="A29" i="16"/>
  <c r="F26" i="4"/>
  <c r="L614" i="5"/>
  <c r="L508" i="5"/>
  <c r="L402" i="5"/>
  <c r="L296" i="5"/>
  <c r="L190" i="5"/>
  <c r="L84" i="5"/>
  <c r="B557" i="5"/>
  <c r="A578" i="5" s="1"/>
  <c r="H652" i="5"/>
  <c r="A652" i="5"/>
  <c r="A650" i="5"/>
  <c r="H630" i="5"/>
  <c r="A630" i="5"/>
  <c r="A628" i="5"/>
  <c r="H623" i="5"/>
  <c r="A623" i="5"/>
  <c r="A621" i="5"/>
  <c r="H610" i="5"/>
  <c r="G610" i="5"/>
  <c r="F610" i="5"/>
  <c r="E610" i="5"/>
  <c r="D610" i="5"/>
  <c r="C610" i="5"/>
  <c r="B610" i="5"/>
  <c r="B609" i="5"/>
  <c r="B611" i="5" s="1"/>
  <c r="A609" i="5"/>
  <c r="A607" i="5"/>
  <c r="A606" i="5"/>
  <c r="A605" i="5"/>
  <c r="H596" i="5"/>
  <c r="G596" i="5"/>
  <c r="F596" i="5"/>
  <c r="E596" i="5"/>
  <c r="D596" i="5"/>
  <c r="C596" i="5"/>
  <c r="B596" i="5"/>
  <c r="B595" i="5"/>
  <c r="B597" i="5" s="1"/>
  <c r="A595" i="5"/>
  <c r="A593" i="5"/>
  <c r="A592" i="5"/>
  <c r="A591" i="5"/>
  <c r="H582" i="5"/>
  <c r="G582" i="5"/>
  <c r="F582" i="5"/>
  <c r="E582" i="5"/>
  <c r="D582" i="5"/>
  <c r="C582" i="5"/>
  <c r="B582" i="5"/>
  <c r="B581" i="5"/>
  <c r="B583" i="5" s="1"/>
  <c r="A581" i="5"/>
  <c r="A579" i="5"/>
  <c r="A577" i="5"/>
  <c r="B451" i="5"/>
  <c r="A472" i="5" s="1"/>
  <c r="A8" i="14" s="1"/>
  <c r="A20" i="19" s="1"/>
  <c r="A49" i="19" s="1"/>
  <c r="H546" i="5"/>
  <c r="A546" i="5"/>
  <c r="A544" i="5"/>
  <c r="H524" i="5"/>
  <c r="A524" i="5"/>
  <c r="A522" i="5"/>
  <c r="H517" i="5"/>
  <c r="A517" i="5"/>
  <c r="A515" i="5"/>
  <c r="H504" i="5"/>
  <c r="G504" i="5"/>
  <c r="F504" i="5"/>
  <c r="E504" i="5"/>
  <c r="D504" i="5"/>
  <c r="C504" i="5"/>
  <c r="B504" i="5"/>
  <c r="B503" i="5"/>
  <c r="B505" i="5" s="1"/>
  <c r="A503" i="5"/>
  <c r="A501" i="5"/>
  <c r="A500" i="5"/>
  <c r="A10" i="14" s="1"/>
  <c r="A22" i="16" s="1"/>
  <c r="A54" i="16" s="1"/>
  <c r="A499" i="5"/>
  <c r="H490" i="5"/>
  <c r="G490" i="5"/>
  <c r="F490" i="5"/>
  <c r="E490" i="5"/>
  <c r="D490" i="5"/>
  <c r="C490" i="5"/>
  <c r="B490" i="5"/>
  <c r="B489" i="5"/>
  <c r="B491" i="5" s="1"/>
  <c r="A489" i="5"/>
  <c r="A487" i="5"/>
  <c r="A486" i="5"/>
  <c r="A9" i="14" s="1"/>
  <c r="A485" i="5"/>
  <c r="H476" i="5"/>
  <c r="G476" i="5"/>
  <c r="F476" i="5"/>
  <c r="E476" i="5"/>
  <c r="D476" i="5"/>
  <c r="C476" i="5"/>
  <c r="B476" i="5"/>
  <c r="B475" i="5"/>
  <c r="B477" i="5" s="1"/>
  <c r="A475" i="5"/>
  <c r="A473" i="5"/>
  <c r="A471" i="5"/>
  <c r="B345" i="5"/>
  <c r="A366" i="5" s="1"/>
  <c r="A8" i="13" s="1"/>
  <c r="A17" i="19" s="1"/>
  <c r="A46" i="19" s="1"/>
  <c r="A393" i="5"/>
  <c r="A287" i="5"/>
  <c r="A75" i="5"/>
  <c r="A181" i="5"/>
  <c r="H440" i="5"/>
  <c r="A440" i="5"/>
  <c r="A438" i="5"/>
  <c r="H418" i="5"/>
  <c r="A418" i="5"/>
  <c r="A416" i="5"/>
  <c r="H411" i="5"/>
  <c r="A411" i="5"/>
  <c r="A409" i="5"/>
  <c r="H398" i="5"/>
  <c r="G398" i="5"/>
  <c r="F398" i="5"/>
  <c r="E398" i="5"/>
  <c r="D398" i="5"/>
  <c r="C398" i="5"/>
  <c r="B398" i="5"/>
  <c r="B397" i="5"/>
  <c r="B399" i="5" s="1"/>
  <c r="A397" i="5"/>
  <c r="A395" i="5"/>
  <c r="A394" i="5"/>
  <c r="A10" i="13" s="1"/>
  <c r="H384" i="5"/>
  <c r="G384" i="5"/>
  <c r="F384" i="5"/>
  <c r="E384" i="5"/>
  <c r="D384" i="5"/>
  <c r="C384" i="5"/>
  <c r="B384" i="5"/>
  <c r="B383" i="5"/>
  <c r="B385" i="5" s="1"/>
  <c r="A383" i="5"/>
  <c r="A381" i="5"/>
  <c r="A380" i="5"/>
  <c r="A9" i="13" s="1"/>
  <c r="A22" i="13" s="1"/>
  <c r="A379" i="5"/>
  <c r="H370" i="5"/>
  <c r="G370" i="5"/>
  <c r="F370" i="5"/>
  <c r="E370" i="5"/>
  <c r="D370" i="5"/>
  <c r="C370" i="5"/>
  <c r="B370" i="5"/>
  <c r="B369" i="5"/>
  <c r="B371" i="5" s="1"/>
  <c r="A369" i="5"/>
  <c r="A367" i="5"/>
  <c r="A365" i="5"/>
  <c r="B27" i="5"/>
  <c r="A5" i="24" s="1"/>
  <c r="B239" i="5"/>
  <c r="H334" i="5"/>
  <c r="A334" i="5"/>
  <c r="A332" i="5"/>
  <c r="H312" i="5"/>
  <c r="A312" i="5"/>
  <c r="A310" i="5"/>
  <c r="H305" i="5"/>
  <c r="A305" i="5"/>
  <c r="A303" i="5"/>
  <c r="H292" i="5"/>
  <c r="G292" i="5"/>
  <c r="F292" i="5"/>
  <c r="E292" i="5"/>
  <c r="D292" i="5"/>
  <c r="B292" i="5"/>
  <c r="B291" i="5"/>
  <c r="B293" i="5" s="1"/>
  <c r="A291" i="5"/>
  <c r="A289" i="5"/>
  <c r="A288" i="5"/>
  <c r="A10" i="12" s="1"/>
  <c r="A16" i="16" s="1"/>
  <c r="A48" i="16" s="1"/>
  <c r="H278" i="5"/>
  <c r="G278" i="5"/>
  <c r="F278" i="5"/>
  <c r="E278" i="5"/>
  <c r="D278" i="5"/>
  <c r="C278" i="5"/>
  <c r="B278" i="5"/>
  <c r="B277" i="5"/>
  <c r="B279" i="5" s="1"/>
  <c r="A277" i="5"/>
  <c r="A275" i="5"/>
  <c r="A274" i="5"/>
  <c r="A9" i="12" s="1"/>
  <c r="A15" i="19" s="1"/>
  <c r="A44" i="19" s="1"/>
  <c r="A273" i="5"/>
  <c r="H264" i="5"/>
  <c r="G264" i="5"/>
  <c r="F264" i="5"/>
  <c r="E264" i="5"/>
  <c r="D264" i="5"/>
  <c r="C264" i="5"/>
  <c r="B264" i="5"/>
  <c r="B263" i="5"/>
  <c r="B265" i="5" s="1"/>
  <c r="A263" i="5"/>
  <c r="A261" i="5"/>
  <c r="A259" i="5"/>
  <c r="A182" i="5"/>
  <c r="A10" i="11" s="1"/>
  <c r="A13" i="16" s="1"/>
  <c r="A45" i="16" s="1"/>
  <c r="A168" i="5"/>
  <c r="A9" i="11" s="1"/>
  <c r="A12" i="22" s="1"/>
  <c r="A40" i="22" s="1"/>
  <c r="B133" i="5"/>
  <c r="A154" i="5" s="1"/>
  <c r="A8" i="11" s="1"/>
  <c r="H228" i="5"/>
  <c r="A228" i="5"/>
  <c r="A226" i="5"/>
  <c r="H206" i="5"/>
  <c r="A206" i="5"/>
  <c r="A204" i="5"/>
  <c r="H199" i="5"/>
  <c r="A199" i="5"/>
  <c r="A197" i="5"/>
  <c r="H186" i="5"/>
  <c r="G186" i="5"/>
  <c r="F186" i="5"/>
  <c r="E186" i="5"/>
  <c r="D186" i="5"/>
  <c r="C186" i="5"/>
  <c r="B186" i="5"/>
  <c r="B185" i="5"/>
  <c r="B187" i="5" s="1"/>
  <c r="A185" i="5"/>
  <c r="H172" i="5"/>
  <c r="G172" i="5"/>
  <c r="F172" i="5"/>
  <c r="E172" i="5"/>
  <c r="D172" i="5"/>
  <c r="C172" i="5"/>
  <c r="B172" i="5"/>
  <c r="B171" i="5"/>
  <c r="B173" i="5" s="1"/>
  <c r="A169" i="5"/>
  <c r="A167" i="5"/>
  <c r="H158" i="5"/>
  <c r="G158" i="5"/>
  <c r="F158" i="5"/>
  <c r="E158" i="5"/>
  <c r="D158" i="5"/>
  <c r="C158" i="5"/>
  <c r="B158" i="5"/>
  <c r="B157" i="5"/>
  <c r="B159" i="5" s="1"/>
  <c r="A155" i="5"/>
  <c r="A153" i="5"/>
  <c r="AH7" i="5"/>
  <c r="AH6" i="5"/>
  <c r="AH5" i="5"/>
  <c r="AH4" i="5"/>
  <c r="AH3" i="5"/>
  <c r="A55" i="15"/>
  <c r="G50" i="15"/>
  <c r="G49" i="15"/>
  <c r="G48" i="15"/>
  <c r="G47" i="15"/>
  <c r="G46" i="15"/>
  <c r="A44" i="15"/>
  <c r="G43" i="15"/>
  <c r="G42" i="15"/>
  <c r="G44" i="15" s="1"/>
  <c r="G41" i="15"/>
  <c r="G40" i="15"/>
  <c r="G39" i="15"/>
  <c r="A37" i="15"/>
  <c r="G36" i="15"/>
  <c r="I34" i="15"/>
  <c r="A33" i="15"/>
  <c r="G32" i="15"/>
  <c r="G31" i="15"/>
  <c r="A28" i="15"/>
  <c r="A19" i="15"/>
  <c r="G18" i="15"/>
  <c r="N12" i="15"/>
  <c r="M12" i="15"/>
  <c r="L12" i="15"/>
  <c r="K12" i="15"/>
  <c r="J12" i="15"/>
  <c r="A11" i="15"/>
  <c r="B5" i="15"/>
  <c r="B6" i="15" s="1"/>
  <c r="C5" i="15" s="1"/>
  <c r="C6" i="15" s="1"/>
  <c r="D5" i="15" s="1"/>
  <c r="D6" i="15" s="1"/>
  <c r="E5" i="15" s="1"/>
  <c r="E6" i="15" s="1"/>
  <c r="F5" i="15" s="1"/>
  <c r="F6" i="15" s="1"/>
  <c r="A2" i="15"/>
  <c r="A1" i="15"/>
  <c r="A55" i="14"/>
  <c r="G50" i="14"/>
  <c r="G48" i="14"/>
  <c r="G47" i="14"/>
  <c r="G46" i="14"/>
  <c r="A44" i="14"/>
  <c r="G43" i="14"/>
  <c r="G41" i="14"/>
  <c r="A37" i="14"/>
  <c r="G36" i="14"/>
  <c r="I34" i="14"/>
  <c r="A33" i="14"/>
  <c r="G32" i="14"/>
  <c r="A28" i="14"/>
  <c r="A19" i="14"/>
  <c r="G18" i="14"/>
  <c r="N12" i="14"/>
  <c r="M12" i="14"/>
  <c r="L12" i="14"/>
  <c r="K12" i="14"/>
  <c r="J12" i="14"/>
  <c r="A11" i="14"/>
  <c r="B5" i="14"/>
  <c r="B6" i="14" s="1"/>
  <c r="C5" i="14" s="1"/>
  <c r="C6" i="14" s="1"/>
  <c r="D5" i="14" s="1"/>
  <c r="D6" i="14" s="1"/>
  <c r="E5" i="14" s="1"/>
  <c r="E6" i="14" s="1"/>
  <c r="F5" i="14" s="1"/>
  <c r="F6" i="14" s="1"/>
  <c r="A2" i="14"/>
  <c r="A1" i="14"/>
  <c r="A55" i="13"/>
  <c r="G51" i="13"/>
  <c r="G50" i="13"/>
  <c r="G48" i="13"/>
  <c r="G47" i="13"/>
  <c r="G46" i="13"/>
  <c r="A44" i="13"/>
  <c r="G42" i="13"/>
  <c r="G41" i="13"/>
  <c r="A37" i="13"/>
  <c r="G35" i="13"/>
  <c r="I34" i="13"/>
  <c r="A33" i="13"/>
  <c r="G32" i="13"/>
  <c r="A28" i="13"/>
  <c r="A19" i="13"/>
  <c r="G18" i="13"/>
  <c r="N12" i="13"/>
  <c r="M12" i="13"/>
  <c r="L12" i="13"/>
  <c r="K12" i="13"/>
  <c r="J12" i="13"/>
  <c r="A11" i="13"/>
  <c r="B5" i="13"/>
  <c r="B6" i="13" s="1"/>
  <c r="C5" i="13" s="1"/>
  <c r="C6" i="13" s="1"/>
  <c r="D5" i="13" s="1"/>
  <c r="D6" i="13" s="1"/>
  <c r="E5" i="13" s="1"/>
  <c r="E6" i="13" s="1"/>
  <c r="F5" i="13" s="1"/>
  <c r="F6" i="13" s="1"/>
  <c r="A2" i="13"/>
  <c r="A1" i="13"/>
  <c r="A55" i="12"/>
  <c r="G50" i="12"/>
  <c r="G49" i="12"/>
  <c r="G48" i="12"/>
  <c r="G47" i="12"/>
  <c r="G46" i="12"/>
  <c r="A44" i="12"/>
  <c r="G43" i="12"/>
  <c r="G44" i="12" s="1"/>
  <c r="G42" i="12"/>
  <c r="G41" i="12"/>
  <c r="G40" i="12"/>
  <c r="G39" i="12"/>
  <c r="A37" i="12"/>
  <c r="G36" i="12"/>
  <c r="I34" i="12"/>
  <c r="A33" i="12"/>
  <c r="G32" i="12"/>
  <c r="G33" i="12" s="1"/>
  <c r="G31" i="12"/>
  <c r="A28" i="12"/>
  <c r="A19" i="12"/>
  <c r="G18" i="12"/>
  <c r="N12" i="12"/>
  <c r="M12" i="12"/>
  <c r="L12" i="12"/>
  <c r="K12" i="12"/>
  <c r="J12" i="12"/>
  <c r="A11" i="12"/>
  <c r="B5" i="12"/>
  <c r="B6" i="12" s="1"/>
  <c r="C5" i="12" s="1"/>
  <c r="C6" i="12" s="1"/>
  <c r="D5" i="12" s="1"/>
  <c r="D6" i="12" s="1"/>
  <c r="E5" i="12" s="1"/>
  <c r="E6" i="12" s="1"/>
  <c r="F5" i="12" s="1"/>
  <c r="F6" i="12" s="1"/>
  <c r="A2" i="12"/>
  <c r="A1" i="12"/>
  <c r="G35" i="15"/>
  <c r="G37" i="15"/>
  <c r="G35" i="14"/>
  <c r="G37" i="14" s="1"/>
  <c r="G49" i="14"/>
  <c r="G31" i="14"/>
  <c r="G33" i="14" s="1"/>
  <c r="G39" i="14"/>
  <c r="G40" i="14"/>
  <c r="G42" i="14"/>
  <c r="G49" i="13"/>
  <c r="G36" i="13"/>
  <c r="G39" i="13"/>
  <c r="G40" i="13"/>
  <c r="G43" i="13"/>
  <c r="G31" i="13"/>
  <c r="G35" i="12"/>
  <c r="A55" i="11"/>
  <c r="G50" i="11"/>
  <c r="G49" i="11"/>
  <c r="G48" i="11"/>
  <c r="G47" i="11"/>
  <c r="G46" i="11"/>
  <c r="A44" i="11"/>
  <c r="G43" i="11"/>
  <c r="G42" i="11"/>
  <c r="G41" i="11"/>
  <c r="G39" i="11"/>
  <c r="A37" i="11"/>
  <c r="G36" i="11"/>
  <c r="I34" i="11"/>
  <c r="A33" i="11"/>
  <c r="G32" i="11"/>
  <c r="A28" i="11"/>
  <c r="A19" i="11"/>
  <c r="G18" i="11"/>
  <c r="N12" i="11"/>
  <c r="M12" i="11"/>
  <c r="L12" i="11"/>
  <c r="K12" i="11"/>
  <c r="J12" i="11"/>
  <c r="A11" i="11"/>
  <c r="B5" i="11"/>
  <c r="B6" i="11" s="1"/>
  <c r="C5" i="11" s="1"/>
  <c r="C6" i="11" s="1"/>
  <c r="D5" i="11" s="1"/>
  <c r="D6" i="11" s="1"/>
  <c r="E5" i="11" s="1"/>
  <c r="E6" i="11" s="1"/>
  <c r="F5" i="11" s="1"/>
  <c r="F6" i="11" s="1"/>
  <c r="A2" i="11"/>
  <c r="A1" i="11"/>
  <c r="G40" i="11"/>
  <c r="G31" i="11"/>
  <c r="G35" i="11"/>
  <c r="D26" i="7"/>
  <c r="A18" i="10"/>
  <c r="A18" i="9"/>
  <c r="A18" i="8"/>
  <c r="A18" i="7"/>
  <c r="A18" i="4"/>
  <c r="A10" i="10"/>
  <c r="F26" i="9"/>
  <c r="B26" i="9"/>
  <c r="A10" i="9"/>
  <c r="A10" i="8"/>
  <c r="D26" i="4"/>
  <c r="F26" i="7"/>
  <c r="A10" i="7"/>
  <c r="A10" i="4"/>
  <c r="A19" i="1"/>
  <c r="A76" i="5"/>
  <c r="A10" i="1" s="1"/>
  <c r="A10" i="22" s="1"/>
  <c r="A38" i="22" s="1"/>
  <c r="A54" i="1"/>
  <c r="A48" i="1"/>
  <c r="A78" i="19" s="1"/>
  <c r="A46" i="1"/>
  <c r="A76" i="19" s="1"/>
  <c r="B65" i="5"/>
  <c r="B67" i="5" s="1"/>
  <c r="O30" i="5"/>
  <c r="P30" i="5" s="1"/>
  <c r="G32" i="1"/>
  <c r="A17" i="1"/>
  <c r="A26" i="1" s="1"/>
  <c r="A14" i="1"/>
  <c r="A13" i="1"/>
  <c r="A62" i="5"/>
  <c r="A9" i="1" s="1"/>
  <c r="A16" i="1"/>
  <c r="A29" i="22" s="1"/>
  <c r="H122" i="5"/>
  <c r="A122" i="5"/>
  <c r="A15" i="1"/>
  <c r="A30" i="19" s="1"/>
  <c r="A11" i="1"/>
  <c r="I34" i="1"/>
  <c r="K12" i="1"/>
  <c r="L12" i="1"/>
  <c r="M12" i="1"/>
  <c r="N12" i="1"/>
  <c r="J12" i="1"/>
  <c r="A47" i="5"/>
  <c r="B80" i="5"/>
  <c r="C80" i="5"/>
  <c r="D80" i="5"/>
  <c r="E80" i="5"/>
  <c r="F80" i="5"/>
  <c r="G80" i="5"/>
  <c r="H80" i="5"/>
  <c r="B79" i="5"/>
  <c r="B81" i="5" s="1"/>
  <c r="A98" i="5"/>
  <c r="H100" i="5"/>
  <c r="A28" i="1"/>
  <c r="Z7" i="5"/>
  <c r="Z8" i="5" s="1"/>
  <c r="A120" i="5"/>
  <c r="A100" i="5"/>
  <c r="H93" i="5"/>
  <c r="A93" i="5"/>
  <c r="A77" i="5"/>
  <c r="H66" i="5"/>
  <c r="G66" i="5"/>
  <c r="F66" i="5"/>
  <c r="E66" i="5"/>
  <c r="D66" i="5"/>
  <c r="C66" i="5"/>
  <c r="B66" i="5"/>
  <c r="A61" i="5"/>
  <c r="H52" i="5"/>
  <c r="G52" i="5"/>
  <c r="F52" i="5"/>
  <c r="E52" i="5"/>
  <c r="D52" i="5"/>
  <c r="A49" i="5"/>
  <c r="B5" i="1"/>
  <c r="B5" i="10" s="1"/>
  <c r="A2" i="1"/>
  <c r="A2" i="7" s="1"/>
  <c r="A1" i="1"/>
  <c r="A1" i="8" s="1"/>
  <c r="A5" i="1"/>
  <c r="A55" i="1"/>
  <c r="A44" i="1"/>
  <c r="A37" i="1"/>
  <c r="A33" i="1"/>
  <c r="O31" i="5"/>
  <c r="P31" i="5" s="1"/>
  <c r="P12" i="23" s="1"/>
  <c r="H55" i="3"/>
  <c r="H58" i="3" s="1"/>
  <c r="D47" i="1" s="1"/>
  <c r="D84" i="16" s="1"/>
  <c r="G63" i="13"/>
  <c r="G30" i="10"/>
  <c r="G63" i="11"/>
  <c r="E26" i="9"/>
  <c r="I84" i="19"/>
  <c r="G84" i="19" s="1"/>
  <c r="I79" i="19"/>
  <c r="F79" i="19" s="1"/>
  <c r="C26" i="10"/>
  <c r="G63" i="15"/>
  <c r="G63" i="12"/>
  <c r="H47" i="3"/>
  <c r="H50" i="3" s="1"/>
  <c r="D46" i="1" s="1"/>
  <c r="G63" i="14"/>
  <c r="E81" i="19"/>
  <c r="B81" i="19" s="1"/>
  <c r="E84" i="19"/>
  <c r="C84" i="19" s="1"/>
  <c r="G18" i="8"/>
  <c r="U72" i="19"/>
  <c r="R72" i="19" s="1"/>
  <c r="U61" i="19"/>
  <c r="R61" i="19" s="1"/>
  <c r="R63" i="19" s="1"/>
  <c r="B26" i="4"/>
  <c r="Q71" i="19"/>
  <c r="O71" i="19" s="1"/>
  <c r="M71" i="19"/>
  <c r="G25" i="9"/>
  <c r="U84" i="19"/>
  <c r="U79" i="19"/>
  <c r="S79" i="19" s="1"/>
  <c r="Q70" i="19"/>
  <c r="Q84" i="19"/>
  <c r="O84" i="19" s="1"/>
  <c r="M70" i="19"/>
  <c r="K70" i="19" s="1"/>
  <c r="M84" i="19"/>
  <c r="I72" i="19"/>
  <c r="F72" i="19" s="1"/>
  <c r="A83" i="16"/>
  <c r="M73" i="19"/>
  <c r="K73" i="19" s="1"/>
  <c r="I71" i="19"/>
  <c r="G71" i="19" s="1"/>
  <c r="E72" i="19"/>
  <c r="N29" i="5"/>
  <c r="D381" i="5"/>
  <c r="C500" i="5"/>
  <c r="L120" i="5"/>
  <c r="L544" i="5" s="1"/>
  <c r="G44" i="13"/>
  <c r="G42" i="1"/>
  <c r="F33" i="1"/>
  <c r="E33" i="1"/>
  <c r="C408" i="5"/>
  <c r="I55" i="3"/>
  <c r="I58" i="3" s="1"/>
  <c r="E47" i="1" s="1"/>
  <c r="E84" i="16" s="1"/>
  <c r="E70" i="16"/>
  <c r="E3" i="33" s="1"/>
  <c r="E79" i="19"/>
  <c r="B79" i="19" s="1"/>
  <c r="D120" i="5" l="1"/>
  <c r="E120" i="5" s="1"/>
  <c r="F120" i="5" s="1"/>
  <c r="G120" i="5" s="1"/>
  <c r="H120" i="5" s="1"/>
  <c r="I19" i="3"/>
  <c r="C35" i="1" s="1"/>
  <c r="C72" i="16" s="1"/>
  <c r="C74" i="16" s="1"/>
  <c r="AT57" i="19"/>
  <c r="R57" i="19"/>
  <c r="D53" i="7"/>
  <c r="D55" i="7" s="1"/>
  <c r="D56" i="7" s="1"/>
  <c r="C26" i="9"/>
  <c r="AP32" i="19"/>
  <c r="AP12" i="19"/>
  <c r="AH16" i="19"/>
  <c r="AD49" i="19"/>
  <c r="H19" i="3"/>
  <c r="B35" i="1" s="1"/>
  <c r="B72" i="16" s="1"/>
  <c r="K31" i="3"/>
  <c r="E36" i="1" s="1"/>
  <c r="AT69" i="19"/>
  <c r="AP70" i="19"/>
  <c r="AP71" i="19"/>
  <c r="G37" i="12"/>
  <c r="G34" i="4"/>
  <c r="AH79" i="19"/>
  <c r="AT65" i="19"/>
  <c r="AT47" i="19"/>
  <c r="M61" i="19"/>
  <c r="M63" i="19" s="1"/>
  <c r="G33" i="13"/>
  <c r="D53" i="9"/>
  <c r="D55" i="9" s="1"/>
  <c r="D56" i="9" s="1"/>
  <c r="AT32" i="19"/>
  <c r="S50" i="19"/>
  <c r="T50" i="19" s="1"/>
  <c r="AK43" i="19"/>
  <c r="AL43" i="19" s="1"/>
  <c r="AK47" i="19"/>
  <c r="AL47" i="19" s="1"/>
  <c r="AK51" i="19"/>
  <c r="AL56" i="19"/>
  <c r="J19" i="3"/>
  <c r="D35" i="1" s="1"/>
  <c r="D72" i="16" s="1"/>
  <c r="K71" i="19"/>
  <c r="G33" i="11"/>
  <c r="F26" i="8"/>
  <c r="AO45" i="19"/>
  <c r="AP45" i="19" s="1"/>
  <c r="AK56" i="19"/>
  <c r="AH70" i="19"/>
  <c r="AP73" i="19"/>
  <c r="AD83" i="19"/>
  <c r="C57" i="26"/>
  <c r="D33" i="1"/>
  <c r="N70" i="19"/>
  <c r="G44" i="11"/>
  <c r="AP43" i="19"/>
  <c r="AH24" i="19"/>
  <c r="AT66" i="19"/>
  <c r="AH56" i="19"/>
  <c r="G26" i="28"/>
  <c r="AH45" i="19"/>
  <c r="AH53" i="19"/>
  <c r="H31" i="3"/>
  <c r="B36" i="1" s="1"/>
  <c r="B29" i="24" s="1"/>
  <c r="AT73" i="19"/>
  <c r="R84" i="19"/>
  <c r="G33" i="15"/>
  <c r="G10" i="8"/>
  <c r="C173" i="5"/>
  <c r="AT28" i="19"/>
  <c r="AT14" i="19"/>
  <c r="AT42" i="19"/>
  <c r="AD53" i="19"/>
  <c r="AH41" i="19"/>
  <c r="AP69" i="19"/>
  <c r="AL71" i="19"/>
  <c r="K92" i="16"/>
  <c r="K89" i="16"/>
  <c r="A18" i="5"/>
  <c r="A26" i="5" s="1"/>
  <c r="K91" i="16"/>
  <c r="K90" i="16"/>
  <c r="AT53" i="19"/>
  <c r="R53" i="19"/>
  <c r="T53" i="19" s="1"/>
  <c r="R37" i="19"/>
  <c r="AT37" i="19"/>
  <c r="AT56" i="19"/>
  <c r="AT48" i="19"/>
  <c r="G30" i="4"/>
  <c r="G34" i="9"/>
  <c r="F53" i="7"/>
  <c r="F55" i="7" s="1"/>
  <c r="F56" i="7" s="1"/>
  <c r="AP40" i="19"/>
  <c r="L19" i="3"/>
  <c r="F35" i="1" s="1"/>
  <c r="F72" i="16" s="1"/>
  <c r="AH69" i="19"/>
  <c r="G44" i="14"/>
  <c r="A260" i="5"/>
  <c r="A8" i="12" s="1"/>
  <c r="A14" i="16" s="1"/>
  <c r="A46" i="16" s="1"/>
  <c r="C20" i="31"/>
  <c r="C26" i="4"/>
  <c r="AH71" i="19"/>
  <c r="G30" i="9"/>
  <c r="AT39" i="19"/>
  <c r="R52" i="19"/>
  <c r="AH83" i="19"/>
  <c r="AS83" i="19"/>
  <c r="AT83" i="19" s="1"/>
  <c r="AP56" i="19"/>
  <c r="AP47" i="19"/>
  <c r="AP38" i="19"/>
  <c r="AP46" i="19"/>
  <c r="AP54" i="19"/>
  <c r="AL44" i="19"/>
  <c r="AL52" i="19"/>
  <c r="AH50" i="19"/>
  <c r="AL55" i="19"/>
  <c r="F53" i="10"/>
  <c r="F55" i="10" s="1"/>
  <c r="F56" i="10" s="1"/>
  <c r="AT10" i="19"/>
  <c r="B26" i="8"/>
  <c r="G53" i="29"/>
  <c r="G18" i="9"/>
  <c r="G18" i="10"/>
  <c r="C26" i="8"/>
  <c r="J55" i="3"/>
  <c r="J58" i="3" s="1"/>
  <c r="F47" i="1" s="1"/>
  <c r="F84" i="16" s="1"/>
  <c r="G37" i="11"/>
  <c r="AT55" i="19"/>
  <c r="AT71" i="19"/>
  <c r="AT51" i="19"/>
  <c r="I31" i="3"/>
  <c r="C36" i="1" s="1"/>
  <c r="C73" i="16" s="1"/>
  <c r="AH37" i="19"/>
  <c r="G37" i="13"/>
  <c r="G18" i="4"/>
  <c r="G10" i="7"/>
  <c r="G10" i="10"/>
  <c r="AO57" i="19"/>
  <c r="AP57" i="19" s="1"/>
  <c r="AR38" i="19"/>
  <c r="AT38" i="19" s="1"/>
  <c r="AH54" i="19"/>
  <c r="AL50" i="19"/>
  <c r="E26" i="7"/>
  <c r="AP30" i="19"/>
  <c r="G10" i="4"/>
  <c r="Q61" i="19"/>
  <c r="AP42" i="19"/>
  <c r="AL51" i="19"/>
  <c r="G53" i="27"/>
  <c r="E26" i="4"/>
  <c r="B26" i="7"/>
  <c r="AT50" i="19"/>
  <c r="K19" i="3"/>
  <c r="E35" i="1" s="1"/>
  <c r="G62" i="22"/>
  <c r="G75" i="22"/>
  <c r="AP83" i="19"/>
  <c r="M66" i="19"/>
  <c r="D73" i="16"/>
  <c r="S43" i="19"/>
  <c r="AT43" i="19"/>
  <c r="E73" i="16"/>
  <c r="Q66" i="19"/>
  <c r="O66" i="19" s="1"/>
  <c r="F73" i="16"/>
  <c r="AT46" i="19"/>
  <c r="R46" i="19"/>
  <c r="T46" i="19" s="1"/>
  <c r="R44" i="19"/>
  <c r="T44" i="19" s="1"/>
  <c r="AT44" i="19"/>
  <c r="AT40" i="19"/>
  <c r="R40" i="19"/>
  <c r="T40" i="19" s="1"/>
  <c r="B84" i="16"/>
  <c r="E77" i="19"/>
  <c r="B77" i="19" s="1"/>
  <c r="H66" i="3"/>
  <c r="D48" i="1" s="1"/>
  <c r="I63" i="3"/>
  <c r="S52" i="19"/>
  <c r="AT52" i="19"/>
  <c r="AT54" i="19"/>
  <c r="S54" i="19"/>
  <c r="T54" i="19" s="1"/>
  <c r="AT49" i="19"/>
  <c r="R49" i="19"/>
  <c r="T49" i="19" s="1"/>
  <c r="R45" i="19"/>
  <c r="T45" i="19" s="1"/>
  <c r="AT45" i="19"/>
  <c r="B85" i="16"/>
  <c r="E78" i="19"/>
  <c r="AT41" i="19"/>
  <c r="G41" i="9"/>
  <c r="D53" i="10"/>
  <c r="D55" i="10" s="1"/>
  <c r="D56" i="10" s="1"/>
  <c r="D53" i="4"/>
  <c r="AF82" i="19"/>
  <c r="G26" i="9"/>
  <c r="N615" i="5"/>
  <c r="N721" i="5"/>
  <c r="E53" i="7"/>
  <c r="B53" i="4"/>
  <c r="AF42" i="19"/>
  <c r="AH42" i="19" s="1"/>
  <c r="AG82" i="19"/>
  <c r="E70" i="19"/>
  <c r="B70" i="19" s="1"/>
  <c r="I32" i="15"/>
  <c r="I32" i="30"/>
  <c r="G25" i="7"/>
  <c r="Q73" i="19"/>
  <c r="E80" i="16"/>
  <c r="D26" i="8"/>
  <c r="AH30" i="19"/>
  <c r="AP17" i="19"/>
  <c r="AL15" i="19"/>
  <c r="S39" i="19"/>
  <c r="R55" i="19"/>
  <c r="E53" i="9"/>
  <c r="C53" i="10"/>
  <c r="C55" i="10" s="1"/>
  <c r="C56" i="10" s="1"/>
  <c r="AL23" i="19"/>
  <c r="AT25" i="19"/>
  <c r="R41" i="19"/>
  <c r="S57" i="19"/>
  <c r="AJ82" i="19"/>
  <c r="B16" i="1"/>
  <c r="U73" i="19"/>
  <c r="F80" i="16"/>
  <c r="B53" i="10"/>
  <c r="B55" i="10" s="1"/>
  <c r="I27" i="15"/>
  <c r="I27" i="30"/>
  <c r="R42" i="19"/>
  <c r="AK82" i="19"/>
  <c r="G25" i="4"/>
  <c r="G41" i="8"/>
  <c r="M509" i="5"/>
  <c r="M721" i="5"/>
  <c r="I28" i="15"/>
  <c r="I28" i="30"/>
  <c r="R43" i="19"/>
  <c r="D57" i="28"/>
  <c r="A10" i="15"/>
  <c r="U71" i="19"/>
  <c r="S71" i="19" s="1"/>
  <c r="F78" i="16"/>
  <c r="M72" i="19"/>
  <c r="K72" i="19" s="1"/>
  <c r="D79" i="16"/>
  <c r="K13" i="30"/>
  <c r="AP9" i="19"/>
  <c r="AP25" i="19"/>
  <c r="G53" i="26"/>
  <c r="C57" i="28"/>
  <c r="G52" i="10"/>
  <c r="G25" i="10"/>
  <c r="C53" i="7"/>
  <c r="C55" i="7" s="1"/>
  <c r="C56" i="7" s="1"/>
  <c r="C53" i="4"/>
  <c r="AN82" i="19"/>
  <c r="G66" i="3"/>
  <c r="C48" i="1" s="1"/>
  <c r="C85" i="16" s="1"/>
  <c r="F57" i="26"/>
  <c r="A77" i="22"/>
  <c r="A43" i="26"/>
  <c r="A46" i="15"/>
  <c r="A43" i="9"/>
  <c r="A46" i="12"/>
  <c r="A43" i="29"/>
  <c r="A43" i="28"/>
  <c r="A43" i="4"/>
  <c r="A43" i="25"/>
  <c r="A46" i="14"/>
  <c r="A43" i="7"/>
  <c r="A43" i="8"/>
  <c r="A46" i="11"/>
  <c r="A43" i="27"/>
  <c r="A46" i="30"/>
  <c r="A43" i="10"/>
  <c r="A46" i="13"/>
  <c r="AO82" i="19"/>
  <c r="A79" i="22"/>
  <c r="A45" i="9"/>
  <c r="A48" i="12"/>
  <c r="A48" i="15"/>
  <c r="A45" i="28"/>
  <c r="A48" i="11"/>
  <c r="A45" i="4"/>
  <c r="A45" i="25"/>
  <c r="A48" i="14"/>
  <c r="A45" i="8"/>
  <c r="A45" i="27"/>
  <c r="A48" i="30"/>
  <c r="A45" i="10"/>
  <c r="A48" i="13"/>
  <c r="A45" i="26"/>
  <c r="A45" i="29"/>
  <c r="A45" i="7"/>
  <c r="G41" i="4"/>
  <c r="F68" i="16"/>
  <c r="F70" i="16" s="1"/>
  <c r="F3" i="33" s="1"/>
  <c r="C53" i="9"/>
  <c r="C55" i="9" s="1"/>
  <c r="C56" i="9" s="1"/>
  <c r="B53" i="7"/>
  <c r="B55" i="7" s="1"/>
  <c r="AT11" i="19"/>
  <c r="S47" i="19"/>
  <c r="D57" i="29"/>
  <c r="I47" i="3"/>
  <c r="A84" i="19"/>
  <c r="A51" i="25"/>
  <c r="A54" i="14"/>
  <c r="A51" i="8"/>
  <c r="A51" i="4"/>
  <c r="A51" i="27"/>
  <c r="A54" i="30"/>
  <c r="A51" i="28"/>
  <c r="A51" i="10"/>
  <c r="A54" i="13"/>
  <c r="A54" i="11"/>
  <c r="A51" i="29"/>
  <c r="A51" i="7"/>
  <c r="A51" i="26"/>
  <c r="A54" i="15"/>
  <c r="A51" i="9"/>
  <c r="A54" i="12"/>
  <c r="A9" i="15"/>
  <c r="A24" i="16" s="1"/>
  <c r="A56" i="16" s="1"/>
  <c r="A8" i="15"/>
  <c r="A23" i="16" s="1"/>
  <c r="A55" i="16" s="1"/>
  <c r="Q79" i="19"/>
  <c r="E86" i="16"/>
  <c r="C726" i="5"/>
  <c r="C684" i="5"/>
  <c r="C698" i="5"/>
  <c r="C712" i="5"/>
  <c r="C755" i="5"/>
  <c r="C733" i="5"/>
  <c r="R48" i="19"/>
  <c r="G53" i="28"/>
  <c r="E57" i="26"/>
  <c r="G52" i="9"/>
  <c r="G41" i="10"/>
  <c r="E53" i="10"/>
  <c r="E55" i="10" s="1"/>
  <c r="E56" i="10" s="1"/>
  <c r="B53" i="9"/>
  <c r="E73" i="19"/>
  <c r="C73" i="19" s="1"/>
  <c r="B80" i="16"/>
  <c r="M747" i="5"/>
  <c r="N747" i="5"/>
  <c r="O747" i="5"/>
  <c r="P747" i="5"/>
  <c r="Q747" i="5"/>
  <c r="L734" i="5"/>
  <c r="A740" i="5" s="1"/>
  <c r="M748" i="5"/>
  <c r="N748" i="5"/>
  <c r="P748" i="5"/>
  <c r="L736" i="5"/>
  <c r="A742" i="5" s="1"/>
  <c r="O748" i="5"/>
  <c r="Q748" i="5"/>
  <c r="L735" i="5"/>
  <c r="A741" i="5" s="1"/>
  <c r="AR82" i="19"/>
  <c r="AT82" i="19" s="1"/>
  <c r="C57" i="29"/>
  <c r="I26" i="15"/>
  <c r="I23" i="30"/>
  <c r="I26" i="30"/>
  <c r="AC4" i="5"/>
  <c r="M25" i="12" s="1"/>
  <c r="P746" i="5"/>
  <c r="Q746" i="5"/>
  <c r="M746" i="5"/>
  <c r="N746" i="5"/>
  <c r="O746" i="5"/>
  <c r="M79" i="19"/>
  <c r="J79" i="19" s="1"/>
  <c r="F53" i="4"/>
  <c r="E26" i="8"/>
  <c r="M81" i="19"/>
  <c r="J81" i="19" s="1"/>
  <c r="D88" i="16"/>
  <c r="F53" i="9"/>
  <c r="E71" i="19"/>
  <c r="C71" i="19" s="1"/>
  <c r="X71" i="19" s="1"/>
  <c r="B78" i="16"/>
  <c r="J35" i="15"/>
  <c r="J35" i="30"/>
  <c r="R51" i="19"/>
  <c r="M13" i="23"/>
  <c r="M75" i="23" s="1"/>
  <c r="M724" i="5"/>
  <c r="G53" i="25"/>
  <c r="D83" i="16"/>
  <c r="M76" i="19"/>
  <c r="K76" i="19" s="1"/>
  <c r="B83" i="16"/>
  <c r="E76" i="19"/>
  <c r="C76" i="19" s="1"/>
  <c r="O50" i="22"/>
  <c r="L36" i="22"/>
  <c r="K50" i="22"/>
  <c r="M36" i="22"/>
  <c r="N50" i="22"/>
  <c r="M50" i="22"/>
  <c r="O36" i="22"/>
  <c r="K36" i="22"/>
  <c r="L50" i="22"/>
  <c r="N36" i="22"/>
  <c r="A46" i="28"/>
  <c r="A46" i="10"/>
  <c r="A49" i="13"/>
  <c r="A46" i="27"/>
  <c r="A46" i="9"/>
  <c r="A46" i="4"/>
  <c r="A49" i="30"/>
  <c r="A49" i="12"/>
  <c r="A46" i="26"/>
  <c r="A46" i="8"/>
  <c r="A49" i="15"/>
  <c r="A46" i="29"/>
  <c r="A46" i="25"/>
  <c r="A46" i="7"/>
  <c r="A49" i="14"/>
  <c r="A44" i="26"/>
  <c r="A44" i="8"/>
  <c r="A47" i="15"/>
  <c r="A44" i="29"/>
  <c r="A44" i="25"/>
  <c r="A44" i="7"/>
  <c r="A47" i="14"/>
  <c r="A44" i="28"/>
  <c r="A44" i="10"/>
  <c r="A47" i="13"/>
  <c r="A44" i="27"/>
  <c r="A44" i="9"/>
  <c r="A44" i="4"/>
  <c r="A47" i="30"/>
  <c r="A47" i="12"/>
  <c r="A84" i="16"/>
  <c r="A47" i="11"/>
  <c r="A80" i="22"/>
  <c r="A49" i="11"/>
  <c r="J89" i="22"/>
  <c r="I31" i="30"/>
  <c r="I31" i="15"/>
  <c r="L13" i="30"/>
  <c r="N13" i="30"/>
  <c r="M13" i="30"/>
  <c r="J13" i="30"/>
  <c r="N16" i="23"/>
  <c r="N77" i="23" s="1"/>
  <c r="O77" i="23" s="1"/>
  <c r="P77" i="23" s="1"/>
  <c r="Q77" i="23" s="1"/>
  <c r="R77" i="23" s="1"/>
  <c r="S77" i="23" s="1"/>
  <c r="N726" i="5"/>
  <c r="K93" i="16"/>
  <c r="A38" i="5"/>
  <c r="I27" i="1" s="1"/>
  <c r="B34" i="5"/>
  <c r="A39" i="5" s="1"/>
  <c r="I28" i="1" s="1"/>
  <c r="I26" i="12"/>
  <c r="T52" i="19"/>
  <c r="S51" i="19"/>
  <c r="R47" i="19"/>
  <c r="T47" i="19" s="1"/>
  <c r="T48" i="19"/>
  <c r="K61" i="19"/>
  <c r="K63" i="19" s="1"/>
  <c r="T43" i="19"/>
  <c r="S55" i="19"/>
  <c r="I107" i="16"/>
  <c r="A59" i="24" s="1"/>
  <c r="I23" i="1"/>
  <c r="N50" i="24"/>
  <c r="B46" i="24"/>
  <c r="M297" i="5"/>
  <c r="K50" i="24"/>
  <c r="L47" i="24"/>
  <c r="N54" i="20"/>
  <c r="B16" i="11"/>
  <c r="N56" i="20"/>
  <c r="O48" i="20"/>
  <c r="E49" i="24"/>
  <c r="N48" i="20"/>
  <c r="N30" i="24"/>
  <c r="K30" i="24"/>
  <c r="E279" i="5"/>
  <c r="Q216" i="5"/>
  <c r="O50" i="20"/>
  <c r="B31" i="24"/>
  <c r="B44" i="24"/>
  <c r="N46" i="24"/>
  <c r="M34" i="24"/>
  <c r="E45" i="24"/>
  <c r="C46" i="24"/>
  <c r="D49" i="24"/>
  <c r="N50" i="20"/>
  <c r="N68" i="20"/>
  <c r="O60" i="20"/>
  <c r="M62" i="20"/>
  <c r="C47" i="24"/>
  <c r="F49" i="24"/>
  <c r="K34" i="24"/>
  <c r="M28" i="24"/>
  <c r="M51" i="24"/>
  <c r="J30" i="24"/>
  <c r="D45" i="24"/>
  <c r="J32" i="24"/>
  <c r="O74" i="20"/>
  <c r="M66" i="20"/>
  <c r="F32" i="24"/>
  <c r="E29" i="24"/>
  <c r="F44" i="24"/>
  <c r="C51" i="24"/>
  <c r="B45" i="24"/>
  <c r="M47" i="24"/>
  <c r="L30" i="24"/>
  <c r="L51" i="24"/>
  <c r="L32" i="24"/>
  <c r="D385" i="5"/>
  <c r="P110" i="5"/>
  <c r="K13" i="14"/>
  <c r="C279" i="5"/>
  <c r="D496" i="5"/>
  <c r="C578" i="5"/>
  <c r="C385" i="5"/>
  <c r="B16" i="15"/>
  <c r="B16" i="13"/>
  <c r="C90" i="5"/>
  <c r="C620" i="5"/>
  <c r="C606" i="5"/>
  <c r="C154" i="5"/>
  <c r="C274" i="5"/>
  <c r="C284" i="5"/>
  <c r="S41" i="19"/>
  <c r="T41" i="19" s="1"/>
  <c r="T42" i="19"/>
  <c r="A86" i="16"/>
  <c r="N15" i="23"/>
  <c r="M615" i="5"/>
  <c r="N406" i="5"/>
  <c r="C298" i="5"/>
  <c r="C390" i="5"/>
  <c r="D289" i="5"/>
  <c r="E289" i="5" s="1"/>
  <c r="E298" i="5" s="1"/>
  <c r="M191" i="5"/>
  <c r="M85" i="5"/>
  <c r="M194" i="5"/>
  <c r="D53" i="5"/>
  <c r="M26" i="5"/>
  <c r="M403" i="5"/>
  <c r="I23" i="14"/>
  <c r="D279" i="5"/>
  <c r="C192" i="5"/>
  <c r="B16" i="12"/>
  <c r="C31" i="24"/>
  <c r="C437" i="5"/>
  <c r="C168" i="5"/>
  <c r="M64" i="20"/>
  <c r="C302" i="5"/>
  <c r="C514" i="5"/>
  <c r="C119" i="5"/>
  <c r="I23" i="15"/>
  <c r="C182" i="5"/>
  <c r="O2" i="5"/>
  <c r="D72" i="5"/>
  <c r="D183" i="5"/>
  <c r="E183" i="5" s="1"/>
  <c r="E192" i="5" s="1"/>
  <c r="J27" i="24"/>
  <c r="K51" i="24"/>
  <c r="J28" i="24"/>
  <c r="N29" i="24"/>
  <c r="B48" i="24"/>
  <c r="F48" i="24"/>
  <c r="J44" i="24"/>
  <c r="N49" i="24"/>
  <c r="N45" i="24"/>
  <c r="K31" i="24"/>
  <c r="C48" i="24"/>
  <c r="K47" i="24"/>
  <c r="M31" i="24"/>
  <c r="M27" i="24"/>
  <c r="B49" i="24"/>
  <c r="E48" i="24"/>
  <c r="E44" i="24"/>
  <c r="M50" i="24"/>
  <c r="M46" i="24"/>
  <c r="K27" i="24"/>
  <c r="J47" i="24"/>
  <c r="J34" i="24"/>
  <c r="L29" i="24"/>
  <c r="B50" i="24"/>
  <c r="D48" i="24"/>
  <c r="D44" i="24"/>
  <c r="L50" i="24"/>
  <c r="L46" i="24"/>
  <c r="M50" i="20"/>
  <c r="K32" i="24"/>
  <c r="N32" i="24"/>
  <c r="M48" i="20"/>
  <c r="O72" i="20"/>
  <c r="M74" i="20"/>
  <c r="N66" i="20"/>
  <c r="M60" i="20"/>
  <c r="N62" i="20"/>
  <c r="O56" i="20"/>
  <c r="M56" i="20"/>
  <c r="C611" i="5"/>
  <c r="C583" i="5"/>
  <c r="C510" i="5"/>
  <c r="C482" i="5"/>
  <c r="D265" i="5"/>
  <c r="D376" i="5"/>
  <c r="E32" i="24"/>
  <c r="D31" i="24"/>
  <c r="C394" i="5"/>
  <c r="C486" i="5"/>
  <c r="M70" i="20"/>
  <c r="C97" i="5"/>
  <c r="A5" i="16"/>
  <c r="C331" i="5"/>
  <c r="C366" i="5"/>
  <c r="I43" i="21"/>
  <c r="C288" i="5"/>
  <c r="C203" i="5"/>
  <c r="C48" i="5"/>
  <c r="C260" i="5"/>
  <c r="C225" i="5"/>
  <c r="B32" i="24"/>
  <c r="K29" i="24"/>
  <c r="K48" i="24"/>
  <c r="N34" i="24"/>
  <c r="N28" i="24"/>
  <c r="F51" i="24"/>
  <c r="F47" i="24"/>
  <c r="J48" i="24"/>
  <c r="N48" i="24"/>
  <c r="N44" i="24"/>
  <c r="K28" i="24"/>
  <c r="C44" i="24"/>
  <c r="K44" i="24"/>
  <c r="M30" i="24"/>
  <c r="F45" i="24"/>
  <c r="E51" i="24"/>
  <c r="E47" i="24"/>
  <c r="J45" i="24"/>
  <c r="M49" i="24"/>
  <c r="M45" i="24"/>
  <c r="B51" i="24"/>
  <c r="K49" i="24"/>
  <c r="L34" i="24"/>
  <c r="L28" i="24"/>
  <c r="D51" i="24"/>
  <c r="D47" i="24"/>
  <c r="J46" i="24"/>
  <c r="L49" i="24"/>
  <c r="L45" i="24"/>
  <c r="M32" i="24"/>
  <c r="L33" i="24"/>
  <c r="J33" i="24"/>
  <c r="O12" i="23"/>
  <c r="M72" i="20"/>
  <c r="N74" i="20"/>
  <c r="O68" i="20"/>
  <c r="N60" i="20"/>
  <c r="O54" i="20"/>
  <c r="E381" i="5"/>
  <c r="E390" i="5" s="1"/>
  <c r="D32" i="24"/>
  <c r="C309" i="5"/>
  <c r="C543" i="5"/>
  <c r="D27" i="24"/>
  <c r="C521" i="5"/>
  <c r="C592" i="5"/>
  <c r="C380" i="5"/>
  <c r="C62" i="5"/>
  <c r="C472" i="5"/>
  <c r="C196" i="5"/>
  <c r="C76" i="5"/>
  <c r="C627" i="5"/>
  <c r="C649" i="5"/>
  <c r="M68" i="20"/>
  <c r="C50" i="24"/>
  <c r="K45" i="24"/>
  <c r="N31" i="24"/>
  <c r="N27" i="24"/>
  <c r="F50" i="24"/>
  <c r="F46" i="24"/>
  <c r="N51" i="24"/>
  <c r="N47" i="24"/>
  <c r="J31" i="24"/>
  <c r="B47" i="24"/>
  <c r="J51" i="24"/>
  <c r="J29" i="24"/>
  <c r="M29" i="24"/>
  <c r="C45" i="24"/>
  <c r="E50" i="24"/>
  <c r="E46" i="24"/>
  <c r="J49" i="24"/>
  <c r="M48" i="24"/>
  <c r="M44" i="24"/>
  <c r="C49" i="24"/>
  <c r="K46" i="24"/>
  <c r="L31" i="24"/>
  <c r="L27" i="24"/>
  <c r="D50" i="24"/>
  <c r="D46" i="24"/>
  <c r="J50" i="24"/>
  <c r="L48" i="24"/>
  <c r="L44" i="24"/>
  <c r="M33" i="24"/>
  <c r="N33" i="24"/>
  <c r="K33" i="24"/>
  <c r="N72" i="20"/>
  <c r="O66" i="20"/>
  <c r="O62" i="20"/>
  <c r="M13" i="14"/>
  <c r="D86" i="5"/>
  <c r="E77" i="5"/>
  <c r="F77" i="5" s="1"/>
  <c r="F81" i="5" s="1"/>
  <c r="M25" i="13"/>
  <c r="D616" i="5"/>
  <c r="AD4" i="5"/>
  <c r="N218" i="5"/>
  <c r="O640" i="5"/>
  <c r="C81" i="5"/>
  <c r="D473" i="5"/>
  <c r="E473" i="5" s="1"/>
  <c r="F473" i="5" s="1"/>
  <c r="D501" i="5"/>
  <c r="E501" i="5" s="1"/>
  <c r="F501" i="5" s="1"/>
  <c r="D579" i="5"/>
  <c r="D583" i="5" s="1"/>
  <c r="C616" i="5"/>
  <c r="L13" i="15"/>
  <c r="J13" i="15"/>
  <c r="C597" i="5"/>
  <c r="B28" i="24"/>
  <c r="D602" i="5"/>
  <c r="D611" i="5"/>
  <c r="M534" i="5"/>
  <c r="M544" i="5" s="1"/>
  <c r="C159" i="5"/>
  <c r="C588" i="5"/>
  <c r="M13" i="15"/>
  <c r="K13" i="15"/>
  <c r="C67" i="5"/>
  <c r="C16" i="15"/>
  <c r="D597" i="5"/>
  <c r="O110" i="5"/>
  <c r="O534" i="5"/>
  <c r="M430" i="5"/>
  <c r="D491" i="5"/>
  <c r="O428" i="5"/>
  <c r="P534" i="5"/>
  <c r="C505" i="5"/>
  <c r="C477" i="5"/>
  <c r="C399" i="5"/>
  <c r="C187" i="5"/>
  <c r="C16" i="12"/>
  <c r="K13" i="13"/>
  <c r="I31" i="1"/>
  <c r="I31" i="12"/>
  <c r="N509" i="5"/>
  <c r="A48" i="5"/>
  <c r="A8" i="1" s="1"/>
  <c r="A8" i="19" s="1"/>
  <c r="A37" i="19" s="1"/>
  <c r="C270" i="5"/>
  <c r="D395" i="5"/>
  <c r="D404" i="5" s="1"/>
  <c r="N13" i="13"/>
  <c r="J13" i="13"/>
  <c r="C86" i="5"/>
  <c r="C265" i="5"/>
  <c r="C376" i="5"/>
  <c r="I31" i="14"/>
  <c r="I31" i="13"/>
  <c r="N28" i="5"/>
  <c r="C371" i="5"/>
  <c r="C415" i="5"/>
  <c r="D284" i="5"/>
  <c r="B16" i="14"/>
  <c r="N88" i="5"/>
  <c r="I31" i="11"/>
  <c r="A5" i="19"/>
  <c r="N13" i="14"/>
  <c r="C602" i="5"/>
  <c r="A21" i="13"/>
  <c r="J61" i="19"/>
  <c r="J63" i="19" s="1"/>
  <c r="R79" i="19"/>
  <c r="T79" i="19" s="1"/>
  <c r="T57" i="19"/>
  <c r="I76" i="19"/>
  <c r="G76" i="19" s="1"/>
  <c r="M30" i="23"/>
  <c r="N30" i="23" s="1"/>
  <c r="O30" i="23" s="1"/>
  <c r="P30" i="23" s="1"/>
  <c r="Q30" i="23" s="1"/>
  <c r="R30" i="23" s="1"/>
  <c r="S30" i="23" s="1"/>
  <c r="M33" i="23"/>
  <c r="A22" i="19"/>
  <c r="A51" i="19" s="1"/>
  <c r="A23" i="12"/>
  <c r="O90" i="5"/>
  <c r="P90" i="5" s="1"/>
  <c r="Q90" i="5" s="1"/>
  <c r="R90" i="5" s="1"/>
  <c r="S90" i="5" s="1"/>
  <c r="N14" i="23"/>
  <c r="A17" i="16"/>
  <c r="A49" i="16" s="1"/>
  <c r="A31" i="19"/>
  <c r="A12" i="19"/>
  <c r="A41" i="19" s="1"/>
  <c r="A17" i="22"/>
  <c r="A45" i="22" s="1"/>
  <c r="A18" i="16"/>
  <c r="A50" i="16" s="1"/>
  <c r="P34" i="5"/>
  <c r="O15" i="23"/>
  <c r="P33" i="5"/>
  <c r="O14" i="23"/>
  <c r="A22" i="11"/>
  <c r="A12" i="16"/>
  <c r="A44" i="16" s="1"/>
  <c r="A1" i="9"/>
  <c r="A24" i="19"/>
  <c r="A53" i="19" s="1"/>
  <c r="A1" i="10"/>
  <c r="N196" i="5"/>
  <c r="O196" i="5" s="1"/>
  <c r="P196" i="5" s="1"/>
  <c r="Q196" i="5" s="1"/>
  <c r="R196" i="5" s="1"/>
  <c r="S196" i="5" s="1"/>
  <c r="N514" i="5"/>
  <c r="O514" i="5" s="1"/>
  <c r="P514" i="5" s="1"/>
  <c r="Q514" i="5" s="1"/>
  <c r="R514" i="5" s="1"/>
  <c r="S514" i="5" s="1"/>
  <c r="N408" i="5"/>
  <c r="O408" i="5" s="1"/>
  <c r="P408" i="5" s="1"/>
  <c r="Q408" i="5" s="1"/>
  <c r="R408" i="5" s="1"/>
  <c r="S408" i="5" s="1"/>
  <c r="N302" i="5"/>
  <c r="O302" i="5" s="1"/>
  <c r="P302" i="5" s="1"/>
  <c r="Q302" i="5" s="1"/>
  <c r="R302" i="5" s="1"/>
  <c r="S302" i="5" s="1"/>
  <c r="N620" i="5"/>
  <c r="O620" i="5" s="1"/>
  <c r="P620" i="5" s="1"/>
  <c r="Q620" i="5" s="1"/>
  <c r="R620" i="5" s="1"/>
  <c r="S620" i="5" s="1"/>
  <c r="O35" i="5"/>
  <c r="M25" i="15"/>
  <c r="M640" i="5"/>
  <c r="P428" i="5"/>
  <c r="N95" i="5"/>
  <c r="P322" i="5"/>
  <c r="P640" i="5"/>
  <c r="G36" i="5"/>
  <c r="M25" i="11"/>
  <c r="AA4" i="5"/>
  <c r="N216" i="5"/>
  <c r="Q322" i="5"/>
  <c r="N642" i="5"/>
  <c r="Q95" i="5"/>
  <c r="M428" i="5"/>
  <c r="Q428" i="5"/>
  <c r="N322" i="5"/>
  <c r="Q640" i="5"/>
  <c r="AE4" i="5"/>
  <c r="M216" i="5"/>
  <c r="B5" i="9"/>
  <c r="N536" i="5"/>
  <c r="Q217" i="5"/>
  <c r="Q110" i="5"/>
  <c r="M322" i="5"/>
  <c r="P216" i="5"/>
  <c r="Q534" i="5"/>
  <c r="M25" i="14"/>
  <c r="Z4" i="5"/>
  <c r="AB4" i="5"/>
  <c r="L25" i="30" s="1"/>
  <c r="N640" i="5"/>
  <c r="Q429" i="5"/>
  <c r="O93" i="5"/>
  <c r="N534" i="5"/>
  <c r="N110" i="5"/>
  <c r="O216" i="5"/>
  <c r="M110" i="5"/>
  <c r="N428" i="5"/>
  <c r="O322" i="5"/>
  <c r="G55" i="26"/>
  <c r="C57" i="25"/>
  <c r="A5" i="22"/>
  <c r="A57" i="24"/>
  <c r="C70" i="16"/>
  <c r="C3" i="33" s="1"/>
  <c r="C33" i="1"/>
  <c r="I61" i="19"/>
  <c r="G61" i="19" s="1"/>
  <c r="G63" i="19" s="1"/>
  <c r="B33" i="1"/>
  <c r="G31" i="1"/>
  <c r="G33" i="1" s="1"/>
  <c r="E61" i="19"/>
  <c r="C61" i="19" s="1"/>
  <c r="C63" i="19" s="1"/>
  <c r="N13" i="12"/>
  <c r="M13" i="12"/>
  <c r="K13" i="12"/>
  <c r="J13" i="12"/>
  <c r="L13" i="11"/>
  <c r="K13" i="11"/>
  <c r="N13" i="1"/>
  <c r="L13" i="1"/>
  <c r="K13" i="1"/>
  <c r="A9" i="22"/>
  <c r="A37" i="22" s="1"/>
  <c r="A9" i="19"/>
  <c r="A38" i="19" s="1"/>
  <c r="A22" i="1"/>
  <c r="C53" i="5"/>
  <c r="D58" i="5"/>
  <c r="A21" i="11"/>
  <c r="A11" i="22"/>
  <c r="A39" i="22" s="1"/>
  <c r="F57" i="29"/>
  <c r="B56" i="29"/>
  <c r="G55" i="29"/>
  <c r="E57" i="29"/>
  <c r="B56" i="28"/>
  <c r="G55" i="28"/>
  <c r="E57" i="28"/>
  <c r="F57" i="28"/>
  <c r="B56" i="27"/>
  <c r="G55" i="27"/>
  <c r="F57" i="27"/>
  <c r="E57" i="27"/>
  <c r="B57" i="26"/>
  <c r="G56" i="26"/>
  <c r="D57" i="26"/>
  <c r="F57" i="25"/>
  <c r="B56" i="25"/>
  <c r="G55" i="25"/>
  <c r="E57" i="25"/>
  <c r="E57" i="10"/>
  <c r="D57" i="10"/>
  <c r="B56" i="10"/>
  <c r="G55" i="10"/>
  <c r="C57" i="10"/>
  <c r="F57" i="10"/>
  <c r="F55" i="9"/>
  <c r="F56" i="9" s="1"/>
  <c r="E55" i="9"/>
  <c r="E56" i="9" s="1"/>
  <c r="D57" i="9"/>
  <c r="B55" i="9"/>
  <c r="D57" i="7"/>
  <c r="E55" i="7"/>
  <c r="E56" i="7" s="1"/>
  <c r="C57" i="7"/>
  <c r="F57" i="7"/>
  <c r="B56" i="7"/>
  <c r="F53" i="8"/>
  <c r="F55" i="8" s="1"/>
  <c r="F56" i="8" s="1"/>
  <c r="E53" i="8"/>
  <c r="E55" i="8" s="1"/>
  <c r="E56" i="8" s="1"/>
  <c r="D53" i="8"/>
  <c r="C53" i="8"/>
  <c r="C55" i="8" s="1"/>
  <c r="C56" i="8" s="1"/>
  <c r="B53" i="8"/>
  <c r="B55" i="8" s="1"/>
  <c r="B56" i="8" s="1"/>
  <c r="G52" i="8"/>
  <c r="G25" i="8"/>
  <c r="A58" i="24"/>
  <c r="M52" i="20"/>
  <c r="B84" i="19"/>
  <c r="D84" i="19" s="1"/>
  <c r="E27" i="24"/>
  <c r="S72" i="19"/>
  <c r="T72" i="19" s="1"/>
  <c r="F27" i="24"/>
  <c r="G39" i="1"/>
  <c r="Q69" i="19"/>
  <c r="O69" i="19" s="1"/>
  <c r="C32" i="24"/>
  <c r="E44" i="1"/>
  <c r="N64" i="20" s="1"/>
  <c r="Q65" i="19"/>
  <c r="O65" i="19" s="1"/>
  <c r="O67" i="19" s="1"/>
  <c r="I73" i="19"/>
  <c r="F73" i="19" s="1"/>
  <c r="G54" i="1"/>
  <c r="E65" i="19"/>
  <c r="B65" i="19" s="1"/>
  <c r="B81" i="16"/>
  <c r="B4" i="33" s="1"/>
  <c r="K66" i="19"/>
  <c r="N71" i="19"/>
  <c r="P71" i="19" s="1"/>
  <c r="E28" i="24"/>
  <c r="G40" i="1"/>
  <c r="M58" i="20"/>
  <c r="A34" i="16"/>
  <c r="E69" i="19"/>
  <c r="B69" i="19" s="1"/>
  <c r="I81" i="19"/>
  <c r="I69" i="19"/>
  <c r="G69" i="19" s="1"/>
  <c r="G88" i="16"/>
  <c r="I77" i="19"/>
  <c r="B76" i="19"/>
  <c r="D76" i="19" s="1"/>
  <c r="U70" i="19"/>
  <c r="S70" i="19" s="1"/>
  <c r="D33" i="24"/>
  <c r="D29" i="24"/>
  <c r="T37" i="19"/>
  <c r="B5" i="8"/>
  <c r="O70" i="19"/>
  <c r="P70" i="19" s="1"/>
  <c r="G43" i="1"/>
  <c r="C44" i="1"/>
  <c r="N52" i="20" s="1"/>
  <c r="R39" i="19"/>
  <c r="T39" i="19" s="1"/>
  <c r="S73" i="19"/>
  <c r="R73" i="19"/>
  <c r="B71" i="19"/>
  <c r="M46" i="20"/>
  <c r="A79" i="19"/>
  <c r="A1" i="4"/>
  <c r="A85" i="16"/>
  <c r="A1" i="7"/>
  <c r="D44" i="1"/>
  <c r="G49" i="1"/>
  <c r="Q81" i="19"/>
  <c r="O81" i="19" s="1"/>
  <c r="D37" i="1"/>
  <c r="N84" i="19"/>
  <c r="P84" i="19" s="1"/>
  <c r="M69" i="19"/>
  <c r="J69" i="19" s="1"/>
  <c r="U69" i="19"/>
  <c r="R69" i="19" s="1"/>
  <c r="U81" i="19"/>
  <c r="I78" i="19"/>
  <c r="G78" i="19" s="1"/>
  <c r="G77" i="16"/>
  <c r="F29" i="24"/>
  <c r="C33" i="24"/>
  <c r="G51" i="1"/>
  <c r="I66" i="19"/>
  <c r="F66" i="19" s="1"/>
  <c r="D81" i="16"/>
  <c r="D4" i="33" s="1"/>
  <c r="Q72" i="19"/>
  <c r="N72" i="19" s="1"/>
  <c r="U66" i="19"/>
  <c r="I70" i="19"/>
  <c r="G70" i="19" s="1"/>
  <c r="C29" i="24"/>
  <c r="M77" i="19"/>
  <c r="K77" i="19" s="1"/>
  <c r="B33" i="24"/>
  <c r="Q77" i="19"/>
  <c r="N77" i="19" s="1"/>
  <c r="G41" i="1"/>
  <c r="B44" i="1"/>
  <c r="F44" i="1"/>
  <c r="C77" i="19"/>
  <c r="D77" i="19" s="1"/>
  <c r="G86" i="16"/>
  <c r="J66" i="19"/>
  <c r="F84" i="19"/>
  <c r="H84" i="19" s="1"/>
  <c r="N66" i="19"/>
  <c r="P66" i="19" s="1"/>
  <c r="G79" i="16"/>
  <c r="G76" i="16"/>
  <c r="C79" i="19"/>
  <c r="D79" i="19" s="1"/>
  <c r="U63" i="19"/>
  <c r="S61" i="19"/>
  <c r="S63" i="19" s="1"/>
  <c r="E81" i="16"/>
  <c r="E4" i="33" s="1"/>
  <c r="G91" i="16"/>
  <c r="C81" i="19"/>
  <c r="G79" i="19"/>
  <c r="H79" i="19" s="1"/>
  <c r="J72" i="19"/>
  <c r="L72" i="19" s="1"/>
  <c r="G78" i="16"/>
  <c r="C70" i="19"/>
  <c r="D70" i="19" s="1"/>
  <c r="J73" i="19"/>
  <c r="L73" i="19" s="1"/>
  <c r="R71" i="19"/>
  <c r="T71" i="19" s="1"/>
  <c r="G72" i="19"/>
  <c r="S84" i="19"/>
  <c r="T84" i="19" s="1"/>
  <c r="F71" i="19"/>
  <c r="H71" i="19" s="1"/>
  <c r="B72" i="19"/>
  <c r="C72" i="19"/>
  <c r="K79" i="19"/>
  <c r="B78" i="19"/>
  <c r="C78" i="19"/>
  <c r="J84" i="19"/>
  <c r="K84" i="19"/>
  <c r="S38" i="19"/>
  <c r="R38" i="19"/>
  <c r="U58" i="19"/>
  <c r="R56" i="19"/>
  <c r="S56" i="19"/>
  <c r="B70" i="16"/>
  <c r="B3" i="33" s="1"/>
  <c r="N73" i="19"/>
  <c r="O73" i="19"/>
  <c r="N79" i="19"/>
  <c r="O79" i="19"/>
  <c r="J71" i="19"/>
  <c r="O61" i="19"/>
  <c r="Q63" i="19"/>
  <c r="N61" i="19"/>
  <c r="N63" i="19" s="1"/>
  <c r="J70" i="19"/>
  <c r="A9" i="16"/>
  <c r="A41" i="16" s="1"/>
  <c r="D67" i="5"/>
  <c r="D81" i="5"/>
  <c r="C72" i="5"/>
  <c r="A23" i="15"/>
  <c r="A25" i="16"/>
  <c r="A57" i="16" s="1"/>
  <c r="A25" i="19"/>
  <c r="A54" i="19" s="1"/>
  <c r="F607" i="5"/>
  <c r="E611" i="5"/>
  <c r="E616" i="5"/>
  <c r="E602" i="5"/>
  <c r="F593" i="5"/>
  <c r="L13" i="14"/>
  <c r="L13" i="12"/>
  <c r="J13" i="14"/>
  <c r="A22" i="12"/>
  <c r="A14" i="22"/>
  <c r="A42" i="22" s="1"/>
  <c r="A21" i="12"/>
  <c r="A14" i="19"/>
  <c r="A43" i="19" s="1"/>
  <c r="A23" i="13"/>
  <c r="A19" i="19"/>
  <c r="A48" i="19" s="1"/>
  <c r="N13" i="15"/>
  <c r="D159" i="5"/>
  <c r="A25" i="22"/>
  <c r="A53" i="22" s="1"/>
  <c r="E597" i="5"/>
  <c r="E261" i="5"/>
  <c r="E270" i="5" s="1"/>
  <c r="D270" i="5"/>
  <c r="D164" i="5"/>
  <c r="E155" i="5"/>
  <c r="E164" i="5" s="1"/>
  <c r="J13" i="1"/>
  <c r="A24" i="22"/>
  <c r="A52" i="22" s="1"/>
  <c r="N13" i="11"/>
  <c r="M13" i="11"/>
  <c r="D390" i="5"/>
  <c r="C404" i="5"/>
  <c r="D16" i="15"/>
  <c r="C16" i="14"/>
  <c r="C16" i="13"/>
  <c r="M13" i="13"/>
  <c r="L13" i="13"/>
  <c r="J13" i="11"/>
  <c r="C164" i="5"/>
  <c r="C16" i="11"/>
  <c r="C491" i="5"/>
  <c r="C178" i="5"/>
  <c r="M13" i="1"/>
  <c r="A21" i="22"/>
  <c r="A49" i="22" s="1"/>
  <c r="A21" i="16"/>
  <c r="A53" i="16" s="1"/>
  <c r="A21" i="19"/>
  <c r="A50" i="19" s="1"/>
  <c r="A22" i="14"/>
  <c r="E505" i="5"/>
  <c r="E487" i="5"/>
  <c r="C496" i="5"/>
  <c r="A22" i="22"/>
  <c r="A50" i="22" s="1"/>
  <c r="A23" i="14"/>
  <c r="F367" i="5"/>
  <c r="E376" i="5"/>
  <c r="E371" i="5"/>
  <c r="D371" i="5"/>
  <c r="A18" i="19"/>
  <c r="A47" i="19" s="1"/>
  <c r="I26" i="13"/>
  <c r="A18" i="22"/>
  <c r="A46" i="22" s="1"/>
  <c r="A19" i="22"/>
  <c r="A47" i="22" s="1"/>
  <c r="A19" i="16"/>
  <c r="A51" i="16" s="1"/>
  <c r="A16" i="22"/>
  <c r="A44" i="22" s="1"/>
  <c r="A16" i="19"/>
  <c r="A45" i="19" s="1"/>
  <c r="E284" i="5"/>
  <c r="F275" i="5"/>
  <c r="A13" i="22"/>
  <c r="A41" i="22" s="1"/>
  <c r="A35" i="16"/>
  <c r="A63" i="16" s="1"/>
  <c r="D169" i="5"/>
  <c r="A11" i="16"/>
  <c r="A43" i="16" s="1"/>
  <c r="A32" i="19"/>
  <c r="A57" i="19" s="1"/>
  <c r="I23" i="11"/>
  <c r="O404" i="5"/>
  <c r="P404" i="5" s="1"/>
  <c r="Q404" i="5" s="1"/>
  <c r="O32" i="5"/>
  <c r="O13" i="23" s="1"/>
  <c r="C58" i="5"/>
  <c r="E63" i="5"/>
  <c r="E49" i="5"/>
  <c r="O11" i="23"/>
  <c r="P32" i="5"/>
  <c r="P11" i="23"/>
  <c r="N194" i="5"/>
  <c r="Q31" i="5"/>
  <c r="M618" i="5"/>
  <c r="M512" i="5"/>
  <c r="M300" i="5"/>
  <c r="N74" i="23"/>
  <c r="O74" i="23" s="1"/>
  <c r="P74" i="23" s="1"/>
  <c r="Q74" i="23" s="1"/>
  <c r="R74" i="23" s="1"/>
  <c r="S74" i="23" s="1"/>
  <c r="M88" i="5"/>
  <c r="O510" i="5"/>
  <c r="N512" i="5"/>
  <c r="N300" i="5"/>
  <c r="O298" i="5"/>
  <c r="O616" i="5"/>
  <c r="N618" i="5"/>
  <c r="P192" i="5"/>
  <c r="O194" i="5"/>
  <c r="Q30" i="5"/>
  <c r="N73" i="23"/>
  <c r="O73" i="23" s="1"/>
  <c r="C55" i="4"/>
  <c r="C56" i="4" s="1"/>
  <c r="D55" i="4"/>
  <c r="D56" i="4" s="1"/>
  <c r="F55" i="4"/>
  <c r="F56" i="4" s="1"/>
  <c r="E55" i="4"/>
  <c r="E56" i="4" s="1"/>
  <c r="B55" i="4"/>
  <c r="B69" i="1"/>
  <c r="G52" i="4"/>
  <c r="A5" i="9"/>
  <c r="C59" i="9"/>
  <c r="A5" i="8"/>
  <c r="C59" i="8"/>
  <c r="C59" i="7"/>
  <c r="A5" i="7"/>
  <c r="C59" i="4"/>
  <c r="G26" i="25"/>
  <c r="G52" i="7"/>
  <c r="G41" i="7"/>
  <c r="A5" i="4"/>
  <c r="G26" i="10"/>
  <c r="G26" i="7"/>
  <c r="A28" i="19"/>
  <c r="A55" i="19" s="1"/>
  <c r="A24" i="1"/>
  <c r="A21" i="15"/>
  <c r="A23" i="11"/>
  <c r="A23" i="1"/>
  <c r="A10" i="16"/>
  <c r="A42" i="16" s="1"/>
  <c r="O2" i="23"/>
  <c r="N10" i="23"/>
  <c r="N7" i="23" s="1"/>
  <c r="A31" i="16"/>
  <c r="A61" i="16" s="1"/>
  <c r="A11" i="19"/>
  <c r="A40" i="19" s="1"/>
  <c r="M29" i="23"/>
  <c r="N29" i="23" s="1"/>
  <c r="A10" i="19"/>
  <c r="A39" i="19" s="1"/>
  <c r="A13" i="19"/>
  <c r="A42" i="19" s="1"/>
  <c r="A15" i="16"/>
  <c r="A47" i="16" s="1"/>
  <c r="A15" i="22"/>
  <c r="A43" i="22" s="1"/>
  <c r="M10" i="23"/>
  <c r="A29" i="19"/>
  <c r="A56" i="19" s="1"/>
  <c r="A32" i="16"/>
  <c r="A62" i="16" s="1"/>
  <c r="A21" i="14"/>
  <c r="A20" i="16"/>
  <c r="A52" i="16" s="1"/>
  <c r="B5" i="7"/>
  <c r="A23" i="22"/>
  <c r="A51" i="22" s="1"/>
  <c r="A20" i="22"/>
  <c r="A48" i="22" s="1"/>
  <c r="A25" i="1"/>
  <c r="A28" i="22"/>
  <c r="A33" i="16"/>
  <c r="H36" i="22"/>
  <c r="A1" i="27"/>
  <c r="A1" i="28"/>
  <c r="A1" i="29"/>
  <c r="A1" i="25"/>
  <c r="A1" i="26"/>
  <c r="L438" i="5"/>
  <c r="L332" i="5"/>
  <c r="M95" i="5"/>
  <c r="L523" i="5"/>
  <c r="A529" i="5" s="1"/>
  <c r="N324" i="5"/>
  <c r="Q94" i="5"/>
  <c r="Q730" i="5" s="1"/>
  <c r="P323" i="5"/>
  <c r="L522" i="5"/>
  <c r="A528" i="5" s="1"/>
  <c r="O95" i="5"/>
  <c r="P430" i="5"/>
  <c r="M323" i="5"/>
  <c r="P429" i="5"/>
  <c r="L418" i="5"/>
  <c r="A424" i="5" s="1"/>
  <c r="M93" i="5"/>
  <c r="M729" i="5" s="1"/>
  <c r="N535" i="5"/>
  <c r="P94" i="5"/>
  <c r="L630" i="5"/>
  <c r="A636" i="5" s="1"/>
  <c r="M642" i="5"/>
  <c r="O111" i="5"/>
  <c r="M429" i="5"/>
  <c r="O430" i="5"/>
  <c r="Q218" i="5"/>
  <c r="M217" i="5"/>
  <c r="N430" i="5"/>
  <c r="P218" i="5"/>
  <c r="Q536" i="5"/>
  <c r="L117" i="5"/>
  <c r="L310" i="5"/>
  <c r="A316" i="5" s="1"/>
  <c r="N641" i="5"/>
  <c r="Q93" i="5"/>
  <c r="Q623" i="5" s="1"/>
  <c r="P93" i="5"/>
  <c r="P729" i="5" s="1"/>
  <c r="Q430" i="5"/>
  <c r="P111" i="5"/>
  <c r="Q323" i="5"/>
  <c r="L205" i="5"/>
  <c r="A211" i="5" s="1"/>
  <c r="P95" i="5"/>
  <c r="P731" i="5" s="1"/>
  <c r="L99" i="5"/>
  <c r="A105" i="5" s="1"/>
  <c r="O642" i="5"/>
  <c r="L311" i="5"/>
  <c r="A317" i="5" s="1"/>
  <c r="N93" i="5"/>
  <c r="N729" i="5" s="1"/>
  <c r="L417" i="5"/>
  <c r="A423" i="5" s="1"/>
  <c r="M111" i="5"/>
  <c r="M324" i="5"/>
  <c r="P217" i="5"/>
  <c r="Q642" i="5"/>
  <c r="N323" i="5"/>
  <c r="P535" i="5"/>
  <c r="L115" i="5"/>
  <c r="L221" i="5" s="1"/>
  <c r="L751" i="5" s="1"/>
  <c r="O94" i="5"/>
  <c r="L416" i="5"/>
  <c r="A422" i="5" s="1"/>
  <c r="N217" i="5"/>
  <c r="L629" i="5"/>
  <c r="A635" i="5" s="1"/>
  <c r="N94" i="5"/>
  <c r="L524" i="5"/>
  <c r="A530" i="5" s="1"/>
  <c r="Q324" i="5"/>
  <c r="L204" i="5"/>
  <c r="A210" i="5" s="1"/>
  <c r="M218" i="5"/>
  <c r="N111" i="5"/>
  <c r="N429" i="5"/>
  <c r="P324" i="5"/>
  <c r="N112" i="5"/>
  <c r="O217" i="5"/>
  <c r="P642" i="5"/>
  <c r="L121" i="5"/>
  <c r="L227" i="5" s="1"/>
  <c r="L757" i="5" s="1"/>
  <c r="M21" i="23"/>
  <c r="M22" i="23" s="1"/>
  <c r="Y2" i="23"/>
  <c r="L61" i="23" s="1"/>
  <c r="B41" i="24"/>
  <c r="B42" i="24" s="1"/>
  <c r="C41" i="24" s="1"/>
  <c r="C42" i="24" s="1"/>
  <c r="D41" i="24" s="1"/>
  <c r="D42" i="24" s="1"/>
  <c r="E41" i="24" s="1"/>
  <c r="E42" i="24" s="1"/>
  <c r="F41" i="24" s="1"/>
  <c r="F42" i="24" s="1"/>
  <c r="B6" i="24"/>
  <c r="C5" i="24" s="1"/>
  <c r="C6" i="24" s="1"/>
  <c r="D5" i="24" s="1"/>
  <c r="D6" i="24" s="1"/>
  <c r="E5" i="24" s="1"/>
  <c r="E6" i="24" s="1"/>
  <c r="F5" i="24" s="1"/>
  <c r="F6" i="24" s="1"/>
  <c r="B24" i="24"/>
  <c r="B25" i="24" s="1"/>
  <c r="C24" i="24" s="1"/>
  <c r="C25" i="24" s="1"/>
  <c r="D24" i="24" s="1"/>
  <c r="D25" i="24" s="1"/>
  <c r="E24" i="24" s="1"/>
  <c r="E25" i="24" s="1"/>
  <c r="F24" i="24" s="1"/>
  <c r="F25" i="24" s="1"/>
  <c r="J41" i="24"/>
  <c r="J42" i="24" s="1"/>
  <c r="K41" i="24" s="1"/>
  <c r="K42" i="24" s="1"/>
  <c r="L41" i="24" s="1"/>
  <c r="L42" i="24" s="1"/>
  <c r="M41" i="24" s="1"/>
  <c r="M42" i="24" s="1"/>
  <c r="N41" i="24" s="1"/>
  <c r="N42" i="24" s="1"/>
  <c r="J24" i="24"/>
  <c r="J25" i="24" s="1"/>
  <c r="K24" i="24" s="1"/>
  <c r="K25" i="24" s="1"/>
  <c r="L24" i="24" s="1"/>
  <c r="L25" i="24" s="1"/>
  <c r="M24" i="24" s="1"/>
  <c r="M25" i="24" s="1"/>
  <c r="N24" i="24" s="1"/>
  <c r="N25" i="24" s="1"/>
  <c r="J71" i="24"/>
  <c r="J72" i="24" s="1"/>
  <c r="K71" i="24" s="1"/>
  <c r="K72" i="24" s="1"/>
  <c r="L71" i="24" s="1"/>
  <c r="L72" i="24" s="1"/>
  <c r="M71" i="24" s="1"/>
  <c r="M72" i="24" s="1"/>
  <c r="N71" i="24" s="1"/>
  <c r="N72" i="24" s="1"/>
  <c r="L116" i="5"/>
  <c r="M112" i="5"/>
  <c r="L118" i="5"/>
  <c r="O641" i="5"/>
  <c r="Q535" i="5"/>
  <c r="Q112" i="5"/>
  <c r="O535" i="5"/>
  <c r="L628" i="5"/>
  <c r="A634" i="5" s="1"/>
  <c r="Q641" i="5"/>
  <c r="L312" i="5"/>
  <c r="A318" i="5" s="1"/>
  <c r="M536" i="5"/>
  <c r="M94" i="5"/>
  <c r="B88" i="24"/>
  <c r="B89" i="24" s="1"/>
  <c r="C88" i="24" s="1"/>
  <c r="C89" i="24" s="1"/>
  <c r="D88" i="24" s="1"/>
  <c r="D89" i="24" s="1"/>
  <c r="E88" i="24" s="1"/>
  <c r="E89" i="24" s="1"/>
  <c r="F88" i="24" s="1"/>
  <c r="F89" i="24" s="1"/>
  <c r="L119" i="5"/>
  <c r="L331" i="5" s="1"/>
  <c r="L122" i="5"/>
  <c r="L546" i="5" s="1"/>
  <c r="O112" i="5"/>
  <c r="O324" i="5"/>
  <c r="P641" i="5"/>
  <c r="P112" i="5"/>
  <c r="L206" i="5"/>
  <c r="A212" i="5" s="1"/>
  <c r="O218" i="5"/>
  <c r="L100" i="5"/>
  <c r="A106" i="5" s="1"/>
  <c r="M641" i="5"/>
  <c r="B71" i="24"/>
  <c r="B72" i="24" s="1"/>
  <c r="C71" i="24" s="1"/>
  <c r="C72" i="24" s="1"/>
  <c r="D71" i="24" s="1"/>
  <c r="D72" i="24" s="1"/>
  <c r="E71" i="24" s="1"/>
  <c r="E72" i="24" s="1"/>
  <c r="F71" i="24" s="1"/>
  <c r="F72" i="24" s="1"/>
  <c r="L226" i="5"/>
  <c r="L756" i="5" s="1"/>
  <c r="L98" i="5"/>
  <c r="A104" i="5" s="1"/>
  <c r="M535" i="5"/>
  <c r="O323" i="5"/>
  <c r="L114" i="5"/>
  <c r="Q111" i="5"/>
  <c r="O429" i="5"/>
  <c r="P536" i="5"/>
  <c r="O536" i="5"/>
  <c r="M42" i="5"/>
  <c r="AB5" i="5"/>
  <c r="B6" i="1"/>
  <c r="C5" i="1" s="1"/>
  <c r="B5" i="26"/>
  <c r="B5" i="29"/>
  <c r="B5" i="25"/>
  <c r="B5" i="28"/>
  <c r="B5" i="27"/>
  <c r="B5" i="4"/>
  <c r="A2" i="26"/>
  <c r="A2" i="27"/>
  <c r="A2" i="28"/>
  <c r="A2" i="29"/>
  <c r="A2" i="25"/>
  <c r="K88" i="16"/>
  <c r="A5" i="10"/>
  <c r="Y3" i="23"/>
  <c r="L650" i="5"/>
  <c r="D260" i="5"/>
  <c r="N297" i="5"/>
  <c r="N85" i="5"/>
  <c r="N27" i="5"/>
  <c r="N403" i="5"/>
  <c r="N191" i="5"/>
  <c r="N26" i="5"/>
  <c r="M27" i="5"/>
  <c r="M28" i="5"/>
  <c r="AA7" i="5"/>
  <c r="Z9" i="5"/>
  <c r="M25" i="1"/>
  <c r="Z5" i="5"/>
  <c r="J35" i="14"/>
  <c r="J35" i="11"/>
  <c r="J35" i="12"/>
  <c r="AD5" i="5"/>
  <c r="N22" i="30" s="1"/>
  <c r="J35" i="13"/>
  <c r="J111" i="16"/>
  <c r="K93" i="22"/>
  <c r="AC5" i="5"/>
  <c r="M22" i="30" s="1"/>
  <c r="AA5" i="5"/>
  <c r="K22" i="30" s="1"/>
  <c r="J35" i="1"/>
  <c r="A51" i="1"/>
  <c r="A88" i="16"/>
  <c r="A78" i="22"/>
  <c r="A77" i="19"/>
  <c r="A2" i="8"/>
  <c r="A2" i="9"/>
  <c r="A2" i="10"/>
  <c r="A2" i="4"/>
  <c r="A21" i="5"/>
  <c r="E628" i="5"/>
  <c r="F522" i="5"/>
  <c r="E416" i="5"/>
  <c r="F310" i="5"/>
  <c r="E204" i="5"/>
  <c r="A19" i="5"/>
  <c r="A132" i="5" s="1"/>
  <c r="A23" i="5"/>
  <c r="A22" i="5"/>
  <c r="A450" i="5" s="1"/>
  <c r="A20" i="5"/>
  <c r="A4" i="12" s="1"/>
  <c r="E98" i="5"/>
  <c r="C37" i="1" l="1"/>
  <c r="D28" i="24"/>
  <c r="I65" i="19"/>
  <c r="I67" i="19" s="1"/>
  <c r="C28" i="24"/>
  <c r="G28" i="24" s="1"/>
  <c r="F28" i="24"/>
  <c r="G35" i="1"/>
  <c r="G37" i="1" s="1"/>
  <c r="F37" i="1"/>
  <c r="M118" i="5"/>
  <c r="E30" i="24"/>
  <c r="G3" i="33"/>
  <c r="B73" i="19"/>
  <c r="D73" i="19" s="1"/>
  <c r="E37" i="1"/>
  <c r="C116" i="5"/>
  <c r="C16" i="1" s="1"/>
  <c r="U65" i="19"/>
  <c r="U67" i="19" s="1"/>
  <c r="E72" i="16"/>
  <c r="E74" i="16" s="1"/>
  <c r="M65" i="19"/>
  <c r="T51" i="19"/>
  <c r="D69" i="1"/>
  <c r="E66" i="19"/>
  <c r="K81" i="19"/>
  <c r="L81" i="19" s="1"/>
  <c r="B73" i="16"/>
  <c r="B74" i="16" s="1"/>
  <c r="F74" i="16"/>
  <c r="C30" i="24"/>
  <c r="G47" i="1"/>
  <c r="U77" i="19"/>
  <c r="S77" i="19" s="1"/>
  <c r="G36" i="1"/>
  <c r="B37" i="1"/>
  <c r="A4" i="1"/>
  <c r="G53" i="8"/>
  <c r="F69" i="1"/>
  <c r="G53" i="7"/>
  <c r="G53" i="9"/>
  <c r="G26" i="4"/>
  <c r="AH82" i="19"/>
  <c r="N33" i="23"/>
  <c r="O33" i="23" s="1"/>
  <c r="P33" i="23" s="1"/>
  <c r="Q33" i="23" s="1"/>
  <c r="R33" i="23" s="1"/>
  <c r="S33" i="23" s="1"/>
  <c r="A22" i="15"/>
  <c r="A23" i="19"/>
  <c r="A52" i="19" s="1"/>
  <c r="O199" i="5"/>
  <c r="O729" i="5"/>
  <c r="M201" i="5"/>
  <c r="M731" i="5"/>
  <c r="Q413" i="5"/>
  <c r="Q731" i="5"/>
  <c r="M518" i="5"/>
  <c r="M730" i="5"/>
  <c r="M756" i="5"/>
  <c r="O200" i="5"/>
  <c r="O730" i="5"/>
  <c r="P200" i="5"/>
  <c r="P730" i="5"/>
  <c r="N757" i="5"/>
  <c r="M757" i="5"/>
  <c r="N751" i="5"/>
  <c r="M751" i="5"/>
  <c r="Q199" i="5"/>
  <c r="Q729" i="5"/>
  <c r="N307" i="5"/>
  <c r="N731" i="5"/>
  <c r="N518" i="5"/>
  <c r="N730" i="5"/>
  <c r="O201" i="5"/>
  <c r="O731" i="5"/>
  <c r="J76" i="19"/>
  <c r="L76" i="19" s="1"/>
  <c r="C697" i="5"/>
  <c r="M31" i="23"/>
  <c r="O25" i="12"/>
  <c r="O25" i="30"/>
  <c r="E36" i="5"/>
  <c r="E146" i="5" s="1"/>
  <c r="M29" i="11" s="1"/>
  <c r="M25" i="30"/>
  <c r="C681" i="5"/>
  <c r="C683" i="5"/>
  <c r="C725" i="5"/>
  <c r="C111" i="16"/>
  <c r="I66" i="3"/>
  <c r="E48" i="1" s="1"/>
  <c r="J63" i="3"/>
  <c r="J66" i="3" s="1"/>
  <c r="F48" i="1" s="1"/>
  <c r="A21" i="30"/>
  <c r="A26" i="16"/>
  <c r="A58" i="16" s="1"/>
  <c r="D85" i="16"/>
  <c r="M78" i="19"/>
  <c r="C9" i="30"/>
  <c r="E111" i="16"/>
  <c r="B308" i="5"/>
  <c r="B725" i="5"/>
  <c r="J25" i="30"/>
  <c r="B732" i="5"/>
  <c r="D521" i="5"/>
  <c r="D520" i="5" s="1"/>
  <c r="D755" i="5"/>
  <c r="D754" i="5" s="1"/>
  <c r="D726" i="5"/>
  <c r="D725" i="5" s="1"/>
  <c r="D684" i="5"/>
  <c r="D733" i="5"/>
  <c r="D732" i="5" s="1"/>
  <c r="D698" i="5"/>
  <c r="D697" i="5" s="1"/>
  <c r="D712" i="5"/>
  <c r="D711" i="5" s="1"/>
  <c r="T55" i="19"/>
  <c r="A23" i="30"/>
  <c r="A28" i="16"/>
  <c r="A60" i="16" s="1"/>
  <c r="G53" i="4"/>
  <c r="E69" i="1"/>
  <c r="A22" i="30"/>
  <c r="A27" i="16"/>
  <c r="A59" i="16" s="1"/>
  <c r="B34" i="16"/>
  <c r="B111" i="16"/>
  <c r="F36" i="5"/>
  <c r="N25" i="30"/>
  <c r="AP82" i="19"/>
  <c r="AL82" i="19"/>
  <c r="L22" i="15"/>
  <c r="L22" i="30"/>
  <c r="C36" i="5"/>
  <c r="C146" i="5" s="1"/>
  <c r="K29" i="11" s="1"/>
  <c r="K25" i="30"/>
  <c r="J36" i="1"/>
  <c r="J37" i="1" s="1"/>
  <c r="J36" i="30"/>
  <c r="J37" i="30" s="1"/>
  <c r="I50" i="3"/>
  <c r="E46" i="1" s="1"/>
  <c r="J47" i="3"/>
  <c r="J50" i="3" s="1"/>
  <c r="F46" i="1" s="1"/>
  <c r="B683" i="5"/>
  <c r="B754" i="5"/>
  <c r="J22" i="30"/>
  <c r="B681" i="5"/>
  <c r="B711" i="5"/>
  <c r="B10" i="30" s="1"/>
  <c r="B697" i="5"/>
  <c r="G672" i="5"/>
  <c r="C732" i="5"/>
  <c r="G53" i="10"/>
  <c r="C754" i="5"/>
  <c r="C711" i="5"/>
  <c r="A48" i="26"/>
  <c r="A48" i="8"/>
  <c r="A51" i="15"/>
  <c r="A48" i="29"/>
  <c r="A48" i="25"/>
  <c r="A48" i="7"/>
  <c r="A51" i="14"/>
  <c r="A48" i="28"/>
  <c r="A48" i="10"/>
  <c r="A51" i="13"/>
  <c r="A48" i="27"/>
  <c r="A48" i="9"/>
  <c r="A48" i="4"/>
  <c r="A51" i="30"/>
  <c r="A51" i="12"/>
  <c r="A51" i="11"/>
  <c r="O726" i="5"/>
  <c r="N756" i="5" s="1"/>
  <c r="A4" i="15"/>
  <c r="R77" i="19"/>
  <c r="T77" i="19" s="1"/>
  <c r="F76" i="19"/>
  <c r="H76" i="19" s="1"/>
  <c r="N81" i="19"/>
  <c r="P81" i="19" s="1"/>
  <c r="E74" i="19"/>
  <c r="L61" i="19"/>
  <c r="L63" i="19" s="1"/>
  <c r="C69" i="19"/>
  <c r="D69" i="19" s="1"/>
  <c r="G84" i="16"/>
  <c r="N121" i="5"/>
  <c r="P96" i="5"/>
  <c r="P732" i="5" s="1"/>
  <c r="D606" i="5"/>
  <c r="D605" i="5" s="1"/>
  <c r="D510" i="5"/>
  <c r="D477" i="5"/>
  <c r="E395" i="5"/>
  <c r="P2" i="5"/>
  <c r="D472" i="5"/>
  <c r="D90" i="5"/>
  <c r="D89" i="5" s="1"/>
  <c r="D154" i="5"/>
  <c r="G77" i="5"/>
  <c r="E159" i="5"/>
  <c r="E510" i="5"/>
  <c r="D298" i="5"/>
  <c r="D225" i="5"/>
  <c r="O306" i="5"/>
  <c r="D203" i="5"/>
  <c r="D202" i="5" s="1"/>
  <c r="D168" i="5"/>
  <c r="D167" i="5" s="1"/>
  <c r="C407" i="5"/>
  <c r="O411" i="5"/>
  <c r="O30" i="24"/>
  <c r="M120" i="5"/>
  <c r="E482" i="5"/>
  <c r="D302" i="5"/>
  <c r="D301" i="5" s="1"/>
  <c r="D182" i="5"/>
  <c r="D486" i="5"/>
  <c r="D437" i="5"/>
  <c r="D436" i="5" s="1"/>
  <c r="D592" i="5"/>
  <c r="D408" i="5"/>
  <c r="D407" i="5" s="1"/>
  <c r="N25" i="13"/>
  <c r="N201" i="5"/>
  <c r="E81" i="5"/>
  <c r="F86" i="5"/>
  <c r="Q517" i="5"/>
  <c r="G460" i="5"/>
  <c r="D48" i="5"/>
  <c r="D394" i="5"/>
  <c r="D274" i="5"/>
  <c r="D649" i="5"/>
  <c r="D648" i="5" s="1"/>
  <c r="D415" i="5"/>
  <c r="D414" i="5" s="1"/>
  <c r="D380" i="5"/>
  <c r="O29" i="5"/>
  <c r="N25" i="14"/>
  <c r="N25" i="12"/>
  <c r="F381" i="5"/>
  <c r="F390" i="5" s="1"/>
  <c r="E477" i="5"/>
  <c r="F289" i="5"/>
  <c r="F298" i="5" s="1"/>
  <c r="N25" i="15"/>
  <c r="C38" i="5"/>
  <c r="K27" i="1" s="1"/>
  <c r="D97" i="5"/>
  <c r="D96" i="5" s="1"/>
  <c r="D288" i="5"/>
  <c r="D309" i="5"/>
  <c r="D308" i="5" s="1"/>
  <c r="D620" i="5"/>
  <c r="D619" i="5" s="1"/>
  <c r="E293" i="5"/>
  <c r="D482" i="5"/>
  <c r="D196" i="5"/>
  <c r="D195" i="5" s="1"/>
  <c r="D543" i="5"/>
  <c r="D542" i="5" s="1"/>
  <c r="D627" i="5"/>
  <c r="D578" i="5"/>
  <c r="D577" i="5" s="1"/>
  <c r="D119" i="5"/>
  <c r="D76" i="5"/>
  <c r="D62" i="5"/>
  <c r="O406" i="5"/>
  <c r="E385" i="5"/>
  <c r="D293" i="5"/>
  <c r="E86" i="5"/>
  <c r="D500" i="5"/>
  <c r="L66" i="19"/>
  <c r="G45" i="24"/>
  <c r="O51" i="24"/>
  <c r="F78" i="19"/>
  <c r="H78" i="19" s="1"/>
  <c r="C65" i="19"/>
  <c r="A8" i="22"/>
  <c r="A36" i="22" s="1"/>
  <c r="A21" i="1"/>
  <c r="A8" i="16"/>
  <c r="A40" i="16" s="1"/>
  <c r="G32" i="24"/>
  <c r="G44" i="24"/>
  <c r="O47" i="24"/>
  <c r="G46" i="24"/>
  <c r="O29" i="24"/>
  <c r="O45" i="24"/>
  <c r="G51" i="24"/>
  <c r="O50" i="24"/>
  <c r="G49" i="24"/>
  <c r="O44" i="24"/>
  <c r="E31" i="19"/>
  <c r="B31" i="19" s="1"/>
  <c r="M412" i="5"/>
  <c r="D16" i="14"/>
  <c r="O34" i="24"/>
  <c r="O518" i="5"/>
  <c r="L543" i="5"/>
  <c r="K25" i="11"/>
  <c r="Q201" i="5"/>
  <c r="O624" i="5"/>
  <c r="O623" i="5"/>
  <c r="J25" i="12"/>
  <c r="O27" i="24"/>
  <c r="J25" i="1"/>
  <c r="J25" i="11"/>
  <c r="Q625" i="5"/>
  <c r="D187" i="5"/>
  <c r="N96" i="5"/>
  <c r="D505" i="5"/>
  <c r="O33" i="24"/>
  <c r="G50" i="24"/>
  <c r="O31" i="24"/>
  <c r="O46" i="24"/>
  <c r="O49" i="24"/>
  <c r="G47" i="24"/>
  <c r="O48" i="24"/>
  <c r="O32" i="24"/>
  <c r="G48" i="24"/>
  <c r="O28" i="24"/>
  <c r="N413" i="5"/>
  <c r="D399" i="5"/>
  <c r="A60" i="24"/>
  <c r="D192" i="5"/>
  <c r="O86" i="5"/>
  <c r="P86" i="5" s="1"/>
  <c r="E579" i="5"/>
  <c r="E588" i="5" s="1"/>
  <c r="D331" i="5"/>
  <c r="D330" i="5" s="1"/>
  <c r="D514" i="5"/>
  <c r="D513" i="5" s="1"/>
  <c r="D366" i="5"/>
  <c r="D365" i="5" s="1"/>
  <c r="M226" i="5"/>
  <c r="E116" i="5"/>
  <c r="E265" i="5"/>
  <c r="L65" i="23"/>
  <c r="L109" i="23" s="1"/>
  <c r="J36" i="13"/>
  <c r="J37" i="13" s="1"/>
  <c r="O96" i="5"/>
  <c r="L433" i="5"/>
  <c r="M115" i="5"/>
  <c r="N25" i="1"/>
  <c r="N25" i="11"/>
  <c r="L327" i="5"/>
  <c r="N327" i="5" s="1"/>
  <c r="D588" i="5"/>
  <c r="P406" i="5"/>
  <c r="L225" i="5"/>
  <c r="L755" i="5" s="1"/>
  <c r="F261" i="5"/>
  <c r="G261" i="5" s="1"/>
  <c r="J36" i="14"/>
  <c r="J37" i="14" s="1"/>
  <c r="J112" i="16"/>
  <c r="J48" i="21" s="1"/>
  <c r="C142" i="5"/>
  <c r="C143" i="5" s="1"/>
  <c r="K26" i="11" s="1"/>
  <c r="I20" i="20"/>
  <c r="G125" i="5"/>
  <c r="H125" i="5"/>
  <c r="O77" i="19"/>
  <c r="P77" i="19" s="1"/>
  <c r="I63" i="19"/>
  <c r="R70" i="19"/>
  <c r="R74" i="19" s="1"/>
  <c r="O72" i="19"/>
  <c r="P72" i="19" s="1"/>
  <c r="T61" i="19"/>
  <c r="T63" i="19" s="1"/>
  <c r="S69" i="19"/>
  <c r="T69" i="19" s="1"/>
  <c r="U74" i="19"/>
  <c r="T73" i="19"/>
  <c r="G68" i="16"/>
  <c r="G70" i="16" s="1"/>
  <c r="D71" i="19"/>
  <c r="P61" i="19"/>
  <c r="P63" i="19" s="1"/>
  <c r="E67" i="19"/>
  <c r="Q74" i="19"/>
  <c r="G73" i="19"/>
  <c r="X73" i="19" s="1"/>
  <c r="L64" i="23"/>
  <c r="L108" i="23" s="1"/>
  <c r="L60" i="23"/>
  <c r="L104" i="23" s="1"/>
  <c r="N28" i="23"/>
  <c r="O54" i="23"/>
  <c r="K32" i="16"/>
  <c r="J32" i="16"/>
  <c r="L32" i="16"/>
  <c r="N8" i="23"/>
  <c r="M25" i="22"/>
  <c r="O25" i="22"/>
  <c r="L25" i="22"/>
  <c r="N72" i="23"/>
  <c r="N9" i="23"/>
  <c r="N544" i="5"/>
  <c r="P14" i="23"/>
  <c r="Q33" i="5"/>
  <c r="K25" i="22"/>
  <c r="P15" i="23"/>
  <c r="Q34" i="5"/>
  <c r="P35" i="5"/>
  <c r="O16" i="23"/>
  <c r="B89" i="5"/>
  <c r="C308" i="5"/>
  <c r="B407" i="5"/>
  <c r="B619" i="5"/>
  <c r="B195" i="5"/>
  <c r="B414" i="5"/>
  <c r="B301" i="5"/>
  <c r="O25" i="15"/>
  <c r="O25" i="11"/>
  <c r="O25" i="13"/>
  <c r="G354" i="5"/>
  <c r="M413" i="5"/>
  <c r="J25" i="14"/>
  <c r="O25" i="14"/>
  <c r="O25" i="1"/>
  <c r="J25" i="13"/>
  <c r="B513" i="5"/>
  <c r="Q96" i="5"/>
  <c r="M332" i="5"/>
  <c r="K25" i="13"/>
  <c r="K25" i="14"/>
  <c r="K25" i="1"/>
  <c r="K25" i="12"/>
  <c r="K25" i="15"/>
  <c r="G248" i="5"/>
  <c r="L651" i="5"/>
  <c r="M651" i="5" s="1"/>
  <c r="M200" i="5"/>
  <c r="J36" i="15"/>
  <c r="J37" i="15" s="1"/>
  <c r="M307" i="5"/>
  <c r="Q411" i="5"/>
  <c r="C626" i="5"/>
  <c r="C513" i="5"/>
  <c r="C520" i="5"/>
  <c r="C301" i="5"/>
  <c r="C195" i="5"/>
  <c r="C96" i="5"/>
  <c r="B96" i="5"/>
  <c r="B202" i="5"/>
  <c r="Q307" i="5"/>
  <c r="M221" i="5"/>
  <c r="Q519" i="5"/>
  <c r="M438" i="5"/>
  <c r="G142" i="5"/>
  <c r="M96" i="5"/>
  <c r="Q305" i="5"/>
  <c r="G566" i="5"/>
  <c r="N98" i="23"/>
  <c r="D626" i="5"/>
  <c r="J25" i="15"/>
  <c r="M625" i="5"/>
  <c r="C89" i="5"/>
  <c r="C414" i="5"/>
  <c r="M519" i="5"/>
  <c r="C202" i="5"/>
  <c r="B520" i="5"/>
  <c r="B626" i="5"/>
  <c r="B36" i="5"/>
  <c r="O305" i="5"/>
  <c r="O517" i="5"/>
  <c r="L25" i="11"/>
  <c r="L25" i="14"/>
  <c r="L25" i="12"/>
  <c r="L25" i="15"/>
  <c r="L25" i="1"/>
  <c r="D36" i="5"/>
  <c r="L25" i="13"/>
  <c r="N625" i="5"/>
  <c r="N519" i="5"/>
  <c r="C619" i="5"/>
  <c r="E57" i="9"/>
  <c r="C57" i="9"/>
  <c r="C69" i="1"/>
  <c r="D111" i="16"/>
  <c r="F111" i="16"/>
  <c r="E57" i="7"/>
  <c r="F70" i="1"/>
  <c r="F112" i="16"/>
  <c r="C112" i="16"/>
  <c r="C70" i="1"/>
  <c r="E70" i="1"/>
  <c r="E112" i="16"/>
  <c r="C27" i="24"/>
  <c r="F61" i="19"/>
  <c r="F63" i="19" s="1"/>
  <c r="B61" i="19"/>
  <c r="B63" i="19" s="1"/>
  <c r="E63" i="19"/>
  <c r="B27" i="24"/>
  <c r="N32" i="16"/>
  <c r="F155" i="5"/>
  <c r="F159" i="5" s="1"/>
  <c r="G56" i="29"/>
  <c r="B57" i="29"/>
  <c r="G56" i="28"/>
  <c r="B57" i="28"/>
  <c r="G56" i="27"/>
  <c r="B57" i="27"/>
  <c r="G57" i="26"/>
  <c r="D63" i="26"/>
  <c r="C63" i="26"/>
  <c r="F63" i="26"/>
  <c r="B63" i="26"/>
  <c r="B64" i="26" s="1"/>
  <c r="E63" i="26"/>
  <c r="B57" i="25"/>
  <c r="G56" i="25"/>
  <c r="B57" i="10"/>
  <c r="G56" i="10"/>
  <c r="B56" i="9"/>
  <c r="G55" i="9"/>
  <c r="F57" i="9"/>
  <c r="G55" i="7"/>
  <c r="B57" i="7"/>
  <c r="G56" i="7"/>
  <c r="C57" i="4"/>
  <c r="D57" i="4"/>
  <c r="D55" i="8"/>
  <c r="D56" i="8" s="1"/>
  <c r="E57" i="8"/>
  <c r="G26" i="8"/>
  <c r="F57" i="8"/>
  <c r="G72" i="16"/>
  <c r="D74" i="16"/>
  <c r="N65" i="19"/>
  <c r="C81" i="16"/>
  <c r="C4" i="33" s="1"/>
  <c r="G66" i="19"/>
  <c r="H66" i="19" s="1"/>
  <c r="Q67" i="19"/>
  <c r="J77" i="19"/>
  <c r="L77" i="19" s="1"/>
  <c r="N69" i="19"/>
  <c r="P69" i="19" s="1"/>
  <c r="G80" i="16"/>
  <c r="G81" i="16" s="1"/>
  <c r="G29" i="24"/>
  <c r="B6" i="4"/>
  <c r="F81" i="19"/>
  <c r="G81" i="19"/>
  <c r="B6" i="10"/>
  <c r="X84" i="19"/>
  <c r="I74" i="19"/>
  <c r="G44" i="1"/>
  <c r="G77" i="19"/>
  <c r="F77" i="19"/>
  <c r="F70" i="19"/>
  <c r="H70" i="19" s="1"/>
  <c r="F69" i="19"/>
  <c r="M76" i="20"/>
  <c r="F81" i="16"/>
  <c r="F4" i="33" s="1"/>
  <c r="N46" i="20"/>
  <c r="B30" i="24"/>
  <c r="R66" i="19"/>
  <c r="S66" i="19"/>
  <c r="R81" i="19"/>
  <c r="S81" i="19"/>
  <c r="D30" i="24"/>
  <c r="N58" i="20"/>
  <c r="B6" i="9"/>
  <c r="K69" i="19"/>
  <c r="X79" i="19"/>
  <c r="W72" i="19"/>
  <c r="M74" i="19"/>
  <c r="M32" i="16"/>
  <c r="N70" i="20"/>
  <c r="F30" i="24"/>
  <c r="T56" i="19"/>
  <c r="W71" i="19"/>
  <c r="P79" i="19"/>
  <c r="R58" i="19"/>
  <c r="L84" i="19"/>
  <c r="Y84" i="19" s="1"/>
  <c r="H72" i="19"/>
  <c r="D81" i="19"/>
  <c r="L79" i="19"/>
  <c r="W79" i="19"/>
  <c r="J74" i="19"/>
  <c r="S58" i="19"/>
  <c r="D78" i="19"/>
  <c r="O63" i="19"/>
  <c r="X61" i="19"/>
  <c r="X63" i="19" s="1"/>
  <c r="L71" i="19"/>
  <c r="W73" i="19"/>
  <c r="T38" i="19"/>
  <c r="B74" i="19"/>
  <c r="L70" i="19"/>
  <c r="D72" i="19"/>
  <c r="P73" i="19"/>
  <c r="X70" i="19"/>
  <c r="W84" i="19"/>
  <c r="L22" i="11"/>
  <c r="L22" i="14"/>
  <c r="N25" i="22"/>
  <c r="F579" i="5"/>
  <c r="G593" i="5"/>
  <c r="F597" i="5"/>
  <c r="F602" i="5"/>
  <c r="E187" i="5"/>
  <c r="F183" i="5"/>
  <c r="N332" i="5"/>
  <c r="N438" i="5"/>
  <c r="F611" i="5"/>
  <c r="G607" i="5"/>
  <c r="F616" i="5"/>
  <c r="E496" i="5"/>
  <c r="E491" i="5"/>
  <c r="F487" i="5"/>
  <c r="F505" i="5"/>
  <c r="F510" i="5"/>
  <c r="G501" i="5"/>
  <c r="F482" i="5"/>
  <c r="G473" i="5"/>
  <c r="F477" i="5"/>
  <c r="E399" i="5"/>
  <c r="E404" i="5"/>
  <c r="F395" i="5"/>
  <c r="F376" i="5"/>
  <c r="G367" i="5"/>
  <c r="F371" i="5"/>
  <c r="F279" i="5"/>
  <c r="G275" i="5"/>
  <c r="F284" i="5"/>
  <c r="E169" i="5"/>
  <c r="D173" i="5"/>
  <c r="D178" i="5"/>
  <c r="E53" i="5"/>
  <c r="E58" i="5"/>
  <c r="F49" i="5"/>
  <c r="F63" i="5"/>
  <c r="E72" i="5"/>
  <c r="E67" i="5"/>
  <c r="H77" i="5"/>
  <c r="G81" i="5"/>
  <c r="G86" i="5"/>
  <c r="P13" i="23"/>
  <c r="Q12" i="23"/>
  <c r="R31" i="5"/>
  <c r="N75" i="23"/>
  <c r="Q192" i="5"/>
  <c r="P194" i="5"/>
  <c r="Q11" i="23"/>
  <c r="Q32" i="5"/>
  <c r="R30" i="5"/>
  <c r="P298" i="5"/>
  <c r="O300" i="5"/>
  <c r="R404" i="5"/>
  <c r="Q406" i="5"/>
  <c r="O618" i="5"/>
  <c r="P616" i="5"/>
  <c r="P510" i="5"/>
  <c r="O512" i="5"/>
  <c r="E7" i="21"/>
  <c r="E15" i="21" s="1"/>
  <c r="E45" i="21"/>
  <c r="E57" i="4"/>
  <c r="F45" i="21"/>
  <c r="F57" i="4"/>
  <c r="F7" i="21"/>
  <c r="F15" i="21" s="1"/>
  <c r="C7" i="21"/>
  <c r="C15" i="21" s="1"/>
  <c r="C45" i="21"/>
  <c r="G55" i="4"/>
  <c r="B56" i="4"/>
  <c r="Q54" i="23"/>
  <c r="N31" i="23"/>
  <c r="O29" i="23"/>
  <c r="M9" i="23"/>
  <c r="M8" i="23"/>
  <c r="M7" i="23"/>
  <c r="M72" i="23"/>
  <c r="M28" i="23"/>
  <c r="O75" i="23"/>
  <c r="P73" i="23"/>
  <c r="P54" i="23"/>
  <c r="P2" i="23"/>
  <c r="O10" i="23"/>
  <c r="C5" i="29"/>
  <c r="C5" i="25"/>
  <c r="C5" i="28"/>
  <c r="C5" i="27"/>
  <c r="C5" i="26"/>
  <c r="C37" i="5"/>
  <c r="K26" i="1" s="1"/>
  <c r="C248" i="5"/>
  <c r="C249" i="5" s="1"/>
  <c r="K26" i="12" s="1"/>
  <c r="C144" i="5"/>
  <c r="K27" i="11" s="1"/>
  <c r="C566" i="5"/>
  <c r="C567" i="5" s="1"/>
  <c r="K26" i="15" s="1"/>
  <c r="C145" i="5"/>
  <c r="K28" i="11" s="1"/>
  <c r="C357" i="5"/>
  <c r="K28" i="13" s="1"/>
  <c r="C569" i="5"/>
  <c r="C462" i="5"/>
  <c r="K27" i="14" s="1"/>
  <c r="C39" i="5"/>
  <c r="K28" i="1" s="1"/>
  <c r="C354" i="5"/>
  <c r="C355" i="5" s="1"/>
  <c r="K26" i="13" s="1"/>
  <c r="C463" i="5"/>
  <c r="K28" i="14" s="1"/>
  <c r="C460" i="5"/>
  <c r="C461" i="5" s="1"/>
  <c r="K26" i="14" s="1"/>
  <c r="L652" i="5"/>
  <c r="L228" i="5"/>
  <c r="L758" i="5" s="1"/>
  <c r="L328" i="5"/>
  <c r="M328" i="5" s="1"/>
  <c r="M116" i="5"/>
  <c r="L222" i="5"/>
  <c r="L752" i="5" s="1"/>
  <c r="L434" i="5"/>
  <c r="M434" i="5" s="1"/>
  <c r="L540" i="5"/>
  <c r="L646" i="5"/>
  <c r="M623" i="5"/>
  <c r="M517" i="5"/>
  <c r="M199" i="5"/>
  <c r="M305" i="5"/>
  <c r="M411" i="5"/>
  <c r="Q412" i="5"/>
  <c r="Q518" i="5"/>
  <c r="Q306" i="5"/>
  <c r="Q200" i="5"/>
  <c r="Q624" i="5"/>
  <c r="L22" i="13"/>
  <c r="L22" i="12"/>
  <c r="C568" i="5"/>
  <c r="C356" i="5"/>
  <c r="K27" i="13" s="1"/>
  <c r="L220" i="5"/>
  <c r="L750" i="5" s="1"/>
  <c r="L538" i="5"/>
  <c r="L644" i="5"/>
  <c r="M114" i="5"/>
  <c r="L432" i="5"/>
  <c r="M432" i="5" s="1"/>
  <c r="L326" i="5"/>
  <c r="M326" i="5" s="1"/>
  <c r="M119" i="5"/>
  <c r="L42" i="23"/>
  <c r="A11" i="23" s="1"/>
  <c r="J32" i="22" s="1"/>
  <c r="L63" i="23"/>
  <c r="L107" i="23" s="1"/>
  <c r="L62" i="23"/>
  <c r="L106" i="23" s="1"/>
  <c r="L43" i="23"/>
  <c r="A12" i="23" s="1"/>
  <c r="J33" i="22" s="1"/>
  <c r="L85" i="23"/>
  <c r="A19" i="23" s="1"/>
  <c r="J45" i="22" s="1"/>
  <c r="L87" i="23"/>
  <c r="A21" i="23" s="1"/>
  <c r="J47" i="22" s="1"/>
  <c r="L41" i="23"/>
  <c r="A10" i="23" s="1"/>
  <c r="J31" i="22" s="1"/>
  <c r="N199" i="5"/>
  <c r="N517" i="5"/>
  <c r="N623" i="5"/>
  <c r="N305" i="5"/>
  <c r="N411" i="5"/>
  <c r="P201" i="5"/>
  <c r="P625" i="5"/>
  <c r="P307" i="5"/>
  <c r="P519" i="5"/>
  <c r="P413" i="5"/>
  <c r="O625" i="5"/>
  <c r="O413" i="5"/>
  <c r="M43" i="5"/>
  <c r="N42" i="5" s="1"/>
  <c r="K36" i="30" s="1"/>
  <c r="L645" i="5"/>
  <c r="N645" i="5" s="1"/>
  <c r="L539" i="5"/>
  <c r="N539" i="5" s="1"/>
  <c r="L334" i="5"/>
  <c r="L437" i="5"/>
  <c r="M306" i="5"/>
  <c r="J36" i="11"/>
  <c r="J37" i="11" s="1"/>
  <c r="J36" i="12"/>
  <c r="J37" i="12" s="1"/>
  <c r="L22" i="1"/>
  <c r="O98" i="23"/>
  <c r="L86" i="23"/>
  <c r="A20" i="23" s="1"/>
  <c r="J46" i="22" s="1"/>
  <c r="Q36" i="23"/>
  <c r="Q80" i="23" s="1"/>
  <c r="L57" i="23"/>
  <c r="L101" i="23" s="1"/>
  <c r="C251" i="5"/>
  <c r="K28" i="12" s="1"/>
  <c r="O307" i="5"/>
  <c r="B6" i="29"/>
  <c r="B6" i="25"/>
  <c r="B6" i="28"/>
  <c r="B6" i="27"/>
  <c r="B6" i="26"/>
  <c r="L648" i="5"/>
  <c r="L330" i="5"/>
  <c r="M330" i="5" s="1"/>
  <c r="L224" i="5"/>
  <c r="L754" i="5" s="1"/>
  <c r="L436" i="5"/>
  <c r="M436" i="5" s="1"/>
  <c r="L542" i="5"/>
  <c r="M23" i="23"/>
  <c r="N21" i="23" s="1"/>
  <c r="N624" i="5"/>
  <c r="N200" i="5"/>
  <c r="N412" i="5"/>
  <c r="P411" i="5"/>
  <c r="P305" i="5"/>
  <c r="P517" i="5"/>
  <c r="P623" i="5"/>
  <c r="P199" i="5"/>
  <c r="P624" i="5"/>
  <c r="P306" i="5"/>
  <c r="P412" i="5"/>
  <c r="O412" i="5"/>
  <c r="N115" i="5"/>
  <c r="M122" i="5"/>
  <c r="L440" i="5"/>
  <c r="L649" i="5"/>
  <c r="M624" i="5"/>
  <c r="P518" i="5"/>
  <c r="K94" i="22"/>
  <c r="K95" i="22" s="1"/>
  <c r="L58" i="23"/>
  <c r="L102" i="23" s="1"/>
  <c r="Q55" i="23"/>
  <c r="P99" i="23"/>
  <c r="L59" i="23"/>
  <c r="L103" i="23" s="1"/>
  <c r="C250" i="5"/>
  <c r="K27" i="12" s="1"/>
  <c r="O519" i="5"/>
  <c r="N306" i="5"/>
  <c r="B6" i="8"/>
  <c r="B6" i="7"/>
  <c r="M121" i="5"/>
  <c r="L333" i="5"/>
  <c r="M333" i="5" s="1"/>
  <c r="L545" i="5"/>
  <c r="L439" i="5"/>
  <c r="M439" i="5" s="1"/>
  <c r="N520" i="5"/>
  <c r="N202" i="5"/>
  <c r="L647" i="5"/>
  <c r="M117" i="5"/>
  <c r="L329" i="5"/>
  <c r="M329" i="5" s="1"/>
  <c r="L541" i="5"/>
  <c r="L223" i="5"/>
  <c r="L753" i="5" s="1"/>
  <c r="L435" i="5"/>
  <c r="M435" i="5" s="1"/>
  <c r="N11" i="5"/>
  <c r="Q11" i="5"/>
  <c r="O11" i="5"/>
  <c r="P11" i="5"/>
  <c r="R11" i="5"/>
  <c r="M11" i="5"/>
  <c r="S11" i="5"/>
  <c r="O36" i="23"/>
  <c r="O80" i="23" s="1"/>
  <c r="AA4" i="23"/>
  <c r="Q53" i="23"/>
  <c r="Q97" i="23"/>
  <c r="M97" i="23"/>
  <c r="N53" i="23"/>
  <c r="AC5" i="23"/>
  <c r="AE4" i="23"/>
  <c r="AA5" i="23"/>
  <c r="P97" i="23"/>
  <c r="AB4" i="23"/>
  <c r="M53" i="23"/>
  <c r="Z4" i="23"/>
  <c r="AD4" i="23"/>
  <c r="AD5" i="23"/>
  <c r="M37" i="23"/>
  <c r="M81" i="23" s="1"/>
  <c r="O99" i="23"/>
  <c r="Q38" i="23"/>
  <c r="Q82" i="23" s="1"/>
  <c r="N55" i="23"/>
  <c r="P53" i="23"/>
  <c r="M54" i="23"/>
  <c r="M61" i="23" s="1"/>
  <c r="O53" i="23"/>
  <c r="O97" i="23"/>
  <c r="N97" i="23"/>
  <c r="Q37" i="23"/>
  <c r="Q81" i="23" s="1"/>
  <c r="Z5" i="23"/>
  <c r="AB5" i="23"/>
  <c r="O38" i="23"/>
  <c r="O82" i="23" s="1"/>
  <c r="O55" i="23"/>
  <c r="N54" i="23"/>
  <c r="M38" i="23"/>
  <c r="M82" i="23" s="1"/>
  <c r="AC4" i="23"/>
  <c r="P36" i="23"/>
  <c r="P80" i="23" s="1"/>
  <c r="P55" i="23"/>
  <c r="M55" i="23"/>
  <c r="O37" i="23"/>
  <c r="O81" i="23" s="1"/>
  <c r="P38" i="23"/>
  <c r="P82" i="23" s="1"/>
  <c r="M98" i="23"/>
  <c r="M36" i="23"/>
  <c r="M80" i="23" s="1"/>
  <c r="M99" i="23"/>
  <c r="P98" i="23"/>
  <c r="N650" i="5"/>
  <c r="M650" i="5"/>
  <c r="N37" i="23"/>
  <c r="N81" i="23" s="1"/>
  <c r="Q99" i="23"/>
  <c r="P37" i="23"/>
  <c r="P81" i="23" s="1"/>
  <c r="N38" i="23"/>
  <c r="N82" i="23" s="1"/>
  <c r="Q98" i="23"/>
  <c r="N99" i="23"/>
  <c r="N36" i="23"/>
  <c r="N80" i="23" s="1"/>
  <c r="C5" i="8"/>
  <c r="C5" i="7"/>
  <c r="C5" i="4"/>
  <c r="C6" i="1"/>
  <c r="C5" i="10"/>
  <c r="C5" i="9"/>
  <c r="N120" i="5"/>
  <c r="N117" i="5"/>
  <c r="N118" i="5"/>
  <c r="N114" i="5"/>
  <c r="E260" i="5"/>
  <c r="E259" i="5" s="1"/>
  <c r="E203" i="5"/>
  <c r="E202" i="5" s="1"/>
  <c r="E309" i="5"/>
  <c r="E308" i="5" s="1"/>
  <c r="E366" i="5"/>
  <c r="E365" i="5" s="1"/>
  <c r="E62" i="5"/>
  <c r="E61" i="5" s="1"/>
  <c r="E394" i="5"/>
  <c r="E393" i="5" s="1"/>
  <c r="E168" i="5"/>
  <c r="E167" i="5" s="1"/>
  <c r="E415" i="5"/>
  <c r="E414" i="5" s="1"/>
  <c r="Q2" i="5"/>
  <c r="E97" i="5"/>
  <c r="E96" i="5" s="1"/>
  <c r="E543" i="5"/>
  <c r="E542" i="5" s="1"/>
  <c r="E90" i="5"/>
  <c r="E89" i="5" s="1"/>
  <c r="E620" i="5"/>
  <c r="E619" i="5" s="1"/>
  <c r="E274" i="5"/>
  <c r="E273" i="5" s="1"/>
  <c r="E606" i="5"/>
  <c r="E605" i="5" s="1"/>
  <c r="E514" i="5"/>
  <c r="E513" i="5" s="1"/>
  <c r="E472" i="5"/>
  <c r="E471" i="5" s="1"/>
  <c r="E500" i="5"/>
  <c r="E499" i="5" s="1"/>
  <c r="E408" i="5"/>
  <c r="E407" i="5" s="1"/>
  <c r="P29" i="5"/>
  <c r="P721" i="5" s="1"/>
  <c r="P751" i="5" s="1"/>
  <c r="E182" i="5"/>
  <c r="E181" i="5" s="1"/>
  <c r="E592" i="5"/>
  <c r="E591" i="5" s="1"/>
  <c r="E627" i="5"/>
  <c r="E626" i="5" s="1"/>
  <c r="E119" i="5"/>
  <c r="E118" i="5" s="1"/>
  <c r="E196" i="5"/>
  <c r="E195" i="5" s="1"/>
  <c r="E76" i="5"/>
  <c r="E75" i="5" s="1"/>
  <c r="E462" i="5"/>
  <c r="M27" i="14" s="1"/>
  <c r="E356" i="5"/>
  <c r="M27" i="13" s="1"/>
  <c r="E154" i="5"/>
  <c r="E153" i="5" s="1"/>
  <c r="E380" i="5"/>
  <c r="E379" i="5" s="1"/>
  <c r="E288" i="5"/>
  <c r="E287" i="5" s="1"/>
  <c r="E578" i="5"/>
  <c r="E577" i="5" s="1"/>
  <c r="E486" i="5"/>
  <c r="E485" i="5" s="1"/>
  <c r="E463" i="5"/>
  <c r="M28" i="14" s="1"/>
  <c r="E251" i="5"/>
  <c r="M28" i="12" s="1"/>
  <c r="E39" i="5"/>
  <c r="M28" i="1" s="1"/>
  <c r="E302" i="5"/>
  <c r="E301" i="5" s="1"/>
  <c r="E521" i="5"/>
  <c r="E520" i="5" s="1"/>
  <c r="E437" i="5"/>
  <c r="E436" i="5" s="1"/>
  <c r="E649" i="5"/>
  <c r="E648" i="5" s="1"/>
  <c r="E250" i="5"/>
  <c r="M27" i="12" s="1"/>
  <c r="E145" i="5"/>
  <c r="M28" i="11" s="1"/>
  <c r="E144" i="5"/>
  <c r="M27" i="11" s="1"/>
  <c r="E568" i="5"/>
  <c r="E38" i="5"/>
  <c r="M27" i="1" s="1"/>
  <c r="E48" i="5"/>
  <c r="E47" i="5" s="1"/>
  <c r="E357" i="5"/>
  <c r="M28" i="13" s="1"/>
  <c r="E37" i="5"/>
  <c r="E225" i="5"/>
  <c r="E224" i="5" s="1"/>
  <c r="E331" i="5"/>
  <c r="E330" i="5" s="1"/>
  <c r="N226" i="5"/>
  <c r="N221" i="5"/>
  <c r="O297" i="5"/>
  <c r="N331" i="5" s="1"/>
  <c r="O509" i="5"/>
  <c r="N546" i="5" s="1"/>
  <c r="O615" i="5"/>
  <c r="O28" i="5"/>
  <c r="O26" i="5"/>
  <c r="E569" i="5"/>
  <c r="A4" i="14"/>
  <c r="N41" i="5"/>
  <c r="N61" i="23"/>
  <c r="L105" i="23"/>
  <c r="K22" i="13"/>
  <c r="K22" i="14"/>
  <c r="K22" i="11"/>
  <c r="K22" i="12"/>
  <c r="K22" i="15"/>
  <c r="K22" i="1"/>
  <c r="J47" i="21"/>
  <c r="K40" i="20"/>
  <c r="B63" i="24"/>
  <c r="M227" i="5"/>
  <c r="N227" i="5"/>
  <c r="P414" i="5"/>
  <c r="P308" i="5"/>
  <c r="P202" i="5"/>
  <c r="P520" i="5"/>
  <c r="P626" i="5"/>
  <c r="N22" i="1"/>
  <c r="N22" i="11"/>
  <c r="N22" i="14"/>
  <c r="N22" i="15"/>
  <c r="N22" i="13"/>
  <c r="N22" i="12"/>
  <c r="C499" i="5"/>
  <c r="C330" i="5"/>
  <c r="C259" i="5"/>
  <c r="B575" i="5"/>
  <c r="J22" i="11"/>
  <c r="J22" i="15"/>
  <c r="C273" i="5"/>
  <c r="D273" i="5"/>
  <c r="C577" i="5"/>
  <c r="C287" i="5"/>
  <c r="D379" i="5"/>
  <c r="C153" i="5"/>
  <c r="C118" i="5"/>
  <c r="C471" i="5"/>
  <c r="J22" i="14"/>
  <c r="J22" i="1"/>
  <c r="D499" i="5"/>
  <c r="C167" i="5"/>
  <c r="C393" i="5"/>
  <c r="C591" i="5"/>
  <c r="C61" i="5"/>
  <c r="C224" i="5"/>
  <c r="B257" i="5"/>
  <c r="B151" i="5"/>
  <c r="D181" i="5"/>
  <c r="B648" i="5"/>
  <c r="B153" i="5"/>
  <c r="B436" i="5"/>
  <c r="B471" i="5"/>
  <c r="D471" i="5"/>
  <c r="C605" i="5"/>
  <c r="C379" i="5"/>
  <c r="C485" i="5"/>
  <c r="J22" i="12"/>
  <c r="B605" i="5"/>
  <c r="B181" i="5"/>
  <c r="B273" i="5"/>
  <c r="B259" i="5"/>
  <c r="B118" i="5"/>
  <c r="B499" i="5"/>
  <c r="B61" i="5"/>
  <c r="B469" i="5"/>
  <c r="C648" i="5"/>
  <c r="D61" i="5"/>
  <c r="C75" i="5"/>
  <c r="B287" i="5"/>
  <c r="B75" i="5"/>
  <c r="B485" i="5"/>
  <c r="B542" i="5"/>
  <c r="B363" i="5"/>
  <c r="D153" i="5"/>
  <c r="D591" i="5"/>
  <c r="C436" i="5"/>
  <c r="D485" i="5"/>
  <c r="D75" i="5"/>
  <c r="C47" i="5"/>
  <c r="B167" i="5"/>
  <c r="B393" i="5"/>
  <c r="B45" i="5"/>
  <c r="B577" i="5"/>
  <c r="B591" i="5"/>
  <c r="B330" i="5"/>
  <c r="D47" i="5"/>
  <c r="B365" i="5"/>
  <c r="D393" i="5"/>
  <c r="C365" i="5"/>
  <c r="B224" i="5"/>
  <c r="D259" i="5"/>
  <c r="C542" i="5"/>
  <c r="D224" i="5"/>
  <c r="B379" i="5"/>
  <c r="B47" i="5"/>
  <c r="D287" i="5"/>
  <c r="D118" i="5"/>
  <c r="C181" i="5"/>
  <c r="J22" i="13"/>
  <c r="M433" i="5"/>
  <c r="M331" i="5"/>
  <c r="M22" i="13"/>
  <c r="M22" i="14"/>
  <c r="M22" i="12"/>
  <c r="M22" i="1"/>
  <c r="M22" i="15"/>
  <c r="M22" i="11"/>
  <c r="M327" i="5"/>
  <c r="M546" i="5"/>
  <c r="M543" i="5"/>
  <c r="AA8" i="5"/>
  <c r="AB7" i="5" s="1"/>
  <c r="A81" i="19"/>
  <c r="A238" i="5"/>
  <c r="A556" i="5"/>
  <c r="A4" i="13"/>
  <c r="A344" i="5"/>
  <c r="F628" i="5"/>
  <c r="G522" i="5"/>
  <c r="A4" i="11"/>
  <c r="F416" i="5"/>
  <c r="G310" i="5"/>
  <c r="F204" i="5"/>
  <c r="F98" i="5"/>
  <c r="F65" i="19" l="1"/>
  <c r="G65" i="19"/>
  <c r="G67" i="19" s="1"/>
  <c r="C40" i="5"/>
  <c r="K29" i="1" s="1"/>
  <c r="G73" i="16"/>
  <c r="G4" i="33"/>
  <c r="C34" i="16"/>
  <c r="I31" i="19"/>
  <c r="D116" i="5"/>
  <c r="D16" i="1" s="1"/>
  <c r="J65" i="19"/>
  <c r="M67" i="19"/>
  <c r="K65" i="19"/>
  <c r="K67" i="19" s="1"/>
  <c r="R65" i="19"/>
  <c r="S65" i="19"/>
  <c r="S67" i="19" s="1"/>
  <c r="D359" i="5"/>
  <c r="D465" i="5"/>
  <c r="L32" i="14" s="1"/>
  <c r="D41" i="5"/>
  <c r="L32" i="1" s="1"/>
  <c r="D571" i="5"/>
  <c r="L32" i="15" s="1"/>
  <c r="D147" i="5"/>
  <c r="L32" i="11" s="1"/>
  <c r="D677" i="5"/>
  <c r="L32" i="30" s="1"/>
  <c r="D253" i="5"/>
  <c r="B571" i="5"/>
  <c r="B147" i="5"/>
  <c r="B41" i="5"/>
  <c r="B677" i="5"/>
  <c r="J32" i="30" s="1"/>
  <c r="B253" i="5"/>
  <c r="J32" i="12" s="1"/>
  <c r="B359" i="5"/>
  <c r="J32" i="13" s="1"/>
  <c r="B465" i="5"/>
  <c r="F248" i="5"/>
  <c r="F677" i="5"/>
  <c r="N32" i="30" s="1"/>
  <c r="F253" i="5"/>
  <c r="F359" i="5"/>
  <c r="N32" i="13" s="1"/>
  <c r="F41" i="5"/>
  <c r="N32" i="1" s="1"/>
  <c r="F465" i="5"/>
  <c r="N32" i="14" s="1"/>
  <c r="F571" i="5"/>
  <c r="N32" i="15" s="1"/>
  <c r="F147" i="5"/>
  <c r="N32" i="11" s="1"/>
  <c r="B66" i="19"/>
  <c r="C66" i="19"/>
  <c r="C465" i="5"/>
  <c r="K32" i="14" s="1"/>
  <c r="C41" i="5"/>
  <c r="K32" i="1" s="1"/>
  <c r="C359" i="5"/>
  <c r="K32" i="13" s="1"/>
  <c r="C571" i="5"/>
  <c r="K32" i="15" s="1"/>
  <c r="C147" i="5"/>
  <c r="K32" i="11" s="1"/>
  <c r="C677" i="5"/>
  <c r="K32" i="30" s="1"/>
  <c r="C253" i="5"/>
  <c r="K32" i="12" s="1"/>
  <c r="C67" i="19"/>
  <c r="E41" i="5"/>
  <c r="M32" i="1" s="1"/>
  <c r="E253" i="5"/>
  <c r="M32" i="12" s="1"/>
  <c r="E359" i="5"/>
  <c r="M32" i="13" s="1"/>
  <c r="E465" i="5"/>
  <c r="M32" i="14" s="1"/>
  <c r="E571" i="5"/>
  <c r="M32" i="15" s="1"/>
  <c r="E147" i="5"/>
  <c r="E677" i="5"/>
  <c r="D7" i="21"/>
  <c r="D15" i="21" s="1"/>
  <c r="B9" i="30"/>
  <c r="B27" i="16" s="1"/>
  <c r="F38" i="5"/>
  <c r="N27" i="1" s="1"/>
  <c r="N308" i="5"/>
  <c r="N732" i="5"/>
  <c r="F356" i="5"/>
  <c r="N27" i="13" s="1"/>
  <c r="O520" i="5"/>
  <c r="O732" i="5"/>
  <c r="B8" i="30"/>
  <c r="B26" i="16" s="1"/>
  <c r="M32" i="30"/>
  <c r="F566" i="5"/>
  <c r="F567" i="5" s="1"/>
  <c r="N26" i="15" s="1"/>
  <c r="F142" i="5"/>
  <c r="Q308" i="5"/>
  <c r="Q732" i="5"/>
  <c r="M754" i="5"/>
  <c r="N754" i="5"/>
  <c r="P754" i="5"/>
  <c r="F354" i="5"/>
  <c r="P750" i="5"/>
  <c r="M750" i="5"/>
  <c r="N750" i="5"/>
  <c r="M755" i="5"/>
  <c r="O651" i="5"/>
  <c r="N651" i="5"/>
  <c r="M752" i="5"/>
  <c r="O752" i="5"/>
  <c r="M414" i="5"/>
  <c r="M732" i="5"/>
  <c r="F460" i="5"/>
  <c r="P753" i="5"/>
  <c r="N753" i="5"/>
  <c r="M753" i="5"/>
  <c r="M758" i="5"/>
  <c r="N758" i="5"/>
  <c r="M224" i="5"/>
  <c r="E83" i="16"/>
  <c r="Q76" i="19"/>
  <c r="E31" i="24"/>
  <c r="G46" i="1"/>
  <c r="G381" i="5"/>
  <c r="C27" i="16"/>
  <c r="F385" i="5"/>
  <c r="O85" i="5"/>
  <c r="N119" i="5" s="1"/>
  <c r="N105" i="5" s="1"/>
  <c r="K15" i="1" s="1"/>
  <c r="C52" i="1" s="1"/>
  <c r="O721" i="5"/>
  <c r="O754" i="5" s="1"/>
  <c r="K78" i="19"/>
  <c r="J78" i="19"/>
  <c r="L78" i="19" s="1"/>
  <c r="Q414" i="5"/>
  <c r="E40" i="5"/>
  <c r="M29" i="1" s="1"/>
  <c r="L88" i="22"/>
  <c r="L87" i="22"/>
  <c r="K105" i="16"/>
  <c r="I9" i="20" s="1"/>
  <c r="K106" i="16"/>
  <c r="I6" i="20" s="1"/>
  <c r="C672" i="5"/>
  <c r="C673" i="5" s="1"/>
  <c r="K26" i="30" s="1"/>
  <c r="C676" i="5"/>
  <c r="K29" i="30" s="1"/>
  <c r="C674" i="5"/>
  <c r="K27" i="30" s="1"/>
  <c r="C675" i="5"/>
  <c r="K28" i="30" s="1"/>
  <c r="C252" i="5"/>
  <c r="K29" i="12" s="1"/>
  <c r="C464" i="5"/>
  <c r="K29" i="14" s="1"/>
  <c r="C570" i="5"/>
  <c r="K29" i="15" s="1"/>
  <c r="C358" i="5"/>
  <c r="K29" i="13" s="1"/>
  <c r="F733" i="5"/>
  <c r="F732" i="5" s="1"/>
  <c r="F712" i="5"/>
  <c r="F711" i="5" s="1"/>
  <c r="F755" i="5"/>
  <c r="F754" i="5" s="1"/>
  <c r="F726" i="5"/>
  <c r="F725" i="5" s="1"/>
  <c r="F684" i="5"/>
  <c r="F698" i="5"/>
  <c r="F697" i="5" s="1"/>
  <c r="M223" i="5"/>
  <c r="K88" i="22"/>
  <c r="K87" i="22"/>
  <c r="J106" i="16"/>
  <c r="J105" i="16"/>
  <c r="B57" i="24" s="1"/>
  <c r="B672" i="5"/>
  <c r="B676" i="5"/>
  <c r="J29" i="30" s="1"/>
  <c r="B674" i="5"/>
  <c r="J27" i="30" s="1"/>
  <c r="B675" i="5"/>
  <c r="J28" i="30" s="1"/>
  <c r="B464" i="5"/>
  <c r="J29" i="14" s="1"/>
  <c r="B252" i="5"/>
  <c r="J29" i="12" s="1"/>
  <c r="B570" i="5"/>
  <c r="J29" i="15" s="1"/>
  <c r="B358" i="5"/>
  <c r="J29" i="13" s="1"/>
  <c r="D759" i="5"/>
  <c r="B737" i="5"/>
  <c r="E730" i="5"/>
  <c r="C737" i="5"/>
  <c r="E737" i="5"/>
  <c r="B759" i="5"/>
  <c r="B730" i="5"/>
  <c r="C759" i="5"/>
  <c r="E759" i="5"/>
  <c r="F730" i="5"/>
  <c r="K35" i="30"/>
  <c r="D737" i="5"/>
  <c r="C730" i="5"/>
  <c r="B13" i="30" s="1"/>
  <c r="G730" i="5"/>
  <c r="D730" i="5"/>
  <c r="F737" i="5"/>
  <c r="G737" i="5"/>
  <c r="H730" i="5"/>
  <c r="F759" i="5"/>
  <c r="H737" i="5"/>
  <c r="G759" i="5"/>
  <c r="H759" i="5"/>
  <c r="F37" i="5"/>
  <c r="N26" i="1" s="1"/>
  <c r="M222" i="5"/>
  <c r="E50" i="1"/>
  <c r="E87" i="16" s="1"/>
  <c r="F85" i="16"/>
  <c r="F33" i="24"/>
  <c r="U78" i="19"/>
  <c r="O414" i="5"/>
  <c r="E85" i="16"/>
  <c r="G85" i="16" s="1"/>
  <c r="Q78" i="19"/>
  <c r="E33" i="24"/>
  <c r="G48" i="1"/>
  <c r="Q202" i="5"/>
  <c r="M225" i="5"/>
  <c r="D683" i="5"/>
  <c r="E755" i="5"/>
  <c r="E754" i="5" s="1"/>
  <c r="E712" i="5"/>
  <c r="E711" i="5" s="1"/>
  <c r="E726" i="5"/>
  <c r="E725" i="5" s="1"/>
  <c r="E684" i="5"/>
  <c r="E698" i="5"/>
  <c r="E697" i="5" s="1"/>
  <c r="E733" i="5"/>
  <c r="E732" i="5" s="1"/>
  <c r="D16" i="11"/>
  <c r="B28" i="16"/>
  <c r="F31" i="24"/>
  <c r="U76" i="19"/>
  <c r="F83" i="16"/>
  <c r="O87" i="22"/>
  <c r="O88" i="22"/>
  <c r="N106" i="16"/>
  <c r="I24" i="20" s="1"/>
  <c r="N105" i="16"/>
  <c r="F57" i="24" s="1"/>
  <c r="F674" i="5"/>
  <c r="N27" i="30" s="1"/>
  <c r="F672" i="5"/>
  <c r="F673" i="5" s="1"/>
  <c r="F676" i="5"/>
  <c r="N29" i="30" s="1"/>
  <c r="F252" i="5"/>
  <c r="N29" i="12" s="1"/>
  <c r="F570" i="5"/>
  <c r="N29" i="15" s="1"/>
  <c r="F358" i="5"/>
  <c r="N29" i="13" s="1"/>
  <c r="F464" i="5"/>
  <c r="N29" i="14" s="1"/>
  <c r="F675" i="5"/>
  <c r="N28" i="30" s="1"/>
  <c r="N87" i="22"/>
  <c r="N88" i="22"/>
  <c r="M105" i="16"/>
  <c r="E57" i="24" s="1"/>
  <c r="M106" i="16"/>
  <c r="I18" i="20" s="1"/>
  <c r="E672" i="5"/>
  <c r="E673" i="5" s="1"/>
  <c r="E676" i="5"/>
  <c r="M29" i="30" s="1"/>
  <c r="M32" i="11"/>
  <c r="E570" i="5"/>
  <c r="M29" i="15" s="1"/>
  <c r="E674" i="5"/>
  <c r="M27" i="30" s="1"/>
  <c r="E252" i="5"/>
  <c r="M29" i="12" s="1"/>
  <c r="E358" i="5"/>
  <c r="M29" i="13" s="1"/>
  <c r="E464" i="5"/>
  <c r="M29" i="14" s="1"/>
  <c r="E675" i="5"/>
  <c r="M28" i="30" s="1"/>
  <c r="E354" i="5"/>
  <c r="E355" i="5" s="1"/>
  <c r="M26" i="13" s="1"/>
  <c r="E460" i="5"/>
  <c r="E461" i="5" s="1"/>
  <c r="M26" i="14" s="1"/>
  <c r="E566" i="5"/>
  <c r="E567" i="5" s="1"/>
  <c r="M26" i="15" s="1"/>
  <c r="E142" i="5"/>
  <c r="E143" i="5" s="1"/>
  <c r="M26" i="11" s="1"/>
  <c r="E248" i="5"/>
  <c r="E249" i="5" s="1"/>
  <c r="M26" i="12" s="1"/>
  <c r="Q520" i="5"/>
  <c r="B14" i="30"/>
  <c r="G55" i="8"/>
  <c r="M87" i="22"/>
  <c r="M88" i="22"/>
  <c r="L105" i="16"/>
  <c r="L106" i="16"/>
  <c r="D675" i="5"/>
  <c r="L28" i="30" s="1"/>
  <c r="D672" i="5"/>
  <c r="D673" i="5" s="1"/>
  <c r="D676" i="5"/>
  <c r="L29" i="30" s="1"/>
  <c r="D570" i="5"/>
  <c r="L29" i="15" s="1"/>
  <c r="D674" i="5"/>
  <c r="L27" i="30" s="1"/>
  <c r="D252" i="5"/>
  <c r="L29" i="12" s="1"/>
  <c r="D358" i="5"/>
  <c r="L29" i="13" s="1"/>
  <c r="D464" i="5"/>
  <c r="L29" i="14" s="1"/>
  <c r="L32" i="12"/>
  <c r="C10" i="30"/>
  <c r="B17" i="30"/>
  <c r="D112" i="16"/>
  <c r="G678" i="5"/>
  <c r="G466" i="5"/>
  <c r="G254" i="5"/>
  <c r="G42" i="5"/>
  <c r="O31" i="30" s="1"/>
  <c r="G572" i="5"/>
  <c r="G360" i="5"/>
  <c r="G148" i="5"/>
  <c r="C678" i="5"/>
  <c r="C466" i="5"/>
  <c r="C254" i="5"/>
  <c r="C42" i="5"/>
  <c r="K31" i="30" s="1"/>
  <c r="C572" i="5"/>
  <c r="C360" i="5"/>
  <c r="C148" i="5"/>
  <c r="F254" i="5"/>
  <c r="F42" i="5"/>
  <c r="N31" i="30" s="1"/>
  <c r="F572" i="5"/>
  <c r="F360" i="5"/>
  <c r="F148" i="5"/>
  <c r="F678" i="5"/>
  <c r="F466" i="5"/>
  <c r="E572" i="5"/>
  <c r="E360" i="5"/>
  <c r="E148" i="5"/>
  <c r="E678" i="5"/>
  <c r="E466" i="5"/>
  <c r="E254" i="5"/>
  <c r="E42" i="5"/>
  <c r="M31" i="30" s="1"/>
  <c r="B678" i="5"/>
  <c r="B466" i="5"/>
  <c r="B254" i="5"/>
  <c r="B42" i="5"/>
  <c r="J31" i="30" s="1"/>
  <c r="B572" i="5"/>
  <c r="B360" i="5"/>
  <c r="B148" i="5"/>
  <c r="D572" i="5"/>
  <c r="D360" i="5"/>
  <c r="D678" i="5"/>
  <c r="D466" i="5"/>
  <c r="D254" i="5"/>
  <c r="D42" i="5"/>
  <c r="L31" i="30" s="1"/>
  <c r="D148" i="5"/>
  <c r="M28" i="15"/>
  <c r="M27" i="15"/>
  <c r="K27" i="15"/>
  <c r="K28" i="15"/>
  <c r="P726" i="5"/>
  <c r="Y71" i="19"/>
  <c r="X69" i="19"/>
  <c r="D65" i="19"/>
  <c r="P65" i="19"/>
  <c r="P67" i="19" s="1"/>
  <c r="S74" i="19"/>
  <c r="W70" i="19"/>
  <c r="T70" i="19"/>
  <c r="Y70" i="19" s="1"/>
  <c r="C74" i="19"/>
  <c r="L69" i="19"/>
  <c r="L74" i="19" s="1"/>
  <c r="W77" i="19"/>
  <c r="O191" i="5"/>
  <c r="N225" i="5" s="1"/>
  <c r="O27" i="5"/>
  <c r="E16" i="14"/>
  <c r="O403" i="5"/>
  <c r="O433" i="5" s="1"/>
  <c r="E16" i="11"/>
  <c r="F40" i="5"/>
  <c r="N29" i="1" s="1"/>
  <c r="N543" i="5"/>
  <c r="N414" i="5"/>
  <c r="F146" i="5"/>
  <c r="N29" i="11" s="1"/>
  <c r="O327" i="5"/>
  <c r="N223" i="5"/>
  <c r="N626" i="5"/>
  <c r="F293" i="5"/>
  <c r="D146" i="5"/>
  <c r="L29" i="11" s="1"/>
  <c r="D40" i="5"/>
  <c r="L29" i="1" s="1"/>
  <c r="J32" i="1"/>
  <c r="B146" i="5"/>
  <c r="J29" i="11" s="1"/>
  <c r="B40" i="5"/>
  <c r="J29" i="1" s="1"/>
  <c r="O308" i="5"/>
  <c r="O202" i="5"/>
  <c r="G289" i="5"/>
  <c r="G293" i="5" s="1"/>
  <c r="C31" i="19"/>
  <c r="D31" i="19" s="1"/>
  <c r="X81" i="19"/>
  <c r="X77" i="19"/>
  <c r="T81" i="19"/>
  <c r="K41" i="20"/>
  <c r="K42" i="20" s="1"/>
  <c r="J113" i="16"/>
  <c r="J50" i="21" s="1"/>
  <c r="B64" i="24"/>
  <c r="F568" i="5"/>
  <c r="N436" i="5"/>
  <c r="E583" i="5"/>
  <c r="D8" i="15" s="1"/>
  <c r="N433" i="5"/>
  <c r="F357" i="5"/>
  <c r="N28" i="13" s="1"/>
  <c r="F462" i="5"/>
  <c r="N27" i="14" s="1"/>
  <c r="O626" i="5"/>
  <c r="N334" i="5"/>
  <c r="E16" i="15"/>
  <c r="F143" i="5"/>
  <c r="N26" i="11" s="1"/>
  <c r="B142" i="5"/>
  <c r="B143" i="5" s="1"/>
  <c r="J26" i="11" s="1"/>
  <c r="B566" i="5"/>
  <c r="B567" i="5" s="1"/>
  <c r="J26" i="15" s="1"/>
  <c r="B251" i="5"/>
  <c r="J28" i="12" s="1"/>
  <c r="O88" i="5"/>
  <c r="F265" i="5"/>
  <c r="I25" i="20"/>
  <c r="M43" i="21"/>
  <c r="M308" i="5"/>
  <c r="F355" i="5"/>
  <c r="N26" i="13" s="1"/>
  <c r="M626" i="5"/>
  <c r="F270" i="5"/>
  <c r="M64" i="23"/>
  <c r="N649" i="5"/>
  <c r="F461" i="5"/>
  <c r="N26" i="14" s="1"/>
  <c r="E60" i="24"/>
  <c r="M334" i="5"/>
  <c r="M318" i="5" s="1"/>
  <c r="J16" i="12" s="1"/>
  <c r="B53" i="12" s="1"/>
  <c r="N116" i="5"/>
  <c r="N104" i="5" s="1"/>
  <c r="K14" i="1" s="1"/>
  <c r="N43" i="21"/>
  <c r="M65" i="23"/>
  <c r="N64" i="23"/>
  <c r="O74" i="19"/>
  <c r="X72" i="19"/>
  <c r="W66" i="19"/>
  <c r="X66" i="19"/>
  <c r="N74" i="19"/>
  <c r="H73" i="19"/>
  <c r="Y73" i="19" s="1"/>
  <c r="Z73" i="19" s="1"/>
  <c r="N67" i="19"/>
  <c r="T66" i="19"/>
  <c r="G74" i="19"/>
  <c r="Q39" i="23"/>
  <c r="Q83" i="23" s="1"/>
  <c r="N57" i="23"/>
  <c r="N107" i="23"/>
  <c r="R34" i="5"/>
  <c r="Q15" i="23"/>
  <c r="R33" i="5"/>
  <c r="Q14" i="23"/>
  <c r="P16" i="23"/>
  <c r="Q35" i="5"/>
  <c r="D566" i="5"/>
  <c r="D567" i="5" s="1"/>
  <c r="D142" i="5"/>
  <c r="D143" i="5" s="1"/>
  <c r="D38" i="5"/>
  <c r="L27" i="1" s="1"/>
  <c r="D568" i="5"/>
  <c r="D354" i="5"/>
  <c r="D355" i="5" s="1"/>
  <c r="L26" i="13" s="1"/>
  <c r="D251" i="5"/>
  <c r="L28" i="12" s="1"/>
  <c r="D37" i="5"/>
  <c r="L26" i="1" s="1"/>
  <c r="D462" i="5"/>
  <c r="L27" i="14" s="1"/>
  <c r="D39" i="5"/>
  <c r="L28" i="1" s="1"/>
  <c r="D250" i="5"/>
  <c r="L27" i="12" s="1"/>
  <c r="D144" i="5"/>
  <c r="L27" i="11" s="1"/>
  <c r="D145" i="5"/>
  <c r="L28" i="11" s="1"/>
  <c r="D569" i="5"/>
  <c r="L32" i="13"/>
  <c r="D248" i="5"/>
  <c r="D249" i="5" s="1"/>
  <c r="L26" i="12" s="1"/>
  <c r="D356" i="5"/>
  <c r="L27" i="13" s="1"/>
  <c r="D463" i="5"/>
  <c r="L28" i="14" s="1"/>
  <c r="D357" i="5"/>
  <c r="L28" i="13" s="1"/>
  <c r="D460" i="5"/>
  <c r="D461" i="5" s="1"/>
  <c r="L26" i="14" s="1"/>
  <c r="B462" i="5"/>
  <c r="J27" i="14" s="1"/>
  <c r="B460" i="5"/>
  <c r="B356" i="5"/>
  <c r="J27" i="13" s="1"/>
  <c r="B144" i="5"/>
  <c r="J27" i="11" s="1"/>
  <c r="B568" i="5"/>
  <c r="B38" i="5"/>
  <c r="J27" i="1" s="1"/>
  <c r="B354" i="5"/>
  <c r="B463" i="5"/>
  <c r="J28" i="14" s="1"/>
  <c r="B39" i="5"/>
  <c r="J28" i="1" s="1"/>
  <c r="J32" i="11"/>
  <c r="I8" i="20"/>
  <c r="C60" i="24"/>
  <c r="K43" i="21"/>
  <c r="I13" i="20"/>
  <c r="B357" i="5"/>
  <c r="J28" i="13" s="1"/>
  <c r="B37" i="5"/>
  <c r="J26" i="1" s="1"/>
  <c r="B248" i="5"/>
  <c r="B569" i="5"/>
  <c r="Q626" i="5"/>
  <c r="M202" i="5"/>
  <c r="M520" i="5"/>
  <c r="N39" i="23"/>
  <c r="N83" i="23" s="1"/>
  <c r="J32" i="15"/>
  <c r="B250" i="5"/>
  <c r="J27" i="12" s="1"/>
  <c r="N60" i="23"/>
  <c r="M645" i="5"/>
  <c r="J32" i="14"/>
  <c r="M58" i="23"/>
  <c r="B145" i="5"/>
  <c r="J28" i="11" s="1"/>
  <c r="F113" i="16"/>
  <c r="G111" i="16"/>
  <c r="G56" i="9"/>
  <c r="F50" i="1"/>
  <c r="D70" i="1"/>
  <c r="D71" i="1" s="1"/>
  <c r="D113" i="16"/>
  <c r="B112" i="16"/>
  <c r="B70" i="1"/>
  <c r="E113" i="16"/>
  <c r="C113" i="16"/>
  <c r="H61" i="19"/>
  <c r="H63" i="19" s="1"/>
  <c r="D61" i="19"/>
  <c r="D63" i="19" s="1"/>
  <c r="G155" i="5"/>
  <c r="G164" i="5" s="1"/>
  <c r="F164" i="5"/>
  <c r="W61" i="19"/>
  <c r="W63" i="19" s="1"/>
  <c r="G27" i="24"/>
  <c r="D63" i="29"/>
  <c r="B63" i="29"/>
  <c r="B64" i="29" s="1"/>
  <c r="C63" i="29"/>
  <c r="F63" i="29"/>
  <c r="E63" i="29"/>
  <c r="G57" i="29"/>
  <c r="G57" i="28"/>
  <c r="D63" i="28"/>
  <c r="C63" i="28"/>
  <c r="F63" i="28"/>
  <c r="E63" i="28"/>
  <c r="B63" i="28"/>
  <c r="D63" i="27"/>
  <c r="B63" i="27"/>
  <c r="B64" i="27" s="1"/>
  <c r="E63" i="27"/>
  <c r="C63" i="27"/>
  <c r="F63" i="27"/>
  <c r="G57" i="27"/>
  <c r="G63" i="26"/>
  <c r="B66" i="26"/>
  <c r="F64" i="26"/>
  <c r="F66" i="26" s="1"/>
  <c r="E64" i="26"/>
  <c r="E66" i="26" s="1"/>
  <c r="C64" i="26"/>
  <c r="C66" i="26" s="1"/>
  <c r="D64" i="26"/>
  <c r="D63" i="25"/>
  <c r="E63" i="25"/>
  <c r="C63" i="25"/>
  <c r="F63" i="25"/>
  <c r="B63" i="25"/>
  <c r="B64" i="25" s="1"/>
  <c r="G57" i="25"/>
  <c r="D63" i="10"/>
  <c r="C63" i="10"/>
  <c r="E63" i="10"/>
  <c r="F63" i="10"/>
  <c r="B63" i="10"/>
  <c r="G57" i="10"/>
  <c r="B57" i="9"/>
  <c r="D45" i="21"/>
  <c r="Q80" i="19"/>
  <c r="G69" i="1"/>
  <c r="D63" i="7"/>
  <c r="C63" i="7"/>
  <c r="B63" i="7"/>
  <c r="B64" i="7" s="1"/>
  <c r="E63" i="7"/>
  <c r="F63" i="7"/>
  <c r="G57" i="7"/>
  <c r="E71" i="1"/>
  <c r="G56" i="8"/>
  <c r="C71" i="1"/>
  <c r="C57" i="8"/>
  <c r="C50" i="1" s="1"/>
  <c r="C87" i="16" s="1"/>
  <c r="B57" i="8"/>
  <c r="F71" i="1"/>
  <c r="G74" i="16"/>
  <c r="H81" i="19"/>
  <c r="G30" i="24"/>
  <c r="F74" i="19"/>
  <c r="H69" i="19"/>
  <c r="W69" i="19"/>
  <c r="W74" i="19" s="1"/>
  <c r="N76" i="20"/>
  <c r="H77" i="19"/>
  <c r="Y77" i="19" s="1"/>
  <c r="K74" i="19"/>
  <c r="T58" i="19"/>
  <c r="Z71" i="19"/>
  <c r="W81" i="19"/>
  <c r="Y72" i="19"/>
  <c r="Y79" i="19"/>
  <c r="Z79" i="19" s="1"/>
  <c r="Z84" i="19"/>
  <c r="D74" i="19"/>
  <c r="P74" i="19"/>
  <c r="E101" i="5"/>
  <c r="G183" i="5"/>
  <c r="F187" i="5"/>
  <c r="F192" i="5"/>
  <c r="H593" i="5"/>
  <c r="G597" i="5"/>
  <c r="G602" i="5"/>
  <c r="G616" i="5"/>
  <c r="G611" i="5"/>
  <c r="H607" i="5"/>
  <c r="F588" i="5"/>
  <c r="G579" i="5"/>
  <c r="F583" i="5"/>
  <c r="N326" i="5"/>
  <c r="O539" i="5"/>
  <c r="N330" i="5"/>
  <c r="N224" i="5"/>
  <c r="G31" i="19"/>
  <c r="F31" i="19"/>
  <c r="N439" i="5"/>
  <c r="M649" i="5"/>
  <c r="O645" i="5"/>
  <c r="N329" i="5"/>
  <c r="D16" i="13"/>
  <c r="G505" i="5"/>
  <c r="G510" i="5"/>
  <c r="H501" i="5"/>
  <c r="H473" i="5"/>
  <c r="G477" i="5"/>
  <c r="G482" i="5"/>
  <c r="F491" i="5"/>
  <c r="F496" i="5"/>
  <c r="G487" i="5"/>
  <c r="G371" i="5"/>
  <c r="G376" i="5"/>
  <c r="H367" i="5"/>
  <c r="G385" i="5"/>
  <c r="G390" i="5"/>
  <c r="H381" i="5"/>
  <c r="F404" i="5"/>
  <c r="G395" i="5"/>
  <c r="F399" i="5"/>
  <c r="D16" i="12"/>
  <c r="G270" i="5"/>
  <c r="H261" i="5"/>
  <c r="G265" i="5"/>
  <c r="F16" i="11"/>
  <c r="G279" i="5"/>
  <c r="H275" i="5"/>
  <c r="G284" i="5"/>
  <c r="M437" i="5"/>
  <c r="M423" i="5" s="1"/>
  <c r="J15" i="13" s="1"/>
  <c r="B52" i="13" s="1"/>
  <c r="N222" i="5"/>
  <c r="E178" i="5"/>
  <c r="D12" i="22" s="1"/>
  <c r="F169" i="5"/>
  <c r="E173" i="5"/>
  <c r="D9" i="11" s="1"/>
  <c r="F116" i="5"/>
  <c r="E16" i="1"/>
  <c r="H155" i="5"/>
  <c r="G159" i="5"/>
  <c r="M104" i="5"/>
  <c r="J14" i="1" s="1"/>
  <c r="H81" i="5"/>
  <c r="H86" i="5"/>
  <c r="G49" i="5"/>
  <c r="F53" i="5"/>
  <c r="F58" i="5"/>
  <c r="F72" i="5"/>
  <c r="G63" i="5"/>
  <c r="F67" i="5"/>
  <c r="Q13" i="23"/>
  <c r="R12" i="23"/>
  <c r="S31" i="5"/>
  <c r="S12" i="23" s="1"/>
  <c r="M105" i="5"/>
  <c r="J15" i="1" s="1"/>
  <c r="B52" i="1" s="1"/>
  <c r="Q86" i="5"/>
  <c r="P88" i="5"/>
  <c r="Q510" i="5"/>
  <c r="P512" i="5"/>
  <c r="S404" i="5"/>
  <c r="S406" i="5" s="1"/>
  <c r="R406" i="5"/>
  <c r="Q616" i="5"/>
  <c r="P618" i="5"/>
  <c r="S30" i="5"/>
  <c r="R32" i="5"/>
  <c r="R11" i="23"/>
  <c r="Q194" i="5"/>
  <c r="R192" i="5"/>
  <c r="Q298" i="5"/>
  <c r="P300" i="5"/>
  <c r="G56" i="4"/>
  <c r="B7" i="21"/>
  <c r="B45" i="21"/>
  <c r="B57" i="4"/>
  <c r="P29" i="23"/>
  <c r="O31" i="23"/>
  <c r="P75" i="23"/>
  <c r="Q73" i="23"/>
  <c r="N58" i="23"/>
  <c r="N101" i="23"/>
  <c r="O9" i="23"/>
  <c r="O8" i="23"/>
  <c r="O28" i="23"/>
  <c r="N65" i="23" s="1"/>
  <c r="O7" i="23"/>
  <c r="O72" i="23"/>
  <c r="O107" i="23" s="1"/>
  <c r="M63" i="23"/>
  <c r="N22" i="23"/>
  <c r="P10" i="23"/>
  <c r="Q2" i="23"/>
  <c r="N545" i="5"/>
  <c r="N530" i="5" s="1"/>
  <c r="K16" i="14" s="1"/>
  <c r="C53" i="14" s="1"/>
  <c r="M545" i="5"/>
  <c r="M530" i="5" s="1"/>
  <c r="J16" i="14" s="1"/>
  <c r="B53" i="14" s="1"/>
  <c r="N652" i="5"/>
  <c r="M652" i="5"/>
  <c r="M636" i="5" s="1"/>
  <c r="M106" i="23"/>
  <c r="M60" i="23"/>
  <c r="M647" i="5"/>
  <c r="N647" i="5"/>
  <c r="N228" i="5"/>
  <c r="M228" i="5"/>
  <c r="M440" i="5"/>
  <c r="M424" i="5" s="1"/>
  <c r="J16" i="13" s="1"/>
  <c r="B53" i="13" s="1"/>
  <c r="M539" i="5"/>
  <c r="N333" i="5"/>
  <c r="N541" i="5"/>
  <c r="M541" i="5"/>
  <c r="M106" i="5"/>
  <c r="J16" i="1" s="1"/>
  <c r="B53" i="1" s="1"/>
  <c r="M542" i="5"/>
  <c r="N542" i="5"/>
  <c r="N648" i="5"/>
  <c r="M648" i="5"/>
  <c r="N538" i="5"/>
  <c r="M538" i="5"/>
  <c r="M540" i="5"/>
  <c r="N540" i="5"/>
  <c r="M123" i="5"/>
  <c r="M220" i="5"/>
  <c r="N220" i="5"/>
  <c r="M317" i="5"/>
  <c r="J15" i="12" s="1"/>
  <c r="B52" i="12" s="1"/>
  <c r="N328" i="5"/>
  <c r="N432" i="5"/>
  <c r="N435" i="5"/>
  <c r="C6" i="28"/>
  <c r="C6" i="27"/>
  <c r="C6" i="26"/>
  <c r="C6" i="29"/>
  <c r="C6" i="25"/>
  <c r="M103" i="23"/>
  <c r="M107" i="23"/>
  <c r="M57" i="23"/>
  <c r="N644" i="5"/>
  <c r="M644" i="5"/>
  <c r="M646" i="5"/>
  <c r="N646" i="5"/>
  <c r="D207" i="5"/>
  <c r="N63" i="23"/>
  <c r="M26" i="1"/>
  <c r="M39" i="23"/>
  <c r="M83" i="23" s="1"/>
  <c r="C6" i="7"/>
  <c r="D5" i="1"/>
  <c r="C6" i="9"/>
  <c r="C6" i="4"/>
  <c r="C6" i="8"/>
  <c r="C6" i="10"/>
  <c r="AA9" i="5"/>
  <c r="D681" i="5" s="1"/>
  <c r="P39" i="23"/>
  <c r="P83" i="23" s="1"/>
  <c r="M101" i="23"/>
  <c r="M59" i="23"/>
  <c r="M62" i="23"/>
  <c r="O39" i="23"/>
  <c r="O83" i="23" s="1"/>
  <c r="O436" i="5"/>
  <c r="O439" i="5"/>
  <c r="O121" i="5"/>
  <c r="O118" i="5"/>
  <c r="R2" i="5"/>
  <c r="G677" i="5" s="1"/>
  <c r="F592" i="5"/>
  <c r="F591" i="5" s="1"/>
  <c r="E24" i="22" s="1"/>
  <c r="F119" i="5"/>
  <c r="F118" i="5" s="1"/>
  <c r="F90" i="5"/>
  <c r="F89" i="5" s="1"/>
  <c r="F274" i="5"/>
  <c r="F273" i="5" s="1"/>
  <c r="E15" i="22" s="1"/>
  <c r="F196" i="5"/>
  <c r="F195" i="5" s="1"/>
  <c r="F486" i="5"/>
  <c r="F485" i="5" s="1"/>
  <c r="F627" i="5"/>
  <c r="F626" i="5" s="1"/>
  <c r="F97" i="5"/>
  <c r="F96" i="5" s="1"/>
  <c r="F620" i="5"/>
  <c r="F619" i="5" s="1"/>
  <c r="F521" i="5"/>
  <c r="F520" i="5" s="1"/>
  <c r="F76" i="5"/>
  <c r="F75" i="5" s="1"/>
  <c r="E10" i="22" s="1"/>
  <c r="F225" i="5"/>
  <c r="F224" i="5" s="1"/>
  <c r="F380" i="5"/>
  <c r="F379" i="5" s="1"/>
  <c r="F309" i="5"/>
  <c r="F308" i="5" s="1"/>
  <c r="F415" i="5"/>
  <c r="F414" i="5" s="1"/>
  <c r="F62" i="5"/>
  <c r="F61" i="5" s="1"/>
  <c r="F543" i="5"/>
  <c r="F542" i="5" s="1"/>
  <c r="F500" i="5"/>
  <c r="F499" i="5" s="1"/>
  <c r="E10" i="14" s="1"/>
  <c r="F168" i="5"/>
  <c r="F167" i="5" s="1"/>
  <c r="F472" i="5"/>
  <c r="F471" i="5" s="1"/>
  <c r="E8" i="14" s="1"/>
  <c r="F649" i="5"/>
  <c r="F648" i="5" s="1"/>
  <c r="F408" i="5"/>
  <c r="F407" i="5" s="1"/>
  <c r="F288" i="5"/>
  <c r="F287" i="5" s="1"/>
  <c r="E16" i="22" s="1"/>
  <c r="F260" i="5"/>
  <c r="F259" i="5" s="1"/>
  <c r="F394" i="5"/>
  <c r="F393" i="5" s="1"/>
  <c r="E19" i="22" s="1"/>
  <c r="F366" i="5"/>
  <c r="F365" i="5" s="1"/>
  <c r="E8" i="13" s="1"/>
  <c r="F203" i="5"/>
  <c r="F202" i="5" s="1"/>
  <c r="F48" i="5"/>
  <c r="F47" i="5" s="1"/>
  <c r="F606" i="5"/>
  <c r="F605" i="5" s="1"/>
  <c r="E25" i="22" s="1"/>
  <c r="F331" i="5"/>
  <c r="F330" i="5" s="1"/>
  <c r="F302" i="5"/>
  <c r="F301" i="5" s="1"/>
  <c r="F154" i="5"/>
  <c r="F153" i="5" s="1"/>
  <c r="E8" i="11" s="1"/>
  <c r="Q29" i="5"/>
  <c r="Q721" i="5" s="1"/>
  <c r="Q754" i="5" s="1"/>
  <c r="F578" i="5"/>
  <c r="F577" i="5" s="1"/>
  <c r="F514" i="5"/>
  <c r="F513" i="5" s="1"/>
  <c r="F182" i="5"/>
  <c r="F181" i="5" s="1"/>
  <c r="F437" i="5"/>
  <c r="F436" i="5" s="1"/>
  <c r="F251" i="5"/>
  <c r="N28" i="12" s="1"/>
  <c r="F250" i="5"/>
  <c r="N27" i="12" s="1"/>
  <c r="N32" i="12"/>
  <c r="F249" i="5"/>
  <c r="F145" i="5"/>
  <c r="N28" i="11" s="1"/>
  <c r="O648" i="5"/>
  <c r="O647" i="5"/>
  <c r="O650" i="5"/>
  <c r="O644" i="5"/>
  <c r="O329" i="5"/>
  <c r="O333" i="5"/>
  <c r="O330" i="5"/>
  <c r="O332" i="5"/>
  <c r="O326" i="5"/>
  <c r="P85" i="5"/>
  <c r="P191" i="5"/>
  <c r="O222" i="5" s="1"/>
  <c r="P28" i="5"/>
  <c r="P26" i="5"/>
  <c r="P615" i="5"/>
  <c r="O652" i="5" s="1"/>
  <c r="P297" i="5"/>
  <c r="O328" i="5" s="1"/>
  <c r="P27" i="5"/>
  <c r="P509" i="5"/>
  <c r="O546" i="5" s="1"/>
  <c r="P403" i="5"/>
  <c r="O437" i="5" s="1"/>
  <c r="F39" i="5"/>
  <c r="N28" i="1" s="1"/>
  <c r="F144" i="5"/>
  <c r="N27" i="11" s="1"/>
  <c r="O224" i="5"/>
  <c r="O221" i="5"/>
  <c r="O223" i="5"/>
  <c r="O226" i="5"/>
  <c r="O220" i="5"/>
  <c r="O227" i="5"/>
  <c r="O541" i="5"/>
  <c r="O542" i="5"/>
  <c r="O538" i="5"/>
  <c r="O545" i="5"/>
  <c r="O544" i="5"/>
  <c r="F463" i="5"/>
  <c r="N28" i="14" s="1"/>
  <c r="F569" i="5"/>
  <c r="B19" i="22"/>
  <c r="B10" i="13"/>
  <c r="D8" i="12"/>
  <c r="D14" i="22"/>
  <c r="B8" i="13"/>
  <c r="B17" i="22"/>
  <c r="B24" i="22"/>
  <c r="B9" i="15"/>
  <c r="B9" i="11"/>
  <c r="B12" i="22"/>
  <c r="C8" i="22"/>
  <c r="C8" i="1"/>
  <c r="D24" i="22"/>
  <c r="D9" i="15"/>
  <c r="B25" i="22"/>
  <c r="B10" i="15"/>
  <c r="C18" i="22"/>
  <c r="C9" i="13"/>
  <c r="B11" i="22"/>
  <c r="B8" i="11"/>
  <c r="D13" i="22"/>
  <c r="D10" i="11"/>
  <c r="D17" i="22"/>
  <c r="D8" i="13"/>
  <c r="C12" i="22"/>
  <c r="C9" i="11"/>
  <c r="D18" i="22"/>
  <c r="D9" i="13"/>
  <c r="D9" i="12"/>
  <c r="D15" i="22"/>
  <c r="N102" i="23"/>
  <c r="M102" i="23"/>
  <c r="B21" i="22"/>
  <c r="B9" i="14"/>
  <c r="C10" i="13"/>
  <c r="C19" i="22"/>
  <c r="C8" i="11"/>
  <c r="C11" i="22"/>
  <c r="E525" i="5"/>
  <c r="AB8" i="5"/>
  <c r="AC7" i="5" s="1"/>
  <c r="M104" i="23"/>
  <c r="N104" i="23"/>
  <c r="M422" i="5"/>
  <c r="D8" i="22"/>
  <c r="D8" i="1"/>
  <c r="B23" i="22"/>
  <c r="B8" i="15"/>
  <c r="D10" i="22"/>
  <c r="D10" i="1"/>
  <c r="D25" i="22"/>
  <c r="D10" i="15"/>
  <c r="B10" i="1"/>
  <c r="B10" i="22"/>
  <c r="C10" i="22"/>
  <c r="C10" i="1"/>
  <c r="B14" i="22"/>
  <c r="B8" i="12"/>
  <c r="B13" i="22"/>
  <c r="B10" i="11"/>
  <c r="C21" i="22"/>
  <c r="C9" i="14"/>
  <c r="C25" i="22"/>
  <c r="C10" i="15"/>
  <c r="C9" i="1"/>
  <c r="C9" i="22"/>
  <c r="D22" i="22"/>
  <c r="D10" i="14"/>
  <c r="C20" i="22"/>
  <c r="C8" i="14"/>
  <c r="C10" i="12"/>
  <c r="C16" i="22"/>
  <c r="C15" i="22"/>
  <c r="C9" i="12"/>
  <c r="C22" i="22"/>
  <c r="C10" i="14"/>
  <c r="M109" i="23"/>
  <c r="M108" i="23"/>
  <c r="N108" i="23"/>
  <c r="C13" i="22"/>
  <c r="C10" i="11"/>
  <c r="D10" i="12"/>
  <c r="D16" i="22"/>
  <c r="D10" i="13"/>
  <c r="D19" i="22"/>
  <c r="B16" i="22"/>
  <c r="B10" i="12"/>
  <c r="B22" i="22"/>
  <c r="B10" i="14"/>
  <c r="B20" i="22"/>
  <c r="B8" i="14"/>
  <c r="C8" i="15"/>
  <c r="C23" i="22"/>
  <c r="C8" i="12"/>
  <c r="C14" i="22"/>
  <c r="N105" i="23"/>
  <c r="M105" i="23"/>
  <c r="O105" i="23"/>
  <c r="K36" i="15"/>
  <c r="K36" i="11"/>
  <c r="K36" i="1"/>
  <c r="K36" i="13"/>
  <c r="K112" i="16"/>
  <c r="K36" i="14"/>
  <c r="K36" i="12"/>
  <c r="L94" i="22"/>
  <c r="E313" i="5"/>
  <c r="E419" i="5"/>
  <c r="M316" i="5"/>
  <c r="D419" i="5"/>
  <c r="D631" i="5"/>
  <c r="D23" i="22"/>
  <c r="B8" i="22"/>
  <c r="B8" i="1"/>
  <c r="B18" i="22"/>
  <c r="B9" i="13"/>
  <c r="C17" i="22"/>
  <c r="C8" i="13"/>
  <c r="D21" i="22"/>
  <c r="D9" i="14"/>
  <c r="D8" i="11"/>
  <c r="D11" i="22"/>
  <c r="D9" i="22"/>
  <c r="D9" i="1"/>
  <c r="B9" i="22"/>
  <c r="B9" i="1"/>
  <c r="B15" i="22"/>
  <c r="B9" i="12"/>
  <c r="D20" i="22"/>
  <c r="D8" i="14"/>
  <c r="C24" i="22"/>
  <c r="C9" i="15"/>
  <c r="D624" i="5"/>
  <c r="E200" i="5"/>
  <c r="C94" i="5"/>
  <c r="F518" i="5"/>
  <c r="C412" i="5"/>
  <c r="D200" i="5"/>
  <c r="B94" i="5"/>
  <c r="D94" i="5"/>
  <c r="B412" i="5"/>
  <c r="D518" i="5"/>
  <c r="K35" i="11"/>
  <c r="K35" i="1"/>
  <c r="E547" i="5"/>
  <c r="E17" i="14" s="1"/>
  <c r="G653" i="5"/>
  <c r="H123" i="5"/>
  <c r="B653" i="5"/>
  <c r="D653" i="5"/>
  <c r="D335" i="5"/>
  <c r="E653" i="5"/>
  <c r="C653" i="5"/>
  <c r="D306" i="5"/>
  <c r="K111" i="16"/>
  <c r="B518" i="5"/>
  <c r="E518" i="5"/>
  <c r="K35" i="14"/>
  <c r="L93" i="22"/>
  <c r="B229" i="5"/>
  <c r="H229" i="5"/>
  <c r="F441" i="5"/>
  <c r="H335" i="5"/>
  <c r="G441" i="5"/>
  <c r="B419" i="5"/>
  <c r="D441" i="5"/>
  <c r="F123" i="5"/>
  <c r="B123" i="5"/>
  <c r="E123" i="5"/>
  <c r="F653" i="5"/>
  <c r="C335" i="5"/>
  <c r="K35" i="15"/>
  <c r="F335" i="5"/>
  <c r="E624" i="5"/>
  <c r="F200" i="5"/>
  <c r="K35" i="13"/>
  <c r="G123" i="5"/>
  <c r="B200" i="5"/>
  <c r="H547" i="5"/>
  <c r="F229" i="5"/>
  <c r="C441" i="5"/>
  <c r="H653" i="5"/>
  <c r="B306" i="5"/>
  <c r="C306" i="5"/>
  <c r="F306" i="5"/>
  <c r="K35" i="12"/>
  <c r="C518" i="5"/>
  <c r="E335" i="5"/>
  <c r="D123" i="5"/>
  <c r="D229" i="5"/>
  <c r="C547" i="5"/>
  <c r="G229" i="5"/>
  <c r="C123" i="5"/>
  <c r="E441" i="5"/>
  <c r="D17" i="13" s="1"/>
  <c r="G547" i="5"/>
  <c r="D412" i="5"/>
  <c r="B624" i="5"/>
  <c r="H518" i="5"/>
  <c r="E306" i="5"/>
  <c r="E94" i="5"/>
  <c r="E412" i="5"/>
  <c r="G306" i="5"/>
  <c r="H441" i="5"/>
  <c r="B101" i="5"/>
  <c r="B207" i="5"/>
  <c r="C624" i="5"/>
  <c r="B335" i="5"/>
  <c r="E229" i="5"/>
  <c r="C229" i="5"/>
  <c r="B547" i="5"/>
  <c r="H624" i="5"/>
  <c r="H412" i="5"/>
  <c r="H94" i="5"/>
  <c r="G335" i="5"/>
  <c r="B441" i="5"/>
  <c r="B525" i="5"/>
  <c r="F412" i="5"/>
  <c r="E13" i="13" s="1"/>
  <c r="H200" i="5"/>
  <c r="G200" i="5"/>
  <c r="G412" i="5"/>
  <c r="D547" i="5"/>
  <c r="F624" i="5"/>
  <c r="H306" i="5"/>
  <c r="G518" i="5"/>
  <c r="G624" i="5"/>
  <c r="G94" i="5"/>
  <c r="C200" i="5"/>
  <c r="F94" i="5"/>
  <c r="F547" i="5"/>
  <c r="C101" i="5"/>
  <c r="C207" i="5"/>
  <c r="C14" i="11" s="1"/>
  <c r="B313" i="5"/>
  <c r="C525" i="5"/>
  <c r="C419" i="5"/>
  <c r="C313" i="5"/>
  <c r="C631" i="5"/>
  <c r="C14" i="15" s="1"/>
  <c r="D313" i="5"/>
  <c r="D14" i="12" s="1"/>
  <c r="B631" i="5"/>
  <c r="D525" i="5"/>
  <c r="D14" i="14" s="1"/>
  <c r="D101" i="5"/>
  <c r="D14" i="1" s="1"/>
  <c r="G628" i="5"/>
  <c r="E631" i="5"/>
  <c r="H522" i="5"/>
  <c r="H525" i="5" s="1"/>
  <c r="F525" i="5"/>
  <c r="G416" i="5"/>
  <c r="F419" i="5" s="1"/>
  <c r="H310" i="5"/>
  <c r="H313" i="5" s="1"/>
  <c r="F313" i="5"/>
  <c r="G204" i="5"/>
  <c r="F207" i="5" s="1"/>
  <c r="E207" i="5"/>
  <c r="E14" i="11" s="1"/>
  <c r="G98" i="5"/>
  <c r="F101" i="5" s="1"/>
  <c r="F67" i="19" l="1"/>
  <c r="H65" i="19"/>
  <c r="H67" i="19" s="1"/>
  <c r="X65" i="19"/>
  <c r="X67" i="19" s="1"/>
  <c r="C17" i="14"/>
  <c r="E14" i="22"/>
  <c r="D17" i="30"/>
  <c r="M23" i="12"/>
  <c r="G253" i="5"/>
  <c r="O32" i="12" s="1"/>
  <c r="O108" i="23"/>
  <c r="Q750" i="5"/>
  <c r="O753" i="5"/>
  <c r="O757" i="5"/>
  <c r="K42" i="21"/>
  <c r="C58" i="24"/>
  <c r="E8" i="22"/>
  <c r="L23" i="1"/>
  <c r="D22" i="1" s="1"/>
  <c r="J23" i="1"/>
  <c r="E13" i="15"/>
  <c r="C14" i="12"/>
  <c r="C25" i="12" s="1"/>
  <c r="D13" i="30"/>
  <c r="D24" i="30" s="1"/>
  <c r="C13" i="30"/>
  <c r="C24" i="30" s="1"/>
  <c r="B14" i="12"/>
  <c r="D14" i="30"/>
  <c r="C17" i="30"/>
  <c r="E13" i="30"/>
  <c r="E10" i="30"/>
  <c r="E28" i="16" s="1"/>
  <c r="B17" i="14"/>
  <c r="E17" i="30"/>
  <c r="D14" i="15"/>
  <c r="C14" i="30"/>
  <c r="M42" i="21"/>
  <c r="I23" i="20"/>
  <c r="H24" i="20" s="1"/>
  <c r="J24" i="20" s="1"/>
  <c r="E58" i="24"/>
  <c r="G83" i="16"/>
  <c r="I27" i="20"/>
  <c r="F58" i="24"/>
  <c r="I29" i="20"/>
  <c r="N42" i="21"/>
  <c r="I11" i="20"/>
  <c r="T65" i="19"/>
  <c r="T67" i="19" s="1"/>
  <c r="J67" i="19"/>
  <c r="L65" i="19"/>
  <c r="W65" i="19"/>
  <c r="W67" i="19" s="1"/>
  <c r="R67" i="19"/>
  <c r="B27" i="13"/>
  <c r="B15" i="33"/>
  <c r="F17" i="33"/>
  <c r="D15" i="33"/>
  <c r="E17" i="33"/>
  <c r="C15" i="33"/>
  <c r="E15" i="33"/>
  <c r="F15" i="33"/>
  <c r="C17" i="33"/>
  <c r="D17" i="33"/>
  <c r="B17" i="33"/>
  <c r="O114" i="5"/>
  <c r="J23" i="11"/>
  <c r="O755" i="5"/>
  <c r="O120" i="5"/>
  <c r="K41" i="21"/>
  <c r="D67" i="19"/>
  <c r="G359" i="5"/>
  <c r="O32" i="13" s="1"/>
  <c r="I4" i="20"/>
  <c r="Y66" i="19"/>
  <c r="Z66" i="19" s="1"/>
  <c r="D27" i="13"/>
  <c r="N752" i="5"/>
  <c r="B67" i="19"/>
  <c r="D66" i="19"/>
  <c r="C57" i="24"/>
  <c r="E27" i="13"/>
  <c r="C27" i="13"/>
  <c r="G147" i="5"/>
  <c r="O32" i="11" s="1"/>
  <c r="O117" i="5"/>
  <c r="B50" i="1"/>
  <c r="B87" i="16" s="1"/>
  <c r="G465" i="5"/>
  <c r="O32" i="14" s="1"/>
  <c r="G41" i="5"/>
  <c r="O32" i="1" s="1"/>
  <c r="G571" i="5"/>
  <c r="O32" i="15" s="1"/>
  <c r="O115" i="5"/>
  <c r="M210" i="5"/>
  <c r="J14" i="11" s="1"/>
  <c r="N122" i="5"/>
  <c r="N106" i="5" s="1"/>
  <c r="K16" i="1" s="1"/>
  <c r="C53" i="1" s="1"/>
  <c r="C55" i="1" s="1"/>
  <c r="N755" i="5"/>
  <c r="E9" i="13"/>
  <c r="E18" i="16" s="1"/>
  <c r="N636" i="5"/>
  <c r="K16" i="15" s="1"/>
  <c r="C53" i="15" s="1"/>
  <c r="B11" i="30"/>
  <c r="B27" i="1"/>
  <c r="G16" i="11"/>
  <c r="E27" i="30"/>
  <c r="I22" i="20"/>
  <c r="N41" i="21"/>
  <c r="D13" i="15"/>
  <c r="I21" i="20"/>
  <c r="M41" i="21"/>
  <c r="I16" i="20"/>
  <c r="O750" i="5"/>
  <c r="M211" i="5"/>
  <c r="J15" i="11" s="1"/>
  <c r="B52" i="11" s="1"/>
  <c r="E13" i="11"/>
  <c r="E24" i="11" s="1"/>
  <c r="Q753" i="5"/>
  <c r="P755" i="5"/>
  <c r="E14" i="30"/>
  <c r="E25" i="30" s="1"/>
  <c r="E9" i="30"/>
  <c r="E27" i="16" s="1"/>
  <c r="O32" i="30"/>
  <c r="E18" i="22"/>
  <c r="P752" i="5"/>
  <c r="P740" i="5" s="1"/>
  <c r="M14" i="30" s="1"/>
  <c r="E15" i="30" s="1"/>
  <c r="B27" i="30"/>
  <c r="E22" i="22"/>
  <c r="Q751" i="5"/>
  <c r="O105" i="16"/>
  <c r="E13" i="1"/>
  <c r="E24" i="1" s="1"/>
  <c r="O751" i="5"/>
  <c r="O756" i="5"/>
  <c r="O758" i="5"/>
  <c r="M23" i="1"/>
  <c r="D27" i="30"/>
  <c r="L23" i="14"/>
  <c r="D22" i="14" s="1"/>
  <c r="C27" i="15"/>
  <c r="D27" i="15"/>
  <c r="C27" i="14"/>
  <c r="C27" i="12"/>
  <c r="E27" i="14"/>
  <c r="E27" i="12"/>
  <c r="B27" i="15"/>
  <c r="B27" i="12"/>
  <c r="E27" i="15"/>
  <c r="D27" i="14"/>
  <c r="B27" i="14"/>
  <c r="C27" i="30"/>
  <c r="D27" i="12"/>
  <c r="B17" i="15"/>
  <c r="E17" i="22"/>
  <c r="E45" i="22" s="1"/>
  <c r="D10" i="30"/>
  <c r="D28" i="16" s="1"/>
  <c r="D34" i="16"/>
  <c r="M23" i="15"/>
  <c r="G675" i="5"/>
  <c r="O28" i="30" s="1"/>
  <c r="L23" i="30"/>
  <c r="M26" i="30"/>
  <c r="O106" i="16"/>
  <c r="G674" i="5"/>
  <c r="O27" i="30" s="1"/>
  <c r="F34" i="24"/>
  <c r="F87" i="16"/>
  <c r="G252" i="5"/>
  <c r="O29" i="12" s="1"/>
  <c r="F27" i="12" s="1"/>
  <c r="D9" i="30"/>
  <c r="M23" i="30"/>
  <c r="N26" i="30"/>
  <c r="M742" i="5"/>
  <c r="J16" i="30" s="1"/>
  <c r="B53" i="30" s="1"/>
  <c r="N742" i="5"/>
  <c r="G712" i="5"/>
  <c r="G711" i="5" s="1"/>
  <c r="F10" i="30" s="1"/>
  <c r="G733" i="5"/>
  <c r="G732" i="5" s="1"/>
  <c r="G755" i="5"/>
  <c r="G754" i="5" s="1"/>
  <c r="F17" i="30" s="1"/>
  <c r="G17" i="30" s="1"/>
  <c r="G726" i="5"/>
  <c r="G725" i="5" s="1"/>
  <c r="G684" i="5"/>
  <c r="G698" i="5"/>
  <c r="G697" i="5" s="1"/>
  <c r="F9" i="30" s="1"/>
  <c r="K23" i="30"/>
  <c r="C22" i="30" s="1"/>
  <c r="C59" i="16" s="1"/>
  <c r="L26" i="30"/>
  <c r="B673" i="5"/>
  <c r="J26" i="30" s="1"/>
  <c r="E9" i="1"/>
  <c r="E9" i="16" s="1"/>
  <c r="Y69" i="19"/>
  <c r="Z69" i="19" s="1"/>
  <c r="G358" i="5"/>
  <c r="O29" i="13" s="1"/>
  <c r="F27" i="13" s="1"/>
  <c r="M759" i="5"/>
  <c r="G673" i="5"/>
  <c r="L23" i="15"/>
  <c r="D23" i="15" s="1"/>
  <c r="C28" i="16"/>
  <c r="G33" i="24"/>
  <c r="Y81" i="19"/>
  <c r="N78" i="19"/>
  <c r="O78" i="19"/>
  <c r="F683" i="5"/>
  <c r="G31" i="24"/>
  <c r="E9" i="12"/>
  <c r="Q15" i="19" s="1"/>
  <c r="E8" i="1"/>
  <c r="E8" i="16" s="1"/>
  <c r="G570" i="5"/>
  <c r="O29" i="15" s="1"/>
  <c r="F27" i="15" s="1"/>
  <c r="F13" i="30"/>
  <c r="N76" i="19"/>
  <c r="O76" i="19"/>
  <c r="E683" i="5"/>
  <c r="E8" i="12"/>
  <c r="Q14" i="19" s="1"/>
  <c r="S76" i="19"/>
  <c r="R76" i="19"/>
  <c r="P87" i="22"/>
  <c r="M740" i="5"/>
  <c r="G145" i="5"/>
  <c r="O28" i="11" s="1"/>
  <c r="G298" i="5"/>
  <c r="G464" i="5"/>
  <c r="O29" i="14" s="1"/>
  <c r="F27" i="14" s="1"/>
  <c r="F14" i="30"/>
  <c r="P88" i="22"/>
  <c r="E20" i="22"/>
  <c r="E48" i="22" s="1"/>
  <c r="N103" i="23"/>
  <c r="N91" i="23" s="1"/>
  <c r="C8" i="30"/>
  <c r="S78" i="19"/>
  <c r="R78" i="19"/>
  <c r="G676" i="5"/>
  <c r="O29" i="30" s="1"/>
  <c r="F27" i="30" s="1"/>
  <c r="L27" i="15"/>
  <c r="D24" i="15" s="1"/>
  <c r="J28" i="15"/>
  <c r="Q726" i="5"/>
  <c r="J16" i="15"/>
  <c r="B53" i="15" s="1"/>
  <c r="L28" i="15"/>
  <c r="C25" i="15" s="1"/>
  <c r="N28" i="15"/>
  <c r="J27" i="15"/>
  <c r="B24" i="30"/>
  <c r="N27" i="15"/>
  <c r="E24" i="30"/>
  <c r="X74" i="19"/>
  <c r="Z70" i="19"/>
  <c r="T74" i="19"/>
  <c r="Z77" i="19"/>
  <c r="B65" i="24"/>
  <c r="M335" i="5"/>
  <c r="O438" i="5"/>
  <c r="O435" i="5"/>
  <c r="O423" i="5" s="1"/>
  <c r="L15" i="13" s="1"/>
  <c r="D52" i="13" s="1"/>
  <c r="N440" i="5"/>
  <c r="N424" i="5" s="1"/>
  <c r="K16" i="13" s="1"/>
  <c r="C53" i="13" s="1"/>
  <c r="E13" i="22"/>
  <c r="E41" i="22" s="1"/>
  <c r="O432" i="5"/>
  <c r="L23" i="11"/>
  <c r="D22" i="11" s="1"/>
  <c r="N437" i="5"/>
  <c r="N423" i="5" s="1"/>
  <c r="K15" i="13" s="1"/>
  <c r="C52" i="13" s="1"/>
  <c r="N434" i="5"/>
  <c r="N422" i="5" s="1"/>
  <c r="H289" i="5"/>
  <c r="M23" i="13"/>
  <c r="E21" i="13" s="1"/>
  <c r="L23" i="12"/>
  <c r="D23" i="12" s="1"/>
  <c r="J23" i="15"/>
  <c r="B21" i="15" s="1"/>
  <c r="N211" i="5"/>
  <c r="K15" i="11" s="1"/>
  <c r="C52" i="11" s="1"/>
  <c r="G567" i="5"/>
  <c r="N23" i="15" s="1"/>
  <c r="G146" i="5"/>
  <c r="O29" i="11" s="1"/>
  <c r="F27" i="11" s="1"/>
  <c r="E9" i="14"/>
  <c r="E21" i="16" s="1"/>
  <c r="E23" i="22"/>
  <c r="E51" i="22" s="1"/>
  <c r="E10" i="11"/>
  <c r="E13" i="16" s="1"/>
  <c r="G40" i="5"/>
  <c r="O29" i="1" s="1"/>
  <c r="F27" i="1" s="1"/>
  <c r="C27" i="11"/>
  <c r="B27" i="11"/>
  <c r="D27" i="11"/>
  <c r="E27" i="11"/>
  <c r="Z72" i="19"/>
  <c r="D27" i="1"/>
  <c r="C27" i="1"/>
  <c r="E27" i="1"/>
  <c r="N318" i="5"/>
  <c r="K16" i="12" s="1"/>
  <c r="C53" i="12" s="1"/>
  <c r="K23" i="13"/>
  <c r="C21" i="13" s="1"/>
  <c r="M23" i="14"/>
  <c r="E23" i="14" s="1"/>
  <c r="N109" i="23"/>
  <c r="N93" i="23" s="1"/>
  <c r="L53" i="22" s="1"/>
  <c r="G461" i="5"/>
  <c r="O26" i="14" s="1"/>
  <c r="G355" i="5"/>
  <c r="O26" i="13" s="1"/>
  <c r="I26" i="20"/>
  <c r="H26" i="20" s="1"/>
  <c r="J26" i="20" s="1"/>
  <c r="G38" i="5"/>
  <c r="O27" i="1" s="1"/>
  <c r="M23" i="11"/>
  <c r="O60" i="23"/>
  <c r="O646" i="5"/>
  <c r="O634" i="5" s="1"/>
  <c r="F60" i="24"/>
  <c r="K23" i="14"/>
  <c r="C50" i="22" s="1"/>
  <c r="I3" i="20"/>
  <c r="I31" i="20"/>
  <c r="O104" i="23"/>
  <c r="O102" i="23"/>
  <c r="L23" i="13"/>
  <c r="D21" i="13" s="1"/>
  <c r="O101" i="23"/>
  <c r="O331" i="5"/>
  <c r="O317" i="5" s="1"/>
  <c r="L15" i="12" s="1"/>
  <c r="D52" i="12" s="1"/>
  <c r="O225" i="5"/>
  <c r="O211" i="5" s="1"/>
  <c r="L15" i="11" s="1"/>
  <c r="O434" i="5"/>
  <c r="O228" i="5"/>
  <c r="O212" i="5" s="1"/>
  <c r="L16" i="11" s="1"/>
  <c r="O543" i="5"/>
  <c r="O529" i="5" s="1"/>
  <c r="L15" i="14" s="1"/>
  <c r="D52" i="14" s="1"/>
  <c r="G525" i="5"/>
  <c r="B17" i="11"/>
  <c r="B26" i="11" s="1"/>
  <c r="D13" i="13"/>
  <c r="D24" i="13" s="1"/>
  <c r="O116" i="5"/>
  <c r="O122" i="5"/>
  <c r="O440" i="5"/>
  <c r="O649" i="5"/>
  <c r="O635" i="5" s="1"/>
  <c r="E9" i="22"/>
  <c r="E37" i="22" s="1"/>
  <c r="E8" i="15"/>
  <c r="Q23" i="19" s="1"/>
  <c r="O119" i="5"/>
  <c r="O334" i="5"/>
  <c r="O318" i="5" s="1"/>
  <c r="L16" i="12" s="1"/>
  <c r="D53" i="12" s="1"/>
  <c r="O540" i="5"/>
  <c r="O528" i="5" s="1"/>
  <c r="E21" i="22"/>
  <c r="E49" i="22" s="1"/>
  <c r="E10" i="13"/>
  <c r="Q19" i="19" s="1"/>
  <c r="M49" i="23"/>
  <c r="K39" i="22" s="1"/>
  <c r="J41" i="21"/>
  <c r="E11" i="22"/>
  <c r="E39" i="22" s="1"/>
  <c r="K23" i="12"/>
  <c r="C23" i="12" s="1"/>
  <c r="N62" i="23"/>
  <c r="N48" i="23" s="1"/>
  <c r="L38" i="22" s="1"/>
  <c r="N59" i="23"/>
  <c r="N47" i="23" s="1"/>
  <c r="N49" i="23"/>
  <c r="L39" i="22" s="1"/>
  <c r="O63" i="23"/>
  <c r="N106" i="23"/>
  <c r="N92" i="23" s="1"/>
  <c r="L52" i="22" s="1"/>
  <c r="R15" i="23"/>
  <c r="S34" i="5"/>
  <c r="S15" i="23" s="1"/>
  <c r="O57" i="23"/>
  <c r="R14" i="23"/>
  <c r="S33" i="5"/>
  <c r="S14" i="23" s="1"/>
  <c r="N316" i="5"/>
  <c r="K14" i="12" s="1"/>
  <c r="N317" i="5"/>
  <c r="K15" i="12" s="1"/>
  <c r="C52" i="12" s="1"/>
  <c r="R35" i="5"/>
  <c r="Q16" i="23"/>
  <c r="B355" i="5"/>
  <c r="J26" i="13" s="1"/>
  <c r="B46" i="22" s="1"/>
  <c r="E9" i="15"/>
  <c r="Q24" i="19" s="1"/>
  <c r="B249" i="5"/>
  <c r="J26" i="12" s="1"/>
  <c r="B43" i="22" s="1"/>
  <c r="J42" i="21"/>
  <c r="B58" i="24"/>
  <c r="I5" i="20"/>
  <c r="H6" i="20" s="1"/>
  <c r="J6" i="20" s="1"/>
  <c r="L26" i="15"/>
  <c r="C51" i="22" s="1"/>
  <c r="K23" i="15"/>
  <c r="C23" i="15" s="1"/>
  <c r="J43" i="21"/>
  <c r="I7" i="20"/>
  <c r="H8" i="20" s="1"/>
  <c r="J8" i="20" s="1"/>
  <c r="B60" i="24"/>
  <c r="I17" i="20"/>
  <c r="H18" i="20" s="1"/>
  <c r="J18" i="20" s="1"/>
  <c r="D58" i="24"/>
  <c r="L42" i="21"/>
  <c r="I12" i="20"/>
  <c r="H12" i="20" s="1"/>
  <c r="J12" i="20" s="1"/>
  <c r="E17" i="15"/>
  <c r="K23" i="1"/>
  <c r="C23" i="1" s="1"/>
  <c r="B461" i="5"/>
  <c r="J26" i="14" s="1"/>
  <c r="B49" i="22" s="1"/>
  <c r="D60" i="24"/>
  <c r="I19" i="20"/>
  <c r="H20" i="20" s="1"/>
  <c r="J20" i="20" s="1"/>
  <c r="I14" i="20"/>
  <c r="H14" i="20" s="1"/>
  <c r="J14" i="20" s="1"/>
  <c r="L43" i="21"/>
  <c r="E10" i="15"/>
  <c r="E25" i="16" s="1"/>
  <c r="I10" i="20"/>
  <c r="D57" i="24"/>
  <c r="I15" i="20"/>
  <c r="L41" i="21"/>
  <c r="L26" i="11"/>
  <c r="D41" i="22" s="1"/>
  <c r="K23" i="11"/>
  <c r="C23" i="11" s="1"/>
  <c r="G64" i="26"/>
  <c r="Y61" i="19"/>
  <c r="Y63" i="19" s="1"/>
  <c r="C64" i="29"/>
  <c r="C66" i="29" s="1"/>
  <c r="U80" i="19"/>
  <c r="R80" i="19" s="1"/>
  <c r="E64" i="29"/>
  <c r="E66" i="29" s="1"/>
  <c r="G63" i="29"/>
  <c r="B66" i="29"/>
  <c r="F64" i="29"/>
  <c r="F66" i="29" s="1"/>
  <c r="D64" i="29"/>
  <c r="D66" i="29" s="1"/>
  <c r="C64" i="28"/>
  <c r="C66" i="28" s="1"/>
  <c r="G63" i="28"/>
  <c r="B64" i="28"/>
  <c r="B66" i="28" s="1"/>
  <c r="E64" i="28"/>
  <c r="E66" i="28" s="1"/>
  <c r="D64" i="28"/>
  <c r="D66" i="28" s="1"/>
  <c r="F64" i="28"/>
  <c r="F66" i="28" s="1"/>
  <c r="E64" i="27"/>
  <c r="E66" i="27" s="1"/>
  <c r="F64" i="27"/>
  <c r="F66" i="27" s="1"/>
  <c r="G63" i="27"/>
  <c r="B66" i="27"/>
  <c r="C64" i="27"/>
  <c r="D64" i="27"/>
  <c r="D66" i="27" s="1"/>
  <c r="E34" i="24"/>
  <c r="D66" i="26"/>
  <c r="G66" i="26" s="1"/>
  <c r="C64" i="25"/>
  <c r="C66" i="25" s="1"/>
  <c r="G63" i="25"/>
  <c r="B66" i="25"/>
  <c r="E64" i="25"/>
  <c r="E66" i="25" s="1"/>
  <c r="F64" i="25"/>
  <c r="F66" i="25" s="1"/>
  <c r="D64" i="25"/>
  <c r="C64" i="10"/>
  <c r="C66" i="10" s="1"/>
  <c r="E64" i="10"/>
  <c r="E66" i="10" s="1"/>
  <c r="G63" i="10"/>
  <c r="B64" i="10"/>
  <c r="B66" i="10" s="1"/>
  <c r="F64" i="10"/>
  <c r="F66" i="10" s="1"/>
  <c r="D64" i="10"/>
  <c r="D63" i="9"/>
  <c r="B63" i="9"/>
  <c r="B64" i="9" s="1"/>
  <c r="C63" i="9"/>
  <c r="E63" i="9"/>
  <c r="F63" i="9"/>
  <c r="G57" i="9"/>
  <c r="C63" i="8"/>
  <c r="B63" i="8"/>
  <c r="B64" i="8" s="1"/>
  <c r="C64" i="7"/>
  <c r="C66" i="7" s="1"/>
  <c r="F64" i="7"/>
  <c r="F66" i="7" s="1"/>
  <c r="G63" i="7"/>
  <c r="B66" i="7"/>
  <c r="E64" i="7"/>
  <c r="E66" i="7" s="1"/>
  <c r="D64" i="7"/>
  <c r="B63" i="4"/>
  <c r="B64" i="4" s="1"/>
  <c r="C34" i="24"/>
  <c r="I80" i="19"/>
  <c r="D57" i="8"/>
  <c r="Z81" i="19"/>
  <c r="H74" i="19"/>
  <c r="H31" i="19"/>
  <c r="E17" i="12"/>
  <c r="E26" i="12" s="1"/>
  <c r="F16" i="15"/>
  <c r="G16" i="15" s="1"/>
  <c r="E16" i="13"/>
  <c r="H611" i="5"/>
  <c r="H616" i="5"/>
  <c r="G187" i="5"/>
  <c r="H183" i="5"/>
  <c r="G192" i="5"/>
  <c r="E13" i="12"/>
  <c r="E24" i="12" s="1"/>
  <c r="B17" i="13"/>
  <c r="B26" i="13" s="1"/>
  <c r="D13" i="14"/>
  <c r="D24" i="14" s="1"/>
  <c r="H597" i="5"/>
  <c r="H602" i="5"/>
  <c r="F16" i="1"/>
  <c r="F16" i="14"/>
  <c r="G16" i="14" s="1"/>
  <c r="G588" i="5"/>
  <c r="G583" i="5"/>
  <c r="H579" i="5"/>
  <c r="H477" i="5"/>
  <c r="H482" i="5"/>
  <c r="H510" i="5"/>
  <c r="H505" i="5"/>
  <c r="G496" i="5"/>
  <c r="G491" i="5"/>
  <c r="H487" i="5"/>
  <c r="G404" i="5"/>
  <c r="H395" i="5"/>
  <c r="G399" i="5"/>
  <c r="H371" i="5"/>
  <c r="H376" i="5"/>
  <c r="H385" i="5"/>
  <c r="H390" i="5"/>
  <c r="M31" i="19"/>
  <c r="E16" i="12"/>
  <c r="H279" i="5"/>
  <c r="H284" i="5"/>
  <c r="H265" i="5"/>
  <c r="H270" i="5"/>
  <c r="B17" i="1"/>
  <c r="C13" i="1"/>
  <c r="N210" i="5"/>
  <c r="K14" i="11" s="1"/>
  <c r="C15" i="11" s="1"/>
  <c r="H164" i="5"/>
  <c r="H159" i="5"/>
  <c r="G169" i="5"/>
  <c r="F178" i="5"/>
  <c r="E12" i="22" s="1"/>
  <c r="E40" i="22" s="1"/>
  <c r="F173" i="5"/>
  <c r="E9" i="11" s="1"/>
  <c r="M441" i="5"/>
  <c r="M107" i="5"/>
  <c r="G67" i="5"/>
  <c r="H63" i="5"/>
  <c r="G72" i="5"/>
  <c r="G58" i="5"/>
  <c r="G53" i="5"/>
  <c r="H49" i="5"/>
  <c r="O636" i="5"/>
  <c r="R13" i="23"/>
  <c r="N529" i="5"/>
  <c r="K15" i="14" s="1"/>
  <c r="C52" i="14" s="1"/>
  <c r="C55" i="14" s="1"/>
  <c r="N653" i="5"/>
  <c r="N528" i="5"/>
  <c r="N635" i="5"/>
  <c r="M653" i="5"/>
  <c r="N229" i="5"/>
  <c r="Q618" i="5"/>
  <c r="R616" i="5"/>
  <c r="Q512" i="5"/>
  <c r="R510" i="5"/>
  <c r="N634" i="5"/>
  <c r="M66" i="23"/>
  <c r="M634" i="5"/>
  <c r="N212" i="5"/>
  <c r="K16" i="11" s="1"/>
  <c r="Q56" i="20" s="1"/>
  <c r="M229" i="5"/>
  <c r="M635" i="5"/>
  <c r="Q300" i="5"/>
  <c r="R298" i="5"/>
  <c r="O316" i="5"/>
  <c r="M529" i="5"/>
  <c r="J15" i="14" s="1"/>
  <c r="B52" i="14" s="1"/>
  <c r="M547" i="5"/>
  <c r="S192" i="5"/>
  <c r="S194" i="5" s="1"/>
  <c r="R194" i="5"/>
  <c r="S11" i="23"/>
  <c r="S32" i="5"/>
  <c r="S13" i="23" s="1"/>
  <c r="Q88" i="5"/>
  <c r="R86" i="5"/>
  <c r="O80" i="19"/>
  <c r="N80" i="19"/>
  <c r="B15" i="21"/>
  <c r="G15" i="21" s="1"/>
  <c r="G7" i="21"/>
  <c r="G112" i="16"/>
  <c r="B113" i="16"/>
  <c r="G113" i="16" s="1"/>
  <c r="C63" i="4"/>
  <c r="C64" i="4" s="1"/>
  <c r="F63" i="4"/>
  <c r="G57" i="4"/>
  <c r="D63" i="4"/>
  <c r="E63" i="4"/>
  <c r="E64" i="4" s="1"/>
  <c r="G70" i="1"/>
  <c r="B71" i="1"/>
  <c r="G71" i="1" s="1"/>
  <c r="P9" i="23"/>
  <c r="P72" i="23"/>
  <c r="O106" i="23" s="1"/>
  <c r="P8" i="23"/>
  <c r="P28" i="23"/>
  <c r="O65" i="23" s="1"/>
  <c r="P7" i="23"/>
  <c r="R2" i="23"/>
  <c r="Q10" i="23"/>
  <c r="R73" i="23"/>
  <c r="Q75" i="23"/>
  <c r="E26" i="14"/>
  <c r="M47" i="23"/>
  <c r="K37" i="22" s="1"/>
  <c r="O64" i="23"/>
  <c r="O61" i="23"/>
  <c r="O58" i="23"/>
  <c r="Q29" i="23"/>
  <c r="P31" i="23"/>
  <c r="D5" i="28"/>
  <c r="D5" i="27"/>
  <c r="D5" i="26"/>
  <c r="D5" i="29"/>
  <c r="D5" i="25"/>
  <c r="M528" i="5"/>
  <c r="J14" i="14" s="1"/>
  <c r="N335" i="5"/>
  <c r="M212" i="5"/>
  <c r="D17" i="11"/>
  <c r="D26" i="11" s="1"/>
  <c r="C13" i="13"/>
  <c r="C24" i="13" s="1"/>
  <c r="N547" i="5"/>
  <c r="B55" i="12"/>
  <c r="B55" i="13"/>
  <c r="M48" i="23"/>
  <c r="K38" i="22" s="1"/>
  <c r="C151" i="5"/>
  <c r="C257" i="5"/>
  <c r="C469" i="5"/>
  <c r="C45" i="5"/>
  <c r="C363" i="5"/>
  <c r="C575" i="5"/>
  <c r="B25" i="12"/>
  <c r="D25" i="14"/>
  <c r="B13" i="11"/>
  <c r="B24" i="11" s="1"/>
  <c r="D13" i="12"/>
  <c r="C26" i="14"/>
  <c r="B13" i="14"/>
  <c r="B24" i="14" s="1"/>
  <c r="D13" i="11"/>
  <c r="D24" i="11" s="1"/>
  <c r="O31" i="15"/>
  <c r="O31" i="12"/>
  <c r="O31" i="11"/>
  <c r="O31" i="14"/>
  <c r="O31" i="13"/>
  <c r="O31" i="1"/>
  <c r="P89" i="22"/>
  <c r="O107" i="16"/>
  <c r="G59" i="24" s="1"/>
  <c r="N107" i="16"/>
  <c r="F59" i="24" s="1"/>
  <c r="N31" i="11"/>
  <c r="N31" i="14"/>
  <c r="N31" i="13"/>
  <c r="N31" i="1"/>
  <c r="N31" i="12"/>
  <c r="O89" i="22"/>
  <c r="N31" i="15"/>
  <c r="K31" i="12"/>
  <c r="K31" i="1"/>
  <c r="K31" i="15"/>
  <c r="K31" i="14"/>
  <c r="K107" i="16"/>
  <c r="C59" i="24" s="1"/>
  <c r="K31" i="11"/>
  <c r="L89" i="22"/>
  <c r="K31" i="13"/>
  <c r="L31" i="13"/>
  <c r="L31" i="14"/>
  <c r="L31" i="1"/>
  <c r="L31" i="12"/>
  <c r="M89" i="22"/>
  <c r="L107" i="16"/>
  <c r="D59" i="24" s="1"/>
  <c r="L31" i="11"/>
  <c r="L31" i="15"/>
  <c r="M107" i="16"/>
  <c r="E59" i="24" s="1"/>
  <c r="M31" i="11"/>
  <c r="M31" i="12"/>
  <c r="M31" i="13"/>
  <c r="M31" i="1"/>
  <c r="M31" i="15"/>
  <c r="N89" i="22"/>
  <c r="M31" i="14"/>
  <c r="J31" i="14"/>
  <c r="J31" i="13"/>
  <c r="K89" i="22"/>
  <c r="J31" i="12"/>
  <c r="J107" i="16"/>
  <c r="B59" i="24" s="1"/>
  <c r="J31" i="11"/>
  <c r="J31" i="1"/>
  <c r="J31" i="15"/>
  <c r="D17" i="1"/>
  <c r="C17" i="1"/>
  <c r="D13" i="1"/>
  <c r="D17" i="12"/>
  <c r="D26" i="12" s="1"/>
  <c r="B13" i="12"/>
  <c r="E17" i="11"/>
  <c r="E26" i="11" s="1"/>
  <c r="D17" i="15"/>
  <c r="B13" i="1"/>
  <c r="E10" i="12"/>
  <c r="E23" i="12" s="1"/>
  <c r="E13" i="14"/>
  <c r="M93" i="23"/>
  <c r="K53" i="22" s="1"/>
  <c r="C13" i="11"/>
  <c r="C24" i="11" s="1"/>
  <c r="E17" i="1"/>
  <c r="C17" i="15"/>
  <c r="E10" i="1"/>
  <c r="Q10" i="19" s="1"/>
  <c r="B17" i="12"/>
  <c r="B26" i="12" s="1"/>
  <c r="C17" i="12"/>
  <c r="C26" i="12" s="1"/>
  <c r="C13" i="14"/>
  <c r="C24" i="14" s="1"/>
  <c r="B13" i="15"/>
  <c r="D26" i="13"/>
  <c r="C17" i="11"/>
  <c r="C26" i="11" s="1"/>
  <c r="C17" i="13"/>
  <c r="C26" i="13" s="1"/>
  <c r="E17" i="13"/>
  <c r="E26" i="13" s="1"/>
  <c r="C13" i="12"/>
  <c r="C24" i="12" s="1"/>
  <c r="D17" i="14"/>
  <c r="D26" i="14" s="1"/>
  <c r="B13" i="13"/>
  <c r="C13" i="15"/>
  <c r="D49" i="22"/>
  <c r="C48" i="22"/>
  <c r="AB9" i="5"/>
  <c r="D45" i="5" s="1"/>
  <c r="O530" i="5"/>
  <c r="L16" i="14" s="1"/>
  <c r="D53" i="14" s="1"/>
  <c r="D5" i="9"/>
  <c r="D5" i="10"/>
  <c r="D5" i="7"/>
  <c r="D5" i="8"/>
  <c r="D6" i="1"/>
  <c r="D5" i="4"/>
  <c r="P330" i="5"/>
  <c r="P329" i="5"/>
  <c r="P333" i="5"/>
  <c r="P326" i="5"/>
  <c r="P332" i="5"/>
  <c r="P327" i="5"/>
  <c r="P223" i="5"/>
  <c r="P221" i="5"/>
  <c r="P224" i="5"/>
  <c r="P226" i="5"/>
  <c r="P220" i="5"/>
  <c r="P227" i="5"/>
  <c r="Q27" i="5"/>
  <c r="Q191" i="5"/>
  <c r="P222" i="5" s="1"/>
  <c r="Q297" i="5"/>
  <c r="Q615" i="5"/>
  <c r="P646" i="5" s="1"/>
  <c r="Q85" i="5"/>
  <c r="P119" i="5" s="1"/>
  <c r="Q403" i="5"/>
  <c r="P437" i="5" s="1"/>
  <c r="Q509" i="5"/>
  <c r="P540" i="5" s="1"/>
  <c r="Q26" i="5"/>
  <c r="Q28" i="5"/>
  <c r="O210" i="5"/>
  <c r="P435" i="5"/>
  <c r="P438" i="5"/>
  <c r="P439" i="5"/>
  <c r="P436" i="5"/>
  <c r="P432" i="5"/>
  <c r="P433" i="5"/>
  <c r="P648" i="5"/>
  <c r="P650" i="5"/>
  <c r="P647" i="5"/>
  <c r="P644" i="5"/>
  <c r="P651" i="5"/>
  <c r="P645" i="5"/>
  <c r="P118" i="5"/>
  <c r="P114" i="5"/>
  <c r="P120" i="5"/>
  <c r="P115" i="5"/>
  <c r="P121" i="5"/>
  <c r="P117" i="5"/>
  <c r="G437" i="5"/>
  <c r="G436" i="5" s="1"/>
  <c r="F17" i="13" s="1"/>
  <c r="G331" i="5"/>
  <c r="G330" i="5" s="1"/>
  <c r="F17" i="12" s="1"/>
  <c r="G154" i="5"/>
  <c r="G153" i="5" s="1"/>
  <c r="G119" i="5"/>
  <c r="G118" i="5" s="1"/>
  <c r="F17" i="1" s="1"/>
  <c r="G415" i="5"/>
  <c r="G414" i="5" s="1"/>
  <c r="G514" i="5"/>
  <c r="G513" i="5" s="1"/>
  <c r="F13" i="14" s="1"/>
  <c r="G521" i="5"/>
  <c r="G520" i="5" s="1"/>
  <c r="F14" i="14" s="1"/>
  <c r="G76" i="5"/>
  <c r="G75" i="5" s="1"/>
  <c r="F10" i="22" s="1"/>
  <c r="G10" i="22" s="1"/>
  <c r="G260" i="5"/>
  <c r="G259" i="5" s="1"/>
  <c r="G486" i="5"/>
  <c r="G485" i="5" s="1"/>
  <c r="G288" i="5"/>
  <c r="G287" i="5" s="1"/>
  <c r="F10" i="12" s="1"/>
  <c r="U16" i="19" s="1"/>
  <c r="G408" i="5"/>
  <c r="G407" i="5" s="1"/>
  <c r="F13" i="13" s="1"/>
  <c r="G366" i="5"/>
  <c r="G365" i="5" s="1"/>
  <c r="F8" i="13" s="1"/>
  <c r="G225" i="5"/>
  <c r="G224" i="5" s="1"/>
  <c r="F17" i="11" s="1"/>
  <c r="G472" i="5"/>
  <c r="G471" i="5" s="1"/>
  <c r="S2" i="5"/>
  <c r="G97" i="5"/>
  <c r="G96" i="5" s="1"/>
  <c r="G203" i="5"/>
  <c r="G202" i="5" s="1"/>
  <c r="G649" i="5"/>
  <c r="G648" i="5" s="1"/>
  <c r="F17" i="15" s="1"/>
  <c r="G592" i="5"/>
  <c r="G591" i="5" s="1"/>
  <c r="G62" i="5"/>
  <c r="G61" i="5" s="1"/>
  <c r="G620" i="5"/>
  <c r="G619" i="5" s="1"/>
  <c r="F13" i="15" s="1"/>
  <c r="G90" i="5"/>
  <c r="G89" i="5" s="1"/>
  <c r="F13" i="1" s="1"/>
  <c r="G302" i="5"/>
  <c r="G301" i="5" s="1"/>
  <c r="F13" i="12" s="1"/>
  <c r="R29" i="5"/>
  <c r="R721" i="5" s="1"/>
  <c r="G606" i="5"/>
  <c r="G605" i="5" s="1"/>
  <c r="G48" i="5"/>
  <c r="G47" i="5" s="1"/>
  <c r="G196" i="5"/>
  <c r="G195" i="5" s="1"/>
  <c r="F13" i="11" s="1"/>
  <c r="G182" i="5"/>
  <c r="G181" i="5" s="1"/>
  <c r="G627" i="5"/>
  <c r="G626" i="5" s="1"/>
  <c r="G274" i="5"/>
  <c r="G273" i="5" s="1"/>
  <c r="G168" i="5"/>
  <c r="G167" i="5" s="1"/>
  <c r="G578" i="5"/>
  <c r="G577" i="5" s="1"/>
  <c r="G543" i="5"/>
  <c r="G542" i="5" s="1"/>
  <c r="F17" i="14" s="1"/>
  <c r="G309" i="5"/>
  <c r="G308" i="5" s="1"/>
  <c r="G380" i="5"/>
  <c r="G379" i="5" s="1"/>
  <c r="G394" i="5"/>
  <c r="G393" i="5" s="1"/>
  <c r="G500" i="5"/>
  <c r="G499" i="5" s="1"/>
  <c r="F10" i="14" s="1"/>
  <c r="G463" i="5"/>
  <c r="O28" i="14" s="1"/>
  <c r="G39" i="5"/>
  <c r="O28" i="1" s="1"/>
  <c r="G144" i="5"/>
  <c r="O27" i="11" s="1"/>
  <c r="G357" i="5"/>
  <c r="O28" i="13" s="1"/>
  <c r="G37" i="5"/>
  <c r="G251" i="5"/>
  <c r="O28" i="12" s="1"/>
  <c r="G250" i="5"/>
  <c r="O27" i="12" s="1"/>
  <c r="G356" i="5"/>
  <c r="O27" i="13" s="1"/>
  <c r="G143" i="5"/>
  <c r="G462" i="5"/>
  <c r="O27" i="14" s="1"/>
  <c r="G249" i="5"/>
  <c r="O26" i="12" s="1"/>
  <c r="G568" i="5"/>
  <c r="G569" i="5"/>
  <c r="N26" i="12"/>
  <c r="E42" i="22" s="1"/>
  <c r="P541" i="5"/>
  <c r="P538" i="5"/>
  <c r="P544" i="5"/>
  <c r="P542" i="5"/>
  <c r="P545" i="5"/>
  <c r="P539" i="5"/>
  <c r="D25" i="1"/>
  <c r="C42" i="22"/>
  <c r="E22" i="19"/>
  <c r="B22" i="16"/>
  <c r="C21" i="16"/>
  <c r="I21" i="19"/>
  <c r="M25" i="19"/>
  <c r="D25" i="16"/>
  <c r="M110" i="23"/>
  <c r="M91" i="23"/>
  <c r="B37" i="22"/>
  <c r="C45" i="22"/>
  <c r="B36" i="22"/>
  <c r="E14" i="13"/>
  <c r="C14" i="16"/>
  <c r="I14" i="19"/>
  <c r="C11" i="12"/>
  <c r="D44" i="22"/>
  <c r="C44" i="22"/>
  <c r="C37" i="22"/>
  <c r="C49" i="22"/>
  <c r="E13" i="19"/>
  <c r="B23" i="11"/>
  <c r="B13" i="16"/>
  <c r="I10" i="19"/>
  <c r="C10" i="16"/>
  <c r="B38" i="22"/>
  <c r="D26" i="22"/>
  <c r="Q11" i="19"/>
  <c r="E11" i="16"/>
  <c r="E46" i="22"/>
  <c r="D43" i="22"/>
  <c r="Q17" i="19"/>
  <c r="E17" i="16"/>
  <c r="D11" i="13"/>
  <c r="D17" i="16"/>
  <c r="M17" i="19"/>
  <c r="B11" i="11"/>
  <c r="E11" i="19"/>
  <c r="B11" i="16"/>
  <c r="B21" i="11"/>
  <c r="E25" i="19"/>
  <c r="B25" i="16"/>
  <c r="C11" i="1"/>
  <c r="I8" i="19"/>
  <c r="C8" i="16"/>
  <c r="B12" i="16"/>
  <c r="B22" i="11"/>
  <c r="E12" i="19"/>
  <c r="E17" i="19"/>
  <c r="B17" i="16"/>
  <c r="B11" i="13"/>
  <c r="E38" i="22"/>
  <c r="B9" i="16"/>
  <c r="E9" i="19"/>
  <c r="B22" i="1"/>
  <c r="B26" i="14"/>
  <c r="B11" i="14"/>
  <c r="E20" i="19"/>
  <c r="B20" i="16"/>
  <c r="I13" i="19"/>
  <c r="C13" i="16"/>
  <c r="I25" i="19"/>
  <c r="C25" i="16"/>
  <c r="J14" i="13"/>
  <c r="M425" i="5"/>
  <c r="B40" i="22"/>
  <c r="E19" i="19"/>
  <c r="B19" i="16"/>
  <c r="C25" i="11"/>
  <c r="C63" i="24"/>
  <c r="K47" i="21"/>
  <c r="L40" i="20"/>
  <c r="B14" i="15"/>
  <c r="C14" i="13"/>
  <c r="C25" i="13" s="1"/>
  <c r="B14" i="13"/>
  <c r="C14" i="1"/>
  <c r="B14" i="1"/>
  <c r="Q20" i="19"/>
  <c r="E20" i="16"/>
  <c r="C24" i="16"/>
  <c r="I24" i="19"/>
  <c r="M20" i="19"/>
  <c r="D11" i="14"/>
  <c r="D20" i="16"/>
  <c r="B15" i="16"/>
  <c r="E15" i="19"/>
  <c r="M9" i="19"/>
  <c r="D9" i="16"/>
  <c r="D11" i="11"/>
  <c r="M11" i="19"/>
  <c r="D11" i="16"/>
  <c r="B18" i="16"/>
  <c r="E18" i="19"/>
  <c r="M23" i="19"/>
  <c r="D23" i="16"/>
  <c r="D11" i="15"/>
  <c r="D14" i="13"/>
  <c r="E14" i="12"/>
  <c r="C64" i="24"/>
  <c r="L41" i="20"/>
  <c r="K48" i="21"/>
  <c r="B16" i="16"/>
  <c r="E16" i="19"/>
  <c r="D47" i="22"/>
  <c r="D16" i="16"/>
  <c r="M16" i="19"/>
  <c r="E47" i="22"/>
  <c r="I16" i="19"/>
  <c r="C16" i="16"/>
  <c r="C9" i="16"/>
  <c r="I9" i="19"/>
  <c r="B41" i="22"/>
  <c r="C38" i="22"/>
  <c r="B23" i="1"/>
  <c r="B10" i="16"/>
  <c r="E10" i="19"/>
  <c r="M10" i="19"/>
  <c r="D10" i="16"/>
  <c r="D23" i="1"/>
  <c r="B23" i="16"/>
  <c r="E23" i="19"/>
  <c r="B11" i="15"/>
  <c r="E14" i="14"/>
  <c r="C11" i="11"/>
  <c r="I11" i="19"/>
  <c r="C11" i="16"/>
  <c r="D15" i="16"/>
  <c r="M15" i="19"/>
  <c r="D45" i="22"/>
  <c r="B26" i="22"/>
  <c r="B39" i="22"/>
  <c r="B53" i="22"/>
  <c r="C26" i="22"/>
  <c r="B24" i="16"/>
  <c r="E24" i="19"/>
  <c r="D42" i="22"/>
  <c r="C15" i="1"/>
  <c r="C17" i="16"/>
  <c r="C11" i="13"/>
  <c r="I17" i="19"/>
  <c r="B21" i="1"/>
  <c r="B8" i="16"/>
  <c r="E8" i="19"/>
  <c r="B11" i="1"/>
  <c r="B15" i="11"/>
  <c r="C43" i="22"/>
  <c r="D8" i="16"/>
  <c r="D11" i="1"/>
  <c r="M8" i="19"/>
  <c r="I19" i="19"/>
  <c r="C19" i="16"/>
  <c r="D46" i="22"/>
  <c r="C46" i="22"/>
  <c r="D14" i="11"/>
  <c r="D25" i="11" s="1"/>
  <c r="D25" i="12"/>
  <c r="C14" i="14"/>
  <c r="C25" i="14" s="1"/>
  <c r="B14" i="14"/>
  <c r="E24" i="13"/>
  <c r="B14" i="11"/>
  <c r="B25" i="11" s="1"/>
  <c r="B54" i="22"/>
  <c r="E56" i="22"/>
  <c r="D55" i="22"/>
  <c r="B55" i="22"/>
  <c r="B56" i="22"/>
  <c r="E54" i="22"/>
  <c r="E55" i="22"/>
  <c r="C54" i="22"/>
  <c r="D56" i="22"/>
  <c r="D54" i="22"/>
  <c r="C56" i="22"/>
  <c r="C55" i="22"/>
  <c r="D12" i="16"/>
  <c r="M12" i="19"/>
  <c r="D48" i="22"/>
  <c r="D37" i="22"/>
  <c r="D21" i="16"/>
  <c r="M21" i="19"/>
  <c r="M319" i="5"/>
  <c r="J14" i="12"/>
  <c r="C11" i="15"/>
  <c r="C23" i="16"/>
  <c r="I23" i="19"/>
  <c r="M19" i="19"/>
  <c r="D19" i="16"/>
  <c r="I22" i="19"/>
  <c r="C22" i="16"/>
  <c r="I15" i="19"/>
  <c r="C15" i="16"/>
  <c r="C11" i="14"/>
  <c r="C20" i="16"/>
  <c r="I20" i="19"/>
  <c r="D22" i="16"/>
  <c r="M22" i="19"/>
  <c r="E52" i="22"/>
  <c r="B14" i="16"/>
  <c r="E14" i="19"/>
  <c r="B11" i="12"/>
  <c r="D38" i="22"/>
  <c r="B51" i="22"/>
  <c r="M92" i="23"/>
  <c r="K52" i="22" s="1"/>
  <c r="AC8" i="5"/>
  <c r="AD7" i="5" s="1"/>
  <c r="E22" i="16"/>
  <c r="Q22" i="19"/>
  <c r="C47" i="22"/>
  <c r="E21" i="19"/>
  <c r="B21" i="16"/>
  <c r="B15" i="1"/>
  <c r="J17" i="1"/>
  <c r="M18" i="19"/>
  <c r="D18" i="16"/>
  <c r="C12" i="16"/>
  <c r="I12" i="19"/>
  <c r="M13" i="19"/>
  <c r="D13" i="16"/>
  <c r="I18" i="19"/>
  <c r="C18" i="16"/>
  <c r="M24" i="19"/>
  <c r="D24" i="16"/>
  <c r="B52" i="22"/>
  <c r="M14" i="19"/>
  <c r="D14" i="16"/>
  <c r="D11" i="12"/>
  <c r="E53" i="22"/>
  <c r="E14" i="1"/>
  <c r="H628" i="5"/>
  <c r="H631" i="5" s="1"/>
  <c r="F631" i="5"/>
  <c r="H416" i="5"/>
  <c r="H419" i="5" s="1"/>
  <c r="G313" i="5"/>
  <c r="F14" i="12" s="1"/>
  <c r="H204" i="5"/>
  <c r="H207" i="5" s="1"/>
  <c r="E25" i="11"/>
  <c r="H98" i="5"/>
  <c r="H101" i="5" s="1"/>
  <c r="D21" i="1" l="1"/>
  <c r="D40" i="16" s="1"/>
  <c r="D36" i="22"/>
  <c r="O26" i="15"/>
  <c r="P757" i="5"/>
  <c r="N759" i="5"/>
  <c r="P756" i="5"/>
  <c r="Q18" i="19"/>
  <c r="E24" i="15"/>
  <c r="G13" i="30"/>
  <c r="E36" i="22"/>
  <c r="J23" i="13"/>
  <c r="B21" i="13" s="1"/>
  <c r="J23" i="14"/>
  <c r="B23" i="14" s="1"/>
  <c r="J23" i="12"/>
  <c r="B21" i="12" s="1"/>
  <c r="E43" i="19" s="1"/>
  <c r="J23" i="30"/>
  <c r="B23" i="30" s="1"/>
  <c r="B60" i="16" s="1"/>
  <c r="N107" i="5"/>
  <c r="K17" i="1"/>
  <c r="N123" i="5"/>
  <c r="O106" i="5"/>
  <c r="L16" i="1" s="1"/>
  <c r="D53" i="1" s="1"/>
  <c r="O104" i="5"/>
  <c r="L14" i="1" s="1"/>
  <c r="P78" i="19"/>
  <c r="Y74" i="19"/>
  <c r="T78" i="19"/>
  <c r="L67" i="19"/>
  <c r="Y65" i="19"/>
  <c r="G15" i="33"/>
  <c r="C26" i="15"/>
  <c r="D26" i="15"/>
  <c r="G17" i="33"/>
  <c r="Q8" i="19"/>
  <c r="O742" i="5"/>
  <c r="E21" i="1"/>
  <c r="Y78" i="19"/>
  <c r="W78" i="19"/>
  <c r="T76" i="19"/>
  <c r="D21" i="15"/>
  <c r="M52" i="19" s="1"/>
  <c r="P48" i="20"/>
  <c r="F48" i="20" s="1"/>
  <c r="E15" i="16"/>
  <c r="D22" i="15"/>
  <c r="M53" i="19" s="1"/>
  <c r="G14" i="30"/>
  <c r="D50" i="22"/>
  <c r="D21" i="14"/>
  <c r="D52" i="16" s="1"/>
  <c r="D23" i="14"/>
  <c r="D54" i="16" s="1"/>
  <c r="E34" i="16"/>
  <c r="E26" i="15"/>
  <c r="E22" i="30"/>
  <c r="E59" i="16" s="1"/>
  <c r="D23" i="30"/>
  <c r="D60" i="16" s="1"/>
  <c r="O759" i="5"/>
  <c r="E8" i="30"/>
  <c r="E21" i="30" s="1"/>
  <c r="E58" i="16" s="1"/>
  <c r="P758" i="5"/>
  <c r="P759" i="5" s="1"/>
  <c r="Q755" i="5"/>
  <c r="Q741" i="5" s="1"/>
  <c r="N15" i="30" s="1"/>
  <c r="Q752" i="5"/>
  <c r="Q740" i="5" s="1"/>
  <c r="N14" i="30" s="1"/>
  <c r="F15" i="30" s="1"/>
  <c r="C24" i="15"/>
  <c r="D21" i="11"/>
  <c r="M40" i="19" s="1"/>
  <c r="F26" i="11"/>
  <c r="G26" i="11" s="1"/>
  <c r="G10" i="30"/>
  <c r="X76" i="19"/>
  <c r="E22" i="12"/>
  <c r="E47" i="16" s="1"/>
  <c r="N740" i="5"/>
  <c r="K14" i="30" s="1"/>
  <c r="C15" i="30" s="1"/>
  <c r="C23" i="30"/>
  <c r="C60" i="16" s="1"/>
  <c r="C32" i="16"/>
  <c r="E23" i="30"/>
  <c r="E60" i="16" s="1"/>
  <c r="E22" i="1"/>
  <c r="Q38" i="19" s="1"/>
  <c r="Q9" i="19"/>
  <c r="N9" i="19" s="1"/>
  <c r="E21" i="12"/>
  <c r="Q43" i="19" s="1"/>
  <c r="B32" i="16"/>
  <c r="E14" i="16"/>
  <c r="F31" i="16"/>
  <c r="E31" i="16"/>
  <c r="F35" i="16"/>
  <c r="E681" i="5"/>
  <c r="D22" i="30"/>
  <c r="D59" i="16" s="1"/>
  <c r="D27" i="16"/>
  <c r="G9" i="30"/>
  <c r="B31" i="16"/>
  <c r="G16" i="1"/>
  <c r="N23" i="30"/>
  <c r="F23" i="30" s="1"/>
  <c r="F60" i="16" s="1"/>
  <c r="O26" i="30"/>
  <c r="L16" i="30"/>
  <c r="D53" i="30" s="1"/>
  <c r="D8" i="30"/>
  <c r="W76" i="19"/>
  <c r="P76" i="19"/>
  <c r="Y76" i="19" s="1"/>
  <c r="F27" i="16"/>
  <c r="G683" i="5"/>
  <c r="F8" i="30" s="1"/>
  <c r="H712" i="5"/>
  <c r="H711" i="5" s="1"/>
  <c r="H755" i="5"/>
  <c r="H754" i="5" s="1"/>
  <c r="H733" i="5"/>
  <c r="H732" i="5" s="1"/>
  <c r="H726" i="5"/>
  <c r="H725" i="5" s="1"/>
  <c r="H684" i="5"/>
  <c r="H698" i="5"/>
  <c r="H697" i="5" s="1"/>
  <c r="Z74" i="19"/>
  <c r="O740" i="5"/>
  <c r="L14" i="30" s="1"/>
  <c r="D15" i="30" s="1"/>
  <c r="O741" i="5"/>
  <c r="L15" i="30" s="1"/>
  <c r="D52" i="30" s="1"/>
  <c r="C24" i="1"/>
  <c r="C31" i="16"/>
  <c r="J14" i="30"/>
  <c r="B15" i="30" s="1"/>
  <c r="B26" i="1"/>
  <c r="B35" i="16"/>
  <c r="D24" i="1"/>
  <c r="D31" i="16"/>
  <c r="F28" i="16"/>
  <c r="G28" i="16" s="1"/>
  <c r="P741" i="5"/>
  <c r="M15" i="30" s="1"/>
  <c r="D32" i="16"/>
  <c r="C26" i="1"/>
  <c r="C35" i="16"/>
  <c r="N741" i="5"/>
  <c r="K15" i="30" s="1"/>
  <c r="C52" i="30" s="1"/>
  <c r="E26" i="1"/>
  <c r="E35" i="16"/>
  <c r="D26" i="1"/>
  <c r="M57" i="19" s="1"/>
  <c r="D35" i="16"/>
  <c r="X78" i="19"/>
  <c r="M741" i="5"/>
  <c r="J15" i="30" s="1"/>
  <c r="B52" i="30" s="1"/>
  <c r="K16" i="30"/>
  <c r="C53" i="30" s="1"/>
  <c r="C26" i="16"/>
  <c r="C29" i="16" s="1"/>
  <c r="C21" i="30"/>
  <c r="C58" i="16" s="1"/>
  <c r="C11" i="30"/>
  <c r="B22" i="30"/>
  <c r="B59" i="16" s="1"/>
  <c r="B84" i="22"/>
  <c r="B82" i="22"/>
  <c r="B25" i="15"/>
  <c r="B26" i="15"/>
  <c r="D25" i="15"/>
  <c r="B64" i="16"/>
  <c r="B24" i="15"/>
  <c r="E64" i="16"/>
  <c r="B29" i="16"/>
  <c r="O28" i="15"/>
  <c r="J15" i="15"/>
  <c r="B52" i="15" s="1"/>
  <c r="B55" i="15" s="1"/>
  <c r="L16" i="15"/>
  <c r="D53" i="15" s="1"/>
  <c r="D25" i="30"/>
  <c r="D26" i="30"/>
  <c r="B25" i="30"/>
  <c r="B26" i="30"/>
  <c r="O27" i="15"/>
  <c r="F24" i="15" s="1"/>
  <c r="F24" i="30"/>
  <c r="K14" i="15"/>
  <c r="C15" i="15" s="1"/>
  <c r="C19" i="15" s="1"/>
  <c r="C26" i="30"/>
  <c r="K15" i="15"/>
  <c r="C52" i="15" s="1"/>
  <c r="C55" i="15" s="1"/>
  <c r="L14" i="15"/>
  <c r="D15" i="15" s="1"/>
  <c r="D19" i="15" s="1"/>
  <c r="C25" i="30"/>
  <c r="R726" i="5"/>
  <c r="L15" i="15"/>
  <c r="D52" i="15" s="1"/>
  <c r="F26" i="30"/>
  <c r="F25" i="30"/>
  <c r="E26" i="30"/>
  <c r="C64" i="16"/>
  <c r="B23" i="15"/>
  <c r="E54" i="19" s="1"/>
  <c r="C55" i="13"/>
  <c r="G27" i="14"/>
  <c r="P50" i="20"/>
  <c r="F50" i="20" s="1"/>
  <c r="P54" i="20"/>
  <c r="F54" i="20" s="1"/>
  <c r="G27" i="13"/>
  <c r="C22" i="13"/>
  <c r="C50" i="16" s="1"/>
  <c r="E23" i="11"/>
  <c r="E45" i="16" s="1"/>
  <c r="E22" i="13"/>
  <c r="Q13" i="19"/>
  <c r="O13" i="19" s="1"/>
  <c r="D23" i="11"/>
  <c r="O422" i="5"/>
  <c r="L14" i="13" s="1"/>
  <c r="D15" i="13" s="1"/>
  <c r="D19" i="13" s="1"/>
  <c r="B22" i="15"/>
  <c r="B56" i="16" s="1"/>
  <c r="D21" i="12"/>
  <c r="M43" i="19" s="1"/>
  <c r="P56" i="20"/>
  <c r="F56" i="20" s="1"/>
  <c r="N441" i="5"/>
  <c r="G27" i="12"/>
  <c r="B24" i="12"/>
  <c r="N425" i="5"/>
  <c r="D22" i="12"/>
  <c r="D47" i="16" s="1"/>
  <c r="H293" i="5"/>
  <c r="H298" i="5"/>
  <c r="E11" i="14"/>
  <c r="Q21" i="19"/>
  <c r="O21" i="19" s="1"/>
  <c r="O653" i="5"/>
  <c r="O547" i="5"/>
  <c r="C55" i="12"/>
  <c r="P116" i="5"/>
  <c r="P104" i="5" s="1"/>
  <c r="E21" i="14"/>
  <c r="E52" i="16" s="1"/>
  <c r="E22" i="14"/>
  <c r="Q50" i="19" s="1"/>
  <c r="E50" i="22"/>
  <c r="G27" i="11"/>
  <c r="E19" i="16"/>
  <c r="B28" i="11"/>
  <c r="O335" i="5"/>
  <c r="F26" i="13"/>
  <c r="G26" i="13" s="1"/>
  <c r="G27" i="1"/>
  <c r="E21" i="11"/>
  <c r="Q40" i="19" s="1"/>
  <c r="C23" i="13"/>
  <c r="C51" i="16" s="1"/>
  <c r="F24" i="1"/>
  <c r="N23" i="14"/>
  <c r="F23" i="14" s="1"/>
  <c r="F54" i="16" s="1"/>
  <c r="B42" i="22"/>
  <c r="B45" i="22"/>
  <c r="B47" i="22"/>
  <c r="C22" i="11"/>
  <c r="C44" i="16" s="1"/>
  <c r="B48" i="22"/>
  <c r="C21" i="14"/>
  <c r="C52" i="16" s="1"/>
  <c r="C23" i="14"/>
  <c r="C54" i="16" s="1"/>
  <c r="C22" i="12"/>
  <c r="I44" i="19" s="1"/>
  <c r="C22" i="14"/>
  <c r="C53" i="16" s="1"/>
  <c r="O92" i="23"/>
  <c r="M52" i="22" s="1"/>
  <c r="E21" i="15"/>
  <c r="Q52" i="19" s="1"/>
  <c r="N23" i="13"/>
  <c r="F21" i="13" s="1"/>
  <c r="E23" i="16"/>
  <c r="B44" i="22"/>
  <c r="D52" i="22"/>
  <c r="O123" i="5"/>
  <c r="O441" i="5"/>
  <c r="P434" i="5"/>
  <c r="P422" i="5" s="1"/>
  <c r="E11" i="13"/>
  <c r="C21" i="12"/>
  <c r="I43" i="19" s="1"/>
  <c r="O229" i="5"/>
  <c r="D23" i="13"/>
  <c r="D51" i="16" s="1"/>
  <c r="N110" i="23"/>
  <c r="D22" i="13"/>
  <c r="M47" i="19" s="1"/>
  <c r="E23" i="13"/>
  <c r="E51" i="16" s="1"/>
  <c r="O424" i="5"/>
  <c r="L16" i="13" s="1"/>
  <c r="D53" i="13" s="1"/>
  <c r="D55" i="13" s="1"/>
  <c r="O105" i="5"/>
  <c r="L15" i="1" s="1"/>
  <c r="D40" i="22"/>
  <c r="C39" i="22"/>
  <c r="P328" i="5"/>
  <c r="P316" i="5" s="1"/>
  <c r="P334" i="5"/>
  <c r="P318" i="5" s="1"/>
  <c r="M16" i="12" s="1"/>
  <c r="E53" i="12" s="1"/>
  <c r="P543" i="5"/>
  <c r="P529" i="5" s="1"/>
  <c r="M15" i="14" s="1"/>
  <c r="E52" i="14" s="1"/>
  <c r="G631" i="5"/>
  <c r="F14" i="15" s="1"/>
  <c r="P440" i="5"/>
  <c r="P546" i="5"/>
  <c r="P530" i="5" s="1"/>
  <c r="M16" i="14" s="1"/>
  <c r="E53" i="14" s="1"/>
  <c r="P225" i="5"/>
  <c r="P211" i="5" s="1"/>
  <c r="M15" i="11" s="1"/>
  <c r="F10" i="1"/>
  <c r="U10" i="19" s="1"/>
  <c r="R10" i="19" s="1"/>
  <c r="P228" i="5"/>
  <c r="P212" i="5" s="1"/>
  <c r="M16" i="11" s="1"/>
  <c r="P122" i="5"/>
  <c r="P649" i="5"/>
  <c r="P635" i="5" s="1"/>
  <c r="I32" i="20"/>
  <c r="H32" i="20" s="1"/>
  <c r="J32" i="20" s="1"/>
  <c r="G60" i="24"/>
  <c r="O43" i="21"/>
  <c r="P652" i="5"/>
  <c r="P636" i="5" s="1"/>
  <c r="P331" i="5"/>
  <c r="P317" i="5" s="1"/>
  <c r="M15" i="12" s="1"/>
  <c r="E52" i="12" s="1"/>
  <c r="E23" i="15"/>
  <c r="E57" i="16" s="1"/>
  <c r="F8" i="15"/>
  <c r="F23" i="16" s="1"/>
  <c r="N50" i="23"/>
  <c r="B24" i="1"/>
  <c r="B19" i="1"/>
  <c r="N66" i="23"/>
  <c r="C21" i="11"/>
  <c r="C43" i="16" s="1"/>
  <c r="B23" i="13"/>
  <c r="E48" i="19" s="1"/>
  <c r="D53" i="22"/>
  <c r="Q25" i="19"/>
  <c r="O25" i="19" s="1"/>
  <c r="C22" i="15"/>
  <c r="C56" i="16" s="1"/>
  <c r="C84" i="22"/>
  <c r="E32" i="19"/>
  <c r="B32" i="19" s="1"/>
  <c r="K14" i="13"/>
  <c r="C15" i="13" s="1"/>
  <c r="C19" i="13" s="1"/>
  <c r="E24" i="16"/>
  <c r="F24" i="14"/>
  <c r="O103" i="23"/>
  <c r="O91" i="23" s="1"/>
  <c r="M51" i="22" s="1"/>
  <c r="D89" i="22" s="1"/>
  <c r="C36" i="22"/>
  <c r="C22" i="1"/>
  <c r="C41" i="16" s="1"/>
  <c r="C21" i="1"/>
  <c r="C40" i="16" s="1"/>
  <c r="B23" i="12"/>
  <c r="B48" i="16" s="1"/>
  <c r="B22" i="13"/>
  <c r="B50" i="16" s="1"/>
  <c r="C53" i="22"/>
  <c r="F26" i="14"/>
  <c r="G26" i="14" s="1"/>
  <c r="B22" i="14"/>
  <c r="B53" i="16" s="1"/>
  <c r="N319" i="5"/>
  <c r="D51" i="22"/>
  <c r="C52" i="22"/>
  <c r="O49" i="23"/>
  <c r="M39" i="22" s="1"/>
  <c r="O62" i="23"/>
  <c r="O48" i="23" s="1"/>
  <c r="M38" i="22" s="1"/>
  <c r="E26" i="22"/>
  <c r="F24" i="11"/>
  <c r="O59" i="23"/>
  <c r="O47" i="23" s="1"/>
  <c r="O109" i="23"/>
  <c r="O93" i="23" s="1"/>
  <c r="M53" i="22" s="1"/>
  <c r="S35" i="5"/>
  <c r="S16" i="23" s="1"/>
  <c r="R16" i="23"/>
  <c r="Q12" i="19"/>
  <c r="N12" i="19" s="1"/>
  <c r="E12" i="16"/>
  <c r="C41" i="22"/>
  <c r="D39" i="22"/>
  <c r="E11" i="15"/>
  <c r="E22" i="15"/>
  <c r="Q53" i="19" s="1"/>
  <c r="C21" i="15"/>
  <c r="C40" i="22"/>
  <c r="B21" i="14"/>
  <c r="E49" i="19" s="1"/>
  <c r="B50" i="22"/>
  <c r="F9" i="14"/>
  <c r="G9" i="14" s="1"/>
  <c r="F21" i="22"/>
  <c r="F49" i="22" s="1"/>
  <c r="G49" i="22" s="1"/>
  <c r="K35" i="16"/>
  <c r="G64" i="29"/>
  <c r="G64" i="27"/>
  <c r="C66" i="27"/>
  <c r="G64" i="25"/>
  <c r="G64" i="10"/>
  <c r="G57" i="8"/>
  <c r="D50" i="1"/>
  <c r="S80" i="19"/>
  <c r="T80" i="19" s="1"/>
  <c r="D63" i="8"/>
  <c r="D64" i="8" s="1"/>
  <c r="D66" i="8" s="1"/>
  <c r="Z61" i="19"/>
  <c r="Z63" i="19" s="1"/>
  <c r="D53" i="11"/>
  <c r="Q60" i="20"/>
  <c r="G60" i="20" s="1"/>
  <c r="D52" i="11"/>
  <c r="C53" i="11"/>
  <c r="Q54" i="20"/>
  <c r="G54" i="20" s="1"/>
  <c r="G66" i="29"/>
  <c r="G66" i="28"/>
  <c r="G64" i="28"/>
  <c r="G66" i="27"/>
  <c r="D66" i="25"/>
  <c r="G66" i="25" s="1"/>
  <c r="D66" i="10"/>
  <c r="G66" i="10" s="1"/>
  <c r="C64" i="9"/>
  <c r="F66" i="9"/>
  <c r="F64" i="9"/>
  <c r="G63" i="9"/>
  <c r="B66" i="9"/>
  <c r="E64" i="9"/>
  <c r="E66" i="9" s="1"/>
  <c r="D64" i="9"/>
  <c r="D66" i="9" s="1"/>
  <c r="C64" i="8"/>
  <c r="E63" i="8"/>
  <c r="F63" i="8"/>
  <c r="B66" i="8"/>
  <c r="G64" i="7"/>
  <c r="D66" i="7"/>
  <c r="G66" i="7" s="1"/>
  <c r="G80" i="19"/>
  <c r="F80" i="19"/>
  <c r="P80" i="19"/>
  <c r="G13" i="15"/>
  <c r="E11" i="11"/>
  <c r="E22" i="11"/>
  <c r="E44" i="16" s="1"/>
  <c r="G17" i="12"/>
  <c r="F24" i="12"/>
  <c r="M28" i="19"/>
  <c r="K28" i="19" s="1"/>
  <c r="F16" i="13"/>
  <c r="G16" i="13" s="1"/>
  <c r="H192" i="5"/>
  <c r="H187" i="5"/>
  <c r="H588" i="5"/>
  <c r="H583" i="5"/>
  <c r="G419" i="5"/>
  <c r="F14" i="13" s="1"/>
  <c r="F25" i="13" s="1"/>
  <c r="G13" i="13"/>
  <c r="F16" i="12"/>
  <c r="G17" i="13"/>
  <c r="H491" i="5"/>
  <c r="H496" i="5"/>
  <c r="H404" i="5"/>
  <c r="H399" i="5"/>
  <c r="D24" i="12"/>
  <c r="G13" i="12"/>
  <c r="K31" i="19"/>
  <c r="J31" i="19"/>
  <c r="Q31" i="19"/>
  <c r="O31" i="19" s="1"/>
  <c r="G17" i="1"/>
  <c r="G178" i="5"/>
  <c r="F12" i="22" s="1"/>
  <c r="G12" i="22" s="1"/>
  <c r="H169" i="5"/>
  <c r="G173" i="5"/>
  <c r="F9" i="11" s="1"/>
  <c r="F12" i="16" s="1"/>
  <c r="L37" i="22"/>
  <c r="L40" i="22" s="1"/>
  <c r="D55" i="14"/>
  <c r="E23" i="1"/>
  <c r="E42" i="16" s="1"/>
  <c r="E11" i="1"/>
  <c r="H58" i="5"/>
  <c r="H53" i="5"/>
  <c r="H67" i="5"/>
  <c r="H72" i="5"/>
  <c r="K17" i="11"/>
  <c r="N213" i="5"/>
  <c r="N531" i="5"/>
  <c r="Q52" i="20"/>
  <c r="G52" i="20" s="1"/>
  <c r="K14" i="14"/>
  <c r="K17" i="14" s="1"/>
  <c r="O319" i="5"/>
  <c r="M637" i="5"/>
  <c r="N637" i="5"/>
  <c r="M531" i="5"/>
  <c r="S616" i="5"/>
  <c r="S618" i="5" s="1"/>
  <c r="R618" i="5"/>
  <c r="C82" i="22"/>
  <c r="M50" i="23"/>
  <c r="L14" i="12"/>
  <c r="L17" i="12" s="1"/>
  <c r="O637" i="5"/>
  <c r="O531" i="5"/>
  <c r="J14" i="15"/>
  <c r="S86" i="5"/>
  <c r="S88" i="5" s="1"/>
  <c r="R88" i="5"/>
  <c r="R300" i="5"/>
  <c r="S298" i="5"/>
  <c r="S300" i="5" s="1"/>
  <c r="S510" i="5"/>
  <c r="S512" i="5" s="1"/>
  <c r="R512" i="5"/>
  <c r="E66" i="4"/>
  <c r="F64" i="4"/>
  <c r="D64" i="4"/>
  <c r="C66" i="4"/>
  <c r="G63" i="4"/>
  <c r="E80" i="19"/>
  <c r="B34" i="24"/>
  <c r="B55" i="1"/>
  <c r="E44" i="22"/>
  <c r="Q72" i="23"/>
  <c r="P103" i="23" s="1"/>
  <c r="Q7" i="23"/>
  <c r="Q28" i="23"/>
  <c r="P59" i="23" s="1"/>
  <c r="Q9" i="23"/>
  <c r="Q8" i="23"/>
  <c r="U28" i="19"/>
  <c r="S28" i="19" s="1"/>
  <c r="I28" i="19"/>
  <c r="F28" i="19" s="1"/>
  <c r="S73" i="23"/>
  <c r="S75" i="23" s="1"/>
  <c r="R75" i="23"/>
  <c r="S2" i="23"/>
  <c r="S10" i="23" s="1"/>
  <c r="R10" i="23"/>
  <c r="P101" i="23"/>
  <c r="P104" i="23"/>
  <c r="P107" i="23"/>
  <c r="P102" i="23"/>
  <c r="P105" i="23"/>
  <c r="P108" i="23"/>
  <c r="G13" i="11"/>
  <c r="C19" i="1"/>
  <c r="D55" i="12"/>
  <c r="R29" i="23"/>
  <c r="Q31" i="23"/>
  <c r="P61" i="23"/>
  <c r="P64" i="23"/>
  <c r="P58" i="23"/>
  <c r="P57" i="23"/>
  <c r="P60" i="23"/>
  <c r="P63" i="23"/>
  <c r="E24" i="14"/>
  <c r="G13" i="14"/>
  <c r="F16" i="16"/>
  <c r="D257" i="5"/>
  <c r="J16" i="11"/>
  <c r="M213" i="5"/>
  <c r="B55" i="14"/>
  <c r="E10" i="16"/>
  <c r="G13" i="1"/>
  <c r="C19" i="11"/>
  <c r="L14" i="14"/>
  <c r="L17" i="14" s="1"/>
  <c r="Q28" i="19"/>
  <c r="N28" i="19" s="1"/>
  <c r="M32" i="19"/>
  <c r="J32" i="19" s="1"/>
  <c r="F26" i="12"/>
  <c r="G26" i="12" s="1"/>
  <c r="D6" i="27"/>
  <c r="D6" i="26"/>
  <c r="D6" i="29"/>
  <c r="D6" i="25"/>
  <c r="D6" i="28"/>
  <c r="G17" i="15"/>
  <c r="D575" i="5"/>
  <c r="D469" i="5"/>
  <c r="D151" i="5"/>
  <c r="D363" i="5"/>
  <c r="G17" i="11"/>
  <c r="F26" i="1"/>
  <c r="E28" i="19"/>
  <c r="B28" i="19" s="1"/>
  <c r="E16" i="16"/>
  <c r="G10" i="12"/>
  <c r="E11" i="12"/>
  <c r="N23" i="12"/>
  <c r="F23" i="12" s="1"/>
  <c r="F22" i="16"/>
  <c r="G22" i="16" s="1"/>
  <c r="G10" i="14"/>
  <c r="U22" i="19"/>
  <c r="S22" i="19" s="1"/>
  <c r="G8" i="13"/>
  <c r="U32" i="19"/>
  <c r="S32" i="19" s="1"/>
  <c r="G17" i="14"/>
  <c r="I32" i="19"/>
  <c r="G32" i="19" s="1"/>
  <c r="F15" i="22"/>
  <c r="G15" i="22" s="1"/>
  <c r="F9" i="12"/>
  <c r="F8" i="1"/>
  <c r="F8" i="22"/>
  <c r="F20" i="22"/>
  <c r="F8" i="14"/>
  <c r="F8" i="11"/>
  <c r="F11" i="22"/>
  <c r="G11" i="22" s="1"/>
  <c r="F17" i="22"/>
  <c r="AC9" i="5"/>
  <c r="Q16" i="19"/>
  <c r="O16" i="19" s="1"/>
  <c r="B24" i="13"/>
  <c r="F25" i="14"/>
  <c r="Q32" i="19"/>
  <c r="O32" i="19" s="1"/>
  <c r="O26" i="11"/>
  <c r="N23" i="11"/>
  <c r="F10" i="15"/>
  <c r="F25" i="22"/>
  <c r="D6" i="4"/>
  <c r="E5" i="1"/>
  <c r="D6" i="8"/>
  <c r="D6" i="10"/>
  <c r="D6" i="7"/>
  <c r="D6" i="9"/>
  <c r="F23" i="22"/>
  <c r="F16" i="22"/>
  <c r="G16" i="22" s="1"/>
  <c r="F19" i="22"/>
  <c r="F10" i="13"/>
  <c r="F10" i="11"/>
  <c r="F13" i="22"/>
  <c r="G13" i="22" s="1"/>
  <c r="F9" i="22"/>
  <c r="F9" i="1"/>
  <c r="F8" i="12"/>
  <c r="F14" i="22"/>
  <c r="G14" i="22" s="1"/>
  <c r="O26" i="1"/>
  <c r="F56" i="22" s="1"/>
  <c r="G56" i="22" s="1"/>
  <c r="N23" i="1"/>
  <c r="F18" i="22"/>
  <c r="F9" i="13"/>
  <c r="F24" i="22"/>
  <c r="F9" i="15"/>
  <c r="P423" i="5"/>
  <c r="M15" i="13" s="1"/>
  <c r="E52" i="13" s="1"/>
  <c r="F22" i="22"/>
  <c r="E43" i="22"/>
  <c r="I28" i="20"/>
  <c r="O41" i="21"/>
  <c r="G57" i="24"/>
  <c r="O42" i="21"/>
  <c r="I30" i="20"/>
  <c r="G58" i="24"/>
  <c r="R191" i="5"/>
  <c r="Q228" i="5" s="1"/>
  <c r="R28" i="5"/>
  <c r="R85" i="5"/>
  <c r="Q122" i="5" s="1"/>
  <c r="R26" i="5"/>
  <c r="R297" i="5"/>
  <c r="Q331" i="5" s="1"/>
  <c r="R27" i="5"/>
  <c r="R615" i="5"/>
  <c r="Q652" i="5" s="1"/>
  <c r="R403" i="5"/>
  <c r="Q434" i="5" s="1"/>
  <c r="R509" i="5"/>
  <c r="Q543" i="5" s="1"/>
  <c r="Q544" i="5"/>
  <c r="Q545" i="5"/>
  <c r="Q538" i="5"/>
  <c r="Q541" i="5"/>
  <c r="Q542" i="5"/>
  <c r="Q539" i="5"/>
  <c r="Q329" i="5"/>
  <c r="Q332" i="5"/>
  <c r="Q330" i="5"/>
  <c r="Q326" i="5"/>
  <c r="Q333" i="5"/>
  <c r="Q327" i="5"/>
  <c r="U17" i="19"/>
  <c r="S17" i="19" s="1"/>
  <c r="H578" i="5"/>
  <c r="H196" i="5"/>
  <c r="H195" i="5" s="1"/>
  <c r="H154" i="5"/>
  <c r="S29" i="5"/>
  <c r="S721" i="5" s="1"/>
  <c r="H309" i="5"/>
  <c r="H308" i="5" s="1"/>
  <c r="H627" i="5"/>
  <c r="H626" i="5" s="1"/>
  <c r="H620" i="5"/>
  <c r="H619" i="5" s="1"/>
  <c r="H394" i="5"/>
  <c r="H393" i="5" s="1"/>
  <c r="H76" i="5"/>
  <c r="H75" i="5" s="1"/>
  <c r="H331" i="5"/>
  <c r="H330" i="5" s="1"/>
  <c r="H366" i="5"/>
  <c r="H288" i="5"/>
  <c r="H287" i="5" s="1"/>
  <c r="H182" i="5"/>
  <c r="H181" i="5" s="1"/>
  <c r="H203" i="5"/>
  <c r="H202" i="5" s="1"/>
  <c r="H472" i="5"/>
  <c r="H260" i="5"/>
  <c r="H543" i="5"/>
  <c r="H542" i="5" s="1"/>
  <c r="H302" i="5"/>
  <c r="H301" i="5" s="1"/>
  <c r="H521" i="5"/>
  <c r="H520" i="5" s="1"/>
  <c r="H97" i="5"/>
  <c r="H96" i="5" s="1"/>
  <c r="H225" i="5"/>
  <c r="H224" i="5" s="1"/>
  <c r="H415" i="5"/>
  <c r="H414" i="5" s="1"/>
  <c r="H514" i="5"/>
  <c r="H513" i="5" s="1"/>
  <c r="H649" i="5"/>
  <c r="H648" i="5" s="1"/>
  <c r="H90" i="5"/>
  <c r="H89" i="5" s="1"/>
  <c r="H592" i="5"/>
  <c r="H591" i="5" s="1"/>
  <c r="H168" i="5"/>
  <c r="H167" i="5" s="1"/>
  <c r="H380" i="5"/>
  <c r="H379" i="5" s="1"/>
  <c r="H437" i="5"/>
  <c r="H436" i="5" s="1"/>
  <c r="H500" i="5"/>
  <c r="H499" i="5" s="1"/>
  <c r="H274" i="5"/>
  <c r="H273" i="5" s="1"/>
  <c r="H408" i="5"/>
  <c r="H407" i="5" s="1"/>
  <c r="H606" i="5"/>
  <c r="H605" i="5" s="1"/>
  <c r="H48" i="5"/>
  <c r="H119" i="5"/>
  <c r="H118" i="5" s="1"/>
  <c r="H62" i="5"/>
  <c r="H61" i="5" s="1"/>
  <c r="H486" i="5"/>
  <c r="H485" i="5" s="1"/>
  <c r="P105" i="5"/>
  <c r="M15" i="1" s="1"/>
  <c r="F24" i="13"/>
  <c r="Q438" i="5"/>
  <c r="Q435" i="5"/>
  <c r="Q432" i="5"/>
  <c r="Q436" i="5"/>
  <c r="Q439" i="5"/>
  <c r="Q433" i="5"/>
  <c r="Q224" i="5"/>
  <c r="Q223" i="5"/>
  <c r="Q221" i="5"/>
  <c r="Q226" i="5"/>
  <c r="Q220" i="5"/>
  <c r="Q227" i="5"/>
  <c r="P210" i="5"/>
  <c r="Q644" i="5"/>
  <c r="Q647" i="5"/>
  <c r="Q650" i="5"/>
  <c r="Q648" i="5"/>
  <c r="Q651" i="5"/>
  <c r="Q645" i="5"/>
  <c r="F17" i="16"/>
  <c r="G17" i="16" s="1"/>
  <c r="P528" i="5"/>
  <c r="P634" i="5"/>
  <c r="O213" i="5"/>
  <c r="L14" i="11"/>
  <c r="Q118" i="5"/>
  <c r="Q120" i="5"/>
  <c r="Q121" i="5"/>
  <c r="Q115" i="5"/>
  <c r="Q114" i="5"/>
  <c r="Q117" i="5"/>
  <c r="F25" i="12"/>
  <c r="G14" i="12"/>
  <c r="J13" i="19"/>
  <c r="K13" i="19"/>
  <c r="K12" i="19"/>
  <c r="J12" i="19"/>
  <c r="N19" i="19"/>
  <c r="O19" i="19"/>
  <c r="B19" i="11"/>
  <c r="K25" i="19"/>
  <c r="J25" i="19"/>
  <c r="G14" i="14"/>
  <c r="E25" i="1"/>
  <c r="O9" i="19"/>
  <c r="G18" i="19"/>
  <c r="F18" i="19"/>
  <c r="F12" i="19"/>
  <c r="G12" i="19"/>
  <c r="C14" i="19"/>
  <c r="B14" i="19"/>
  <c r="D53" i="16"/>
  <c r="M50" i="19"/>
  <c r="O10" i="19"/>
  <c r="N10" i="19"/>
  <c r="G17" i="19"/>
  <c r="F17" i="19"/>
  <c r="B23" i="19"/>
  <c r="C23" i="19"/>
  <c r="K10" i="19"/>
  <c r="J10" i="19"/>
  <c r="B42" i="16"/>
  <c r="E39" i="19"/>
  <c r="N24" i="19"/>
  <c r="O24" i="19"/>
  <c r="D25" i="13"/>
  <c r="E48" i="16"/>
  <c r="Q45" i="19"/>
  <c r="K20" i="19"/>
  <c r="J20" i="19"/>
  <c r="I29" i="19"/>
  <c r="C25" i="1"/>
  <c r="B15" i="13"/>
  <c r="B19" i="13" s="1"/>
  <c r="J17" i="13"/>
  <c r="C57" i="16"/>
  <c r="I54" i="19"/>
  <c r="B20" i="19"/>
  <c r="C20" i="19"/>
  <c r="B9" i="19"/>
  <c r="C9" i="19"/>
  <c r="C42" i="16"/>
  <c r="I39" i="19"/>
  <c r="N14" i="19"/>
  <c r="O14" i="19"/>
  <c r="F14" i="19"/>
  <c r="G14" i="19"/>
  <c r="B54" i="16"/>
  <c r="E51" i="19"/>
  <c r="N22" i="19"/>
  <c r="O22" i="19"/>
  <c r="K40" i="22"/>
  <c r="M38" i="19"/>
  <c r="D41" i="16"/>
  <c r="B41" i="16"/>
  <c r="E38" i="19"/>
  <c r="Q46" i="19"/>
  <c r="E49" i="16"/>
  <c r="G20" i="19"/>
  <c r="F20" i="19"/>
  <c r="K17" i="12"/>
  <c r="C15" i="12"/>
  <c r="C19" i="12" s="1"/>
  <c r="J21" i="19"/>
  <c r="K21" i="19"/>
  <c r="Q37" i="19"/>
  <c r="E40" i="16"/>
  <c r="B15" i="14"/>
  <c r="J17" i="14"/>
  <c r="C8" i="19"/>
  <c r="B8" i="19"/>
  <c r="E26" i="19"/>
  <c r="C49" i="16"/>
  <c r="I46" i="19"/>
  <c r="L51" i="22"/>
  <c r="C89" i="22" s="1"/>
  <c r="N94" i="23"/>
  <c r="C10" i="19"/>
  <c r="B10" i="19"/>
  <c r="I45" i="19"/>
  <c r="C48" i="16"/>
  <c r="M45" i="19"/>
  <c r="D48" i="16"/>
  <c r="B16" i="19"/>
  <c r="C16" i="19"/>
  <c r="C18" i="19"/>
  <c r="B18" i="19"/>
  <c r="K11" i="19"/>
  <c r="J11" i="19"/>
  <c r="J9" i="19"/>
  <c r="K9" i="19"/>
  <c r="B25" i="13"/>
  <c r="B19" i="19"/>
  <c r="C19" i="19"/>
  <c r="C45" i="16"/>
  <c r="I42" i="19"/>
  <c r="B49" i="16"/>
  <c r="E46" i="19"/>
  <c r="B12" i="19"/>
  <c r="C12" i="19"/>
  <c r="B25" i="19"/>
  <c r="C25" i="19"/>
  <c r="B45" i="16"/>
  <c r="E42" i="19"/>
  <c r="S16" i="19"/>
  <c r="R16" i="19"/>
  <c r="K51" i="22"/>
  <c r="B89" i="22" s="1"/>
  <c r="M94" i="23"/>
  <c r="D57" i="16"/>
  <c r="M54" i="19"/>
  <c r="G21" i="19"/>
  <c r="F21" i="19"/>
  <c r="O23" i="19"/>
  <c r="N23" i="19"/>
  <c r="J22" i="19"/>
  <c r="K22" i="19"/>
  <c r="N8" i="19"/>
  <c r="O8" i="19"/>
  <c r="M37" i="19"/>
  <c r="B40" i="16"/>
  <c r="E37" i="19"/>
  <c r="F11" i="19"/>
  <c r="G11" i="19"/>
  <c r="G16" i="19"/>
  <c r="F16" i="19"/>
  <c r="E25" i="12"/>
  <c r="J23" i="19"/>
  <c r="K23" i="19"/>
  <c r="N20" i="19"/>
  <c r="O20" i="19"/>
  <c r="B25" i="1"/>
  <c r="E29" i="19"/>
  <c r="C52" i="20"/>
  <c r="C74" i="20"/>
  <c r="D62" i="20"/>
  <c r="D52" i="20"/>
  <c r="D68" i="20"/>
  <c r="C48" i="20"/>
  <c r="C54" i="20"/>
  <c r="C58" i="20"/>
  <c r="D64" i="20"/>
  <c r="C50" i="20"/>
  <c r="C62" i="20"/>
  <c r="E48" i="20"/>
  <c r="C68" i="20"/>
  <c r="C46" i="20"/>
  <c r="D46" i="20"/>
  <c r="E68" i="20"/>
  <c r="E50" i="20"/>
  <c r="E62" i="20"/>
  <c r="G56" i="20"/>
  <c r="D50" i="20"/>
  <c r="D54" i="20"/>
  <c r="E54" i="20"/>
  <c r="D70" i="20"/>
  <c r="D56" i="20"/>
  <c r="C66" i="20"/>
  <c r="C56" i="20"/>
  <c r="C60" i="20"/>
  <c r="E56" i="20"/>
  <c r="C64" i="20"/>
  <c r="E74" i="20"/>
  <c r="D74" i="20"/>
  <c r="D60" i="20"/>
  <c r="D48" i="20"/>
  <c r="E60" i="20"/>
  <c r="D66" i="20"/>
  <c r="C70" i="20"/>
  <c r="E72" i="20"/>
  <c r="E66" i="20"/>
  <c r="C72" i="20"/>
  <c r="D72" i="20"/>
  <c r="D58" i="20"/>
  <c r="F25" i="19"/>
  <c r="G25" i="19"/>
  <c r="C17" i="19"/>
  <c r="B17" i="19"/>
  <c r="E40" i="19"/>
  <c r="B43" i="16"/>
  <c r="J17" i="19"/>
  <c r="K17" i="19"/>
  <c r="N11" i="19"/>
  <c r="O11" i="19"/>
  <c r="K14" i="19"/>
  <c r="J14" i="19"/>
  <c r="K18" i="19"/>
  <c r="J18" i="19"/>
  <c r="E41" i="16"/>
  <c r="K24" i="19"/>
  <c r="J24" i="19"/>
  <c r="O15" i="19"/>
  <c r="N15" i="19"/>
  <c r="B21" i="19"/>
  <c r="C21" i="19"/>
  <c r="Q51" i="19"/>
  <c r="E54" i="16"/>
  <c r="AD8" i="5"/>
  <c r="AD9" i="5" s="1"/>
  <c r="B46" i="16"/>
  <c r="F15" i="19"/>
  <c r="G15" i="19"/>
  <c r="G22" i="19"/>
  <c r="F22" i="19"/>
  <c r="J19" i="19"/>
  <c r="K19" i="19"/>
  <c r="F23" i="19"/>
  <c r="G23" i="19"/>
  <c r="B15" i="12"/>
  <c r="B19" i="12" s="1"/>
  <c r="J17" i="12"/>
  <c r="M41" i="19"/>
  <c r="D44" i="16"/>
  <c r="B25" i="14"/>
  <c r="N18" i="19"/>
  <c r="O18" i="19"/>
  <c r="G19" i="19"/>
  <c r="F19" i="19"/>
  <c r="J8" i="19"/>
  <c r="K8" i="19"/>
  <c r="M26" i="19"/>
  <c r="C24" i="19"/>
  <c r="B24" i="19"/>
  <c r="K15" i="19"/>
  <c r="J15" i="19"/>
  <c r="E25" i="14"/>
  <c r="E52" i="19"/>
  <c r="B55" i="16"/>
  <c r="D42" i="16"/>
  <c r="M39" i="19"/>
  <c r="G9" i="19"/>
  <c r="F9" i="19"/>
  <c r="K16" i="19"/>
  <c r="J16" i="19"/>
  <c r="B15" i="19"/>
  <c r="C15" i="19"/>
  <c r="F24" i="19"/>
  <c r="G24" i="19"/>
  <c r="F13" i="19"/>
  <c r="G13" i="19"/>
  <c r="B44" i="16"/>
  <c r="E41" i="19"/>
  <c r="G8" i="19"/>
  <c r="F8" i="19"/>
  <c r="I26" i="19"/>
  <c r="B11" i="19"/>
  <c r="C11" i="19"/>
  <c r="D49" i="16"/>
  <c r="M46" i="19"/>
  <c r="O17" i="19"/>
  <c r="N17" i="19"/>
  <c r="G10" i="19"/>
  <c r="F10" i="19"/>
  <c r="B13" i="19"/>
  <c r="C13" i="19"/>
  <c r="E46" i="16"/>
  <c r="E25" i="13"/>
  <c r="E14" i="15"/>
  <c r="B22" i="19"/>
  <c r="C22" i="19"/>
  <c r="M29" i="19"/>
  <c r="G207" i="5"/>
  <c r="F14" i="11" s="1"/>
  <c r="G101" i="5"/>
  <c r="F14" i="1" s="1"/>
  <c r="E61" i="16" l="1"/>
  <c r="B22" i="12"/>
  <c r="E44" i="19" s="1"/>
  <c r="S726" i="5"/>
  <c r="Q757" i="5"/>
  <c r="Q756" i="5"/>
  <c r="F151" i="5"/>
  <c r="B21" i="30"/>
  <c r="B58" i="16" s="1"/>
  <c r="M49" i="19"/>
  <c r="K49" i="19" s="1"/>
  <c r="Q44" i="19"/>
  <c r="I57" i="19"/>
  <c r="G14" i="15"/>
  <c r="E28" i="12"/>
  <c r="D55" i="16"/>
  <c r="Y67" i="19"/>
  <c r="Z65" i="19"/>
  <c r="Z67" i="19" s="1"/>
  <c r="Z78" i="19"/>
  <c r="Z76" i="19"/>
  <c r="P742" i="5"/>
  <c r="M16" i="30" s="1"/>
  <c r="E53" i="30" s="1"/>
  <c r="D56" i="16"/>
  <c r="K26" i="22"/>
  <c r="B83" i="22" s="1"/>
  <c r="B85" i="22" s="1"/>
  <c r="E82" i="19"/>
  <c r="C82" i="19" s="1"/>
  <c r="C28" i="15"/>
  <c r="C29" i="15" s="1"/>
  <c r="E26" i="16"/>
  <c r="E29" i="16" s="1"/>
  <c r="P46" i="20"/>
  <c r="F46" i="20" s="1"/>
  <c r="F47" i="20" s="1"/>
  <c r="F4" i="20" s="1"/>
  <c r="Q57" i="19"/>
  <c r="O57" i="19" s="1"/>
  <c r="D28" i="14"/>
  <c r="M51" i="19"/>
  <c r="K51" i="19" s="1"/>
  <c r="J34" i="16"/>
  <c r="E11" i="30"/>
  <c r="L17" i="15"/>
  <c r="D28" i="11"/>
  <c r="D43" i="16"/>
  <c r="D61" i="16"/>
  <c r="C61" i="16"/>
  <c r="C89" i="16"/>
  <c r="C6" i="33" s="1"/>
  <c r="D28" i="1"/>
  <c r="Q758" i="5"/>
  <c r="Q742" i="5" s="1"/>
  <c r="C63" i="16"/>
  <c r="C35" i="24"/>
  <c r="C36" i="24" s="1"/>
  <c r="I55" i="19"/>
  <c r="F55" i="19" s="1"/>
  <c r="F34" i="16"/>
  <c r="G34" i="16" s="1"/>
  <c r="D55" i="15"/>
  <c r="F22" i="30"/>
  <c r="F59" i="16" s="1"/>
  <c r="G59" i="16" s="1"/>
  <c r="E57" i="19"/>
  <c r="C57" i="19" s="1"/>
  <c r="K34" i="16"/>
  <c r="M743" i="5"/>
  <c r="P52" i="20"/>
  <c r="F52" i="20" s="1"/>
  <c r="F9" i="20" s="1"/>
  <c r="E28" i="30"/>
  <c r="L26" i="22"/>
  <c r="C83" i="22" s="1"/>
  <c r="C85" i="22" s="1"/>
  <c r="I82" i="19"/>
  <c r="G82" i="19" s="1"/>
  <c r="K17" i="15"/>
  <c r="G27" i="16"/>
  <c r="F32" i="16"/>
  <c r="D28" i="15"/>
  <c r="D29" i="15" s="1"/>
  <c r="C55" i="30"/>
  <c r="D63" i="16"/>
  <c r="D90" i="16"/>
  <c r="D7" i="33" s="1"/>
  <c r="P58" i="20"/>
  <c r="F58" i="20" s="1"/>
  <c r="F15" i="20" s="1"/>
  <c r="G681" i="5"/>
  <c r="C90" i="16"/>
  <c r="C7" i="33" s="1"/>
  <c r="D26" i="16"/>
  <c r="D29" i="16" s="1"/>
  <c r="D21" i="30"/>
  <c r="D11" i="30"/>
  <c r="G8" i="30"/>
  <c r="G11" i="30" s="1"/>
  <c r="F21" i="30"/>
  <c r="F26" i="16"/>
  <c r="F11" i="30"/>
  <c r="F55" i="22"/>
  <c r="G55" i="22" s="1"/>
  <c r="M80" i="19"/>
  <c r="D87" i="16"/>
  <c r="G87" i="16" s="1"/>
  <c r="O743" i="5"/>
  <c r="G64" i="9"/>
  <c r="G23" i="30"/>
  <c r="E32" i="16"/>
  <c r="H681" i="5"/>
  <c r="H683" i="5"/>
  <c r="F469" i="5"/>
  <c r="F681" i="5"/>
  <c r="N743" i="5"/>
  <c r="B89" i="16"/>
  <c r="B6" i="33" s="1"/>
  <c r="E53" i="19"/>
  <c r="C53" i="19" s="1"/>
  <c r="F26" i="15"/>
  <c r="G26" i="15" s="1"/>
  <c r="F25" i="15"/>
  <c r="Q49" i="19"/>
  <c r="N49" i="19" s="1"/>
  <c r="C62" i="16"/>
  <c r="D62" i="16"/>
  <c r="B57" i="16"/>
  <c r="B63" i="16"/>
  <c r="D64" i="16"/>
  <c r="B61" i="16"/>
  <c r="G27" i="15"/>
  <c r="F64" i="16"/>
  <c r="F61" i="16"/>
  <c r="B28" i="15"/>
  <c r="B62" i="16"/>
  <c r="G60" i="16"/>
  <c r="E63" i="16"/>
  <c r="D55" i="30"/>
  <c r="C28" i="30"/>
  <c r="G24" i="30"/>
  <c r="G25" i="30"/>
  <c r="B55" i="30"/>
  <c r="G10" i="1"/>
  <c r="B7" i="17" s="1"/>
  <c r="M16" i="15"/>
  <c r="E53" i="15" s="1"/>
  <c r="M15" i="15"/>
  <c r="E52" i="15" s="1"/>
  <c r="E52" i="30"/>
  <c r="B28" i="30"/>
  <c r="B19" i="30"/>
  <c r="L17" i="30"/>
  <c r="D19" i="30"/>
  <c r="C19" i="30"/>
  <c r="K17" i="30"/>
  <c r="G26" i="30"/>
  <c r="E19" i="30"/>
  <c r="J17" i="30"/>
  <c r="G27" i="30"/>
  <c r="N21" i="19"/>
  <c r="P21" i="19" s="1"/>
  <c r="B28" i="14"/>
  <c r="P60" i="20"/>
  <c r="F60" i="20" s="1"/>
  <c r="F17" i="20" s="1"/>
  <c r="Q42" i="19"/>
  <c r="O42" i="19" s="1"/>
  <c r="G24" i="15"/>
  <c r="C28" i="14"/>
  <c r="E28" i="14"/>
  <c r="I47" i="19"/>
  <c r="G47" i="19" s="1"/>
  <c r="M42" i="19"/>
  <c r="J42" i="19" s="1"/>
  <c r="C28" i="13"/>
  <c r="C56" i="13" s="1"/>
  <c r="C65" i="13" s="1"/>
  <c r="E28" i="13"/>
  <c r="B28" i="12"/>
  <c r="D28" i="13"/>
  <c r="D29" i="13" s="1"/>
  <c r="E50" i="16"/>
  <c r="B28" i="13"/>
  <c r="B29" i="13" s="1"/>
  <c r="F49" i="16"/>
  <c r="G49" i="16" s="1"/>
  <c r="Q47" i="19"/>
  <c r="N47" i="19" s="1"/>
  <c r="D46" i="16"/>
  <c r="E53" i="16"/>
  <c r="N13" i="19"/>
  <c r="P13" i="19" s="1"/>
  <c r="D45" i="16"/>
  <c r="Q62" i="20"/>
  <c r="G62" i="20" s="1"/>
  <c r="G19" i="20" s="1"/>
  <c r="M44" i="19"/>
  <c r="K44" i="19" s="1"/>
  <c r="S10" i="19"/>
  <c r="X10" i="19" s="1"/>
  <c r="F10" i="16"/>
  <c r="G10" i="16" s="1"/>
  <c r="D82" i="22"/>
  <c r="O425" i="5"/>
  <c r="C28" i="12"/>
  <c r="C29" i="12" s="1"/>
  <c r="L17" i="13"/>
  <c r="F23" i="1"/>
  <c r="F42" i="16" s="1"/>
  <c r="G42" i="16" s="1"/>
  <c r="Q58" i="20"/>
  <c r="G58" i="20" s="1"/>
  <c r="G15" i="20" s="1"/>
  <c r="D28" i="12"/>
  <c r="Q116" i="5"/>
  <c r="Q104" i="5" s="1"/>
  <c r="N14" i="1" s="1"/>
  <c r="P123" i="5"/>
  <c r="Q646" i="5"/>
  <c r="Q634" i="5" s="1"/>
  <c r="I48" i="19"/>
  <c r="G48" i="19" s="1"/>
  <c r="N25" i="19"/>
  <c r="P25" i="19" s="1"/>
  <c r="O12" i="19"/>
  <c r="P12" i="19" s="1"/>
  <c r="K17" i="13"/>
  <c r="B28" i="1"/>
  <c r="P653" i="5"/>
  <c r="C28" i="1"/>
  <c r="C29" i="1" s="1"/>
  <c r="P68" i="20"/>
  <c r="F68" i="20" s="1"/>
  <c r="F25" i="20" s="1"/>
  <c r="E28" i="1"/>
  <c r="P62" i="20"/>
  <c r="F62" i="20" s="1"/>
  <c r="F19" i="20" s="1"/>
  <c r="C28" i="11"/>
  <c r="C29" i="11" s="1"/>
  <c r="E28" i="11"/>
  <c r="G24" i="11"/>
  <c r="I50" i="19"/>
  <c r="F50" i="19" s="1"/>
  <c r="E43" i="16"/>
  <c r="O107" i="5"/>
  <c r="L35" i="16"/>
  <c r="G23" i="16"/>
  <c r="P547" i="5"/>
  <c r="G24" i="1"/>
  <c r="P441" i="5"/>
  <c r="C47" i="16"/>
  <c r="E55" i="16"/>
  <c r="I49" i="19"/>
  <c r="G49" i="19" s="1"/>
  <c r="B47" i="16"/>
  <c r="Q48" i="19"/>
  <c r="O48" i="19" s="1"/>
  <c r="B51" i="16"/>
  <c r="I41" i="19"/>
  <c r="F41" i="19" s="1"/>
  <c r="I53" i="19"/>
  <c r="F53" i="19" s="1"/>
  <c r="I51" i="19"/>
  <c r="G51" i="19" s="1"/>
  <c r="I40" i="19"/>
  <c r="G40" i="19" s="1"/>
  <c r="M48" i="19"/>
  <c r="K48" i="19" s="1"/>
  <c r="I38" i="19"/>
  <c r="G38" i="19" s="1"/>
  <c r="E56" i="16"/>
  <c r="F22" i="14"/>
  <c r="F53" i="16" s="1"/>
  <c r="F21" i="16"/>
  <c r="G21" i="16" s="1"/>
  <c r="D52" i="1"/>
  <c r="D52" i="24" s="1"/>
  <c r="D53" i="24" s="1"/>
  <c r="D50" i="16"/>
  <c r="P335" i="5"/>
  <c r="M26" i="22"/>
  <c r="D83" i="22" s="1"/>
  <c r="F21" i="15"/>
  <c r="F55" i="16" s="1"/>
  <c r="P106" i="5"/>
  <c r="M16" i="1" s="1"/>
  <c r="E53" i="1" s="1"/>
  <c r="Q54" i="19"/>
  <c r="O54" i="19" s="1"/>
  <c r="F363" i="5"/>
  <c r="C46" i="16"/>
  <c r="P229" i="5"/>
  <c r="Q222" i="5"/>
  <c r="Q210" i="5" s="1"/>
  <c r="L34" i="16"/>
  <c r="P424" i="5"/>
  <c r="M16" i="13" s="1"/>
  <c r="E53" i="13" s="1"/>
  <c r="E55" i="13" s="1"/>
  <c r="U23" i="19"/>
  <c r="S23" i="19" s="1"/>
  <c r="X23" i="19" s="1"/>
  <c r="G8" i="15"/>
  <c r="L35" i="24"/>
  <c r="L36" i="24" s="1"/>
  <c r="K35" i="24"/>
  <c r="K36" i="24" s="1"/>
  <c r="Q328" i="5"/>
  <c r="Q225" i="5"/>
  <c r="Q334" i="5"/>
  <c r="Q318" i="5" s="1"/>
  <c r="N16" i="12" s="1"/>
  <c r="F53" i="12" s="1"/>
  <c r="G53" i="12" s="1"/>
  <c r="Q649" i="5"/>
  <c r="Q635" i="5" s="1"/>
  <c r="Q440" i="5"/>
  <c r="Q424" i="5" s="1"/>
  <c r="N16" i="13" s="1"/>
  <c r="F53" i="13" s="1"/>
  <c r="Q119" i="5"/>
  <c r="Q105" i="5" s="1"/>
  <c r="N15" i="1" s="1"/>
  <c r="F52" i="1" s="1"/>
  <c r="Q437" i="5"/>
  <c r="Q423" i="5" s="1"/>
  <c r="N15" i="13" s="1"/>
  <c r="F52" i="13" s="1"/>
  <c r="Q546" i="5"/>
  <c r="Q530" i="5" s="1"/>
  <c r="N16" i="14" s="1"/>
  <c r="F53" i="14" s="1"/>
  <c r="G53" i="14" s="1"/>
  <c r="Q540" i="5"/>
  <c r="Q528" i="5" s="1"/>
  <c r="O110" i="23"/>
  <c r="D84" i="22"/>
  <c r="E47" i="19"/>
  <c r="B47" i="19" s="1"/>
  <c r="I37" i="19"/>
  <c r="F37" i="19" s="1"/>
  <c r="C55" i="16"/>
  <c r="C32" i="19"/>
  <c r="D32" i="19" s="1"/>
  <c r="K32" i="19"/>
  <c r="L32" i="19" s="1"/>
  <c r="G21" i="22"/>
  <c r="G12" i="16"/>
  <c r="B57" i="22"/>
  <c r="C15" i="14"/>
  <c r="C19" i="14" s="1"/>
  <c r="E50" i="19"/>
  <c r="C50" i="19" s="1"/>
  <c r="K33" i="16"/>
  <c r="O94" i="23"/>
  <c r="E45" i="19"/>
  <c r="C45" i="19" s="1"/>
  <c r="C28" i="22"/>
  <c r="C33" i="22" s="1"/>
  <c r="C34" i="22" s="1"/>
  <c r="D57" i="22"/>
  <c r="O66" i="23"/>
  <c r="M37" i="22"/>
  <c r="D28" i="22" s="1"/>
  <c r="D33" i="22" s="1"/>
  <c r="D34" i="22" s="1"/>
  <c r="O50" i="23"/>
  <c r="C55" i="11"/>
  <c r="C57" i="22"/>
  <c r="P106" i="23"/>
  <c r="P92" i="23" s="1"/>
  <c r="N52" i="22" s="1"/>
  <c r="N31" i="19"/>
  <c r="P31" i="19" s="1"/>
  <c r="U21" i="19"/>
  <c r="P62" i="23"/>
  <c r="P48" i="23" s="1"/>
  <c r="N38" i="22" s="1"/>
  <c r="P109" i="23"/>
  <c r="P93" i="23" s="1"/>
  <c r="N53" i="22" s="1"/>
  <c r="P65" i="23"/>
  <c r="P49" i="23" s="1"/>
  <c r="N39" i="22" s="1"/>
  <c r="B52" i="16"/>
  <c r="I52" i="19"/>
  <c r="F52" i="19" s="1"/>
  <c r="F40" i="22"/>
  <c r="G40" i="22" s="1"/>
  <c r="Q48" i="20"/>
  <c r="G48" i="20" s="1"/>
  <c r="G5" i="20" s="1"/>
  <c r="Q50" i="20"/>
  <c r="G50" i="20" s="1"/>
  <c r="G7" i="20" s="1"/>
  <c r="I83" i="19"/>
  <c r="G83" i="19" s="1"/>
  <c r="K52" i="24"/>
  <c r="K53" i="24" s="1"/>
  <c r="Q39" i="19"/>
  <c r="N39" i="19" s="1"/>
  <c r="D34" i="24"/>
  <c r="G34" i="24" s="1"/>
  <c r="G50" i="1"/>
  <c r="D63" i="1"/>
  <c r="E57" i="22"/>
  <c r="C28" i="19"/>
  <c r="D28" i="19" s="1"/>
  <c r="M83" i="19"/>
  <c r="J83" i="19" s="1"/>
  <c r="C52" i="24"/>
  <c r="C53" i="24" s="1"/>
  <c r="E52" i="11"/>
  <c r="Q41" i="19"/>
  <c r="N41" i="19" s="1"/>
  <c r="E53" i="11"/>
  <c r="D55" i="11"/>
  <c r="C66" i="9"/>
  <c r="G66" i="9" s="1"/>
  <c r="G63" i="8"/>
  <c r="C63" i="1"/>
  <c r="C66" i="8"/>
  <c r="E64" i="8"/>
  <c r="E63" i="1" s="1"/>
  <c r="E108" i="16" s="1"/>
  <c r="E5" i="33" s="1"/>
  <c r="F64" i="8"/>
  <c r="F66" i="8" s="1"/>
  <c r="H80" i="19"/>
  <c r="J80" i="19"/>
  <c r="K80" i="19"/>
  <c r="G21" i="13"/>
  <c r="G16" i="16"/>
  <c r="J28" i="19"/>
  <c r="L28" i="19" s="1"/>
  <c r="L31" i="19"/>
  <c r="G9" i="11"/>
  <c r="G28" i="19"/>
  <c r="H28" i="19" s="1"/>
  <c r="U12" i="19"/>
  <c r="F22" i="11"/>
  <c r="F44" i="16" s="1"/>
  <c r="G44" i="16" s="1"/>
  <c r="Q26" i="19"/>
  <c r="G14" i="13"/>
  <c r="M55" i="19"/>
  <c r="J55" i="19" s="1"/>
  <c r="U31" i="19"/>
  <c r="G24" i="12"/>
  <c r="N16" i="19"/>
  <c r="P16" i="19" s="1"/>
  <c r="G16" i="12"/>
  <c r="Q55" i="19"/>
  <c r="N55" i="19" s="1"/>
  <c r="G24" i="14"/>
  <c r="O28" i="19"/>
  <c r="P28" i="19" s="1"/>
  <c r="R28" i="19"/>
  <c r="T28" i="19" s="1"/>
  <c r="N32" i="19"/>
  <c r="P32" i="19" s="1"/>
  <c r="H173" i="5"/>
  <c r="H178" i="5"/>
  <c r="D15" i="12"/>
  <c r="D19" i="12" s="1"/>
  <c r="E55" i="12"/>
  <c r="D15" i="14"/>
  <c r="D19" i="14" s="1"/>
  <c r="E55" i="14"/>
  <c r="J17" i="15"/>
  <c r="B15" i="15"/>
  <c r="B19" i="15" s="1"/>
  <c r="J33" i="16"/>
  <c r="B29" i="11"/>
  <c r="Q529" i="5"/>
  <c r="N15" i="14" s="1"/>
  <c r="F52" i="14" s="1"/>
  <c r="G52" i="14" s="1"/>
  <c r="D66" i="4"/>
  <c r="C80" i="19"/>
  <c r="B80" i="19"/>
  <c r="B66" i="4"/>
  <c r="B63" i="1"/>
  <c r="B108" i="16" s="1"/>
  <c r="B5" i="33" s="1"/>
  <c r="G64" i="4"/>
  <c r="F66" i="4"/>
  <c r="G35" i="16"/>
  <c r="G31" i="16"/>
  <c r="R31" i="23"/>
  <c r="S29" i="23"/>
  <c r="S31" i="23" s="1"/>
  <c r="S9" i="23"/>
  <c r="S28" i="23"/>
  <c r="S7" i="23"/>
  <c r="S72" i="23"/>
  <c r="S8" i="23"/>
  <c r="Q57" i="23"/>
  <c r="Q58" i="23"/>
  <c r="Q64" i="23"/>
  <c r="Q60" i="23"/>
  <c r="Q61" i="23"/>
  <c r="Q63" i="23"/>
  <c r="P47" i="23"/>
  <c r="R8" i="23"/>
  <c r="R72" i="23"/>
  <c r="Q106" i="23" s="1"/>
  <c r="R9" i="23"/>
  <c r="R7" i="23"/>
  <c r="R28" i="23"/>
  <c r="Q65" i="23" s="1"/>
  <c r="F44" i="22"/>
  <c r="G44" i="22" s="1"/>
  <c r="P91" i="23"/>
  <c r="Q108" i="23"/>
  <c r="Q105" i="23"/>
  <c r="Q102" i="23"/>
  <c r="Q104" i="23"/>
  <c r="Q101" i="23"/>
  <c r="Q107" i="23"/>
  <c r="E55" i="19"/>
  <c r="B55" i="19" s="1"/>
  <c r="G26" i="1"/>
  <c r="F32" i="19"/>
  <c r="H32" i="19" s="1"/>
  <c r="L33" i="16"/>
  <c r="Q317" i="5"/>
  <c r="N15" i="12" s="1"/>
  <c r="F52" i="12" s="1"/>
  <c r="G52" i="12" s="1"/>
  <c r="E5" i="27"/>
  <c r="E5" i="26"/>
  <c r="E5" i="29"/>
  <c r="E5" i="25"/>
  <c r="E5" i="28"/>
  <c r="F257" i="5"/>
  <c r="E257" i="5"/>
  <c r="E363" i="5"/>
  <c r="E575" i="5"/>
  <c r="E469" i="5"/>
  <c r="E151" i="5"/>
  <c r="E45" i="5"/>
  <c r="G23" i="14"/>
  <c r="F43" i="22"/>
  <c r="G43" i="22" s="1"/>
  <c r="B53" i="11"/>
  <c r="Q46" i="20"/>
  <c r="G46" i="20" s="1"/>
  <c r="G3" i="20" s="1"/>
  <c r="J35" i="16"/>
  <c r="J17" i="11"/>
  <c r="D15" i="19"/>
  <c r="H12" i="19"/>
  <c r="F11" i="13"/>
  <c r="L16" i="19"/>
  <c r="H24" i="19"/>
  <c r="F54" i="22"/>
  <c r="G54" i="22" s="1"/>
  <c r="F48" i="16"/>
  <c r="G48" i="16" s="1"/>
  <c r="G23" i="12"/>
  <c r="F38" i="22"/>
  <c r="G38" i="22" s="1"/>
  <c r="G24" i="13"/>
  <c r="F24" i="16"/>
  <c r="G24" i="16" s="1"/>
  <c r="F22" i="15"/>
  <c r="G9" i="15"/>
  <c r="U24" i="19"/>
  <c r="F14" i="16"/>
  <c r="G14" i="16" s="1"/>
  <c r="F11" i="12"/>
  <c r="F21" i="12"/>
  <c r="U14" i="19"/>
  <c r="G8" i="12"/>
  <c r="F13" i="16"/>
  <c r="G13" i="16" s="1"/>
  <c r="U13" i="19"/>
  <c r="G10" i="11"/>
  <c r="F23" i="11"/>
  <c r="F51" i="22"/>
  <c r="G51" i="22" s="1"/>
  <c r="G23" i="22"/>
  <c r="F53" i="22"/>
  <c r="G53" i="22" s="1"/>
  <c r="G25" i="22"/>
  <c r="F21" i="11"/>
  <c r="F11" i="11"/>
  <c r="F11" i="16"/>
  <c r="G11" i="16" s="1"/>
  <c r="G8" i="11"/>
  <c r="U11" i="19"/>
  <c r="F8" i="16"/>
  <c r="U8" i="19"/>
  <c r="F21" i="1"/>
  <c r="G8" i="1"/>
  <c r="F11" i="1"/>
  <c r="R22" i="19"/>
  <c r="T22" i="19" s="1"/>
  <c r="F45" i="5"/>
  <c r="F575" i="5"/>
  <c r="R32" i="19"/>
  <c r="T32" i="19" s="1"/>
  <c r="Q636" i="5"/>
  <c r="Q212" i="5"/>
  <c r="N16" i="11" s="1"/>
  <c r="F41" i="22"/>
  <c r="G41" i="22" s="1"/>
  <c r="G24" i="22"/>
  <c r="F52" i="22"/>
  <c r="G52" i="22" s="1"/>
  <c r="F22" i="1"/>
  <c r="F9" i="16"/>
  <c r="G9" i="16" s="1"/>
  <c r="G9" i="1"/>
  <c r="B6" i="17" s="1"/>
  <c r="U9" i="19"/>
  <c r="U19" i="19"/>
  <c r="F19" i="16"/>
  <c r="G19" i="16" s="1"/>
  <c r="G10" i="13"/>
  <c r="F23" i="13"/>
  <c r="E5" i="4"/>
  <c r="E5" i="8"/>
  <c r="E5" i="9"/>
  <c r="E6" i="1"/>
  <c r="E5" i="7"/>
  <c r="E5" i="10"/>
  <c r="G10" i="15"/>
  <c r="F25" i="16"/>
  <c r="G25" i="16" s="1"/>
  <c r="F23" i="15"/>
  <c r="U25" i="19"/>
  <c r="F11" i="14"/>
  <c r="F20" i="16"/>
  <c r="G20" i="16" s="1"/>
  <c r="U20" i="19"/>
  <c r="F21" i="14"/>
  <c r="G8" i="14"/>
  <c r="G11" i="14" s="1"/>
  <c r="G9" i="12"/>
  <c r="F15" i="16"/>
  <c r="G15" i="16" s="1"/>
  <c r="F22" i="12"/>
  <c r="U15" i="19"/>
  <c r="G18" i="22"/>
  <c r="F46" i="22"/>
  <c r="G46" i="22" s="1"/>
  <c r="F26" i="22"/>
  <c r="G8" i="22"/>
  <c r="F36" i="22"/>
  <c r="G36" i="22" s="1"/>
  <c r="F39" i="22"/>
  <c r="F42" i="22"/>
  <c r="G42" i="22" s="1"/>
  <c r="F50" i="22"/>
  <c r="G50" i="22" s="1"/>
  <c r="G22" i="22"/>
  <c r="F22" i="13"/>
  <c r="G9" i="13"/>
  <c r="F18" i="16"/>
  <c r="G18" i="16" s="1"/>
  <c r="U18" i="19"/>
  <c r="F37" i="22"/>
  <c r="G37" i="22" s="1"/>
  <c r="G9" i="22"/>
  <c r="F47" i="22"/>
  <c r="G47" i="22" s="1"/>
  <c r="G19" i="22"/>
  <c r="G17" i="22"/>
  <c r="F45" i="22"/>
  <c r="G45" i="22" s="1"/>
  <c r="G20" i="22"/>
  <c r="F48" i="22"/>
  <c r="G48" i="22" s="1"/>
  <c r="F11" i="15"/>
  <c r="D17" i="19"/>
  <c r="D10" i="19"/>
  <c r="L21" i="19"/>
  <c r="P15" i="19"/>
  <c r="H20" i="19"/>
  <c r="H22" i="19"/>
  <c r="L17" i="19"/>
  <c r="H25" i="19"/>
  <c r="P10" i="19"/>
  <c r="H259" i="5"/>
  <c r="H257" i="5"/>
  <c r="H30" i="20"/>
  <c r="J30" i="20" s="1"/>
  <c r="L9" i="19"/>
  <c r="D16" i="19"/>
  <c r="Q106" i="5"/>
  <c r="N16" i="1" s="1"/>
  <c r="P531" i="5"/>
  <c r="M14" i="14"/>
  <c r="Q422" i="5"/>
  <c r="M14" i="1"/>
  <c r="H469" i="5"/>
  <c r="H471" i="5"/>
  <c r="H365" i="5"/>
  <c r="H363" i="5"/>
  <c r="H151" i="5"/>
  <c r="H153" i="5"/>
  <c r="D15" i="11"/>
  <c r="L17" i="11"/>
  <c r="H10" i="19"/>
  <c r="P17" i="19"/>
  <c r="H9" i="19"/>
  <c r="H21" i="19"/>
  <c r="L11" i="19"/>
  <c r="R17" i="19"/>
  <c r="T17" i="19" s="1"/>
  <c r="P9" i="19"/>
  <c r="P213" i="5"/>
  <c r="M14" i="11"/>
  <c r="E52" i="1"/>
  <c r="H47" i="5"/>
  <c r="H45" i="5"/>
  <c r="M14" i="13"/>
  <c r="S27" i="5"/>
  <c r="S191" i="5"/>
  <c r="S28" i="5"/>
  <c r="S509" i="5"/>
  <c r="S26" i="5"/>
  <c r="S403" i="5"/>
  <c r="S85" i="5"/>
  <c r="S297" i="5"/>
  <c r="S615" i="5"/>
  <c r="D15" i="1"/>
  <c r="L17" i="1"/>
  <c r="L22" i="19"/>
  <c r="P637" i="5"/>
  <c r="M14" i="15"/>
  <c r="M14" i="12"/>
  <c r="P319" i="5"/>
  <c r="H577" i="5"/>
  <c r="H575" i="5"/>
  <c r="L25" i="19"/>
  <c r="P18" i="19"/>
  <c r="D23" i="19"/>
  <c r="D21" i="19"/>
  <c r="H8" i="19"/>
  <c r="H13" i="19"/>
  <c r="H16" i="19"/>
  <c r="H11" i="19"/>
  <c r="H14" i="19"/>
  <c r="D13" i="19"/>
  <c r="L23" i="19"/>
  <c r="D24" i="19"/>
  <c r="H15" i="19"/>
  <c r="P8" i="19"/>
  <c r="L15" i="19"/>
  <c r="D12" i="19"/>
  <c r="D8" i="19"/>
  <c r="P14" i="19"/>
  <c r="D9" i="19"/>
  <c r="L20" i="19"/>
  <c r="P24" i="19"/>
  <c r="D20" i="19"/>
  <c r="X22" i="19"/>
  <c r="L8" i="19"/>
  <c r="L18" i="19"/>
  <c r="L14" i="19"/>
  <c r="T16" i="19"/>
  <c r="L10" i="19"/>
  <c r="H17" i="19"/>
  <c r="D14" i="19"/>
  <c r="P19" i="19"/>
  <c r="L13" i="19"/>
  <c r="G25" i="12"/>
  <c r="M56" i="19"/>
  <c r="G25" i="14"/>
  <c r="G363" i="5"/>
  <c r="G151" i="5"/>
  <c r="G257" i="5"/>
  <c r="G575" i="5"/>
  <c r="G45" i="5"/>
  <c r="G469" i="5"/>
  <c r="C67" i="20"/>
  <c r="C24" i="20" s="1"/>
  <c r="C23" i="20"/>
  <c r="K37" i="19"/>
  <c r="J37" i="19"/>
  <c r="K40" i="19"/>
  <c r="J40" i="19"/>
  <c r="F25" i="11"/>
  <c r="K29" i="19"/>
  <c r="J29" i="19"/>
  <c r="B54" i="19"/>
  <c r="C54" i="19"/>
  <c r="C41" i="19"/>
  <c r="B41" i="19"/>
  <c r="J52" i="19"/>
  <c r="K52" i="19"/>
  <c r="J26" i="19"/>
  <c r="J43" i="19"/>
  <c r="K43" i="19"/>
  <c r="X17" i="19"/>
  <c r="F11" i="20"/>
  <c r="F55" i="20"/>
  <c r="F12" i="20" s="1"/>
  <c r="E67" i="20"/>
  <c r="E24" i="20" s="1"/>
  <c r="E23" i="20"/>
  <c r="E61" i="20"/>
  <c r="E18" i="20" s="1"/>
  <c r="E17" i="20"/>
  <c r="E31" i="20"/>
  <c r="E75" i="20"/>
  <c r="E32" i="20" s="1"/>
  <c r="C17" i="20"/>
  <c r="C61" i="20"/>
  <c r="C18" i="20" s="1"/>
  <c r="D71" i="20"/>
  <c r="D28" i="20" s="1"/>
  <c r="D27" i="20"/>
  <c r="D55" i="20"/>
  <c r="D12" i="20" s="1"/>
  <c r="D11" i="20"/>
  <c r="G13" i="20"/>
  <c r="G57" i="20"/>
  <c r="G14" i="20" s="1"/>
  <c r="E7" i="20"/>
  <c r="E51" i="20"/>
  <c r="E8" i="20" s="1"/>
  <c r="C63" i="20"/>
  <c r="C20" i="20" s="1"/>
  <c r="C19" i="20"/>
  <c r="D65" i="20"/>
  <c r="D22" i="20" s="1"/>
  <c r="D21" i="20"/>
  <c r="C49" i="20"/>
  <c r="C6" i="20" s="1"/>
  <c r="C5" i="20"/>
  <c r="D53" i="20"/>
  <c r="D10" i="20" s="1"/>
  <c r="D9" i="20"/>
  <c r="B29" i="19"/>
  <c r="C29" i="19"/>
  <c r="C44" i="19"/>
  <c r="B44" i="19"/>
  <c r="G26" i="19"/>
  <c r="B37" i="19"/>
  <c r="C37" i="19"/>
  <c r="D18" i="19"/>
  <c r="G46" i="19"/>
  <c r="F46" i="19"/>
  <c r="C38" i="19"/>
  <c r="B38" i="19"/>
  <c r="P22" i="19"/>
  <c r="F57" i="19"/>
  <c r="G57" i="19"/>
  <c r="G29" i="19"/>
  <c r="F29" i="19"/>
  <c r="N45" i="19"/>
  <c r="O45" i="19"/>
  <c r="F25" i="1"/>
  <c r="U29" i="19"/>
  <c r="J46" i="19"/>
  <c r="K46" i="19"/>
  <c r="D31" i="20"/>
  <c r="D75" i="20"/>
  <c r="D32" i="20" s="1"/>
  <c r="C3" i="20"/>
  <c r="C47" i="20"/>
  <c r="C4" i="20" s="1"/>
  <c r="C7" i="20"/>
  <c r="C51" i="20"/>
  <c r="C8" i="20" s="1"/>
  <c r="O50" i="19"/>
  <c r="N50" i="19"/>
  <c r="B39" i="19"/>
  <c r="C39" i="19"/>
  <c r="G54" i="16"/>
  <c r="G25" i="13"/>
  <c r="Q29" i="19"/>
  <c r="E25" i="15"/>
  <c r="E62" i="16" s="1"/>
  <c r="D11" i="19"/>
  <c r="F26" i="19"/>
  <c r="G9" i="20"/>
  <c r="G53" i="20"/>
  <c r="G10" i="20" s="1"/>
  <c r="O53" i="19"/>
  <c r="N53" i="19"/>
  <c r="J39" i="19"/>
  <c r="K39" i="19"/>
  <c r="K41" i="19"/>
  <c r="J41" i="19"/>
  <c r="G14" i="11"/>
  <c r="C40" i="19"/>
  <c r="B40" i="19"/>
  <c r="D15" i="20"/>
  <c r="D59" i="20"/>
  <c r="D16" i="20" s="1"/>
  <c r="D73" i="20"/>
  <c r="D30" i="20" s="1"/>
  <c r="D29" i="20"/>
  <c r="E29" i="20"/>
  <c r="E73" i="20"/>
  <c r="E30" i="20" s="1"/>
  <c r="D5" i="20"/>
  <c r="D49" i="20"/>
  <c r="D6" i="20" s="1"/>
  <c r="C21" i="20"/>
  <c r="C65" i="20"/>
  <c r="C22" i="20" s="1"/>
  <c r="G55" i="20"/>
  <c r="G12" i="20" s="1"/>
  <c r="G11" i="20"/>
  <c r="E25" i="20"/>
  <c r="E69" i="20"/>
  <c r="E26" i="20" s="1"/>
  <c r="C25" i="20"/>
  <c r="C69" i="20"/>
  <c r="C26" i="20" s="1"/>
  <c r="F13" i="20"/>
  <c r="F57" i="20"/>
  <c r="F14" i="20" s="1"/>
  <c r="C15" i="20"/>
  <c r="C59" i="20"/>
  <c r="C16" i="20" s="1"/>
  <c r="D19" i="20"/>
  <c r="D63" i="20"/>
  <c r="D20" i="20" s="1"/>
  <c r="E56" i="19"/>
  <c r="G44" i="19"/>
  <c r="F44" i="19"/>
  <c r="P23" i="19"/>
  <c r="J47" i="19"/>
  <c r="K47" i="19"/>
  <c r="K54" i="22"/>
  <c r="D25" i="19"/>
  <c r="B46" i="19"/>
  <c r="C46" i="19"/>
  <c r="C49" i="19"/>
  <c r="B49" i="19"/>
  <c r="G45" i="19"/>
  <c r="F45" i="19"/>
  <c r="C26" i="19"/>
  <c r="N37" i="19"/>
  <c r="O37" i="19"/>
  <c r="O52" i="19"/>
  <c r="N52" i="19"/>
  <c r="N46" i="19"/>
  <c r="O46" i="19"/>
  <c r="K38" i="19"/>
  <c r="J38" i="19"/>
  <c r="B28" i="22"/>
  <c r="B87" i="22" s="1"/>
  <c r="O40" i="19"/>
  <c r="N40" i="19"/>
  <c r="K50" i="19"/>
  <c r="J50" i="19"/>
  <c r="N44" i="19"/>
  <c r="O44" i="19"/>
  <c r="J53" i="19"/>
  <c r="K53" i="19"/>
  <c r="G14" i="1"/>
  <c r="N43" i="19"/>
  <c r="O43" i="19"/>
  <c r="K26" i="19"/>
  <c r="B43" i="19"/>
  <c r="C43" i="19"/>
  <c r="F7" i="20"/>
  <c r="F51" i="20"/>
  <c r="F8" i="20" s="1"/>
  <c r="D23" i="20"/>
  <c r="D67" i="20"/>
  <c r="D24" i="20" s="1"/>
  <c r="E11" i="20"/>
  <c r="E55" i="20"/>
  <c r="E12" i="20" s="1"/>
  <c r="E19" i="20"/>
  <c r="E63" i="20"/>
  <c r="E20" i="20" s="1"/>
  <c r="G61" i="20"/>
  <c r="G18" i="20" s="1"/>
  <c r="G17" i="20"/>
  <c r="D25" i="20"/>
  <c r="D69" i="20"/>
  <c r="D26" i="20" s="1"/>
  <c r="B26" i="19"/>
  <c r="F54" i="19"/>
  <c r="G54" i="19"/>
  <c r="D22" i="19"/>
  <c r="B48" i="19"/>
  <c r="C48" i="19"/>
  <c r="C52" i="19"/>
  <c r="B52" i="19"/>
  <c r="H19" i="19"/>
  <c r="B19" i="14"/>
  <c r="H23" i="19"/>
  <c r="L19" i="19"/>
  <c r="O51" i="19"/>
  <c r="N51" i="19"/>
  <c r="L24" i="19"/>
  <c r="N38" i="19"/>
  <c r="O38" i="19"/>
  <c r="P11" i="19"/>
  <c r="F5" i="20"/>
  <c r="F49" i="20"/>
  <c r="F6" i="20" s="1"/>
  <c r="C29" i="20"/>
  <c r="C73" i="20"/>
  <c r="C30" i="20" s="1"/>
  <c r="C27" i="20"/>
  <c r="C71" i="20"/>
  <c r="C28" i="20" s="1"/>
  <c r="D17" i="20"/>
  <c r="D61" i="20"/>
  <c r="D18" i="20" s="1"/>
  <c r="E13" i="20"/>
  <c r="E57" i="20"/>
  <c r="E14" i="20" s="1"/>
  <c r="C13" i="20"/>
  <c r="C57" i="20"/>
  <c r="C14" i="20" s="1"/>
  <c r="D57" i="20"/>
  <c r="D14" i="20" s="1"/>
  <c r="D13" i="20"/>
  <c r="D51" i="20"/>
  <c r="D8" i="20" s="1"/>
  <c r="D7" i="20"/>
  <c r="D3" i="20"/>
  <c r="D47" i="20"/>
  <c r="D4" i="20" s="1"/>
  <c r="E49" i="20"/>
  <c r="E6" i="20" s="1"/>
  <c r="E5" i="20"/>
  <c r="C55" i="20"/>
  <c r="C12" i="20" s="1"/>
  <c r="C11" i="20"/>
  <c r="C75" i="20"/>
  <c r="C32" i="20" s="1"/>
  <c r="C31" i="20"/>
  <c r="C9" i="20"/>
  <c r="C53" i="20"/>
  <c r="C10" i="20" s="1"/>
  <c r="P20" i="19"/>
  <c r="J54" i="19"/>
  <c r="K54" i="19"/>
  <c r="C42" i="19"/>
  <c r="B42" i="19"/>
  <c r="M54" i="22"/>
  <c r="F42" i="19"/>
  <c r="G42" i="19"/>
  <c r="D19" i="19"/>
  <c r="X16" i="19"/>
  <c r="J45" i="19"/>
  <c r="K45" i="19"/>
  <c r="W10" i="19"/>
  <c r="L54" i="22"/>
  <c r="C51" i="19"/>
  <c r="B51" i="19"/>
  <c r="F39" i="19"/>
  <c r="G39" i="19"/>
  <c r="I56" i="19"/>
  <c r="H18" i="19"/>
  <c r="J57" i="19"/>
  <c r="K57" i="19"/>
  <c r="F43" i="19"/>
  <c r="G43" i="19"/>
  <c r="L12" i="19"/>
  <c r="J49" i="19" l="1"/>
  <c r="P743" i="5"/>
  <c r="G55" i="19"/>
  <c r="O49" i="19"/>
  <c r="D87" i="22"/>
  <c r="D107" i="22" s="1"/>
  <c r="C87" i="22"/>
  <c r="C107" i="22" s="1"/>
  <c r="D56" i="14"/>
  <c r="D65" i="14" s="1"/>
  <c r="F3" i="20"/>
  <c r="N26" i="22"/>
  <c r="P66" i="20"/>
  <c r="F66" i="20" s="1"/>
  <c r="F23" i="20" s="1"/>
  <c r="M34" i="16"/>
  <c r="N57" i="19"/>
  <c r="P57" i="19" s="1"/>
  <c r="B82" i="19"/>
  <c r="D82" i="19" s="1"/>
  <c r="Q759" i="5"/>
  <c r="D56" i="15"/>
  <c r="D65" i="15" s="1"/>
  <c r="F59" i="20"/>
  <c r="F16" i="20" s="1"/>
  <c r="Q66" i="20"/>
  <c r="G66" i="20" s="1"/>
  <c r="G23" i="20" s="1"/>
  <c r="F53" i="20"/>
  <c r="F10" i="20" s="1"/>
  <c r="J51" i="19"/>
  <c r="L51" i="19" s="1"/>
  <c r="C92" i="16"/>
  <c r="B53" i="19"/>
  <c r="W53" i="19" s="1"/>
  <c r="K36" i="16"/>
  <c r="B57" i="19"/>
  <c r="P64" i="20"/>
  <c r="F64" i="20" s="1"/>
  <c r="F21" i="20" s="1"/>
  <c r="F82" i="19"/>
  <c r="H82" i="19" s="1"/>
  <c r="G85" i="19"/>
  <c r="G22" i="30"/>
  <c r="E89" i="16"/>
  <c r="E6" i="33" s="1"/>
  <c r="G26" i="16"/>
  <c r="G21" i="30"/>
  <c r="F58" i="16"/>
  <c r="D28" i="30"/>
  <c r="D56" i="30" s="1"/>
  <c r="D58" i="16"/>
  <c r="D33" i="16"/>
  <c r="D37" i="16" s="1"/>
  <c r="D38" i="16" s="1"/>
  <c r="E55" i="15"/>
  <c r="B33" i="16"/>
  <c r="B37" i="16" s="1"/>
  <c r="G64" i="16"/>
  <c r="O52" i="20"/>
  <c r="E52" i="20" s="1"/>
  <c r="E9" i="20" s="1"/>
  <c r="C108" i="16"/>
  <c r="C5" i="33" s="1"/>
  <c r="E90" i="16"/>
  <c r="E7" i="33" s="1"/>
  <c r="F28" i="30"/>
  <c r="D35" i="24"/>
  <c r="D36" i="24" s="1"/>
  <c r="D89" i="16"/>
  <c r="D6" i="33" s="1"/>
  <c r="C33" i="16"/>
  <c r="C37" i="16" s="1"/>
  <c r="C38" i="16" s="1"/>
  <c r="Q743" i="5"/>
  <c r="N16" i="30"/>
  <c r="F53" i="30" s="1"/>
  <c r="G53" i="30" s="1"/>
  <c r="F63" i="16"/>
  <c r="G63" i="16" s="1"/>
  <c r="J35" i="24"/>
  <c r="J36" i="24" s="1"/>
  <c r="B90" i="16"/>
  <c r="B7" i="33" s="1"/>
  <c r="E66" i="8"/>
  <c r="O58" i="20"/>
  <c r="E58" i="20" s="1"/>
  <c r="E15" i="20" s="1"/>
  <c r="D108" i="16"/>
  <c r="D5" i="33" s="1"/>
  <c r="J44" i="19"/>
  <c r="W44" i="19" s="1"/>
  <c r="B56" i="15"/>
  <c r="B65" i="15" s="1"/>
  <c r="N42" i="19"/>
  <c r="W42" i="19" s="1"/>
  <c r="F62" i="16"/>
  <c r="F29" i="16"/>
  <c r="M17" i="30"/>
  <c r="B65" i="16"/>
  <c r="N16" i="15"/>
  <c r="F53" i="15" s="1"/>
  <c r="G53" i="15" s="1"/>
  <c r="E29" i="30"/>
  <c r="C56" i="30"/>
  <c r="C29" i="30"/>
  <c r="B56" i="30"/>
  <c r="B29" i="30"/>
  <c r="E55" i="30"/>
  <c r="E56" i="30" s="1"/>
  <c r="N15" i="15"/>
  <c r="F52" i="15" s="1"/>
  <c r="G52" i="15" s="1"/>
  <c r="F52" i="30"/>
  <c r="F61" i="20"/>
  <c r="F18" i="20" s="1"/>
  <c r="C65" i="16"/>
  <c r="K42" i="19"/>
  <c r="X42" i="19" s="1"/>
  <c r="F47" i="19"/>
  <c r="W47" i="19" s="1"/>
  <c r="O47" i="19"/>
  <c r="P47" i="19" s="1"/>
  <c r="F28" i="14"/>
  <c r="F28" i="15"/>
  <c r="E65" i="16"/>
  <c r="E28" i="15"/>
  <c r="G53" i="16"/>
  <c r="O26" i="19"/>
  <c r="F28" i="13"/>
  <c r="G88" i="22"/>
  <c r="G63" i="20"/>
  <c r="G20" i="20" s="1"/>
  <c r="C29" i="13"/>
  <c r="P107" i="5"/>
  <c r="G59" i="20"/>
  <c r="G16" i="20" s="1"/>
  <c r="T10" i="19"/>
  <c r="Y10" i="19" s="1"/>
  <c r="Z10" i="19" s="1"/>
  <c r="F28" i="12"/>
  <c r="G50" i="19"/>
  <c r="X50" i="19" s="1"/>
  <c r="N48" i="19"/>
  <c r="P48" i="19" s="1"/>
  <c r="G23" i="1"/>
  <c r="F48" i="19"/>
  <c r="H48" i="19" s="1"/>
  <c r="F49" i="19"/>
  <c r="H49" i="19" s="1"/>
  <c r="G51" i="20"/>
  <c r="G8" i="20" s="1"/>
  <c r="G53" i="13"/>
  <c r="Q335" i="5"/>
  <c r="C56" i="11"/>
  <c r="Q229" i="5"/>
  <c r="J48" i="19"/>
  <c r="R23" i="19"/>
  <c r="T23" i="19" s="1"/>
  <c r="Y23" i="19" s="1"/>
  <c r="D85" i="22"/>
  <c r="D86" i="22" s="1"/>
  <c r="D106" i="22" s="1"/>
  <c r="F69" i="20"/>
  <c r="F26" i="20" s="1"/>
  <c r="Q653" i="5"/>
  <c r="F63" i="20"/>
  <c r="F20" i="20" s="1"/>
  <c r="F28" i="1"/>
  <c r="Q123" i="5"/>
  <c r="Q74" i="20"/>
  <c r="G74" i="20" s="1"/>
  <c r="G31" i="20" s="1"/>
  <c r="L52" i="24"/>
  <c r="L53" i="24" s="1"/>
  <c r="Q68" i="20"/>
  <c r="F28" i="11"/>
  <c r="Q211" i="5"/>
  <c r="N15" i="11" s="1"/>
  <c r="P74" i="20" s="1"/>
  <c r="F74" i="20" s="1"/>
  <c r="F75" i="20" s="1"/>
  <c r="F32" i="20" s="1"/>
  <c r="D58" i="22"/>
  <c r="Q547" i="5"/>
  <c r="M82" i="19"/>
  <c r="J82" i="19" s="1"/>
  <c r="J85" i="19" s="1"/>
  <c r="Q316" i="5"/>
  <c r="N14" i="12" s="1"/>
  <c r="L36" i="16"/>
  <c r="D55" i="1"/>
  <c r="C29" i="14"/>
  <c r="K26" i="24" s="1"/>
  <c r="K37" i="24" s="1"/>
  <c r="I30" i="19"/>
  <c r="I34" i="19" s="1"/>
  <c r="P425" i="5"/>
  <c r="C56" i="14"/>
  <c r="G41" i="19"/>
  <c r="H41" i="19" s="1"/>
  <c r="N54" i="19"/>
  <c r="W54" i="19" s="1"/>
  <c r="G37" i="19"/>
  <c r="X37" i="19" s="1"/>
  <c r="G53" i="19"/>
  <c r="H53" i="19" s="1"/>
  <c r="G22" i="14"/>
  <c r="F51" i="19"/>
  <c r="H51" i="19" s="1"/>
  <c r="C56" i="1"/>
  <c r="D56" i="13"/>
  <c r="F40" i="19"/>
  <c r="W40" i="19" s="1"/>
  <c r="G52" i="19"/>
  <c r="X52" i="19" s="1"/>
  <c r="F38" i="19"/>
  <c r="H38" i="19" s="1"/>
  <c r="G55" i="16"/>
  <c r="C56" i="12"/>
  <c r="Q64" i="20"/>
  <c r="G64" i="20" s="1"/>
  <c r="G21" i="20" s="1"/>
  <c r="G61" i="16"/>
  <c r="M35" i="16"/>
  <c r="Q441" i="5"/>
  <c r="G21" i="15"/>
  <c r="M35" i="24"/>
  <c r="M36" i="24" s="1"/>
  <c r="C56" i="15"/>
  <c r="C47" i="19"/>
  <c r="D47" i="19" s="1"/>
  <c r="X32" i="19"/>
  <c r="P66" i="23"/>
  <c r="B29" i="12"/>
  <c r="C58" i="22"/>
  <c r="B50" i="19"/>
  <c r="W50" i="19" s="1"/>
  <c r="Q103" i="23"/>
  <c r="Q91" i="23" s="1"/>
  <c r="C86" i="22"/>
  <c r="C106" i="22" s="1"/>
  <c r="D29" i="12"/>
  <c r="G49" i="20"/>
  <c r="G6" i="20" s="1"/>
  <c r="W16" i="19"/>
  <c r="B45" i="19"/>
  <c r="D45" i="19" s="1"/>
  <c r="O39" i="19"/>
  <c r="X39" i="19" s="1"/>
  <c r="P110" i="23"/>
  <c r="E84" i="22"/>
  <c r="I85" i="19"/>
  <c r="R21" i="19"/>
  <c r="S21" i="19"/>
  <c r="X21" i="19" s="1"/>
  <c r="Q49" i="23"/>
  <c r="O39" i="22" s="1"/>
  <c r="Q59" i="23"/>
  <c r="Q47" i="23" s="1"/>
  <c r="F83" i="19"/>
  <c r="Q62" i="23"/>
  <c r="Q109" i="23"/>
  <c r="E82" i="22"/>
  <c r="M40" i="22"/>
  <c r="B52" i="24"/>
  <c r="B53" i="24" s="1"/>
  <c r="J52" i="24"/>
  <c r="K43" i="24"/>
  <c r="K54" i="24" s="1"/>
  <c r="M52" i="24"/>
  <c r="M53" i="24" s="1"/>
  <c r="G39" i="22"/>
  <c r="G57" i="22" s="1"/>
  <c r="G90" i="22"/>
  <c r="D103" i="22"/>
  <c r="K83" i="19"/>
  <c r="L83" i="19" s="1"/>
  <c r="K55" i="19"/>
  <c r="L55" i="19" s="1"/>
  <c r="G22" i="11"/>
  <c r="E55" i="11"/>
  <c r="Q83" i="19"/>
  <c r="O83" i="19" s="1"/>
  <c r="F53" i="11"/>
  <c r="G53" i="11" s="1"/>
  <c r="O41" i="19"/>
  <c r="E52" i="24"/>
  <c r="E53" i="24" s="1"/>
  <c r="E103" i="22"/>
  <c r="O64" i="20"/>
  <c r="E64" i="20" s="1"/>
  <c r="E21" i="20" s="1"/>
  <c r="G66" i="8"/>
  <c r="F63" i="1"/>
  <c r="C103" i="22"/>
  <c r="L80" i="19"/>
  <c r="G64" i="8"/>
  <c r="X80" i="19"/>
  <c r="G66" i="4"/>
  <c r="X28" i="19"/>
  <c r="N26" i="19"/>
  <c r="S12" i="19"/>
  <c r="X12" i="19" s="1"/>
  <c r="R12" i="19"/>
  <c r="C55" i="19"/>
  <c r="D55" i="19" s="1"/>
  <c r="M58" i="19"/>
  <c r="R31" i="19"/>
  <c r="W31" i="19" s="1"/>
  <c r="S31" i="19"/>
  <c r="X31" i="19" s="1"/>
  <c r="E58" i="19"/>
  <c r="O55" i="19"/>
  <c r="P55" i="19" s="1"/>
  <c r="W22" i="19"/>
  <c r="D56" i="12"/>
  <c r="G11" i="13"/>
  <c r="W28" i="19"/>
  <c r="G11" i="11"/>
  <c r="D29" i="14"/>
  <c r="E30" i="19"/>
  <c r="C30" i="19" s="1"/>
  <c r="C34" i="19" s="1"/>
  <c r="C35" i="19" s="1"/>
  <c r="J36" i="16"/>
  <c r="B29" i="15"/>
  <c r="G55" i="14"/>
  <c r="G55" i="12"/>
  <c r="E83" i="22"/>
  <c r="O46" i="20"/>
  <c r="B103" i="22"/>
  <c r="D80" i="19"/>
  <c r="W80" i="19"/>
  <c r="Y28" i="19"/>
  <c r="Q92" i="23"/>
  <c r="O52" i="22" s="1"/>
  <c r="P94" i="23"/>
  <c r="N51" i="22"/>
  <c r="E89" i="22" s="1"/>
  <c r="N37" i="22"/>
  <c r="P50" i="23"/>
  <c r="H29" i="19"/>
  <c r="G47" i="20"/>
  <c r="G4" i="20" s="1"/>
  <c r="E6" i="26"/>
  <c r="E6" i="29"/>
  <c r="E6" i="25"/>
  <c r="E6" i="28"/>
  <c r="E6" i="27"/>
  <c r="B55" i="11"/>
  <c r="B56" i="11" s="1"/>
  <c r="B65" i="11" s="1"/>
  <c r="E83" i="19"/>
  <c r="B35" i="24"/>
  <c r="B36" i="24" s="1"/>
  <c r="W17" i="19"/>
  <c r="G11" i="12"/>
  <c r="K56" i="19"/>
  <c r="J56" i="19"/>
  <c r="B56" i="13"/>
  <c r="B65" i="13" s="1"/>
  <c r="F57" i="22"/>
  <c r="D40" i="19"/>
  <c r="C57" i="13"/>
  <c r="C66" i="13" s="1"/>
  <c r="D57" i="14"/>
  <c r="D66" i="14" s="1"/>
  <c r="F50" i="16"/>
  <c r="G50" i="16" s="1"/>
  <c r="G22" i="13"/>
  <c r="F47" i="16"/>
  <c r="G47" i="16" s="1"/>
  <c r="G22" i="12"/>
  <c r="S25" i="19"/>
  <c r="X25" i="19" s="1"/>
  <c r="R25" i="19"/>
  <c r="W25" i="19" s="1"/>
  <c r="F40" i="16"/>
  <c r="G21" i="1"/>
  <c r="F45" i="16"/>
  <c r="G45" i="16" s="1"/>
  <c r="G23" i="11"/>
  <c r="N19" i="11"/>
  <c r="R18" i="19"/>
  <c r="S18" i="19"/>
  <c r="X18" i="19" s="1"/>
  <c r="R20" i="19"/>
  <c r="S20" i="19"/>
  <c r="X20" i="19" s="1"/>
  <c r="F57" i="16"/>
  <c r="G57" i="16" s="1"/>
  <c r="G23" i="15"/>
  <c r="R19" i="19"/>
  <c r="S19" i="19"/>
  <c r="X19" i="19" s="1"/>
  <c r="F41" i="16"/>
  <c r="G41" i="16" s="1"/>
  <c r="G22" i="1"/>
  <c r="R8" i="19"/>
  <c r="S8" i="19"/>
  <c r="U26" i="19"/>
  <c r="S14" i="19"/>
  <c r="X14" i="19" s="1"/>
  <c r="R14" i="19"/>
  <c r="S24" i="19"/>
  <c r="X24" i="19" s="1"/>
  <c r="R24" i="19"/>
  <c r="W24" i="19" s="1"/>
  <c r="L57" i="19"/>
  <c r="Y16" i="19"/>
  <c r="W32" i="19"/>
  <c r="Q107" i="5"/>
  <c r="E6" i="8"/>
  <c r="E6" i="4"/>
  <c r="F5" i="1"/>
  <c r="E6" i="9"/>
  <c r="E6" i="10"/>
  <c r="E6" i="7"/>
  <c r="F51" i="16"/>
  <c r="G51" i="16" s="1"/>
  <c r="G23" i="13"/>
  <c r="R9" i="19"/>
  <c r="S9" i="19"/>
  <c r="X9" i="19" s="1"/>
  <c r="G8" i="16"/>
  <c r="G29" i="16" s="1"/>
  <c r="R13" i="19"/>
  <c r="S13" i="19"/>
  <c r="X13" i="19" s="1"/>
  <c r="F46" i="16"/>
  <c r="G46" i="16" s="1"/>
  <c r="G21" i="12"/>
  <c r="G11" i="15"/>
  <c r="B29" i="14"/>
  <c r="F52" i="16"/>
  <c r="G52" i="16" s="1"/>
  <c r="G21" i="14"/>
  <c r="Y32" i="19"/>
  <c r="G26" i="22"/>
  <c r="R15" i="19"/>
  <c r="S15" i="19"/>
  <c r="X15" i="19" s="1"/>
  <c r="G11" i="1"/>
  <c r="B5" i="17"/>
  <c r="B21" i="17" s="1"/>
  <c r="R11" i="19"/>
  <c r="S11" i="19"/>
  <c r="X11" i="19" s="1"/>
  <c r="F43" i="16"/>
  <c r="G43" i="16" s="1"/>
  <c r="G21" i="11"/>
  <c r="F56" i="16"/>
  <c r="G56" i="16" s="1"/>
  <c r="G22" i="15"/>
  <c r="L41" i="19"/>
  <c r="H45" i="19"/>
  <c r="L38" i="19"/>
  <c r="P52" i="19"/>
  <c r="H44" i="19"/>
  <c r="H57" i="19"/>
  <c r="D52" i="19"/>
  <c r="L37" i="19"/>
  <c r="H42" i="19"/>
  <c r="F55" i="13"/>
  <c r="G52" i="13"/>
  <c r="M17" i="13"/>
  <c r="E15" i="13"/>
  <c r="E55" i="1"/>
  <c r="E35" i="24"/>
  <c r="Q82" i="19"/>
  <c r="Q637" i="5"/>
  <c r="N14" i="15"/>
  <c r="N14" i="11"/>
  <c r="D19" i="11"/>
  <c r="E15" i="1"/>
  <c r="M17" i="1"/>
  <c r="M17" i="14"/>
  <c r="E15" i="14"/>
  <c r="N17" i="1"/>
  <c r="F15" i="1"/>
  <c r="F55" i="12"/>
  <c r="Q531" i="5"/>
  <c r="N14" i="14"/>
  <c r="H55" i="19"/>
  <c r="F55" i="14"/>
  <c r="M17" i="11"/>
  <c r="E15" i="11"/>
  <c r="E19" i="11" s="1"/>
  <c r="Q425" i="5"/>
  <c r="N14" i="13"/>
  <c r="M17" i="15"/>
  <c r="E15" i="15"/>
  <c r="M33" i="16"/>
  <c r="E15" i="12"/>
  <c r="M17" i="12"/>
  <c r="D19" i="1"/>
  <c r="M30" i="19"/>
  <c r="G52" i="1"/>
  <c r="F53" i="1"/>
  <c r="D51" i="19"/>
  <c r="D43" i="19"/>
  <c r="X51" i="19"/>
  <c r="Y17" i="19"/>
  <c r="P45" i="19"/>
  <c r="L49" i="19"/>
  <c r="P26" i="19"/>
  <c r="H43" i="19"/>
  <c r="X45" i="19"/>
  <c r="L50" i="19"/>
  <c r="D26" i="19"/>
  <c r="P43" i="19"/>
  <c r="P40" i="19"/>
  <c r="L26" i="19"/>
  <c r="P44" i="19"/>
  <c r="D37" i="19"/>
  <c r="L52" i="19"/>
  <c r="D41" i="19"/>
  <c r="L54" i="19"/>
  <c r="H46" i="19"/>
  <c r="D46" i="19"/>
  <c r="L39" i="19"/>
  <c r="D42" i="19"/>
  <c r="P38" i="19"/>
  <c r="P46" i="19"/>
  <c r="D49" i="19"/>
  <c r="D54" i="19"/>
  <c r="X48" i="19"/>
  <c r="X46" i="19"/>
  <c r="L47" i="19"/>
  <c r="X44" i="19"/>
  <c r="G25" i="15"/>
  <c r="W39" i="19"/>
  <c r="D38" i="19"/>
  <c r="L40" i="19"/>
  <c r="F56" i="19"/>
  <c r="G56" i="19"/>
  <c r="X40" i="19"/>
  <c r="G25" i="11"/>
  <c r="B56" i="14"/>
  <c r="B65" i="14" s="1"/>
  <c r="H26" i="19"/>
  <c r="X43" i="19"/>
  <c r="H39" i="19"/>
  <c r="L45" i="19"/>
  <c r="P51" i="19"/>
  <c r="Y22" i="19"/>
  <c r="Q56" i="19"/>
  <c r="H54" i="19"/>
  <c r="X38" i="19"/>
  <c r="P37" i="19"/>
  <c r="B56" i="12"/>
  <c r="B65" i="12" s="1"/>
  <c r="P53" i="19"/>
  <c r="P49" i="19"/>
  <c r="X57" i="19"/>
  <c r="X54" i="19"/>
  <c r="P50" i="19"/>
  <c r="L46" i="19"/>
  <c r="I58" i="19"/>
  <c r="D29" i="19"/>
  <c r="W55" i="19"/>
  <c r="L43" i="19"/>
  <c r="B107" i="22"/>
  <c r="B29" i="1"/>
  <c r="B56" i="1"/>
  <c r="B65" i="1" s="1"/>
  <c r="W43" i="19"/>
  <c r="W41" i="19"/>
  <c r="D76" i="20"/>
  <c r="D33" i="20" s="1"/>
  <c r="D48" i="19"/>
  <c r="L53" i="19"/>
  <c r="B33" i="22"/>
  <c r="B86" i="22" s="1"/>
  <c r="W52" i="19"/>
  <c r="G32" i="16"/>
  <c r="W46" i="19"/>
  <c r="C56" i="19"/>
  <c r="B56" i="19"/>
  <c r="N29" i="19"/>
  <c r="O29" i="19"/>
  <c r="D39" i="19"/>
  <c r="C76" i="20"/>
  <c r="C33" i="20" s="1"/>
  <c r="S29" i="19"/>
  <c r="R29" i="19"/>
  <c r="W37" i="19"/>
  <c r="D44" i="19"/>
  <c r="L29" i="19"/>
  <c r="X49" i="19"/>
  <c r="G25" i="1"/>
  <c r="F67" i="20" l="1"/>
  <c r="F24" i="20" s="1"/>
  <c r="D57" i="15"/>
  <c r="D66" i="15" s="1"/>
  <c r="D53" i="19"/>
  <c r="G28" i="30"/>
  <c r="G67" i="20"/>
  <c r="G24" i="20" s="1"/>
  <c r="Q72" i="20"/>
  <c r="W57" i="19"/>
  <c r="D57" i="19"/>
  <c r="C43" i="24"/>
  <c r="C54" i="24" s="1"/>
  <c r="D29" i="30"/>
  <c r="G58" i="16"/>
  <c r="F85" i="19"/>
  <c r="L44" i="19"/>
  <c r="Y44" i="19" s="1"/>
  <c r="Z44" i="19" s="1"/>
  <c r="B57" i="15"/>
  <c r="B66" i="15" s="1"/>
  <c r="E53" i="20"/>
  <c r="E10" i="20" s="1"/>
  <c r="P42" i="19"/>
  <c r="D65" i="16"/>
  <c r="D66" i="16" s="1"/>
  <c r="G55" i="15"/>
  <c r="D57" i="13"/>
  <c r="D66" i="13" s="1"/>
  <c r="D65" i="13"/>
  <c r="Q70" i="20"/>
  <c r="G70" i="20" s="1"/>
  <c r="G71" i="20" s="1"/>
  <c r="G28" i="20" s="1"/>
  <c r="N35" i="16"/>
  <c r="F55" i="15"/>
  <c r="H50" i="19"/>
  <c r="L42" i="19"/>
  <c r="F90" i="16"/>
  <c r="F7" i="33" s="1"/>
  <c r="G7" i="33" s="1"/>
  <c r="E59" i="20"/>
  <c r="E16" i="20" s="1"/>
  <c r="G63" i="1"/>
  <c r="F108" i="16"/>
  <c r="F5" i="33" s="1"/>
  <c r="G5" i="33" s="1"/>
  <c r="E33" i="16"/>
  <c r="H47" i="19"/>
  <c r="Y47" i="19" s="1"/>
  <c r="C57" i="1"/>
  <c r="C65" i="1"/>
  <c r="C57" i="11"/>
  <c r="C65" i="11"/>
  <c r="B57" i="30"/>
  <c r="B65" i="30"/>
  <c r="D57" i="12"/>
  <c r="D66" i="12" s="1"/>
  <c r="D65" i="12"/>
  <c r="C57" i="14"/>
  <c r="C66" i="14" s="1"/>
  <c r="C65" i="14"/>
  <c r="C57" i="15"/>
  <c r="C66" i="15" s="1"/>
  <c r="C65" i="15"/>
  <c r="D57" i="30"/>
  <c r="D66" i="30" s="1"/>
  <c r="D65" i="30"/>
  <c r="C57" i="12"/>
  <c r="C66" i="12" s="1"/>
  <c r="C65" i="12"/>
  <c r="E57" i="30"/>
  <c r="E66" i="30" s="1"/>
  <c r="E65" i="30"/>
  <c r="C57" i="30"/>
  <c r="C66" i="30" s="1"/>
  <c r="C65" i="30"/>
  <c r="B66" i="30"/>
  <c r="F19" i="30"/>
  <c r="G15" i="30"/>
  <c r="G19" i="30" s="1"/>
  <c r="F55" i="30"/>
  <c r="G52" i="30"/>
  <c r="G55" i="30" s="1"/>
  <c r="N17" i="30"/>
  <c r="G28" i="14"/>
  <c r="P72" i="20"/>
  <c r="F72" i="20" s="1"/>
  <c r="F29" i="20" s="1"/>
  <c r="G40" i="16"/>
  <c r="F65" i="16"/>
  <c r="L54" i="20"/>
  <c r="R54" i="20" s="1"/>
  <c r="C47" i="21"/>
  <c r="J43" i="24"/>
  <c r="G28" i="15"/>
  <c r="M85" i="19"/>
  <c r="B43" i="24"/>
  <c r="B54" i="24" s="1"/>
  <c r="C58" i="21"/>
  <c r="W49" i="19"/>
  <c r="C53" i="21"/>
  <c r="G28" i="13"/>
  <c r="B53" i="21"/>
  <c r="J26" i="24"/>
  <c r="J37" i="24" s="1"/>
  <c r="C26" i="24"/>
  <c r="C37" i="24" s="1"/>
  <c r="K82" i="19"/>
  <c r="L82" i="19" s="1"/>
  <c r="L85" i="19" s="1"/>
  <c r="W48" i="19"/>
  <c r="G28" i="12"/>
  <c r="F52" i="11"/>
  <c r="G55" i="13"/>
  <c r="F30" i="19"/>
  <c r="F34" i="19" s="1"/>
  <c r="F35" i="19" s="1"/>
  <c r="C93" i="16"/>
  <c r="C2" i="33" s="1"/>
  <c r="G30" i="19"/>
  <c r="G34" i="19" s="1"/>
  <c r="G35" i="19" s="1"/>
  <c r="L48" i="19"/>
  <c r="Y48" i="19" s="1"/>
  <c r="Q319" i="5"/>
  <c r="Q213" i="5"/>
  <c r="W23" i="19"/>
  <c r="Z23" i="19" s="1"/>
  <c r="O26" i="22"/>
  <c r="N34" i="16"/>
  <c r="J58" i="19"/>
  <c r="P70" i="20"/>
  <c r="F70" i="20" s="1"/>
  <c r="F27" i="20" s="1"/>
  <c r="G28" i="1"/>
  <c r="L56" i="20"/>
  <c r="B56" i="20" s="1"/>
  <c r="B57" i="20" s="1"/>
  <c r="G75" i="20"/>
  <c r="G32" i="20" s="1"/>
  <c r="G68" i="20"/>
  <c r="G25" i="20" s="1"/>
  <c r="G65" i="20"/>
  <c r="G22" i="20" s="1"/>
  <c r="F31" i="20"/>
  <c r="G28" i="11"/>
  <c r="D92" i="16"/>
  <c r="X41" i="19"/>
  <c r="H52" i="19"/>
  <c r="Y52" i="19" s="1"/>
  <c r="Z52" i="19" s="1"/>
  <c r="P54" i="19"/>
  <c r="Y54" i="19" s="1"/>
  <c r="Z54" i="19" s="1"/>
  <c r="W51" i="19"/>
  <c r="H37" i="19"/>
  <c r="Y37" i="19" s="1"/>
  <c r="Z37" i="19" s="1"/>
  <c r="X47" i="19"/>
  <c r="C66" i="16"/>
  <c r="G58" i="19"/>
  <c r="X53" i="19"/>
  <c r="H40" i="19"/>
  <c r="Y40" i="19" s="1"/>
  <c r="Z40" i="19" s="1"/>
  <c r="W38" i="19"/>
  <c r="F58" i="19"/>
  <c r="M36" i="16"/>
  <c r="L52" i="20"/>
  <c r="R52" i="20" s="1"/>
  <c r="C41" i="21"/>
  <c r="N52" i="24"/>
  <c r="N53" i="24" s="1"/>
  <c r="N35" i="24"/>
  <c r="C54" i="21"/>
  <c r="D50" i="19"/>
  <c r="W45" i="19"/>
  <c r="P39" i="19"/>
  <c r="Y39" i="19" s="1"/>
  <c r="Z39" i="19" s="1"/>
  <c r="H83" i="19"/>
  <c r="H85" i="19" s="1"/>
  <c r="Q110" i="23"/>
  <c r="Q66" i="23"/>
  <c r="Z22" i="19"/>
  <c r="Q48" i="23"/>
  <c r="O38" i="22" s="1"/>
  <c r="Q93" i="23"/>
  <c r="O53" i="22" s="1"/>
  <c r="F84" i="22" s="1"/>
  <c r="G84" i="22" s="1"/>
  <c r="Z16" i="19"/>
  <c r="E85" i="22"/>
  <c r="W21" i="19"/>
  <c r="T21" i="19"/>
  <c r="Y21" i="19" s="1"/>
  <c r="B58" i="21"/>
  <c r="L50" i="20"/>
  <c r="C59" i="21"/>
  <c r="J53" i="24"/>
  <c r="P41" i="19"/>
  <c r="Y41" i="19" s="1"/>
  <c r="K58" i="19"/>
  <c r="E65" i="20"/>
  <c r="E22" i="20" s="1"/>
  <c r="N83" i="19"/>
  <c r="P83" i="19" s="1"/>
  <c r="Z28" i="19"/>
  <c r="G72" i="20"/>
  <c r="G29" i="20" s="1"/>
  <c r="B57" i="11"/>
  <c r="L48" i="20"/>
  <c r="B47" i="21"/>
  <c r="Y80" i="19"/>
  <c r="Z80" i="19" s="1"/>
  <c r="F103" i="22"/>
  <c r="G103" i="22" s="1"/>
  <c r="O70" i="20"/>
  <c r="O76" i="20" s="1"/>
  <c r="B57" i="13"/>
  <c r="B66" i="13" s="1"/>
  <c r="B92" i="16"/>
  <c r="B93" i="16" s="1"/>
  <c r="B2" i="33" s="1"/>
  <c r="E92" i="16"/>
  <c r="X55" i="19"/>
  <c r="T12" i="19"/>
  <c r="Y12" i="19" s="1"/>
  <c r="W12" i="19"/>
  <c r="T31" i="19"/>
  <c r="Y31" i="19" s="1"/>
  <c r="Z31" i="19" s="1"/>
  <c r="E34" i="19"/>
  <c r="E59" i="19" s="1"/>
  <c r="B30" i="19"/>
  <c r="D30" i="19" s="1"/>
  <c r="D34" i="19" s="1"/>
  <c r="B22" i="17"/>
  <c r="B24" i="17" s="1"/>
  <c r="E46" i="20"/>
  <c r="E47" i="20" s="1"/>
  <c r="E4" i="20" s="1"/>
  <c r="O37" i="22"/>
  <c r="O51" i="22"/>
  <c r="F89" i="22" s="1"/>
  <c r="Z17" i="19"/>
  <c r="F65" i="20"/>
  <c r="N40" i="22"/>
  <c r="E28" i="22"/>
  <c r="N54" i="22"/>
  <c r="L56" i="19"/>
  <c r="F5" i="26"/>
  <c r="F5" i="29"/>
  <c r="F5" i="25"/>
  <c r="F5" i="28"/>
  <c r="F5" i="27"/>
  <c r="B83" i="19"/>
  <c r="B85" i="19" s="1"/>
  <c r="C83" i="19"/>
  <c r="C85" i="19" s="1"/>
  <c r="E85" i="19"/>
  <c r="T25" i="19"/>
  <c r="Y25" i="19" s="1"/>
  <c r="Z25" i="19" s="1"/>
  <c r="T24" i="19"/>
  <c r="Y24" i="19" s="1"/>
  <c r="Z24" i="19" s="1"/>
  <c r="B26" i="24"/>
  <c r="B37" i="24" s="1"/>
  <c r="B57" i="12"/>
  <c r="B66" i="12" s="1"/>
  <c r="D56" i="19"/>
  <c r="B57" i="14"/>
  <c r="B66" i="14" s="1"/>
  <c r="W14" i="19"/>
  <c r="T14" i="19"/>
  <c r="Y14" i="19" s="1"/>
  <c r="W11" i="19"/>
  <c r="T11" i="19"/>
  <c r="Y11" i="19" s="1"/>
  <c r="W13" i="19"/>
  <c r="T13" i="19"/>
  <c r="Y13" i="19" s="1"/>
  <c r="T20" i="19"/>
  <c r="Y20" i="19" s="1"/>
  <c r="W20" i="19"/>
  <c r="R26" i="19"/>
  <c r="T8" i="19"/>
  <c r="W8" i="19"/>
  <c r="W15" i="19"/>
  <c r="T15" i="19"/>
  <c r="Y15" i="19" s="1"/>
  <c r="T9" i="19"/>
  <c r="Y9" i="19" s="1"/>
  <c r="W9" i="19"/>
  <c r="T19" i="19"/>
  <c r="Y19" i="19" s="1"/>
  <c r="W19" i="19"/>
  <c r="G15" i="1"/>
  <c r="G19" i="1" s="1"/>
  <c r="Z32" i="19"/>
  <c r="F5" i="9"/>
  <c r="F5" i="10"/>
  <c r="F5" i="8"/>
  <c r="F5" i="7"/>
  <c r="F6" i="1"/>
  <c r="F5" i="4"/>
  <c r="X8" i="19"/>
  <c r="X26" i="19" s="1"/>
  <c r="S26" i="19"/>
  <c r="T18" i="19"/>
  <c r="Y18" i="19" s="1"/>
  <c r="W18" i="19"/>
  <c r="Y57" i="19"/>
  <c r="Z57" i="19" s="1"/>
  <c r="Y55" i="19"/>
  <c r="F15" i="12"/>
  <c r="F19" i="12" s="1"/>
  <c r="N17" i="12"/>
  <c r="N17" i="13"/>
  <c r="F15" i="13"/>
  <c r="F19" i="13" s="1"/>
  <c r="E19" i="14"/>
  <c r="F15" i="11"/>
  <c r="N17" i="11"/>
  <c r="Q85" i="19"/>
  <c r="O82" i="19"/>
  <c r="O85" i="19" s="1"/>
  <c r="N82" i="19"/>
  <c r="E19" i="13"/>
  <c r="D56" i="1"/>
  <c r="D65" i="1" s="1"/>
  <c r="D29" i="1"/>
  <c r="E19" i="1"/>
  <c r="F55" i="1"/>
  <c r="U83" i="19"/>
  <c r="G53" i="1"/>
  <c r="G55" i="1" s="1"/>
  <c r="Q30" i="19"/>
  <c r="E19" i="12"/>
  <c r="E19" i="15"/>
  <c r="E29" i="15" s="1"/>
  <c r="E29" i="11"/>
  <c r="E56" i="11"/>
  <c r="E65" i="11" s="1"/>
  <c r="D29" i="11"/>
  <c r="L26" i="24" s="1"/>
  <c r="D56" i="11"/>
  <c r="D65" i="11" s="1"/>
  <c r="M34" i="19"/>
  <c r="K30" i="19"/>
  <c r="K34" i="19" s="1"/>
  <c r="K35" i="19" s="1"/>
  <c r="J30" i="19"/>
  <c r="N33" i="16"/>
  <c r="N17" i="14"/>
  <c r="F15" i="14"/>
  <c r="F19" i="14" s="1"/>
  <c r="F19" i="1"/>
  <c r="F29" i="1" s="1"/>
  <c r="F15" i="15"/>
  <c r="F19" i="15" s="1"/>
  <c r="N17" i="15"/>
  <c r="E36" i="24"/>
  <c r="Y51" i="19"/>
  <c r="Y49" i="19"/>
  <c r="Y45" i="19"/>
  <c r="Y43" i="19"/>
  <c r="Z43" i="19" s="1"/>
  <c r="Y53" i="19"/>
  <c r="Y38" i="19"/>
  <c r="Y46" i="19"/>
  <c r="Z46" i="19" s="1"/>
  <c r="B58" i="19"/>
  <c r="I59" i="19"/>
  <c r="C58" i="19"/>
  <c r="O56" i="19"/>
  <c r="O58" i="19" s="1"/>
  <c r="N56" i="19"/>
  <c r="N58" i="19" s="1"/>
  <c r="Q58" i="19"/>
  <c r="W29" i="19"/>
  <c r="B34" i="22"/>
  <c r="B106" i="22"/>
  <c r="X29" i="19"/>
  <c r="B57" i="1"/>
  <c r="L46" i="20"/>
  <c r="B41" i="21"/>
  <c r="G62" i="16"/>
  <c r="T29" i="19"/>
  <c r="B38" i="16"/>
  <c r="P29" i="19"/>
  <c r="I86" i="19"/>
  <c r="H56" i="19"/>
  <c r="E33" i="22" l="1"/>
  <c r="E87" i="22"/>
  <c r="E107" i="22" s="1"/>
  <c r="Y42" i="19"/>
  <c r="Z42" i="19" s="1"/>
  <c r="B8" i="33"/>
  <c r="C8" i="33"/>
  <c r="Y50" i="19"/>
  <c r="Z50" i="19" s="1"/>
  <c r="C96" i="16"/>
  <c r="S54" i="20" s="1"/>
  <c r="T54" i="20" s="1"/>
  <c r="B102" i="16"/>
  <c r="B96" i="16"/>
  <c r="Q76" i="20"/>
  <c r="D93" i="16"/>
  <c r="F33" i="16"/>
  <c r="F37" i="16" s="1"/>
  <c r="F38" i="16" s="1"/>
  <c r="F66" i="16" s="1"/>
  <c r="U82" i="19"/>
  <c r="R82" i="19" s="1"/>
  <c r="W82" i="19" s="1"/>
  <c r="F89" i="16"/>
  <c r="F6" i="33" s="1"/>
  <c r="G6" i="33" s="1"/>
  <c r="C48" i="21"/>
  <c r="C50" i="21" s="1"/>
  <c r="C21" i="21" s="1"/>
  <c r="C22" i="21" s="1"/>
  <c r="C42" i="21"/>
  <c r="C44" i="21" s="1"/>
  <c r="C18" i="21" s="1"/>
  <c r="C19" i="21" s="1"/>
  <c r="C66" i="11"/>
  <c r="C102" i="16"/>
  <c r="B66" i="1"/>
  <c r="B94" i="16"/>
  <c r="C66" i="1"/>
  <c r="C94" i="16"/>
  <c r="G56" i="30"/>
  <c r="F29" i="30"/>
  <c r="G29" i="30" s="1"/>
  <c r="F56" i="30"/>
  <c r="G65" i="16"/>
  <c r="Z49" i="19"/>
  <c r="B54" i="20"/>
  <c r="B55" i="20" s="1"/>
  <c r="B12" i="20" s="1"/>
  <c r="F52" i="24"/>
  <c r="F53" i="24" s="1"/>
  <c r="G53" i="24" s="1"/>
  <c r="D53" i="21"/>
  <c r="L58" i="19"/>
  <c r="K85" i="19"/>
  <c r="K86" i="19" s="1"/>
  <c r="Z48" i="19"/>
  <c r="C61" i="21"/>
  <c r="F86" i="19"/>
  <c r="C56" i="21"/>
  <c r="R56" i="20"/>
  <c r="G52" i="11"/>
  <c r="G55" i="11" s="1"/>
  <c r="F55" i="11"/>
  <c r="F35" i="24"/>
  <c r="F36" i="24" s="1"/>
  <c r="G36" i="24" s="1"/>
  <c r="C5" i="21"/>
  <c r="C14" i="21" s="1"/>
  <c r="C16" i="21" s="1"/>
  <c r="C30" i="21" s="1"/>
  <c r="H30" i="19"/>
  <c r="H34" i="19" s="1"/>
  <c r="H35" i="19" s="1"/>
  <c r="I35" i="19" s="1"/>
  <c r="G59" i="19"/>
  <c r="F71" i="20"/>
  <c r="F28" i="20" s="1"/>
  <c r="P76" i="20"/>
  <c r="O52" i="24"/>
  <c r="Z51" i="19"/>
  <c r="F59" i="19"/>
  <c r="N36" i="16"/>
  <c r="Z53" i="19"/>
  <c r="F83" i="22"/>
  <c r="G83" i="22" s="1"/>
  <c r="Z47" i="19"/>
  <c r="G69" i="20"/>
  <c r="G26" i="20" s="1"/>
  <c r="Z41" i="19"/>
  <c r="G86" i="19"/>
  <c r="B52" i="20"/>
  <c r="B9" i="20" s="1"/>
  <c r="Z38" i="19"/>
  <c r="Z45" i="19"/>
  <c r="D58" i="19"/>
  <c r="D59" i="19" s="1"/>
  <c r="O53" i="24"/>
  <c r="L37" i="24"/>
  <c r="N36" i="24"/>
  <c r="O36" i="24" s="1"/>
  <c r="O35" i="24"/>
  <c r="B66" i="11"/>
  <c r="B54" i="21"/>
  <c r="B56" i="21" s="1"/>
  <c r="F82" i="22"/>
  <c r="Q94" i="23"/>
  <c r="Q50" i="23"/>
  <c r="Z21" i="19"/>
  <c r="N85" i="19"/>
  <c r="H57" i="20"/>
  <c r="B14" i="20"/>
  <c r="S56" i="20"/>
  <c r="H13" i="20"/>
  <c r="J54" i="24"/>
  <c r="D58" i="21"/>
  <c r="L62" i="20"/>
  <c r="D43" i="24"/>
  <c r="D54" i="24" s="1"/>
  <c r="L43" i="24"/>
  <c r="B59" i="21"/>
  <c r="B61" i="21" s="1"/>
  <c r="B13" i="20"/>
  <c r="H56" i="20"/>
  <c r="R50" i="20"/>
  <c r="B50" i="20"/>
  <c r="G73" i="20"/>
  <c r="G30" i="20" s="1"/>
  <c r="R48" i="20"/>
  <c r="B48" i="20"/>
  <c r="B48" i="21"/>
  <c r="B50" i="21" s="1"/>
  <c r="B21" i="21" s="1"/>
  <c r="D47" i="21"/>
  <c r="L60" i="20"/>
  <c r="F73" i="20"/>
  <c r="F30" i="20" s="1"/>
  <c r="G108" i="16"/>
  <c r="E70" i="20"/>
  <c r="E27" i="20" s="1"/>
  <c r="Z55" i="19"/>
  <c r="G90" i="16"/>
  <c r="Z12" i="19"/>
  <c r="E86" i="19"/>
  <c r="B34" i="19"/>
  <c r="B35" i="19" s="1"/>
  <c r="E3" i="20"/>
  <c r="G89" i="22"/>
  <c r="O54" i="22"/>
  <c r="F22" i="20"/>
  <c r="K59" i="19"/>
  <c r="Z9" i="19"/>
  <c r="Z20" i="19"/>
  <c r="Z11" i="19"/>
  <c r="E86" i="22"/>
  <c r="E106" i="22" s="1"/>
  <c r="E34" i="22"/>
  <c r="E58" i="22" s="1"/>
  <c r="O40" i="22"/>
  <c r="F28" i="22"/>
  <c r="F87" i="22" s="1"/>
  <c r="G87" i="22" s="1"/>
  <c r="G15" i="14"/>
  <c r="G19" i="14" s="1"/>
  <c r="G56" i="14" s="1"/>
  <c r="E56" i="15"/>
  <c r="E65" i="15" s="1"/>
  <c r="G15" i="12"/>
  <c r="G19" i="12" s="1"/>
  <c r="G56" i="12" s="1"/>
  <c r="G56" i="1"/>
  <c r="F6" i="29"/>
  <c r="F6" i="25"/>
  <c r="F6" i="28"/>
  <c r="F6" i="27"/>
  <c r="F6" i="26"/>
  <c r="D83" i="19"/>
  <c r="D85" i="19" s="1"/>
  <c r="Z19" i="19"/>
  <c r="Z13" i="19"/>
  <c r="D57" i="11"/>
  <c r="E57" i="11"/>
  <c r="B5" i="21"/>
  <c r="B14" i="21" s="1"/>
  <c r="B16" i="21" s="1"/>
  <c r="B30" i="21" s="1"/>
  <c r="G15" i="13"/>
  <c r="G19" i="13" s="1"/>
  <c r="G56" i="13" s="1"/>
  <c r="Z18" i="19"/>
  <c r="W26" i="19"/>
  <c r="F6" i="10"/>
  <c r="F6" i="7"/>
  <c r="F6" i="8"/>
  <c r="F6" i="9"/>
  <c r="F6" i="4"/>
  <c r="Y8" i="19"/>
  <c r="T26" i="19"/>
  <c r="Z15" i="19"/>
  <c r="Z14" i="19"/>
  <c r="E56" i="12"/>
  <c r="E65" i="12" s="1"/>
  <c r="E29" i="12"/>
  <c r="F56" i="1"/>
  <c r="F65" i="1" s="1"/>
  <c r="D26" i="24"/>
  <c r="D37" i="24" s="1"/>
  <c r="G27" i="20"/>
  <c r="E29" i="13"/>
  <c r="E56" i="13"/>
  <c r="E65" i="13" s="1"/>
  <c r="E29" i="14"/>
  <c r="M26" i="24" s="1"/>
  <c r="M37" i="24" s="1"/>
  <c r="E56" i="14"/>
  <c r="E65" i="14" s="1"/>
  <c r="L30" i="19"/>
  <c r="L34" i="19" s="1"/>
  <c r="J34" i="19"/>
  <c r="S83" i="19"/>
  <c r="X83" i="19" s="1"/>
  <c r="R83" i="19"/>
  <c r="E29" i="1"/>
  <c r="M43" i="24" s="1"/>
  <c r="M54" i="24" s="1"/>
  <c r="E56" i="1"/>
  <c r="E65" i="1" s="1"/>
  <c r="U30" i="19"/>
  <c r="M59" i="19"/>
  <c r="M86" i="19"/>
  <c r="G15" i="15"/>
  <c r="G19" i="15" s="1"/>
  <c r="G56" i="15" s="1"/>
  <c r="N30" i="19"/>
  <c r="N34" i="19" s="1"/>
  <c r="O30" i="19"/>
  <c r="Q34" i="19"/>
  <c r="Q59" i="19" s="1"/>
  <c r="L58" i="20"/>
  <c r="D41" i="21"/>
  <c r="D57" i="1"/>
  <c r="P82" i="19"/>
  <c r="F29" i="12"/>
  <c r="F56" i="12"/>
  <c r="F65" i="12" s="1"/>
  <c r="F29" i="15"/>
  <c r="G29" i="15" s="1"/>
  <c r="F56" i="15"/>
  <c r="F65" i="15" s="1"/>
  <c r="F29" i="14"/>
  <c r="F56" i="14"/>
  <c r="F65" i="14" s="1"/>
  <c r="E37" i="16"/>
  <c r="F19" i="11"/>
  <c r="G15" i="11"/>
  <c r="G19" i="11" s="1"/>
  <c r="F56" i="13"/>
  <c r="F65" i="13" s="1"/>
  <c r="F29" i="13"/>
  <c r="W56" i="19"/>
  <c r="W58" i="19" s="1"/>
  <c r="R46" i="20"/>
  <c r="B46" i="20"/>
  <c r="B47" i="20" s="1"/>
  <c r="H58" i="19"/>
  <c r="B58" i="22"/>
  <c r="B42" i="21"/>
  <c r="B44" i="21" s="1"/>
  <c r="B18" i="21" s="1"/>
  <c r="P56" i="19"/>
  <c r="P58" i="19" s="1"/>
  <c r="X56" i="19"/>
  <c r="X58" i="19" s="1"/>
  <c r="Y29" i="19"/>
  <c r="D35" i="19"/>
  <c r="B66" i="16"/>
  <c r="C86" i="19"/>
  <c r="C59" i="19"/>
  <c r="D5" i="21" l="1"/>
  <c r="D14" i="21" s="1"/>
  <c r="D16" i="21" s="1"/>
  <c r="D30" i="21" s="1"/>
  <c r="D2" i="33"/>
  <c r="C16" i="33"/>
  <c r="C11" i="33"/>
  <c r="B14" i="33"/>
  <c r="B9" i="33"/>
  <c r="C14" i="33"/>
  <c r="C9" i="33"/>
  <c r="B11" i="33"/>
  <c r="B16" i="33"/>
  <c r="D96" i="16"/>
  <c r="S82" i="19"/>
  <c r="X82" i="19" s="1"/>
  <c r="X85" i="19" s="1"/>
  <c r="U85" i="19"/>
  <c r="G52" i="24"/>
  <c r="H11" i="20"/>
  <c r="J11" i="20" s="1"/>
  <c r="B103" i="16"/>
  <c r="D102" i="16"/>
  <c r="G82" i="22"/>
  <c r="G85" i="22" s="1"/>
  <c r="F85" i="22"/>
  <c r="S52" i="20"/>
  <c r="T52" i="20" s="1"/>
  <c r="I87" i="19"/>
  <c r="F87" i="19" s="1"/>
  <c r="C103" i="16"/>
  <c r="D66" i="1"/>
  <c r="D94" i="16"/>
  <c r="F57" i="30"/>
  <c r="F66" i="30" s="1"/>
  <c r="G66" i="30" s="1"/>
  <c r="F65" i="30"/>
  <c r="G65" i="30" s="1"/>
  <c r="H54" i="20"/>
  <c r="B11" i="20"/>
  <c r="H55" i="20"/>
  <c r="E43" i="24"/>
  <c r="E54" i="24" s="1"/>
  <c r="E53" i="21"/>
  <c r="T56" i="20"/>
  <c r="C24" i="21"/>
  <c r="C25" i="21" s="1"/>
  <c r="C27" i="21" s="1"/>
  <c r="L66" i="20"/>
  <c r="B66" i="20" s="1"/>
  <c r="B67" i="20" s="1"/>
  <c r="G56" i="11"/>
  <c r="G89" i="16"/>
  <c r="G92" i="16" s="1"/>
  <c r="F92" i="16"/>
  <c r="F93" i="16" s="1"/>
  <c r="F2" i="33" s="1"/>
  <c r="G35" i="24"/>
  <c r="E47" i="21"/>
  <c r="E58" i="21"/>
  <c r="L68" i="20"/>
  <c r="B68" i="20" s="1"/>
  <c r="B53" i="20"/>
  <c r="B10" i="20" s="1"/>
  <c r="H52" i="20"/>
  <c r="H9" i="20" s="1"/>
  <c r="J9" i="20" s="1"/>
  <c r="D86" i="19"/>
  <c r="B24" i="21"/>
  <c r="B25" i="21" s="1"/>
  <c r="E66" i="11"/>
  <c r="D66" i="11"/>
  <c r="D54" i="21"/>
  <c r="D56" i="21" s="1"/>
  <c r="N86" i="19"/>
  <c r="D59" i="21"/>
  <c r="D61" i="21" s="1"/>
  <c r="H50" i="20"/>
  <c r="B7" i="20"/>
  <c r="S50" i="20"/>
  <c r="T50" i="20" s="1"/>
  <c r="H7" i="20"/>
  <c r="J13" i="20"/>
  <c r="I56" i="20"/>
  <c r="L54" i="24"/>
  <c r="R62" i="20"/>
  <c r="B62" i="20"/>
  <c r="B63" i="20" s="1"/>
  <c r="B51" i="20"/>
  <c r="G33" i="16"/>
  <c r="G37" i="16" s="1"/>
  <c r="G76" i="20"/>
  <c r="G33" i="20" s="1"/>
  <c r="F76" i="20"/>
  <c r="F33" i="20" s="1"/>
  <c r="N35" i="19"/>
  <c r="B86" i="19"/>
  <c r="B22" i="21"/>
  <c r="R60" i="20"/>
  <c r="B60" i="20"/>
  <c r="B61" i="20" s="1"/>
  <c r="B5" i="20"/>
  <c r="H48" i="20"/>
  <c r="D48" i="21"/>
  <c r="D50" i="21" s="1"/>
  <c r="D21" i="21" s="1"/>
  <c r="S48" i="20"/>
  <c r="T48" i="20" s="1"/>
  <c r="H5" i="20"/>
  <c r="B49" i="20"/>
  <c r="E35" i="19"/>
  <c r="E71" i="20"/>
  <c r="E28" i="20" s="1"/>
  <c r="G87" i="19"/>
  <c r="B59" i="19"/>
  <c r="N59" i="19"/>
  <c r="F33" i="22"/>
  <c r="G28" i="22"/>
  <c r="G33" i="22" s="1"/>
  <c r="F107" i="22"/>
  <c r="G107" i="22" s="1"/>
  <c r="E57" i="15"/>
  <c r="E66" i="15" s="1"/>
  <c r="P30" i="19"/>
  <c r="P34" i="19" s="1"/>
  <c r="P35" i="19" s="1"/>
  <c r="F57" i="13"/>
  <c r="F66" i="13" s="1"/>
  <c r="F57" i="1"/>
  <c r="F57" i="15"/>
  <c r="F66" i="15" s="1"/>
  <c r="G65" i="15"/>
  <c r="E57" i="14"/>
  <c r="E66" i="14" s="1"/>
  <c r="E57" i="12"/>
  <c r="E66" i="12" s="1"/>
  <c r="F57" i="14"/>
  <c r="F66" i="14" s="1"/>
  <c r="F57" i="12"/>
  <c r="F66" i="12" s="1"/>
  <c r="E57" i="1"/>
  <c r="E57" i="13"/>
  <c r="E66" i="13" s="1"/>
  <c r="Z8" i="19"/>
  <c r="Z26" i="19" s="1"/>
  <c r="Y26" i="19"/>
  <c r="E26" i="24"/>
  <c r="E37" i="24" s="1"/>
  <c r="L64" i="20"/>
  <c r="B64" i="20" s="1"/>
  <c r="G29" i="14"/>
  <c r="D42" i="21"/>
  <c r="D44" i="21" s="1"/>
  <c r="D18" i="21" s="1"/>
  <c r="S30" i="19"/>
  <c r="S34" i="19" s="1"/>
  <c r="R30" i="19"/>
  <c r="R34" i="19" s="1"/>
  <c r="U34" i="19"/>
  <c r="L35" i="19"/>
  <c r="L86" i="19"/>
  <c r="G29" i="1"/>
  <c r="E41" i="21"/>
  <c r="T83" i="19"/>
  <c r="Y83" i="19" s="1"/>
  <c r="W83" i="19"/>
  <c r="L59" i="19"/>
  <c r="F29" i="11"/>
  <c r="N26" i="24" s="1"/>
  <c r="F56" i="11"/>
  <c r="Q86" i="19"/>
  <c r="P85" i="19"/>
  <c r="B58" i="20"/>
  <c r="R58" i="20"/>
  <c r="O34" i="19"/>
  <c r="G29" i="13"/>
  <c r="R85" i="19"/>
  <c r="E38" i="16"/>
  <c r="E93" i="16"/>
  <c r="E2" i="33" s="1"/>
  <c r="J35" i="19"/>
  <c r="J86" i="19"/>
  <c r="J59" i="19"/>
  <c r="G29" i="12"/>
  <c r="B4" i="20"/>
  <c r="H47" i="20"/>
  <c r="Z29" i="19"/>
  <c r="E87" i="19"/>
  <c r="C87" i="19" s="1"/>
  <c r="S46" i="20"/>
  <c r="T46" i="20" s="1"/>
  <c r="H86" i="19"/>
  <c r="H59" i="19"/>
  <c r="H46" i="20"/>
  <c r="B3" i="20"/>
  <c r="B19" i="21"/>
  <c r="Y56" i="19"/>
  <c r="C13" i="33" l="1"/>
  <c r="C18" i="33" s="1"/>
  <c r="T82" i="19"/>
  <c r="Y82" i="19" s="1"/>
  <c r="D11" i="33"/>
  <c r="D16" i="33"/>
  <c r="F8" i="33"/>
  <c r="D8" i="33"/>
  <c r="G2" i="33"/>
  <c r="E8" i="33"/>
  <c r="I54" i="20"/>
  <c r="D9" i="33"/>
  <c r="D14" i="33"/>
  <c r="B13" i="33"/>
  <c r="B18" i="33" s="1"/>
  <c r="S85" i="19"/>
  <c r="E96" i="16"/>
  <c r="F102" i="16"/>
  <c r="E102" i="16"/>
  <c r="H87" i="19"/>
  <c r="F66" i="1"/>
  <c r="E66" i="1"/>
  <c r="E94" i="16"/>
  <c r="G57" i="30"/>
  <c r="F53" i="21"/>
  <c r="F65" i="11"/>
  <c r="G65" i="11" s="1"/>
  <c r="R66" i="20"/>
  <c r="C31" i="21"/>
  <c r="C28" i="21"/>
  <c r="E54" i="21"/>
  <c r="E56" i="21" s="1"/>
  <c r="B28" i="21"/>
  <c r="E48" i="21"/>
  <c r="E50" i="21" s="1"/>
  <c r="E21" i="21" s="1"/>
  <c r="E22" i="21" s="1"/>
  <c r="R68" i="20"/>
  <c r="E59" i="21"/>
  <c r="E61" i="21" s="1"/>
  <c r="H53" i="20"/>
  <c r="H10" i="20" s="1"/>
  <c r="J10" i="20" s="1"/>
  <c r="K14" i="20" s="1"/>
  <c r="N37" i="24"/>
  <c r="O37" i="24" s="1"/>
  <c r="O26" i="24"/>
  <c r="D24" i="21"/>
  <c r="D28" i="21" s="1"/>
  <c r="H4" i="20"/>
  <c r="J4" i="20" s="1"/>
  <c r="H3" i="20"/>
  <c r="D103" i="16"/>
  <c r="B25" i="20"/>
  <c r="H68" i="20"/>
  <c r="H51" i="20"/>
  <c r="B8" i="20"/>
  <c r="J7" i="20"/>
  <c r="I50" i="20"/>
  <c r="B20" i="20"/>
  <c r="H63" i="20"/>
  <c r="S62" i="20"/>
  <c r="T62" i="20" s="1"/>
  <c r="H19" i="20"/>
  <c r="F58" i="21"/>
  <c r="L74" i="20"/>
  <c r="F43" i="24"/>
  <c r="F54" i="24" s="1"/>
  <c r="G54" i="24" s="1"/>
  <c r="N43" i="24"/>
  <c r="H62" i="20"/>
  <c r="B19" i="20"/>
  <c r="B69" i="20"/>
  <c r="G93" i="16"/>
  <c r="D22" i="21"/>
  <c r="F47" i="21"/>
  <c r="L72" i="20"/>
  <c r="H49" i="20"/>
  <c r="B6" i="20"/>
  <c r="B24" i="20"/>
  <c r="H67" i="20"/>
  <c r="B18" i="20"/>
  <c r="H61" i="20"/>
  <c r="E76" i="20"/>
  <c r="E33" i="20" s="1"/>
  <c r="J5" i="20"/>
  <c r="I48" i="20"/>
  <c r="B23" i="20"/>
  <c r="H66" i="20"/>
  <c r="S60" i="20"/>
  <c r="T60" i="20" s="1"/>
  <c r="H17" i="20"/>
  <c r="H60" i="20"/>
  <c r="B17" i="20"/>
  <c r="F5" i="21"/>
  <c r="F14" i="21" s="1"/>
  <c r="F16" i="21" s="1"/>
  <c r="F30" i="21" s="1"/>
  <c r="Y85" i="19"/>
  <c r="X30" i="19"/>
  <c r="X34" i="19" s="1"/>
  <c r="X35" i="19" s="1"/>
  <c r="W30" i="19"/>
  <c r="W34" i="19" s="1"/>
  <c r="P59" i="19"/>
  <c r="B87" i="19"/>
  <c r="P86" i="19"/>
  <c r="T85" i="19"/>
  <c r="G57" i="13"/>
  <c r="F34" i="22"/>
  <c r="F86" i="22"/>
  <c r="Z83" i="19"/>
  <c r="G57" i="14"/>
  <c r="G66" i="14"/>
  <c r="G65" i="13"/>
  <c r="M35" i="19"/>
  <c r="G66" i="13"/>
  <c r="G57" i="12"/>
  <c r="G66" i="15"/>
  <c r="E42" i="21"/>
  <c r="E44" i="21" s="1"/>
  <c r="E18" i="21" s="1"/>
  <c r="E19" i="21" s="1"/>
  <c r="G66" i="12"/>
  <c r="G57" i="15"/>
  <c r="G57" i="1"/>
  <c r="B2" i="17" s="1"/>
  <c r="B12" i="17" s="1"/>
  <c r="B16" i="17" s="1"/>
  <c r="G65" i="1"/>
  <c r="G65" i="14"/>
  <c r="G65" i="12"/>
  <c r="E5" i="21"/>
  <c r="R64" i="20"/>
  <c r="O59" i="19"/>
  <c r="O35" i="19"/>
  <c r="Q35" i="19" s="1"/>
  <c r="O86" i="19"/>
  <c r="G29" i="11"/>
  <c r="F26" i="24"/>
  <c r="R35" i="19"/>
  <c r="R86" i="19"/>
  <c r="R59" i="19"/>
  <c r="S35" i="19"/>
  <c r="S86" i="19"/>
  <c r="S59" i="19"/>
  <c r="D19" i="21"/>
  <c r="W85" i="19"/>
  <c r="E66" i="16"/>
  <c r="G38" i="16"/>
  <c r="G66" i="16" s="1"/>
  <c r="T30" i="19"/>
  <c r="M87" i="19"/>
  <c r="K87" i="19" s="1"/>
  <c r="S58" i="20"/>
  <c r="T58" i="20" s="1"/>
  <c r="Z82" i="19"/>
  <c r="B59" i="20"/>
  <c r="B15" i="20"/>
  <c r="H58" i="20"/>
  <c r="F57" i="11"/>
  <c r="F96" i="16" s="1"/>
  <c r="F41" i="21"/>
  <c r="L70" i="20"/>
  <c r="U86" i="19"/>
  <c r="U59" i="19"/>
  <c r="B65" i="20"/>
  <c r="H64" i="20"/>
  <c r="B21" i="20"/>
  <c r="Y58" i="19"/>
  <c r="Z56" i="19"/>
  <c r="Z58" i="19" s="1"/>
  <c r="B31" i="21"/>
  <c r="B27" i="21"/>
  <c r="D13" i="33" l="1"/>
  <c r="D18" i="33" s="1"/>
  <c r="E16" i="33"/>
  <c r="E11" i="33"/>
  <c r="F11" i="33"/>
  <c r="F16" i="33"/>
  <c r="G8" i="33"/>
  <c r="E14" i="33"/>
  <c r="E9" i="33"/>
  <c r="F94" i="16"/>
  <c r="B17" i="17"/>
  <c r="F106" i="22"/>
  <c r="G106" i="22" s="1"/>
  <c r="G86" i="22"/>
  <c r="G66" i="1"/>
  <c r="E24" i="21"/>
  <c r="E25" i="21" s="1"/>
  <c r="E31" i="21" s="1"/>
  <c r="H23" i="20"/>
  <c r="J23" i="20" s="1"/>
  <c r="D25" i="21"/>
  <c r="D27" i="21" s="1"/>
  <c r="S66" i="20"/>
  <c r="T66" i="20" s="1"/>
  <c r="S68" i="20"/>
  <c r="T68" i="20" s="1"/>
  <c r="H25" i="20"/>
  <c r="I68" i="20" s="1"/>
  <c r="I52" i="20"/>
  <c r="H15" i="20"/>
  <c r="J15" i="20" s="1"/>
  <c r="F66" i="11"/>
  <c r="G66" i="11" s="1"/>
  <c r="F54" i="21"/>
  <c r="F56" i="21" s="1"/>
  <c r="I46" i="20"/>
  <c r="J3" i="20"/>
  <c r="K8" i="20" s="1"/>
  <c r="E103" i="16"/>
  <c r="G43" i="24"/>
  <c r="N54" i="24"/>
  <c r="O54" i="24" s="1"/>
  <c r="O43" i="24"/>
  <c r="J19" i="20"/>
  <c r="I62" i="20"/>
  <c r="F59" i="21"/>
  <c r="F61" i="21" s="1"/>
  <c r="B26" i="20"/>
  <c r="H69" i="20"/>
  <c r="R74" i="20"/>
  <c r="B74" i="20"/>
  <c r="B75" i="20" s="1"/>
  <c r="Q87" i="19"/>
  <c r="N87" i="19" s="1"/>
  <c r="G102" i="16"/>
  <c r="F48" i="21"/>
  <c r="F50" i="21" s="1"/>
  <c r="F21" i="21" s="1"/>
  <c r="R72" i="20"/>
  <c r="B72" i="20"/>
  <c r="J17" i="20"/>
  <c r="I60" i="20"/>
  <c r="G5" i="21"/>
  <c r="Z85" i="19"/>
  <c r="X59" i="19"/>
  <c r="X86" i="19"/>
  <c r="J87" i="19"/>
  <c r="L87" i="19" s="1"/>
  <c r="D87" i="19"/>
  <c r="F58" i="22"/>
  <c r="G34" i="22"/>
  <c r="G58" i="22" s="1"/>
  <c r="S64" i="20"/>
  <c r="T64" i="20" s="1"/>
  <c r="H21" i="20"/>
  <c r="E14" i="21"/>
  <c r="G14" i="21" s="1"/>
  <c r="H59" i="20"/>
  <c r="H16" i="20" s="1"/>
  <c r="B16" i="20"/>
  <c r="W35" i="19"/>
  <c r="W86" i="19"/>
  <c r="W59" i="19"/>
  <c r="G57" i="11"/>
  <c r="F42" i="21"/>
  <c r="F44" i="21" s="1"/>
  <c r="F18" i="21" s="1"/>
  <c r="R70" i="20"/>
  <c r="B70" i="20"/>
  <c r="L76" i="20"/>
  <c r="T34" i="19"/>
  <c r="Y30" i="19"/>
  <c r="F37" i="24"/>
  <c r="G37" i="24" s="1"/>
  <c r="G26" i="24"/>
  <c r="B22" i="20"/>
  <c r="H65" i="20"/>
  <c r="H22" i="20" s="1"/>
  <c r="J22" i="20" s="1"/>
  <c r="F91" i="22" l="1"/>
  <c r="F92" i="22" s="1"/>
  <c r="F97" i="22" s="1"/>
  <c r="B91" i="22"/>
  <c r="B92" i="22" s="1"/>
  <c r="G16" i="33"/>
  <c r="E13" i="33"/>
  <c r="G11" i="33"/>
  <c r="F9" i="33"/>
  <c r="G9" i="33" s="1"/>
  <c r="F14" i="33"/>
  <c r="F13" i="33" s="1"/>
  <c r="F18" i="33" s="1"/>
  <c r="O87" i="19"/>
  <c r="P87" i="19" s="1"/>
  <c r="D91" i="22"/>
  <c r="D92" i="22" s="1"/>
  <c r="D97" i="22" s="1"/>
  <c r="C91" i="22"/>
  <c r="C92" i="22" s="1"/>
  <c r="C97" i="22" s="1"/>
  <c r="E91" i="22"/>
  <c r="E92" i="22" s="1"/>
  <c r="E97" i="22" s="1"/>
  <c r="I66" i="20"/>
  <c r="D31" i="21"/>
  <c r="J25" i="20"/>
  <c r="I64" i="20"/>
  <c r="J16" i="20"/>
  <c r="K20" i="20" s="1"/>
  <c r="I58" i="20"/>
  <c r="F24" i="21"/>
  <c r="G24" i="21" s="1"/>
  <c r="G95" i="16"/>
  <c r="F103" i="16"/>
  <c r="G103" i="16" s="1"/>
  <c r="C58" i="30" s="1"/>
  <c r="C59" i="30" s="1"/>
  <c r="B32" i="20"/>
  <c r="H75" i="20"/>
  <c r="B31" i="20"/>
  <c r="H74" i="20"/>
  <c r="S74" i="20"/>
  <c r="T74" i="20" s="1"/>
  <c r="H31" i="20"/>
  <c r="G97" i="16"/>
  <c r="B29" i="20"/>
  <c r="H72" i="20"/>
  <c r="F22" i="21"/>
  <c r="G22" i="21" s="1"/>
  <c r="G21" i="21"/>
  <c r="R76" i="20"/>
  <c r="B73" i="20"/>
  <c r="S72" i="20"/>
  <c r="T72" i="20" s="1"/>
  <c r="H29" i="20"/>
  <c r="G96" i="16"/>
  <c r="E27" i="21"/>
  <c r="J21" i="20"/>
  <c r="E16" i="21"/>
  <c r="G16" i="21" s="1"/>
  <c r="T59" i="19"/>
  <c r="T35" i="19"/>
  <c r="U35" i="19" s="1"/>
  <c r="T86" i="19"/>
  <c r="F19" i="21"/>
  <c r="G18" i="21"/>
  <c r="G94" i="16"/>
  <c r="U87" i="19"/>
  <c r="H27" i="20"/>
  <c r="S70" i="20"/>
  <c r="Y34" i="19"/>
  <c r="Z30" i="19"/>
  <c r="Z34" i="19" s="1"/>
  <c r="Z59" i="19" s="1"/>
  <c r="B71" i="20"/>
  <c r="B27" i="20"/>
  <c r="H70" i="20"/>
  <c r="C58" i="11" l="1"/>
  <c r="B58" i="11"/>
  <c r="G14" i="33"/>
  <c r="G13" i="33"/>
  <c r="H18" i="33" s="1"/>
  <c r="E18" i="33"/>
  <c r="G18" i="33" s="1"/>
  <c r="G92" i="22"/>
  <c r="G97" i="22" s="1"/>
  <c r="G101" i="22" s="1"/>
  <c r="B97" i="22"/>
  <c r="G91" i="22"/>
  <c r="E58" i="30"/>
  <c r="E59" i="30" s="1"/>
  <c r="F58" i="30"/>
  <c r="F59" i="30" s="1"/>
  <c r="D58" i="30"/>
  <c r="D59" i="30" s="1"/>
  <c r="B58" i="30"/>
  <c r="K26" i="20"/>
  <c r="F25" i="21"/>
  <c r="G25" i="21" s="1"/>
  <c r="F28" i="21"/>
  <c r="Z87" i="19"/>
  <c r="J31" i="20"/>
  <c r="I74" i="20"/>
  <c r="B30" i="20"/>
  <c r="H73" i="20"/>
  <c r="I72" i="20"/>
  <c r="J29" i="20"/>
  <c r="R87" i="19"/>
  <c r="W87" i="19" s="1"/>
  <c r="S87" i="19"/>
  <c r="X87" i="19" s="1"/>
  <c r="E30" i="21"/>
  <c r="G30" i="21" s="1"/>
  <c r="E28" i="21"/>
  <c r="J27" i="20"/>
  <c r="G19" i="21"/>
  <c r="T70" i="20"/>
  <c r="S76" i="20"/>
  <c r="E58" i="1"/>
  <c r="M76" i="24"/>
  <c r="D58" i="14"/>
  <c r="D59" i="14" s="1"/>
  <c r="F76" i="24"/>
  <c r="D97" i="24"/>
  <c r="D94" i="24"/>
  <c r="F58" i="15"/>
  <c r="F59" i="15" s="1"/>
  <c r="C83" i="24"/>
  <c r="K100" i="24"/>
  <c r="F58" i="13"/>
  <c r="F59" i="13" s="1"/>
  <c r="E79" i="24"/>
  <c r="C75" i="24"/>
  <c r="N80" i="24"/>
  <c r="E75" i="24"/>
  <c r="D100" i="24"/>
  <c r="C58" i="14"/>
  <c r="C59" i="14" s="1"/>
  <c r="J98" i="24"/>
  <c r="K74" i="24"/>
  <c r="D81" i="24"/>
  <c r="E58" i="14"/>
  <c r="E59" i="14" s="1"/>
  <c r="E76" i="24"/>
  <c r="E82" i="24"/>
  <c r="C58" i="12"/>
  <c r="C59" i="12" s="1"/>
  <c r="M100" i="24"/>
  <c r="J97" i="24"/>
  <c r="M77" i="24"/>
  <c r="M98" i="24"/>
  <c r="M90" i="24"/>
  <c r="E93" i="24"/>
  <c r="F92" i="24"/>
  <c r="D58" i="1"/>
  <c r="B77" i="24"/>
  <c r="B91" i="24"/>
  <c r="K73" i="24"/>
  <c r="J83" i="24"/>
  <c r="F94" i="24"/>
  <c r="B82" i="24"/>
  <c r="B81" i="24"/>
  <c r="J79" i="24"/>
  <c r="M82" i="24"/>
  <c r="E58" i="11"/>
  <c r="F58" i="1"/>
  <c r="F58" i="14"/>
  <c r="F59" i="14" s="1"/>
  <c r="M83" i="24"/>
  <c r="K82" i="24"/>
  <c r="J82" i="24"/>
  <c r="N73" i="24"/>
  <c r="L95" i="24"/>
  <c r="C58" i="13"/>
  <c r="C59" i="13" s="1"/>
  <c r="D90" i="24"/>
  <c r="L74" i="24"/>
  <c r="E73" i="24"/>
  <c r="F74" i="24"/>
  <c r="C92" i="24"/>
  <c r="B100" i="24"/>
  <c r="J78" i="24"/>
  <c r="N91" i="24"/>
  <c r="M80" i="24"/>
  <c r="M92" i="24"/>
  <c r="K97" i="24"/>
  <c r="B94" i="24"/>
  <c r="J80" i="24"/>
  <c r="C81" i="24"/>
  <c r="B83" i="24"/>
  <c r="C94" i="24"/>
  <c r="N97" i="24"/>
  <c r="J99" i="24"/>
  <c r="F81" i="24"/>
  <c r="L79" i="24"/>
  <c r="K81" i="24"/>
  <c r="B80" i="24"/>
  <c r="K75" i="24"/>
  <c r="F90" i="24"/>
  <c r="F98" i="24"/>
  <c r="B74" i="24"/>
  <c r="B99" i="24"/>
  <c r="C98" i="24"/>
  <c r="C100" i="24"/>
  <c r="M74" i="24"/>
  <c r="F82" i="24"/>
  <c r="C77" i="24"/>
  <c r="L82" i="24"/>
  <c r="E58" i="13"/>
  <c r="E59" i="13" s="1"/>
  <c r="F97" i="24"/>
  <c r="C96" i="24"/>
  <c r="J77" i="24"/>
  <c r="D95" i="24"/>
  <c r="K90" i="24"/>
  <c r="K80" i="24"/>
  <c r="L75" i="24"/>
  <c r="L77" i="24"/>
  <c r="E97" i="24"/>
  <c r="L98" i="24"/>
  <c r="E83" i="24"/>
  <c r="D74" i="24"/>
  <c r="B93" i="24"/>
  <c r="D58" i="11"/>
  <c r="J93" i="24"/>
  <c r="C74" i="24"/>
  <c r="M81" i="24"/>
  <c r="B75" i="24"/>
  <c r="B97" i="24"/>
  <c r="J74" i="24"/>
  <c r="D98" i="24"/>
  <c r="K92" i="24"/>
  <c r="C99" i="24"/>
  <c r="J91" i="24"/>
  <c r="D93" i="24"/>
  <c r="B98" i="24"/>
  <c r="E78" i="24"/>
  <c r="J75" i="24"/>
  <c r="J81" i="24"/>
  <c r="K78" i="24"/>
  <c r="E81" i="24"/>
  <c r="C58" i="1"/>
  <c r="E95" i="24"/>
  <c r="L73" i="24"/>
  <c r="F77" i="24"/>
  <c r="J100" i="24"/>
  <c r="J94" i="24"/>
  <c r="J92" i="24"/>
  <c r="M78" i="24"/>
  <c r="K77" i="24"/>
  <c r="E98" i="24"/>
  <c r="N95" i="24"/>
  <c r="D98" i="16"/>
  <c r="L96" i="24"/>
  <c r="N92" i="24"/>
  <c r="K96" i="24"/>
  <c r="M96" i="24"/>
  <c r="E91" i="24"/>
  <c r="K79" i="24"/>
  <c r="B73" i="24"/>
  <c r="F93" i="24"/>
  <c r="F75" i="24"/>
  <c r="E98" i="16"/>
  <c r="F99" i="24"/>
  <c r="F79" i="24"/>
  <c r="D58" i="12"/>
  <c r="D59" i="12" s="1"/>
  <c r="F91" i="24"/>
  <c r="D58" i="13"/>
  <c r="D59" i="13" s="1"/>
  <c r="L83" i="24"/>
  <c r="F80" i="24"/>
  <c r="C82" i="24"/>
  <c r="E94" i="24"/>
  <c r="D58" i="15"/>
  <c r="D59" i="15" s="1"/>
  <c r="F78" i="24"/>
  <c r="E58" i="15"/>
  <c r="E59" i="15" s="1"/>
  <c r="D91" i="24"/>
  <c r="L94" i="24"/>
  <c r="D83" i="24"/>
  <c r="N76" i="24"/>
  <c r="J73" i="24"/>
  <c r="J96" i="24"/>
  <c r="E77" i="24"/>
  <c r="B58" i="1"/>
  <c r="N74" i="24"/>
  <c r="N78" i="24"/>
  <c r="N99" i="24"/>
  <c r="L100" i="24"/>
  <c r="J90" i="24"/>
  <c r="C90" i="24"/>
  <c r="M75" i="24"/>
  <c r="B76" i="24"/>
  <c r="K98" i="24"/>
  <c r="L90" i="24"/>
  <c r="M94" i="24"/>
  <c r="F73" i="24"/>
  <c r="D99" i="24"/>
  <c r="N79" i="24"/>
  <c r="N82" i="24"/>
  <c r="M93" i="24"/>
  <c r="D73" i="24"/>
  <c r="C76" i="24"/>
  <c r="N100" i="24"/>
  <c r="M91" i="24"/>
  <c r="F95" i="24"/>
  <c r="L80" i="24"/>
  <c r="D80" i="24"/>
  <c r="B58" i="14"/>
  <c r="E96" i="24"/>
  <c r="C93" i="24"/>
  <c r="N83" i="24"/>
  <c r="D77" i="24"/>
  <c r="B95" i="24"/>
  <c r="C78" i="24"/>
  <c r="C91" i="24"/>
  <c r="C73" i="24"/>
  <c r="D79" i="24"/>
  <c r="F96" i="24"/>
  <c r="K76" i="24"/>
  <c r="L91" i="24"/>
  <c r="N98" i="24"/>
  <c r="E99" i="24"/>
  <c r="L99" i="24"/>
  <c r="M73" i="24"/>
  <c r="B58" i="15"/>
  <c r="D82" i="24"/>
  <c r="N81" i="24"/>
  <c r="B96" i="24"/>
  <c r="M99" i="24"/>
  <c r="C98" i="16"/>
  <c r="L78" i="24"/>
  <c r="B78" i="24"/>
  <c r="L93" i="24"/>
  <c r="F98" i="16"/>
  <c r="E92" i="24"/>
  <c r="N75" i="24"/>
  <c r="N96" i="24"/>
  <c r="E90" i="24"/>
  <c r="B79" i="24"/>
  <c r="K83" i="24"/>
  <c r="K95" i="24"/>
  <c r="N94" i="24"/>
  <c r="N93" i="24"/>
  <c r="C95" i="24"/>
  <c r="M95" i="24"/>
  <c r="B98" i="16"/>
  <c r="E58" i="12"/>
  <c r="E59" i="12" s="1"/>
  <c r="K91" i="24"/>
  <c r="B58" i="13"/>
  <c r="J95" i="24"/>
  <c r="D96" i="24"/>
  <c r="B92" i="24"/>
  <c r="K93" i="24"/>
  <c r="E100" i="24"/>
  <c r="D76" i="24"/>
  <c r="K94" i="24"/>
  <c r="B90" i="24"/>
  <c r="L92" i="24"/>
  <c r="L76" i="24"/>
  <c r="K99" i="24"/>
  <c r="F100" i="24"/>
  <c r="L81" i="24"/>
  <c r="J76" i="24"/>
  <c r="D75" i="24"/>
  <c r="F83" i="24"/>
  <c r="E74" i="24"/>
  <c r="N77" i="24"/>
  <c r="E80" i="24"/>
  <c r="M79" i="24"/>
  <c r="N90" i="24"/>
  <c r="C58" i="15"/>
  <c r="C59" i="15" s="1"/>
  <c r="M97" i="24"/>
  <c r="B58" i="12"/>
  <c r="F58" i="12"/>
  <c r="F59" i="12" s="1"/>
  <c r="D78" i="24"/>
  <c r="D92" i="24"/>
  <c r="F58" i="11"/>
  <c r="C79" i="24"/>
  <c r="L97" i="24"/>
  <c r="C97" i="24"/>
  <c r="C80" i="24"/>
  <c r="H71" i="20"/>
  <c r="H28" i="20" s="1"/>
  <c r="B28" i="20"/>
  <c r="B76" i="20"/>
  <c r="B33" i="20" s="1"/>
  <c r="Y35" i="19"/>
  <c r="Z35" i="19" s="1"/>
  <c r="Y86" i="19"/>
  <c r="Z86" i="19" s="1"/>
  <c r="Y59" i="19"/>
  <c r="G58" i="30" l="1"/>
  <c r="B59" i="30"/>
  <c r="G59" i="30" s="1"/>
  <c r="J94" i="16" s="1"/>
  <c r="B60" i="21"/>
  <c r="F31" i="21"/>
  <c r="G31" i="21" s="1"/>
  <c r="F27" i="21"/>
  <c r="G27" i="21" s="1"/>
  <c r="J28" i="20"/>
  <c r="J33" i="20" s="1"/>
  <c r="H33" i="20"/>
  <c r="I70" i="20"/>
  <c r="F55" i="21"/>
  <c r="F60" i="21"/>
  <c r="D55" i="21"/>
  <c r="D60" i="21"/>
  <c r="E55" i="21"/>
  <c r="E60" i="21"/>
  <c r="C55" i="21"/>
  <c r="C60" i="21"/>
  <c r="B49" i="21"/>
  <c r="B55" i="21"/>
  <c r="T87" i="19"/>
  <c r="Y87" i="19" s="1"/>
  <c r="H76" i="20"/>
  <c r="F59" i="11"/>
  <c r="F49" i="21"/>
  <c r="D59" i="11"/>
  <c r="D49" i="21"/>
  <c r="E59" i="11"/>
  <c r="E49" i="21"/>
  <c r="C59" i="11"/>
  <c r="C49" i="21"/>
  <c r="E15" i="24"/>
  <c r="C14" i="24"/>
  <c r="D13" i="24"/>
  <c r="G95" i="24"/>
  <c r="F11" i="24"/>
  <c r="G97" i="24"/>
  <c r="O77" i="24"/>
  <c r="O80" i="24"/>
  <c r="D15" i="24"/>
  <c r="D11" i="24"/>
  <c r="D12" i="24"/>
  <c r="G58" i="12"/>
  <c r="B59" i="12"/>
  <c r="G59" i="12" s="1"/>
  <c r="J90" i="16" s="1"/>
  <c r="B59" i="13"/>
  <c r="G59" i="13" s="1"/>
  <c r="J91" i="16" s="1"/>
  <c r="G58" i="13"/>
  <c r="D84" i="24"/>
  <c r="D7" i="24"/>
  <c r="J101" i="24"/>
  <c r="O90" i="24"/>
  <c r="B7" i="24"/>
  <c r="G73" i="24"/>
  <c r="B84" i="24"/>
  <c r="D6" i="21"/>
  <c r="D8" i="21" s="1"/>
  <c r="D99" i="16"/>
  <c r="L20" i="20"/>
  <c r="M88" i="19"/>
  <c r="D101" i="24"/>
  <c r="O82" i="24"/>
  <c r="F59" i="1"/>
  <c r="F43" i="21"/>
  <c r="B15" i="24"/>
  <c r="G81" i="24"/>
  <c r="K84" i="24"/>
  <c r="E13" i="24"/>
  <c r="E14" i="24"/>
  <c r="D9" i="24"/>
  <c r="G92" i="24"/>
  <c r="B12" i="24"/>
  <c r="G78" i="24"/>
  <c r="G96" i="24"/>
  <c r="M84" i="24"/>
  <c r="C84" i="24"/>
  <c r="C7" i="24"/>
  <c r="G58" i="14"/>
  <c r="B59" i="14"/>
  <c r="G59" i="14" s="1"/>
  <c r="J92" i="16" s="1"/>
  <c r="F84" i="24"/>
  <c r="F7" i="24"/>
  <c r="G76" i="24"/>
  <c r="B10" i="24"/>
  <c r="B59" i="1"/>
  <c r="G58" i="1"/>
  <c r="B3" i="17" s="1"/>
  <c r="B43" i="21"/>
  <c r="C16" i="24"/>
  <c r="E6" i="21"/>
  <c r="E8" i="21" s="1"/>
  <c r="Q88" i="19"/>
  <c r="E99" i="16"/>
  <c r="L26" i="20"/>
  <c r="O92" i="24"/>
  <c r="L84" i="24"/>
  <c r="G98" i="24"/>
  <c r="B9" i="24"/>
  <c r="G75" i="24"/>
  <c r="C11" i="24"/>
  <c r="F101" i="24"/>
  <c r="G94" i="24"/>
  <c r="F8" i="24"/>
  <c r="B16" i="24"/>
  <c r="G82" i="24"/>
  <c r="G91" i="24"/>
  <c r="E16" i="24"/>
  <c r="E9" i="24"/>
  <c r="E12" i="24"/>
  <c r="D14" i="24"/>
  <c r="E11" i="24"/>
  <c r="F12" i="24"/>
  <c r="F14" i="24"/>
  <c r="F9" i="24"/>
  <c r="O94" i="24"/>
  <c r="O81" i="24"/>
  <c r="G93" i="24"/>
  <c r="K101" i="24"/>
  <c r="F16" i="24"/>
  <c r="G99" i="24"/>
  <c r="F15" i="24"/>
  <c r="G83" i="24"/>
  <c r="O78" i="24"/>
  <c r="E7" i="24"/>
  <c r="E84" i="24"/>
  <c r="B11" i="24"/>
  <c r="G77" i="24"/>
  <c r="M101" i="24"/>
  <c r="O97" i="24"/>
  <c r="E10" i="24"/>
  <c r="O98" i="24"/>
  <c r="E59" i="1"/>
  <c r="E43" i="21"/>
  <c r="B101" i="24"/>
  <c r="G90" i="24"/>
  <c r="G58" i="15"/>
  <c r="B59" i="15"/>
  <c r="G59" i="15" s="1"/>
  <c r="J93" i="16" s="1"/>
  <c r="O73" i="24"/>
  <c r="J84" i="24"/>
  <c r="O93" i="24"/>
  <c r="O76" i="24"/>
  <c r="D10" i="24"/>
  <c r="B13" i="24"/>
  <c r="G79" i="24"/>
  <c r="C13" i="24"/>
  <c r="N101" i="24"/>
  <c r="E8" i="24"/>
  <c r="O95" i="24"/>
  <c r="L8" i="20"/>
  <c r="G98" i="16"/>
  <c r="H21" i="34" s="1"/>
  <c r="B99" i="16"/>
  <c r="B6" i="21"/>
  <c r="E88" i="19"/>
  <c r="E101" i="24"/>
  <c r="U88" i="19"/>
  <c r="L32" i="20"/>
  <c r="F99" i="16"/>
  <c r="F6" i="21"/>
  <c r="F8" i="21" s="1"/>
  <c r="C99" i="16"/>
  <c r="C6" i="21"/>
  <c r="C8" i="21" s="1"/>
  <c r="L14" i="20"/>
  <c r="I88" i="19"/>
  <c r="D16" i="24"/>
  <c r="C12" i="24"/>
  <c r="C10" i="24"/>
  <c r="L101" i="24"/>
  <c r="C101" i="24"/>
  <c r="O96" i="24"/>
  <c r="F13" i="24"/>
  <c r="G58" i="11"/>
  <c r="B59" i="11"/>
  <c r="O100" i="24"/>
  <c r="C43" i="21"/>
  <c r="C59" i="1"/>
  <c r="O75" i="24"/>
  <c r="O91" i="24"/>
  <c r="O74" i="24"/>
  <c r="C8" i="24"/>
  <c r="D8" i="24"/>
  <c r="G74" i="24"/>
  <c r="B8" i="24"/>
  <c r="G80" i="24"/>
  <c r="B14" i="24"/>
  <c r="O99" i="24"/>
  <c r="C15" i="24"/>
  <c r="G100" i="24"/>
  <c r="N84" i="24"/>
  <c r="O79" i="24"/>
  <c r="O83" i="24"/>
  <c r="D59" i="1"/>
  <c r="D43" i="21"/>
  <c r="C9" i="24"/>
  <c r="F10" i="24"/>
  <c r="C8" i="34" l="1"/>
  <c r="C9" i="34" s="1"/>
  <c r="C20" i="34" s="1"/>
  <c r="C2" i="34"/>
  <c r="C3" i="34" s="1"/>
  <c r="C5" i="34" s="1"/>
  <c r="F8" i="34"/>
  <c r="F9" i="34" s="1"/>
  <c r="F20" i="34" s="1"/>
  <c r="F2" i="34"/>
  <c r="F3" i="34" s="1"/>
  <c r="F5" i="34" s="1"/>
  <c r="E2" i="34"/>
  <c r="E3" i="34" s="1"/>
  <c r="E5" i="34" s="1"/>
  <c r="E8" i="34"/>
  <c r="E9" i="34" s="1"/>
  <c r="E20" i="34" s="1"/>
  <c r="D2" i="34"/>
  <c r="D3" i="34" s="1"/>
  <c r="D5" i="34" s="1"/>
  <c r="D8" i="34"/>
  <c r="D9" i="34" s="1"/>
  <c r="D20" i="34" s="1"/>
  <c r="B2" i="34"/>
  <c r="B3" i="34" s="1"/>
  <c r="B8" i="34"/>
  <c r="B9" i="34" s="1"/>
  <c r="B18" i="17"/>
  <c r="B26" i="17" s="1"/>
  <c r="B27" i="17" s="1"/>
  <c r="K32" i="20"/>
  <c r="G59" i="11"/>
  <c r="J89" i="16" s="1"/>
  <c r="O88" i="19"/>
  <c r="O89" i="19" s="1"/>
  <c r="N88" i="19"/>
  <c r="N89" i="19" s="1"/>
  <c r="K88" i="19"/>
  <c r="K89" i="19" s="1"/>
  <c r="J88" i="19"/>
  <c r="J89" i="19" s="1"/>
  <c r="S88" i="19"/>
  <c r="S89" i="19" s="1"/>
  <c r="R88" i="19"/>
  <c r="R89" i="19" s="1"/>
  <c r="F88" i="19"/>
  <c r="F89" i="19" s="1"/>
  <c r="G88" i="19"/>
  <c r="G89" i="19" s="1"/>
  <c r="C88" i="19"/>
  <c r="B88" i="19"/>
  <c r="E9" i="21"/>
  <c r="F9" i="21"/>
  <c r="G11" i="24"/>
  <c r="G16" i="24"/>
  <c r="G15" i="24"/>
  <c r="D9" i="21"/>
  <c r="I89" i="19"/>
  <c r="Q89" i="19"/>
  <c r="F17" i="24"/>
  <c r="G59" i="1"/>
  <c r="J88" i="16" s="1"/>
  <c r="G12" i="24"/>
  <c r="J34" i="20"/>
  <c r="J35" i="20" s="1"/>
  <c r="Z88" i="19"/>
  <c r="Z89" i="19" s="1"/>
  <c r="C17" i="24"/>
  <c r="G13" i="24"/>
  <c r="M89" i="19"/>
  <c r="G84" i="24"/>
  <c r="O101" i="24"/>
  <c r="C9" i="21"/>
  <c r="B8" i="21"/>
  <c r="G6" i="21"/>
  <c r="G101" i="24"/>
  <c r="E17" i="24"/>
  <c r="G9" i="24"/>
  <c r="G10" i="24"/>
  <c r="D17" i="24"/>
  <c r="G8" i="24"/>
  <c r="E89" i="19"/>
  <c r="O84" i="24"/>
  <c r="G14" i="24"/>
  <c r="U89" i="19"/>
  <c r="G99" i="16"/>
  <c r="G7" i="24"/>
  <c r="B17" i="24"/>
  <c r="B20" i="34" l="1"/>
  <c r="G20" i="34" s="1"/>
  <c r="G9" i="34"/>
  <c r="H20" i="34" s="1"/>
  <c r="B5" i="34"/>
  <c r="G3" i="34"/>
  <c r="G5" i="34" s="1"/>
  <c r="E101" i="22"/>
  <c r="F101" i="22" s="1"/>
  <c r="H101" i="22" s="1"/>
  <c r="I101" i="22" s="1"/>
  <c r="G2" i="34"/>
  <c r="G8" i="34"/>
  <c r="H19" i="33"/>
  <c r="J95" i="16"/>
  <c r="H99" i="16" s="1"/>
  <c r="P88" i="19"/>
  <c r="P89" i="19" s="1"/>
  <c r="T88" i="19"/>
  <c r="T89" i="19" s="1"/>
  <c r="H88" i="19"/>
  <c r="H89" i="19" s="1"/>
  <c r="L88" i="19"/>
  <c r="L89" i="19" s="1"/>
  <c r="B89" i="19"/>
  <c r="B91" i="19" s="1"/>
  <c r="W88" i="19"/>
  <c r="W89" i="19" s="1"/>
  <c r="W91" i="19" s="1"/>
  <c r="C89" i="19"/>
  <c r="C91" i="19" s="1"/>
  <c r="X88" i="19"/>
  <c r="X89" i="19" s="1"/>
  <c r="X91" i="19" s="1"/>
  <c r="D88" i="19"/>
  <c r="D89" i="19" s="1"/>
  <c r="G17" i="24"/>
  <c r="N91" i="19"/>
  <c r="O91" i="19"/>
  <c r="S91" i="19"/>
  <c r="R91" i="19"/>
  <c r="B9" i="21"/>
  <c r="G8" i="21"/>
  <c r="G9" i="21" s="1"/>
  <c r="J91" i="19"/>
  <c r="K91" i="19"/>
  <c r="H17" i="24"/>
  <c r="F91" i="19"/>
  <c r="G91" i="19"/>
  <c r="I22" i="34" l="1"/>
  <c r="H22" i="34"/>
  <c r="H91" i="19"/>
  <c r="P91" i="19"/>
  <c r="L91" i="19"/>
  <c r="T91" i="19"/>
  <c r="Y91" i="19"/>
  <c r="Y88" i="19"/>
  <c r="Y89" i="19" s="1"/>
  <c r="D91" i="19"/>
  <c r="H18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 W. Hastings</author>
  </authors>
  <commentList>
    <comment ref="B4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Enter current FY salary: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Enter # of months in green boxes only</t>
        </r>
      </text>
    </comment>
  </commentList>
</comments>
</file>

<file path=xl/sharedStrings.xml><?xml version="1.0" encoding="utf-8"?>
<sst xmlns="http://schemas.openxmlformats.org/spreadsheetml/2006/main" count="2672" uniqueCount="500">
  <si>
    <t>Cornell University</t>
  </si>
  <si>
    <t>Year 1</t>
  </si>
  <si>
    <t>Year 2</t>
  </si>
  <si>
    <t>Year 3</t>
  </si>
  <si>
    <t>Budget Categories:</t>
  </si>
  <si>
    <t>Total</t>
  </si>
  <si>
    <t xml:space="preserve"> </t>
  </si>
  <si>
    <t>Fringe Benefits</t>
  </si>
  <si>
    <t>Tuition</t>
  </si>
  <si>
    <t>Student Health Insurance</t>
  </si>
  <si>
    <t>Domestic</t>
  </si>
  <si>
    <t>Foreign</t>
  </si>
  <si>
    <t>Total Travel</t>
  </si>
  <si>
    <t>Other Direct Costs</t>
  </si>
  <si>
    <t>Materials &amp; Supplies</t>
  </si>
  <si>
    <t>Consultant Services</t>
  </si>
  <si>
    <t>Total Direct Costs</t>
  </si>
  <si>
    <t>Modified Direct Costs</t>
  </si>
  <si>
    <t>Total Indirect Costs</t>
  </si>
  <si>
    <t>TOTALS</t>
  </si>
  <si>
    <t>Term</t>
  </si>
  <si>
    <t>Salary Commitment</t>
  </si>
  <si>
    <t>Stipend</t>
  </si>
  <si>
    <t>Summer</t>
  </si>
  <si>
    <t>Health Ins</t>
  </si>
  <si>
    <t>Equipment</t>
  </si>
  <si>
    <t>Total Equipment</t>
  </si>
  <si>
    <t>Participant Support Costs</t>
  </si>
  <si>
    <t>Total Participant Support Costs</t>
  </si>
  <si>
    <t>Other</t>
  </si>
  <si>
    <t>12 Month Stipend</t>
  </si>
  <si>
    <t>Total Support Costs</t>
  </si>
  <si>
    <t>Number of students</t>
  </si>
  <si>
    <t>FY: July 1 - June 30</t>
  </si>
  <si>
    <t>Travel</t>
  </si>
  <si>
    <t>9 Month Stipend</t>
  </si>
  <si>
    <t>Months</t>
  </si>
  <si>
    <t>Yr 1</t>
  </si>
  <si>
    <t>Yr2</t>
  </si>
  <si>
    <t>Yr3</t>
  </si>
  <si>
    <t>Domestic Travel</t>
  </si>
  <si>
    <t>Foreign Travel</t>
  </si>
  <si>
    <t>Subcontract under $25,000</t>
  </si>
  <si>
    <t>Subcontract over $25,000</t>
  </si>
  <si>
    <t>Year 4</t>
  </si>
  <si>
    <t>Subcontract MTDC exclusion</t>
  </si>
  <si>
    <t xml:space="preserve">SubContracts </t>
  </si>
  <si>
    <t>Stipends</t>
  </si>
  <si>
    <t>Subsistence</t>
  </si>
  <si>
    <t>Months devoted to project</t>
  </si>
  <si>
    <t>Year 5</t>
  </si>
  <si>
    <t># of month to FY end</t>
  </si>
  <si>
    <t># of remaining months to proj yr end</t>
  </si>
  <si>
    <t>Project Information</t>
  </si>
  <si>
    <t>PI Name:</t>
  </si>
  <si>
    <t>Start Date:</t>
  </si>
  <si>
    <t>%</t>
  </si>
  <si>
    <t>Co-PI Name:</t>
  </si>
  <si>
    <t>Rates:</t>
  </si>
  <si>
    <t>Salary Calculations:</t>
  </si>
  <si>
    <t>FTE for 12 Months</t>
  </si>
  <si>
    <t>Co-PI</t>
  </si>
  <si>
    <t>Summer - Weekly hours devoted to project</t>
  </si>
  <si>
    <t>Summer - Number of Weeks</t>
  </si>
  <si>
    <t>Academic Year - Weekly hrs devoted to prj.</t>
  </si>
  <si>
    <t>Academic Year - Number of Weeks</t>
  </si>
  <si>
    <t>Capital Equipment</t>
  </si>
  <si>
    <t>Cost</t>
  </si>
  <si>
    <t>Airline tickets</t>
  </si>
  <si>
    <t>Registration</t>
  </si>
  <si>
    <t># People</t>
  </si>
  <si>
    <t>Professional Meetings:</t>
  </si>
  <si>
    <t>Per Diem / Incidentals</t>
  </si>
  <si>
    <t>General Lab Supplies</t>
  </si>
  <si>
    <t>Annual incemental increase</t>
  </si>
  <si>
    <t>Hours</t>
  </si>
  <si>
    <t>Where:</t>
  </si>
  <si>
    <t>Annual Inc.</t>
  </si>
  <si>
    <t>PI</t>
  </si>
  <si>
    <t>Total Academic</t>
  </si>
  <si>
    <t>Total Summer</t>
  </si>
  <si>
    <t>Yr4</t>
  </si>
  <si>
    <t>Yr5</t>
  </si>
  <si>
    <t>Fiscal Year =</t>
  </si>
  <si>
    <t>Rate per Hour</t>
  </si>
  <si>
    <t>Graduate Student(s)</t>
  </si>
  <si>
    <t>Graduate Student Support</t>
  </si>
  <si>
    <t>Graduate Student (Stipend, Tuition, Health Ins) - Contract College Rates:</t>
  </si>
  <si>
    <t>Post Doctoral Associate(s)</t>
  </si>
  <si>
    <t>Undergraduate Student(s)</t>
  </si>
  <si>
    <t>Other Professional(s) (Technicians, etc)</t>
  </si>
  <si>
    <t>Tuition/Fees/Health Insurance</t>
  </si>
  <si>
    <t>Publication Costs</t>
  </si>
  <si>
    <t>Total Fringe Benefits</t>
  </si>
  <si>
    <t>Total Other Direct Costs</t>
  </si>
  <si>
    <t>IDC Rate - Endowed:</t>
  </si>
  <si>
    <t>IDC Rate - Off Campus:</t>
  </si>
  <si>
    <t>*** This number must equal 12</t>
  </si>
  <si>
    <t>Miscellaneous (ground travel)</t>
  </si>
  <si>
    <t>annual start date</t>
  </si>
  <si>
    <t>annual end date</t>
  </si>
  <si>
    <t>calendar years</t>
  </si>
  <si>
    <t>Calendar Year(s)</t>
  </si>
  <si>
    <t>Trips</t>
  </si>
  <si>
    <t>N/A</t>
  </si>
  <si>
    <t xml:space="preserve">Trips </t>
  </si>
  <si>
    <t>Use $15 per hour for Temps</t>
  </si>
  <si>
    <t>Starting Month =</t>
  </si>
  <si>
    <t>Federal</t>
  </si>
  <si>
    <t>Yes</t>
  </si>
  <si>
    <t>Contract College</t>
  </si>
  <si>
    <t>Non-federal</t>
  </si>
  <si>
    <t>No</t>
  </si>
  <si>
    <t>Endowed College</t>
  </si>
  <si>
    <t>Select Funding Type:</t>
  </si>
  <si>
    <t>Post Doc Fringe Benefit Rate:</t>
  </si>
  <si>
    <t>Other Fringe Benefit Rate</t>
  </si>
  <si>
    <t>Is Full IDC allowed?</t>
  </si>
  <si>
    <t>Fringe Benefit Rates:</t>
  </si>
  <si>
    <t>Annual increase</t>
  </si>
  <si>
    <t>Post Doctoral Scholar(s)</t>
  </si>
  <si>
    <t>Fringe Benefits: 9 month appt.</t>
  </si>
  <si>
    <t>Fringe Benefits: 12 month appt.</t>
  </si>
  <si>
    <t>Graduate Student Support Summary</t>
  </si>
  <si>
    <t>Graduate Student Support Detail</t>
  </si>
  <si>
    <t>Pro-rating factor for 12 month appts.:</t>
  </si>
  <si>
    <t>Days/Miles</t>
  </si>
  <si>
    <t>Days</t>
  </si>
  <si>
    <t xml:space="preserve">Mileage </t>
  </si>
  <si>
    <t>Accommodations</t>
  </si>
  <si>
    <t>Miscellaneous (ground travel - taxi)</t>
  </si>
  <si>
    <t>Total Salary and Fringe Benefits</t>
  </si>
  <si>
    <t>Number of Participants:</t>
  </si>
  <si>
    <t>X</t>
  </si>
  <si>
    <t>Total Indirect Costs - Cornell rate</t>
  </si>
  <si>
    <t>Total Indirect Costs - Sponsor rate</t>
  </si>
  <si>
    <t>Senior Personnel Salary</t>
  </si>
  <si>
    <t>Other Personnel Salary</t>
  </si>
  <si>
    <t>Is Department Contract or Endowed?</t>
  </si>
  <si>
    <t>Tuition - Contract College</t>
  </si>
  <si>
    <t>Tuition - Endowed College</t>
  </si>
  <si>
    <t>Senior Personnel</t>
  </si>
  <si>
    <t>Other Personnel</t>
  </si>
  <si>
    <t>Total Personnel</t>
  </si>
  <si>
    <t>Pro-rating for non-senior personnel:</t>
  </si>
  <si>
    <t>Total Indirect Costs - Cornell rates</t>
  </si>
  <si>
    <t xml:space="preserve">Fringe Benefit Rate - Contract (Federal): </t>
  </si>
  <si>
    <t xml:space="preserve">Fringe Benefit Rate - Contract (Non-federal): </t>
  </si>
  <si>
    <t>Fringe Benefit Rate - Endowed</t>
  </si>
  <si>
    <t>IDC Rate - Contract:</t>
  </si>
  <si>
    <t>Check</t>
  </si>
  <si>
    <t>IDC Rate - Allowed by Sponsor:</t>
  </si>
  <si>
    <t xml:space="preserve"> Total</t>
  </si>
  <si>
    <t>% that the Associate Deans office wants recovered:</t>
  </si>
  <si>
    <t>Modified Total Direct Costs (TDC) equals:</t>
  </si>
  <si>
    <t>Indirect Costs recovered from sponser equals:</t>
  </si>
  <si>
    <t>Amount of PI's salary to include for recovery</t>
  </si>
  <si>
    <t>Amount of Co-PI's salary to include for recovery</t>
  </si>
  <si>
    <t>Departmental Use Only</t>
  </si>
  <si>
    <t>CALS RECOVERED IDC</t>
  </si>
  <si>
    <t>Modified Total Direct Costs</t>
  </si>
  <si>
    <t>Actual IDC Recovery %</t>
  </si>
  <si>
    <t>CALS Required Recovery</t>
  </si>
  <si>
    <t>CALS Net Deficit Recovery</t>
  </si>
  <si>
    <t>Actual IDC Recovery Dollars</t>
  </si>
  <si>
    <t>CALS Required Recovery Dollars</t>
  </si>
  <si>
    <t>CALS Net(Deficit)/Surplus Recovery Dollars</t>
  </si>
  <si>
    <t>Salary Placed on Grant to Achieve Recovery</t>
  </si>
  <si>
    <t>Placed on Salary Recovery Form</t>
  </si>
  <si>
    <t>Actual Achieved Recovery from Salary</t>
  </si>
  <si>
    <t>Total Achieved on Grant for CALS Recovery:</t>
  </si>
  <si>
    <t>Surplus or (Shortfall) in Recovery</t>
  </si>
  <si>
    <t>Required Departmental Funds:</t>
  </si>
  <si>
    <t>TDC</t>
  </si>
  <si>
    <t>TFF</t>
  </si>
  <si>
    <t>Research</t>
  </si>
  <si>
    <t>IDC Rate - Campus-Wide Other Sponsor Activity</t>
  </si>
  <si>
    <t>Off</t>
  </si>
  <si>
    <t>On</t>
  </si>
  <si>
    <t>Select Function Type:</t>
  </si>
  <si>
    <t>Is work performed "on" or "off" Campus?</t>
  </si>
  <si>
    <t>Select or Enter Sponsor:</t>
  </si>
  <si>
    <t>USDA</t>
  </si>
  <si>
    <t>NSF</t>
  </si>
  <si>
    <t>NIH</t>
  </si>
  <si>
    <r>
      <t xml:space="preserve">Contract Modified Direct Costs </t>
    </r>
    <r>
      <rPr>
        <b/>
        <sz val="6"/>
        <color theme="0" tint="-0.34998626667073579"/>
        <rFont val="Arial"/>
        <family val="2"/>
      </rPr>
      <t>(On Campus)</t>
    </r>
  </si>
  <si>
    <r>
      <t xml:space="preserve">Contract Modified Direct Costs </t>
    </r>
    <r>
      <rPr>
        <b/>
        <sz val="6"/>
        <color theme="0" tint="-0.499984740745262"/>
        <rFont val="Arial"/>
        <family val="2"/>
      </rPr>
      <t>(Off Campus)</t>
    </r>
  </si>
  <si>
    <r>
      <t xml:space="preserve">Endowed Modified Direct Costs </t>
    </r>
    <r>
      <rPr>
        <b/>
        <sz val="6"/>
        <color theme="0" tint="-0.499984740745262"/>
        <rFont val="Arial"/>
        <family val="2"/>
      </rPr>
      <t>(Off Campus)</t>
    </r>
  </si>
  <si>
    <r>
      <t>Endowed Modified Direct Costs</t>
    </r>
    <r>
      <rPr>
        <b/>
        <sz val="6"/>
        <rFont val="Arial"/>
        <family val="2"/>
      </rPr>
      <t xml:space="preserve"> </t>
    </r>
    <r>
      <rPr>
        <b/>
        <sz val="6"/>
        <color theme="0" tint="-0.249977111117893"/>
        <rFont val="Arial"/>
        <family val="2"/>
      </rPr>
      <t>(On Campus)</t>
    </r>
  </si>
  <si>
    <t>Months devoted to project for Cost Share</t>
  </si>
  <si>
    <t>Other: Tuition</t>
  </si>
  <si>
    <t>Other: Health Insurance</t>
  </si>
  <si>
    <t>Requested</t>
  </si>
  <si>
    <t>Extension</t>
  </si>
  <si>
    <t>Education</t>
  </si>
  <si>
    <t>* This drives the budget categories, if you enter anything other than what is on the list, it will default to NSF</t>
  </si>
  <si>
    <t>Project Year</t>
  </si>
  <si>
    <t>Participants</t>
  </si>
  <si>
    <t>Health Ins.</t>
  </si>
  <si>
    <t>MTDC Base</t>
  </si>
  <si>
    <t>TDC Base</t>
  </si>
  <si>
    <t>Rate</t>
  </si>
  <si>
    <t>NIH Salary Cap for 9 month appointment</t>
  </si>
  <si>
    <t>NIH Salary Cap for 12 month appointment</t>
  </si>
  <si>
    <t>Cost Share Salary Commitment</t>
  </si>
  <si>
    <t>Indirect Cost</t>
  </si>
  <si>
    <t>Subcontract</t>
  </si>
  <si>
    <t>MTDC</t>
  </si>
  <si>
    <t xml:space="preserve">MTDC </t>
  </si>
  <si>
    <t>CC On</t>
  </si>
  <si>
    <t>EC On</t>
  </si>
  <si>
    <t>Both Off</t>
  </si>
  <si>
    <t>NIH Budget Summary</t>
  </si>
  <si>
    <t>Totals</t>
  </si>
  <si>
    <t>NIH Modular Direct Costs                                                 (CU Direct Cost less Subcontract IDC)</t>
  </si>
  <si>
    <t>Cornell's IDC</t>
  </si>
  <si>
    <t>Subcontract IDC</t>
  </si>
  <si>
    <t>Total Proposal</t>
  </si>
  <si>
    <t>Modular NIH Budget Summary</t>
  </si>
  <si>
    <t>Direct Cost less Consortium F&amp;A</t>
  </si>
  <si>
    <t>REVIEW THIS CAREFULLY</t>
  </si>
  <si>
    <t>Consortium F&amp;A</t>
  </si>
  <si>
    <t>NIH Modular Direct Costs</t>
  </si>
  <si>
    <r>
      <t xml:space="preserve">Indirect Cost Base </t>
    </r>
    <r>
      <rPr>
        <b/>
        <sz val="9"/>
        <rFont val="Arial"/>
        <family val="2"/>
      </rPr>
      <t xml:space="preserve"> (Contract - On Campus)</t>
    </r>
  </si>
  <si>
    <r>
      <t xml:space="preserve">Indirect Cost Base </t>
    </r>
    <r>
      <rPr>
        <b/>
        <sz val="9"/>
        <rFont val="Arial"/>
        <family val="2"/>
      </rPr>
      <t xml:space="preserve"> (Endowed - On Campus)</t>
    </r>
  </si>
  <si>
    <r>
      <t xml:space="preserve">Indirect Cost Base </t>
    </r>
    <r>
      <rPr>
        <b/>
        <sz val="9"/>
        <rFont val="Arial"/>
        <family val="2"/>
      </rPr>
      <t xml:space="preserve"> (Off Campus)</t>
    </r>
  </si>
  <si>
    <r>
      <t xml:space="preserve">IDC Request  </t>
    </r>
    <r>
      <rPr>
        <b/>
        <sz val="9"/>
        <rFont val="Arial"/>
        <family val="2"/>
      </rPr>
      <t>(Contract - On Campus)</t>
    </r>
  </si>
  <si>
    <r>
      <t xml:space="preserve">IDC Request  </t>
    </r>
    <r>
      <rPr>
        <b/>
        <sz val="9"/>
        <rFont val="Arial"/>
        <family val="2"/>
      </rPr>
      <t>(Endowed - On Campus)</t>
    </r>
  </si>
  <si>
    <r>
      <t xml:space="preserve">IDC Request  </t>
    </r>
    <r>
      <rPr>
        <b/>
        <sz val="9"/>
        <rFont val="Arial"/>
        <family val="2"/>
      </rPr>
      <t>(Off Campus)</t>
    </r>
  </si>
  <si>
    <r>
      <t xml:space="preserve">Contract Modifiers </t>
    </r>
    <r>
      <rPr>
        <b/>
        <sz val="6"/>
        <color theme="0" tint="-0.34998626667073579"/>
        <rFont val="Arial"/>
        <family val="2"/>
      </rPr>
      <t>(On Campus)</t>
    </r>
  </si>
  <si>
    <r>
      <t xml:space="preserve">Contract Total Direct Costs </t>
    </r>
    <r>
      <rPr>
        <b/>
        <sz val="6"/>
        <color theme="0" tint="-0.34998626667073579"/>
        <rFont val="Arial"/>
        <family val="2"/>
      </rPr>
      <t>(On Campus)</t>
    </r>
  </si>
  <si>
    <r>
      <t xml:space="preserve">Contract Total Direct Costs </t>
    </r>
    <r>
      <rPr>
        <b/>
        <sz val="6"/>
        <color theme="0" tint="-0.499984740745262"/>
        <rFont val="Arial"/>
        <family val="2"/>
      </rPr>
      <t>(Off Campus)</t>
    </r>
  </si>
  <si>
    <r>
      <t xml:space="preserve">Contract Modifiers </t>
    </r>
    <r>
      <rPr>
        <b/>
        <sz val="6"/>
        <color theme="0" tint="-0.499984740745262"/>
        <rFont val="Arial"/>
        <family val="2"/>
      </rPr>
      <t>(Off Campus)</t>
    </r>
  </si>
  <si>
    <r>
      <t xml:space="preserve">Endowed Total Direct Costs </t>
    </r>
    <r>
      <rPr>
        <b/>
        <sz val="6"/>
        <color theme="0" tint="-0.34998626667073579"/>
        <rFont val="Arial"/>
        <family val="2"/>
      </rPr>
      <t>(On Campus)</t>
    </r>
  </si>
  <si>
    <r>
      <t xml:space="preserve">Endowed Modified Direct Costs </t>
    </r>
    <r>
      <rPr>
        <b/>
        <sz val="6"/>
        <color theme="0" tint="-0.34998626667073579"/>
        <rFont val="Arial"/>
        <family val="2"/>
      </rPr>
      <t>(On Campus)</t>
    </r>
  </si>
  <si>
    <r>
      <t xml:space="preserve">Endowed Modifiers </t>
    </r>
    <r>
      <rPr>
        <b/>
        <sz val="6"/>
        <color theme="0" tint="-0.34998626667073579"/>
        <rFont val="Arial"/>
        <family val="2"/>
      </rPr>
      <t>(On Campus)</t>
    </r>
  </si>
  <si>
    <r>
      <t xml:space="preserve">Endowed Total Direct Costs </t>
    </r>
    <r>
      <rPr>
        <b/>
        <sz val="6"/>
        <color theme="0" tint="-0.499984740745262"/>
        <rFont val="Arial"/>
        <family val="2"/>
      </rPr>
      <t>(Off Campus)</t>
    </r>
  </si>
  <si>
    <r>
      <t xml:space="preserve">Endowed Modifiers </t>
    </r>
    <r>
      <rPr>
        <b/>
        <sz val="6"/>
        <color theme="0" tint="-0.499984740745262"/>
        <rFont val="Arial"/>
        <family val="2"/>
      </rPr>
      <t>(Off Campus)</t>
    </r>
  </si>
  <si>
    <t>Contract Consortium F&amp;A</t>
  </si>
  <si>
    <t>Endowed Consortium F&amp;A</t>
  </si>
  <si>
    <r>
      <t xml:space="preserve">Contract IDC Costs </t>
    </r>
    <r>
      <rPr>
        <b/>
        <sz val="6"/>
        <color theme="0" tint="-0.34998626667073579"/>
        <rFont val="Arial"/>
        <family val="2"/>
      </rPr>
      <t>(On Campus)</t>
    </r>
  </si>
  <si>
    <r>
      <t xml:space="preserve">Endowed IDC Costs </t>
    </r>
    <r>
      <rPr>
        <b/>
        <sz val="6"/>
        <color theme="0" tint="-0.34998626667073579"/>
        <rFont val="Arial"/>
        <family val="2"/>
      </rPr>
      <t>(On Campus)</t>
    </r>
  </si>
  <si>
    <r>
      <t xml:space="preserve">Contract IDC </t>
    </r>
    <r>
      <rPr>
        <b/>
        <sz val="6"/>
        <color theme="0" tint="-0.499984740745262"/>
        <rFont val="Arial"/>
        <family val="2"/>
      </rPr>
      <t>(Off Campus)</t>
    </r>
  </si>
  <si>
    <r>
      <t xml:space="preserve">Endowed IDC </t>
    </r>
    <r>
      <rPr>
        <b/>
        <sz val="6"/>
        <color theme="0" tint="-0.499984740745262"/>
        <rFont val="Arial"/>
        <family val="2"/>
      </rPr>
      <t>(Off Campus)</t>
    </r>
  </si>
  <si>
    <t>Cornell University (Cost Share)</t>
  </si>
  <si>
    <t>Waived Tuition</t>
  </si>
  <si>
    <t>Number of students (Contract)</t>
  </si>
  <si>
    <t>Number of students (Endowed)</t>
  </si>
  <si>
    <t>Other: Waived Tuition</t>
  </si>
  <si>
    <t>COST SHARE - Contract College</t>
  </si>
  <si>
    <t xml:space="preserve">Graduate Student(s) </t>
  </si>
  <si>
    <t>COST SHARE - Endowed College</t>
  </si>
  <si>
    <t>Capital Equipment - Contact College</t>
  </si>
  <si>
    <t>Capital Equipment - Endowed College</t>
  </si>
  <si>
    <t xml:space="preserve">Other </t>
  </si>
  <si>
    <t>Domestic Travel - Contract College</t>
  </si>
  <si>
    <t>Domestic Travel - Endowed College</t>
  </si>
  <si>
    <t>Foreign Travel - Contract College</t>
  </si>
  <si>
    <t>Foreign Travel - Endowed College</t>
  </si>
  <si>
    <t>red - must change by hand</t>
  </si>
  <si>
    <t>blue - changes automatically, but pay attention too</t>
  </si>
  <si>
    <t>Salary &amp; Wages</t>
  </si>
  <si>
    <t>Capital Equip &amp; Fabrication in Progress</t>
  </si>
  <si>
    <t>Travel - Domestic</t>
  </si>
  <si>
    <t>Travel - Foreign</t>
  </si>
  <si>
    <t>Participant Support</t>
  </si>
  <si>
    <t>Services</t>
  </si>
  <si>
    <t>Other Direct Expenses</t>
  </si>
  <si>
    <t>Subcontracts</t>
  </si>
  <si>
    <t>Total Cost</t>
  </si>
  <si>
    <t>Costs above are all-inclusive of indirect costs</t>
  </si>
  <si>
    <t>Contract College - On Campus</t>
  </si>
  <si>
    <t>Endowed College - On Campus</t>
  </si>
  <si>
    <t>Contract College - Off Campus</t>
  </si>
  <si>
    <t>Endowed College - Off Campus</t>
  </si>
  <si>
    <t>Tuition &amp; Health insurance</t>
  </si>
  <si>
    <t>Budget Summary Total</t>
  </si>
  <si>
    <t>Difference</t>
  </si>
  <si>
    <t>Number</t>
  </si>
  <si>
    <t>Industry</t>
  </si>
  <si>
    <t>Use this line for the Form 10 Direct Costs</t>
  </si>
  <si>
    <r>
      <rPr>
        <b/>
        <sz val="11"/>
        <rFont val="Calibri"/>
        <family val="2"/>
        <scheme val="minor"/>
      </rPr>
      <t>Form 10:</t>
    </r>
    <r>
      <rPr>
        <sz val="11"/>
        <color theme="1"/>
        <rFont val="Calibri"/>
        <family val="2"/>
        <scheme val="minor"/>
      </rPr>
      <t xml:space="preserve">  Direct Costs</t>
    </r>
  </si>
  <si>
    <r>
      <rPr>
        <b/>
        <sz val="11"/>
        <color theme="1"/>
        <rFont val="Calibri"/>
        <family val="2"/>
        <scheme val="minor"/>
      </rPr>
      <t xml:space="preserve">Form 10: </t>
    </r>
    <r>
      <rPr>
        <sz val="11"/>
        <color theme="1"/>
        <rFont val="Calibri"/>
        <family val="2"/>
        <scheme val="minor"/>
      </rPr>
      <t xml:space="preserve"> Indirect Costs</t>
    </r>
  </si>
  <si>
    <t xml:space="preserve">Created by Rose Hastings </t>
  </si>
  <si>
    <t>You will need to unhide tabs that are relevent to your budget</t>
  </si>
  <si>
    <t>Total Direct Costs for Subcontracts</t>
  </si>
  <si>
    <t>Total Indirect Costs for Subcontracts</t>
  </si>
  <si>
    <t>Total Subcontract Costs</t>
  </si>
  <si>
    <t>https://researchservices.cornell.edu/rates/employee-benefit-fringe-rates</t>
  </si>
  <si>
    <t>Modifiers</t>
  </si>
  <si>
    <t>Base Rate (TDC or MTDC)</t>
  </si>
  <si>
    <r>
      <t xml:space="preserve">* Adjust the date </t>
    </r>
    <r>
      <rPr>
        <b/>
        <i/>
        <u/>
        <sz val="9"/>
        <color theme="1"/>
        <rFont val="Calibri"/>
        <family val="2"/>
        <scheme val="minor"/>
      </rPr>
      <t>before</t>
    </r>
    <r>
      <rPr>
        <sz val="9"/>
        <color theme="1"/>
        <rFont val="Calibri"/>
        <family val="2"/>
        <scheme val="minor"/>
      </rPr>
      <t xml:space="preserve"> data entry below</t>
    </r>
  </si>
  <si>
    <t>* Enter PI/Co-PI names here - this carries over to the color coded tabs</t>
  </si>
  <si>
    <t>Indirect Costs</t>
  </si>
  <si>
    <t>Total Request</t>
  </si>
  <si>
    <t xml:space="preserve">Year 1 </t>
  </si>
  <si>
    <t xml:space="preserve">Year 2 </t>
  </si>
  <si>
    <t xml:space="preserve">Year 3 </t>
  </si>
  <si>
    <t xml:space="preserve">Year 4 </t>
  </si>
  <si>
    <t xml:space="preserve">Year 5 </t>
  </si>
  <si>
    <t xml:space="preserve">Total </t>
  </si>
  <si>
    <t>Cornell Indirect Costs</t>
  </si>
  <si>
    <t>Total Funds Requested</t>
  </si>
  <si>
    <r>
      <t xml:space="preserve">    </t>
    </r>
    <r>
      <rPr>
        <i/>
        <sz val="8"/>
        <rFont val="arial"/>
        <family val="2"/>
      </rPr>
      <t>minus</t>
    </r>
    <r>
      <rPr>
        <sz val="8"/>
        <rFont val="arial"/>
        <family val="2"/>
      </rPr>
      <t xml:space="preserve"> Equipment</t>
    </r>
  </si>
  <si>
    <r>
      <t xml:space="preserve">   </t>
    </r>
    <r>
      <rPr>
        <i/>
        <sz val="8"/>
        <rFont val="arial"/>
        <family val="2"/>
      </rPr>
      <t xml:space="preserve"> minus</t>
    </r>
    <r>
      <rPr>
        <sz val="8"/>
        <rFont val="arial"/>
        <family val="2"/>
      </rPr>
      <t xml:space="preserve"> Participant Support</t>
    </r>
  </si>
  <si>
    <r>
      <t xml:space="preserve">    </t>
    </r>
    <r>
      <rPr>
        <i/>
        <sz val="8"/>
        <rFont val="arial"/>
        <family val="2"/>
      </rPr>
      <t xml:space="preserve">minus </t>
    </r>
    <r>
      <rPr>
        <sz val="8"/>
        <rFont val="arial"/>
        <family val="2"/>
      </rPr>
      <t>Subcontract costs over $25,000</t>
    </r>
  </si>
  <si>
    <r>
      <t xml:space="preserve">   </t>
    </r>
    <r>
      <rPr>
        <i/>
        <sz val="8"/>
        <rFont val="arial"/>
        <family val="2"/>
      </rPr>
      <t xml:space="preserve"> minus</t>
    </r>
    <r>
      <rPr>
        <sz val="8"/>
        <rFont val="arial"/>
        <family val="2"/>
      </rPr>
      <t xml:space="preserve"> GRA Tuition</t>
    </r>
  </si>
  <si>
    <r>
      <t xml:space="preserve">    </t>
    </r>
    <r>
      <rPr>
        <i/>
        <sz val="8"/>
        <rFont val="arial"/>
        <family val="2"/>
      </rPr>
      <t>minus</t>
    </r>
    <r>
      <rPr>
        <sz val="8"/>
        <rFont val="arial"/>
        <family val="2"/>
      </rPr>
      <t xml:space="preserve"> GRA Health Insurance</t>
    </r>
  </si>
  <si>
    <r>
      <t xml:space="preserve">    </t>
    </r>
    <r>
      <rPr>
        <i/>
        <sz val="8"/>
        <rFont val="arial"/>
        <family val="2"/>
      </rPr>
      <t>Less</t>
    </r>
    <r>
      <rPr>
        <sz val="8"/>
        <rFont val="arial"/>
        <family val="2"/>
      </rPr>
      <t xml:space="preserve"> Indirect Cost for subcontracts</t>
    </r>
  </si>
  <si>
    <t xml:space="preserve">  MTDC - Contract College (on-campus)</t>
  </si>
  <si>
    <t xml:space="preserve">  MTDC - Contract College (off-campus)</t>
  </si>
  <si>
    <t xml:space="preserve">  MTDC - Endowed College (on-campus)</t>
  </si>
  <si>
    <t xml:space="preserve">  IDC - Contract College (on-campus)</t>
  </si>
  <si>
    <t xml:space="preserve">  IDC - Contract College (off-campus)</t>
  </si>
  <si>
    <t xml:space="preserve">  IDC - Endowed College (on-campus)</t>
  </si>
  <si>
    <t xml:space="preserve">  IDC - Endowed College (off-campus)</t>
  </si>
  <si>
    <t xml:space="preserve">  MTDC - Endowed College (off-campus)</t>
  </si>
  <si>
    <t>Enter subcontract IDC rate:</t>
  </si>
  <si>
    <t>Hourly rate</t>
  </si>
  <si>
    <t>Hours devoted to project</t>
  </si>
  <si>
    <t xml:space="preserve">   Temp Employee</t>
  </si>
  <si>
    <t xml:space="preserve">Fringe Benefit Rate - Temp Employee </t>
  </si>
  <si>
    <t>*** This only calculates recovery for the lead budget… if you have Co-PI's that are CALS, you need to review the formulas</t>
  </si>
  <si>
    <t>TOTAL COST SHARE/MATCH</t>
  </si>
  <si>
    <t>External Matching Funder Name</t>
  </si>
  <si>
    <t>1 to 1 match</t>
  </si>
  <si>
    <t>% of Total funds</t>
  </si>
  <si>
    <t>Percentage</t>
  </si>
  <si>
    <t>Cost Share</t>
  </si>
  <si>
    <t>Required</t>
  </si>
  <si>
    <t>2 to 1 match</t>
  </si>
  <si>
    <t>NIH Post Doctoral Stipend (Yr 1)</t>
  </si>
  <si>
    <t>https://grants.nih.gov/grants/policy/salcap_summary.htm</t>
  </si>
  <si>
    <t>https://www.niaid.nih.gov/grants-contracts/salary-cap-stipends</t>
  </si>
  <si>
    <t xml:space="preserve">FLSA exempt minimum wage </t>
  </si>
  <si>
    <t>Is Cost Share Required?</t>
  </si>
  <si>
    <t>% of Requested funds</t>
  </si>
  <si>
    <t>Recorded</t>
  </si>
  <si>
    <t>Type</t>
  </si>
  <si>
    <t>Minimum Hourly Wage</t>
  </si>
  <si>
    <t>Project Title:</t>
  </si>
  <si>
    <t>OSP #</t>
  </si>
  <si>
    <t>Type of Proposal:</t>
  </si>
  <si>
    <t>Proposal</t>
  </si>
  <si>
    <t>Proposal - Supplement</t>
  </si>
  <si>
    <t>Proposal - Renewal</t>
  </si>
  <si>
    <t>Proposal - Resubmission</t>
  </si>
  <si>
    <t>Org Code:</t>
  </si>
  <si>
    <t>Submission Method:</t>
  </si>
  <si>
    <t>Federal System</t>
  </si>
  <si>
    <t>email</t>
  </si>
  <si>
    <t>Other Sponsor Website</t>
  </si>
  <si>
    <t xml:space="preserve">Paper </t>
  </si>
  <si>
    <t>Funding Opportunity:</t>
  </si>
  <si>
    <t>Sponsor:</t>
  </si>
  <si>
    <t xml:space="preserve"> Is Cornell Lead:</t>
  </si>
  <si>
    <t>Deadline Date:</t>
  </si>
  <si>
    <t>Key Personnel:</t>
  </si>
  <si>
    <t>PI Eligible?</t>
  </si>
  <si>
    <t>Anyone Not PI Eligible?</t>
  </si>
  <si>
    <t>Other Key Personnel (individuals named in project): (provide role and name)</t>
  </si>
  <si>
    <t>Role</t>
  </si>
  <si>
    <t>Name</t>
  </si>
  <si>
    <t>Animal Science</t>
  </si>
  <si>
    <t xml:space="preserve">Biological Statistics and Computational Biology </t>
  </si>
  <si>
    <t>Botanic Gardens</t>
  </si>
  <si>
    <t>Communication</t>
  </si>
  <si>
    <t>Entomology, Ithaca</t>
  </si>
  <si>
    <t>Food Science, Ithaca</t>
  </si>
  <si>
    <t>Geneva - Entomology</t>
  </si>
  <si>
    <t>Global Development (Programs)</t>
  </si>
  <si>
    <t>Global Development (Sociology)</t>
  </si>
  <si>
    <t>Horticulture, Ithaca</t>
  </si>
  <si>
    <t>Lab of Ornithology</t>
  </si>
  <si>
    <t>Microbiology</t>
  </si>
  <si>
    <t>Natural Resources and the Environment</t>
  </si>
  <si>
    <t>Plant Biology</t>
  </si>
  <si>
    <t xml:space="preserve">Plant Breeding and Genetics </t>
  </si>
  <si>
    <t>Plant Pathology, Ithaca</t>
  </si>
  <si>
    <t>Soil &amp; Crop Sciences</t>
  </si>
  <si>
    <t>Division of Nutritional Sciences (BCTR/CHE)</t>
  </si>
  <si>
    <t>Division of Nutritional Sciences (CALS)</t>
  </si>
  <si>
    <t>Division of Nutritional Sciences (CHE)</t>
  </si>
  <si>
    <t>Geneva - Plant Pathology</t>
  </si>
  <si>
    <t>Geneva - Horticulture</t>
  </si>
  <si>
    <t>01D5</t>
  </si>
  <si>
    <t>01A9</t>
  </si>
  <si>
    <t>01N1</t>
  </si>
  <si>
    <t>01D6</t>
  </si>
  <si>
    <t>013C</t>
  </si>
  <si>
    <t>01B2</t>
  </si>
  <si>
    <t>01G8</t>
  </si>
  <si>
    <t>01E2</t>
  </si>
  <si>
    <t>01E6</t>
  </si>
  <si>
    <t>06A1</t>
  </si>
  <si>
    <t>06B6</t>
  </si>
  <si>
    <t>06A5</t>
  </si>
  <si>
    <t>0632</t>
  </si>
  <si>
    <t>0625</t>
  </si>
  <si>
    <t>01L6</t>
  </si>
  <si>
    <t>01G6</t>
  </si>
  <si>
    <t>0145</t>
  </si>
  <si>
    <t>01L4</t>
  </si>
  <si>
    <t>221S</t>
  </si>
  <si>
    <t>01H1</t>
  </si>
  <si>
    <t>0165</t>
  </si>
  <si>
    <t>01F5</t>
  </si>
  <si>
    <t>01H2</t>
  </si>
  <si>
    <t>0184</t>
  </si>
  <si>
    <t>0149</t>
  </si>
  <si>
    <t>0153</t>
  </si>
  <si>
    <t>01L7</t>
  </si>
  <si>
    <t>0125</t>
  </si>
  <si>
    <t>01H3</t>
  </si>
  <si>
    <t>0399</t>
  </si>
  <si>
    <t>PI Department:</t>
  </si>
  <si>
    <t>Select PI Department:</t>
  </si>
  <si>
    <t>Geneva - Director's Office</t>
  </si>
  <si>
    <t>Geneva - Food Science</t>
  </si>
  <si>
    <t>NY Sea Grant</t>
  </si>
  <si>
    <t>See list</t>
  </si>
  <si>
    <t>?</t>
  </si>
  <si>
    <t xml:space="preserve">(JCB) Hotel School </t>
  </si>
  <si>
    <t xml:space="preserve">(JCB) Dyson School </t>
  </si>
  <si>
    <t>01K8</t>
  </si>
  <si>
    <t>01L0</t>
  </si>
  <si>
    <t>01AZ</t>
  </si>
  <si>
    <t>01L2</t>
  </si>
  <si>
    <t>01K6</t>
  </si>
  <si>
    <t>01K9</t>
  </si>
  <si>
    <t>01BN</t>
  </si>
  <si>
    <t>01BA</t>
  </si>
  <si>
    <t>01K7</t>
  </si>
  <si>
    <t>0114</t>
  </si>
  <si>
    <t>NE IPM</t>
  </si>
  <si>
    <t>(CCE) Cornell Vegetable Program (CVP)</t>
  </si>
  <si>
    <t>(CCE) Finger Lakes Grape (FLGP)</t>
  </si>
  <si>
    <t>(CCE) Lake Erie Grape (LERGP)</t>
  </si>
  <si>
    <t>(CCE) Lake Ontario Fruit (LOF)</t>
  </si>
  <si>
    <t>(CCE) NWNY Dairy Livestock and Field Crops  (NWNYDLFC)</t>
  </si>
  <si>
    <t>01CB</t>
  </si>
  <si>
    <t>CALS recovery required?</t>
  </si>
  <si>
    <t>Total from Budget Summary Tab</t>
  </si>
  <si>
    <t>Total IDC from Budget Summary Tab</t>
  </si>
  <si>
    <t>Other - Temp Employee (Endowed)</t>
  </si>
  <si>
    <t>USDA Executive Level IV</t>
  </si>
  <si>
    <t>In order to copy and paste this information into RASS, you will need to perform the following steps:</t>
  </si>
  <si>
    <t xml:space="preserve">  * Copy fields</t>
  </si>
  <si>
    <t xml:space="preserve">  * Paste Value 123</t>
  </si>
  <si>
    <t>https://studentemployment.cornell.edu/jobs/wages-and-classifications/student-wage-scale</t>
  </si>
  <si>
    <t>Minimum Undergraduate rate</t>
  </si>
  <si>
    <t>https://sbshrs.adpinfo.com/blog/exempt-employees-minimum-salary-requirements-for-2022</t>
  </si>
  <si>
    <t>https://www.ny.gov/new-york-states-minimum-wage/new-york-states-minimum-wage</t>
  </si>
  <si>
    <t>Biological &amp; Environmental Engineering</t>
  </si>
  <si>
    <t>Earth and Atmospheric Sciences</t>
  </si>
  <si>
    <t xml:space="preserve">https://www.irs.gov/newsroom/irs-issues-standard-mileage-rates-for-2022 </t>
  </si>
  <si>
    <t>Confirm the IRS Standard Mileage Rate</t>
  </si>
  <si>
    <t>Molecular Biology and Genetics (CALS)</t>
  </si>
  <si>
    <t>Molecular Biology and Genetics (A&amp;S)</t>
  </si>
  <si>
    <t>Ecology and Evolutionary Biology (CALS)</t>
  </si>
  <si>
    <t>Ecology and Evolutionary Biology (A&amp;S)</t>
  </si>
  <si>
    <t>Integrated Pest Management</t>
  </si>
  <si>
    <t>Johnson School of Business (JCB)</t>
  </si>
  <si>
    <t>(CCE) Eastern New York Horticulture (ENYCH)</t>
  </si>
  <si>
    <t>(CCE) South Central New York Dairy and Field Crops (SCNYDFC)</t>
  </si>
  <si>
    <t>(CCE) CNY Dairy and Field Crops (CNYDLFC)</t>
  </si>
  <si>
    <t>(CCE) New York City Urban (NYC Urban)</t>
  </si>
  <si>
    <t>01BU</t>
  </si>
  <si>
    <t>(CCE) Harvest NY</t>
  </si>
  <si>
    <t>01L3</t>
  </si>
  <si>
    <t>(CCE) SWNY Dairy, Livestock &amp; Field Crops (SWNYDLFC)</t>
  </si>
  <si>
    <t>(CCE) North Country Regional Ag Team (NCRAT)</t>
  </si>
  <si>
    <t>Neurobiology and Behavior (CALS)</t>
  </si>
  <si>
    <t>Neurobiology and Behavior (A&amp;S)</t>
  </si>
  <si>
    <t>0420</t>
  </si>
  <si>
    <t>0452</t>
  </si>
  <si>
    <t>CVM</t>
  </si>
  <si>
    <t>Masters of Public Health (CVM)</t>
  </si>
  <si>
    <t>Public and Ecosystem Health (CVM)</t>
  </si>
  <si>
    <t>Biomedical Sciences (CVM)</t>
  </si>
  <si>
    <t>Population Medicine &amp; Diagnostic Sciences (CVM)</t>
  </si>
  <si>
    <t>043C</t>
  </si>
  <si>
    <t>04B0</t>
  </si>
  <si>
    <t>https://grants.nih.gov/grants/guide/notice-files/NOT-OD-22-108.html</t>
  </si>
  <si>
    <r>
      <t xml:space="preserve">Title:             </t>
    </r>
    <r>
      <rPr>
        <b/>
        <i/>
        <sz val="11"/>
        <color theme="1"/>
        <rFont val="Arial"/>
        <family val="2"/>
      </rPr>
      <t xml:space="preserve">     </t>
    </r>
    <r>
      <rPr>
        <b/>
        <i/>
        <sz val="8"/>
        <color theme="1"/>
        <rFont val="Arial"/>
        <family val="2"/>
      </rPr>
      <t xml:space="preserve">* PLEASE remember to ADD TITLE </t>
    </r>
  </si>
  <si>
    <t>FY2023</t>
  </si>
  <si>
    <t>Worksheet updated: June 2022</t>
  </si>
  <si>
    <t>Assessing the Potential for Demand Response to Manage Generation Shortfalls in a Zero-Carbon Electricity Grid”</t>
  </si>
  <si>
    <t>Vivek Srikrishnan</t>
  </si>
  <si>
    <t>R Stedman</t>
  </si>
  <si>
    <t>Research Aid</t>
  </si>
  <si>
    <t>T. B. Lauber</t>
  </si>
  <si>
    <t>Research Associate: KB Walsh</t>
  </si>
  <si>
    <t>S. Steinschneider</t>
  </si>
  <si>
    <t>Research Associate: Sungwook Wi</t>
  </si>
  <si>
    <t>Research Associate (KB Walsh)</t>
  </si>
  <si>
    <t>Postage</t>
  </si>
  <si>
    <t>Printing and publicity</t>
  </si>
  <si>
    <t>Fleet Rental</t>
  </si>
  <si>
    <t>Domestic--see below for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</si>
</sst>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0.0%"/>
    <numFmt numFmtId="167" formatCode="&quot;$&quot;#,##0"/>
    <numFmt numFmtId="168" formatCode="0.000%"/>
    <numFmt numFmtId="169" formatCode="#,##0.0000"/>
    <numFmt numFmtId="170" formatCode="&quot;$&quot;#,##0.000"/>
    <numFmt numFmtId="171" formatCode="_(* #,##0.0000_);_(* \(#,##0.0000\);_(* &quot;-&quot;??_);_(@_)"/>
    <numFmt numFmtId="172" formatCode="#,##0.000000000000000"/>
    <numFmt numFmtId="173" formatCode="_(&quot;$&quot;* #,##0_);_(&quot;$&quot;* \(#,##0\);_(&quot;$&quot;* &quot;-&quot;??_);_(@_)"/>
  </numFmts>
  <fonts count="6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rgb="FF00B050"/>
      <name val="Arial"/>
      <family val="2"/>
    </font>
    <font>
      <sz val="8"/>
      <color rgb="FF00B05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70C0"/>
      <name val="Arial"/>
      <family val="2"/>
    </font>
    <font>
      <b/>
      <sz val="11"/>
      <color rgb="FF00B0F0"/>
      <name val="Arial"/>
      <family val="2"/>
    </font>
    <font>
      <b/>
      <sz val="8"/>
      <color rgb="FF0070C0"/>
      <name val="Arial"/>
      <family val="2"/>
    </font>
    <font>
      <b/>
      <sz val="8"/>
      <color theme="4" tint="-0.249977111117893"/>
      <name val="Arial"/>
      <family val="2"/>
    </font>
    <font>
      <b/>
      <sz val="11"/>
      <color rgb="FF0070C0"/>
      <name val="Arial"/>
      <family val="2"/>
    </font>
    <font>
      <b/>
      <sz val="12"/>
      <color rgb="FF0070C0"/>
      <name val="Arial"/>
      <family val="2"/>
    </font>
    <font>
      <b/>
      <sz val="10"/>
      <color rgb="FF0070C0"/>
      <name val="Arial"/>
      <family val="2"/>
    </font>
    <font>
      <sz val="6"/>
      <name val="arial"/>
      <family val="2"/>
    </font>
    <font>
      <sz val="11"/>
      <color rgb="FF00B050"/>
      <name val="Arial"/>
      <family val="2"/>
    </font>
    <font>
      <b/>
      <sz val="11"/>
      <color rgb="FF0070C0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8"/>
      <color rgb="FF0070C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  <scheme val="minor"/>
    </font>
    <font>
      <sz val="8"/>
      <color rgb="FF00B0F0"/>
      <name val="arial"/>
      <family val="2"/>
    </font>
    <font>
      <b/>
      <sz val="6"/>
      <name val="Arial"/>
      <family val="2"/>
    </font>
    <font>
      <b/>
      <sz val="6"/>
      <color theme="0" tint="-0.249977111117893"/>
      <name val="Arial"/>
      <family val="2"/>
    </font>
    <font>
      <b/>
      <sz val="6"/>
      <color theme="0" tint="-0.34998626667073579"/>
      <name val="Arial"/>
      <family val="2"/>
    </font>
    <font>
      <b/>
      <sz val="6"/>
      <color theme="0" tint="-0.499984740745262"/>
      <name val="Arial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9"/>
      <name val="Arial"/>
      <family val="2"/>
    </font>
    <font>
      <sz val="11"/>
      <color theme="9" tint="-0.499984740745262"/>
      <name val="Calibri"/>
      <family val="2"/>
      <scheme val="minor"/>
    </font>
    <font>
      <sz val="8"/>
      <color theme="3" tint="0.39997558519241921"/>
      <name val="arial"/>
      <family val="2"/>
    </font>
    <font>
      <b/>
      <sz val="11"/>
      <name val="Calibri"/>
      <family val="2"/>
      <scheme val="minor"/>
    </font>
    <font>
      <b/>
      <sz val="8"/>
      <color theme="8" tint="-0.249977111117893"/>
      <name val="Arial"/>
      <family val="2"/>
    </font>
    <font>
      <sz val="10"/>
      <color rgb="FFFF0000"/>
      <name val="Arial"/>
      <family val="2"/>
    </font>
    <font>
      <b/>
      <i/>
      <u/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8"/>
      <name val="arial"/>
      <family val="2"/>
    </font>
    <font>
      <b/>
      <sz val="11"/>
      <color rgb="FFFF0000"/>
      <name val="Arial"/>
      <family val="2"/>
    </font>
    <font>
      <b/>
      <sz val="9"/>
      <color theme="1"/>
      <name val="Calibri"/>
      <family val="2"/>
      <scheme val="minor"/>
    </font>
    <font>
      <b/>
      <i/>
      <sz val="12"/>
      <color rgb="FF00B05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FF0000"/>
      <name val="Arial"/>
      <family val="2"/>
    </font>
    <font>
      <sz val="8"/>
      <name val="Calibri"/>
      <family val="2"/>
      <scheme val="minor"/>
    </font>
    <font>
      <b/>
      <i/>
      <sz val="11"/>
      <color theme="1"/>
      <name val="Arial"/>
      <family val="2"/>
    </font>
    <font>
      <b/>
      <i/>
      <sz val="8"/>
      <color theme="1"/>
      <name val="Arial"/>
      <family val="2"/>
    </font>
    <font>
      <sz val="9"/>
      <color rgb="FF7030A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7">
    <xf numFmtId="0" fontId="0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9" fillId="0" borderId="0"/>
    <xf numFmtId="0" fontId="21" fillId="0" borderId="0"/>
    <xf numFmtId="43" fontId="2" fillId="0" borderId="0" applyFont="0" applyFill="0" applyBorder="0" applyAlignment="0" applyProtection="0"/>
    <xf numFmtId="0" fontId="36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740">
    <xf numFmtId="0" fontId="0" fillId="0" borderId="0" xfId="0"/>
    <xf numFmtId="0" fontId="3" fillId="0" borderId="0" xfId="3" applyFont="1" applyAlignment="1">
      <alignment horizontal="left"/>
    </xf>
    <xf numFmtId="0" fontId="4" fillId="0" borderId="0" xfId="3" applyFont="1"/>
    <xf numFmtId="3" fontId="4" fillId="0" borderId="0" xfId="3" applyNumberFormat="1" applyFont="1"/>
    <xf numFmtId="0" fontId="5" fillId="0" borderId="1" xfId="3" applyFont="1" applyBorder="1"/>
    <xf numFmtId="0" fontId="4" fillId="0" borderId="2" xfId="3" applyFont="1" applyBorder="1" applyAlignment="1">
      <alignment horizontal="right"/>
    </xf>
    <xf numFmtId="164" fontId="4" fillId="0" borderId="0" xfId="3" applyNumberFormat="1" applyFont="1" applyAlignment="1">
      <alignment horizontal="right"/>
    </xf>
    <xf numFmtId="0" fontId="5" fillId="0" borderId="4" xfId="3" applyFont="1" applyBorder="1"/>
    <xf numFmtId="164" fontId="4" fillId="0" borderId="5" xfId="3" applyNumberFormat="1" applyFont="1" applyBorder="1" applyAlignment="1">
      <alignment horizontal="right"/>
    </xf>
    <xf numFmtId="0" fontId="5" fillId="0" borderId="6" xfId="3" applyFont="1" applyBorder="1"/>
    <xf numFmtId="0" fontId="4" fillId="0" borderId="1" xfId="3" applyFont="1" applyBorder="1"/>
    <xf numFmtId="165" fontId="4" fillId="0" borderId="0" xfId="1" applyNumberFormat="1" applyFont="1"/>
    <xf numFmtId="165" fontId="4" fillId="0" borderId="0" xfId="1" applyNumberFormat="1" applyFont="1" applyBorder="1"/>
    <xf numFmtId="165" fontId="4" fillId="0" borderId="0" xfId="3" applyNumberFormat="1" applyFont="1"/>
    <xf numFmtId="0" fontId="5" fillId="0" borderId="7" xfId="3" applyFont="1" applyBorder="1"/>
    <xf numFmtId="0" fontId="4" fillId="2" borderId="8" xfId="3" applyFont="1" applyFill="1" applyBorder="1"/>
    <xf numFmtId="165" fontId="4" fillId="2" borderId="9" xfId="1" applyNumberFormat="1" applyFont="1" applyFill="1" applyBorder="1"/>
    <xf numFmtId="0" fontId="5" fillId="0" borderId="10" xfId="3" applyFont="1" applyBorder="1"/>
    <xf numFmtId="165" fontId="4" fillId="0" borderId="0" xfId="1" applyNumberFormat="1" applyFont="1" applyAlignment="1">
      <alignment horizontal="right"/>
    </xf>
    <xf numFmtId="0" fontId="5" fillId="0" borderId="11" xfId="3" applyFont="1" applyBorder="1"/>
    <xf numFmtId="165" fontId="4" fillId="0" borderId="13" xfId="1" applyNumberFormat="1" applyFont="1" applyBorder="1"/>
    <xf numFmtId="165" fontId="4" fillId="0" borderId="14" xfId="1" applyNumberFormat="1" applyFont="1" applyBorder="1"/>
    <xf numFmtId="0" fontId="5" fillId="0" borderId="0" xfId="3" applyFont="1"/>
    <xf numFmtId="0" fontId="4" fillId="0" borderId="18" xfId="3" applyFont="1" applyBorder="1" applyAlignment="1">
      <alignment horizontal="right"/>
    </xf>
    <xf numFmtId="0" fontId="4" fillId="0" borderId="19" xfId="3" applyFont="1" applyBorder="1" applyAlignment="1">
      <alignment horizontal="right"/>
    </xf>
    <xf numFmtId="0" fontId="4" fillId="0" borderId="20" xfId="3" applyFont="1" applyBorder="1" applyAlignment="1">
      <alignment horizontal="right"/>
    </xf>
    <xf numFmtId="3" fontId="4" fillId="0" borderId="19" xfId="3" applyNumberFormat="1" applyFont="1" applyBorder="1"/>
    <xf numFmtId="165" fontId="4" fillId="0" borderId="19" xfId="1" applyNumberFormat="1" applyFont="1" applyBorder="1"/>
    <xf numFmtId="165" fontId="4" fillId="2" borderId="21" xfId="1" applyNumberFormat="1" applyFont="1" applyFill="1" applyBorder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3" applyFont="1" applyAlignment="1">
      <alignment horizontal="right"/>
    </xf>
    <xf numFmtId="0" fontId="4" fillId="0" borderId="15" xfId="3" applyFont="1" applyBorder="1"/>
    <xf numFmtId="0" fontId="4" fillId="0" borderId="9" xfId="3" applyFont="1" applyBorder="1"/>
    <xf numFmtId="3" fontId="4" fillId="0" borderId="9" xfId="3" applyNumberFormat="1" applyFont="1" applyBorder="1"/>
    <xf numFmtId="0" fontId="4" fillId="4" borderId="8" xfId="3" applyFont="1" applyFill="1" applyBorder="1"/>
    <xf numFmtId="0" fontId="4" fillId="0" borderId="3" xfId="3" applyFont="1" applyBorder="1"/>
    <xf numFmtId="0" fontId="4" fillId="0" borderId="17" xfId="3" applyFont="1" applyBorder="1"/>
    <xf numFmtId="165" fontId="4" fillId="4" borderId="9" xfId="1" applyNumberFormat="1" applyFont="1" applyFill="1" applyBorder="1"/>
    <xf numFmtId="165" fontId="6" fillId="0" borderId="0" xfId="1" applyNumberFormat="1" applyFont="1" applyBorder="1"/>
    <xf numFmtId="165" fontId="6" fillId="0" borderId="0" xfId="1" applyNumberFormat="1" applyFont="1"/>
    <xf numFmtId="0" fontId="10" fillId="0" borderId="4" xfId="3" applyFont="1" applyBorder="1"/>
    <xf numFmtId="165" fontId="11" fillId="0" borderId="14" xfId="1" applyNumberFormat="1" applyFont="1" applyBorder="1"/>
    <xf numFmtId="165" fontId="11" fillId="0" borderId="13" xfId="1" applyNumberFormat="1" applyFont="1" applyBorder="1"/>
    <xf numFmtId="0" fontId="10" fillId="0" borderId="0" xfId="3" applyFont="1"/>
    <xf numFmtId="165" fontId="11" fillId="0" borderId="0" xfId="1" applyNumberFormat="1" applyFont="1" applyBorder="1"/>
    <xf numFmtId="164" fontId="4" fillId="0" borderId="20" xfId="3" applyNumberFormat="1" applyFont="1" applyBorder="1" applyAlignment="1">
      <alignment horizontal="right"/>
    </xf>
    <xf numFmtId="0" fontId="12" fillId="0" borderId="0" xfId="0" applyFont="1"/>
    <xf numFmtId="0" fontId="13" fillId="0" borderId="0" xfId="3" applyFont="1" applyAlignment="1">
      <alignment horizontal="right"/>
    </xf>
    <xf numFmtId="0" fontId="13" fillId="0" borderId="0" xfId="3" applyFont="1"/>
    <xf numFmtId="3" fontId="13" fillId="0" borderId="0" xfId="3" applyNumberFormat="1" applyFont="1"/>
    <xf numFmtId="0" fontId="16" fillId="0" borderId="0" xfId="3" applyFont="1" applyAlignment="1">
      <alignment horizontal="right" wrapText="1"/>
    </xf>
    <xf numFmtId="0" fontId="16" fillId="0" borderId="0" xfId="3" applyFont="1" applyAlignment="1">
      <alignment horizontal="right"/>
    </xf>
    <xf numFmtId="165" fontId="16" fillId="0" borderId="0" xfId="3" applyNumberFormat="1" applyFont="1" applyAlignment="1">
      <alignment horizontal="right"/>
    </xf>
    <xf numFmtId="0" fontId="16" fillId="0" borderId="1" xfId="3" applyFont="1" applyBorder="1"/>
    <xf numFmtId="166" fontId="13" fillId="0" borderId="0" xfId="2" applyNumberFormat="1" applyFont="1" applyBorder="1" applyAlignment="1">
      <alignment horizontal="center"/>
    </xf>
    <xf numFmtId="2" fontId="12" fillId="0" borderId="0" xfId="0" applyNumberFormat="1" applyFont="1" applyAlignment="1">
      <alignment horizontal="center"/>
    </xf>
    <xf numFmtId="0" fontId="12" fillId="0" borderId="0" xfId="3" applyFont="1"/>
    <xf numFmtId="3" fontId="13" fillId="0" borderId="0" xfId="3" applyNumberFormat="1" applyFont="1" applyAlignment="1">
      <alignment horizontal="right"/>
    </xf>
    <xf numFmtId="0" fontId="16" fillId="0" borderId="8" xfId="3" applyFont="1" applyBorder="1"/>
    <xf numFmtId="0" fontId="13" fillId="0" borderId="1" xfId="3" applyFont="1" applyBorder="1"/>
    <xf numFmtId="165" fontId="13" fillId="0" borderId="0" xfId="1" applyNumberFormat="1" applyFont="1"/>
    <xf numFmtId="0" fontId="13" fillId="4" borderId="8" xfId="3" applyFont="1" applyFill="1" applyBorder="1"/>
    <xf numFmtId="165" fontId="13" fillId="4" borderId="9" xfId="1" applyNumberFormat="1" applyFont="1" applyFill="1" applyBorder="1"/>
    <xf numFmtId="0" fontId="17" fillId="0" borderId="0" xfId="3" applyFont="1"/>
    <xf numFmtId="0" fontId="12" fillId="0" borderId="0" xfId="3" applyFont="1" applyAlignment="1">
      <alignment horizontal="right"/>
    </xf>
    <xf numFmtId="0" fontId="15" fillId="0" borderId="0" xfId="0" applyFont="1"/>
    <xf numFmtId="0" fontId="5" fillId="0" borderId="9" xfId="3" applyFont="1" applyBorder="1"/>
    <xf numFmtId="0" fontId="18" fillId="0" borderId="0" xfId="3" applyFont="1"/>
    <xf numFmtId="0" fontId="19" fillId="0" borderId="0" xfId="4" applyFont="1" applyAlignment="1">
      <alignment horizontal="right"/>
    </xf>
    <xf numFmtId="0" fontId="18" fillId="0" borderId="0" xfId="0" applyFont="1"/>
    <xf numFmtId="0" fontId="19" fillId="0" borderId="0" xfId="0" applyFont="1"/>
    <xf numFmtId="0" fontId="18" fillId="0" borderId="0" xfId="3" applyFont="1" applyAlignment="1">
      <alignment horizontal="right"/>
    </xf>
    <xf numFmtId="0" fontId="4" fillId="5" borderId="0" xfId="3" applyFont="1" applyFill="1"/>
    <xf numFmtId="3" fontId="14" fillId="0" borderId="0" xfId="3" applyNumberFormat="1" applyFont="1" applyAlignment="1">
      <alignment horizontal="center"/>
    </xf>
    <xf numFmtId="0" fontId="13" fillId="0" borderId="16" xfId="3" applyFont="1" applyBorder="1" applyAlignment="1">
      <alignment horizontal="right"/>
    </xf>
    <xf numFmtId="0" fontId="13" fillId="0" borderId="17" xfId="3" applyFont="1" applyBorder="1" applyAlignment="1">
      <alignment horizontal="right"/>
    </xf>
    <xf numFmtId="0" fontId="0" fillId="0" borderId="0" xfId="0" applyAlignment="1">
      <alignment horizontal="center"/>
    </xf>
    <xf numFmtId="9" fontId="0" fillId="0" borderId="0" xfId="0" applyNumberFormat="1"/>
    <xf numFmtId="165" fontId="0" fillId="0" borderId="0" xfId="1" applyNumberFormat="1" applyFont="1"/>
    <xf numFmtId="9" fontId="20" fillId="0" borderId="0" xfId="0" applyNumberFormat="1" applyFont="1"/>
    <xf numFmtId="9" fontId="14" fillId="0" borderId="0" xfId="2" applyFont="1" applyBorder="1" applyAlignment="1">
      <alignment horizontal="center"/>
    </xf>
    <xf numFmtId="0" fontId="0" fillId="0" borderId="0" xfId="0" applyAlignment="1">
      <alignment horizontal="right"/>
    </xf>
    <xf numFmtId="1" fontId="14" fillId="0" borderId="0" xfId="2" applyNumberFormat="1" applyFont="1" applyBorder="1" applyAlignment="1">
      <alignment horizontal="right"/>
    </xf>
    <xf numFmtId="0" fontId="15" fillId="0" borderId="0" xfId="4" applyFont="1" applyAlignment="1">
      <alignment horizontal="right"/>
    </xf>
    <xf numFmtId="9" fontId="12" fillId="0" borderId="0" xfId="2" applyFont="1" applyBorder="1" applyAlignment="1">
      <alignment horizontal="right"/>
    </xf>
    <xf numFmtId="2" fontId="14" fillId="0" borderId="0" xfId="2" applyNumberFormat="1" applyFont="1" applyBorder="1" applyAlignment="1">
      <alignment horizontal="right"/>
    </xf>
    <xf numFmtId="14" fontId="4" fillId="0" borderId="0" xfId="3" applyNumberFormat="1" applyFont="1"/>
    <xf numFmtId="0" fontId="12" fillId="0" borderId="0" xfId="0" applyFont="1" applyAlignment="1">
      <alignment horizontal="left"/>
    </xf>
    <xf numFmtId="0" fontId="23" fillId="0" borderId="0" xfId="4" applyFont="1" applyAlignment="1">
      <alignment horizontal="right"/>
    </xf>
    <xf numFmtId="0" fontId="24" fillId="0" borderId="0" xfId="4" applyFont="1" applyAlignment="1">
      <alignment horizontal="right"/>
    </xf>
    <xf numFmtId="0" fontId="12" fillId="0" borderId="17" xfId="3" applyFont="1" applyBorder="1"/>
    <xf numFmtId="0" fontId="13" fillId="0" borderId="10" xfId="3" applyFont="1" applyBorder="1"/>
    <xf numFmtId="165" fontId="14" fillId="0" borderId="0" xfId="3" applyNumberFormat="1" applyFont="1" applyAlignment="1">
      <alignment horizontal="right"/>
    </xf>
    <xf numFmtId="0" fontId="14" fillId="0" borderId="0" xfId="3" applyFont="1"/>
    <xf numFmtId="3" fontId="5" fillId="0" borderId="0" xfId="3" applyNumberFormat="1" applyFont="1"/>
    <xf numFmtId="0" fontId="5" fillId="0" borderId="0" xfId="3" applyFont="1" applyAlignment="1">
      <alignment horizontal="right"/>
    </xf>
    <xf numFmtId="166" fontId="14" fillId="0" borderId="0" xfId="2" applyNumberFormat="1" applyFont="1" applyBorder="1" applyAlignment="1">
      <alignment horizontal="center"/>
    </xf>
    <xf numFmtId="165" fontId="4" fillId="0" borderId="12" xfId="1" applyNumberFormat="1" applyFont="1" applyBorder="1"/>
    <xf numFmtId="0" fontId="25" fillId="0" borderId="11" xfId="3" applyFont="1" applyBorder="1"/>
    <xf numFmtId="3" fontId="13" fillId="0" borderId="0" xfId="3" applyNumberFormat="1" applyFont="1" applyAlignment="1">
      <alignment horizontal="center"/>
    </xf>
    <xf numFmtId="0" fontId="26" fillId="0" borderId="4" xfId="3" applyFont="1" applyBorder="1"/>
    <xf numFmtId="0" fontId="26" fillId="0" borderId="11" xfId="3" applyFont="1" applyBorder="1"/>
    <xf numFmtId="165" fontId="26" fillId="0" borderId="13" xfId="1" applyNumberFormat="1" applyFont="1" applyBorder="1"/>
    <xf numFmtId="165" fontId="26" fillId="0" borderId="14" xfId="1" applyNumberFormat="1" applyFont="1" applyBorder="1"/>
    <xf numFmtId="165" fontId="4" fillId="0" borderId="9" xfId="1" applyNumberFormat="1" applyFont="1" applyBorder="1"/>
    <xf numFmtId="165" fontId="4" fillId="0" borderId="21" xfId="1" applyNumberFormat="1" applyFont="1" applyBorder="1"/>
    <xf numFmtId="0" fontId="5" fillId="0" borderId="8" xfId="3" applyFont="1" applyBorder="1"/>
    <xf numFmtId="0" fontId="25" fillId="0" borderId="4" xfId="3" applyFont="1" applyBorder="1"/>
    <xf numFmtId="0" fontId="5" fillId="7" borderId="11" xfId="3" applyFont="1" applyFill="1" applyBorder="1"/>
    <xf numFmtId="165" fontId="13" fillId="0" borderId="0" xfId="3" applyNumberFormat="1" applyFont="1"/>
    <xf numFmtId="0" fontId="9" fillId="0" borderId="0" xfId="3" applyFont="1" applyAlignment="1">
      <alignment horizontal="right"/>
    </xf>
    <xf numFmtId="0" fontId="12" fillId="0" borderId="0" xfId="0" applyFont="1" applyAlignment="1">
      <alignment horizontal="right"/>
    </xf>
    <xf numFmtId="0" fontId="27" fillId="0" borderId="0" xfId="4" applyFont="1" applyAlignment="1">
      <alignment horizontal="right"/>
    </xf>
    <xf numFmtId="0" fontId="28" fillId="0" borderId="0" xfId="0" applyFont="1"/>
    <xf numFmtId="0" fontId="29" fillId="0" borderId="0" xfId="0" applyFont="1" applyAlignment="1">
      <alignment horizontal="right"/>
    </xf>
    <xf numFmtId="38" fontId="4" fillId="0" borderId="0" xfId="3" applyNumberFormat="1" applyFont="1"/>
    <xf numFmtId="3" fontId="30" fillId="0" borderId="0" xfId="3" applyNumberFormat="1" applyFont="1" applyAlignment="1">
      <alignment horizontal="right"/>
    </xf>
    <xf numFmtId="165" fontId="13" fillId="0" borderId="0" xfId="3" applyNumberFormat="1" applyFont="1" applyAlignment="1">
      <alignment horizontal="right"/>
    </xf>
    <xf numFmtId="165" fontId="12" fillId="3" borderId="0" xfId="1" applyNumberFormat="1" applyFont="1" applyFill="1" applyBorder="1" applyAlignment="1">
      <alignment horizontal="right"/>
    </xf>
    <xf numFmtId="0" fontId="14" fillId="0" borderId="0" xfId="0" applyFont="1" applyAlignment="1">
      <alignment horizontal="left"/>
    </xf>
    <xf numFmtId="0" fontId="24" fillId="9" borderId="0" xfId="4" applyFont="1" applyFill="1" applyAlignment="1">
      <alignment horizontal="right"/>
    </xf>
    <xf numFmtId="0" fontId="15" fillId="0" borderId="5" xfId="4" applyFont="1" applyBorder="1" applyAlignment="1">
      <alignment horizontal="right"/>
    </xf>
    <xf numFmtId="0" fontId="16" fillId="0" borderId="5" xfId="3" applyFont="1" applyBorder="1" applyAlignment="1">
      <alignment horizontal="left"/>
    </xf>
    <xf numFmtId="9" fontId="34" fillId="0" borderId="0" xfId="2" applyFont="1" applyBorder="1" applyAlignment="1">
      <alignment horizontal="right"/>
    </xf>
    <xf numFmtId="166" fontId="34" fillId="0" borderId="0" xfId="2" applyNumberFormat="1" applyFont="1" applyBorder="1" applyAlignment="1">
      <alignment horizontal="right"/>
    </xf>
    <xf numFmtId="3" fontId="12" fillId="0" borderId="0" xfId="3" applyNumberFormat="1" applyFont="1" applyAlignment="1">
      <alignment horizontal="center"/>
    </xf>
    <xf numFmtId="0" fontId="14" fillId="10" borderId="0" xfId="3" applyFont="1" applyFill="1"/>
    <xf numFmtId="0" fontId="13" fillId="0" borderId="7" xfId="3" applyFont="1" applyBorder="1"/>
    <xf numFmtId="0" fontId="0" fillId="0" borderId="0" xfId="0" quotePrefix="1"/>
    <xf numFmtId="14" fontId="0" fillId="0" borderId="0" xfId="0" applyNumberFormat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3" xfId="0" applyBorder="1"/>
    <xf numFmtId="165" fontId="12" fillId="0" borderId="0" xfId="1" applyNumberFormat="1" applyFont="1" applyFill="1"/>
    <xf numFmtId="0" fontId="0" fillId="0" borderId="1" xfId="0" applyBorder="1"/>
    <xf numFmtId="164" fontId="13" fillId="0" borderId="0" xfId="3" applyNumberFormat="1" applyFont="1" applyAlignment="1">
      <alignment horizontal="right"/>
    </xf>
    <xf numFmtId="0" fontId="18" fillId="0" borderId="0" xfId="4" applyFont="1" applyAlignment="1">
      <alignment horizontal="right"/>
    </xf>
    <xf numFmtId="165" fontId="25" fillId="0" borderId="9" xfId="1" applyNumberFormat="1" applyFont="1" applyBorder="1"/>
    <xf numFmtId="165" fontId="25" fillId="0" borderId="21" xfId="1" applyNumberFormat="1" applyFont="1" applyBorder="1"/>
    <xf numFmtId="165" fontId="25" fillId="0" borderId="14" xfId="1" applyNumberFormat="1" applyFont="1" applyBorder="1"/>
    <xf numFmtId="165" fontId="25" fillId="0" borderId="13" xfId="1" applyNumberFormat="1" applyFont="1" applyBorder="1"/>
    <xf numFmtId="165" fontId="5" fillId="7" borderId="12" xfId="1" applyNumberFormat="1" applyFont="1" applyFill="1" applyBorder="1"/>
    <xf numFmtId="165" fontId="5" fillId="7" borderId="13" xfId="1" applyNumberFormat="1" applyFont="1" applyFill="1" applyBorder="1"/>
    <xf numFmtId="0" fontId="5" fillId="8" borderId="8" xfId="3" applyFont="1" applyFill="1" applyBorder="1"/>
    <xf numFmtId="165" fontId="4" fillId="8" borderId="14" xfId="3" applyNumberFormat="1" applyFont="1" applyFill="1" applyBorder="1"/>
    <xf numFmtId="165" fontId="4" fillId="8" borderId="13" xfId="1" applyNumberFormat="1" applyFont="1" applyFill="1" applyBorder="1"/>
    <xf numFmtId="0" fontId="22" fillId="11" borderId="5" xfId="0" applyFont="1" applyFill="1" applyBorder="1"/>
    <xf numFmtId="0" fontId="8" fillId="11" borderId="5" xfId="0" applyFont="1" applyFill="1" applyBorder="1"/>
    <xf numFmtId="0" fontId="0" fillId="11" borderId="5" xfId="0" applyFill="1" applyBorder="1" applyAlignment="1">
      <alignment horizontal="right"/>
    </xf>
    <xf numFmtId="0" fontId="0" fillId="12" borderId="23" xfId="0" applyFill="1" applyBorder="1"/>
    <xf numFmtId="0" fontId="0" fillId="12" borderId="0" xfId="0" applyFill="1"/>
    <xf numFmtId="165" fontId="0" fillId="12" borderId="0" xfId="1" applyNumberFormat="1" applyFont="1" applyFill="1" applyAlignment="1">
      <alignment horizontal="right"/>
    </xf>
    <xf numFmtId="0" fontId="0" fillId="12" borderId="0" xfId="0" applyFill="1" applyAlignment="1">
      <alignment horizontal="right"/>
    </xf>
    <xf numFmtId="0" fontId="8" fillId="11" borderId="22" xfId="0" applyFont="1" applyFill="1" applyBorder="1"/>
    <xf numFmtId="0" fontId="0" fillId="11" borderId="22" xfId="0" applyFill="1" applyBorder="1"/>
    <xf numFmtId="167" fontId="8" fillId="11" borderId="22" xfId="0" applyNumberFormat="1" applyFont="1" applyFill="1" applyBorder="1" applyAlignment="1">
      <alignment horizontal="right"/>
    </xf>
    <xf numFmtId="0" fontId="22" fillId="13" borderId="5" xfId="0" applyFont="1" applyFill="1" applyBorder="1"/>
    <xf numFmtId="0" fontId="8" fillId="13" borderId="5" xfId="0" applyFont="1" applyFill="1" applyBorder="1"/>
    <xf numFmtId="0" fontId="8" fillId="13" borderId="5" xfId="0" applyFont="1" applyFill="1" applyBorder="1" applyAlignment="1">
      <alignment horizontal="right"/>
    </xf>
    <xf numFmtId="0" fontId="0" fillId="13" borderId="5" xfId="0" applyFill="1" applyBorder="1" applyAlignment="1">
      <alignment horizontal="right"/>
    </xf>
    <xf numFmtId="0" fontId="0" fillId="6" borderId="0" xfId="0" applyFill="1"/>
    <xf numFmtId="0" fontId="8" fillId="6" borderId="0" xfId="0" applyFont="1" applyFill="1"/>
    <xf numFmtId="0" fontId="0" fillId="6" borderId="0" xfId="0" applyFill="1" applyAlignment="1">
      <alignment horizontal="right"/>
    </xf>
    <xf numFmtId="167" fontId="20" fillId="6" borderId="0" xfId="0" applyNumberFormat="1" applyFont="1" applyFill="1"/>
    <xf numFmtId="0" fontId="20" fillId="6" borderId="0" xfId="0" applyFont="1" applyFill="1"/>
    <xf numFmtId="0" fontId="20" fillId="6" borderId="0" xfId="0" applyFont="1" applyFill="1" applyAlignment="1">
      <alignment horizontal="right"/>
    </xf>
    <xf numFmtId="165" fontId="0" fillId="6" borderId="0" xfId="1" applyNumberFormat="1" applyFont="1" applyFill="1" applyAlignment="1">
      <alignment horizontal="right"/>
    </xf>
    <xf numFmtId="0" fontId="8" fillId="13" borderId="22" xfId="0" applyFont="1" applyFill="1" applyBorder="1"/>
    <xf numFmtId="0" fontId="0" fillId="13" borderId="22" xfId="0" applyFill="1" applyBorder="1"/>
    <xf numFmtId="167" fontId="8" fillId="13" borderId="22" xfId="0" applyNumberFormat="1" applyFont="1" applyFill="1" applyBorder="1" applyAlignment="1">
      <alignment horizontal="right"/>
    </xf>
    <xf numFmtId="0" fontId="22" fillId="14" borderId="5" xfId="0" applyFont="1" applyFill="1" applyBorder="1"/>
    <xf numFmtId="0" fontId="0" fillId="14" borderId="5" xfId="0" applyFill="1" applyBorder="1"/>
    <xf numFmtId="0" fontId="8" fillId="14" borderId="5" xfId="0" applyFont="1" applyFill="1" applyBorder="1" applyAlignment="1">
      <alignment horizontal="right"/>
    </xf>
    <xf numFmtId="0" fontId="0" fillId="14" borderId="5" xfId="0" applyFill="1" applyBorder="1" applyAlignment="1">
      <alignment horizontal="right"/>
    </xf>
    <xf numFmtId="0" fontId="0" fillId="15" borderId="0" xfId="0" applyFill="1"/>
    <xf numFmtId="167" fontId="0" fillId="15" borderId="0" xfId="0" applyNumberFormat="1" applyFill="1"/>
    <xf numFmtId="165" fontId="0" fillId="15" borderId="0" xfId="1" applyNumberFormat="1" applyFont="1" applyFill="1" applyAlignment="1">
      <alignment horizontal="right"/>
    </xf>
    <xf numFmtId="167" fontId="20" fillId="15" borderId="0" xfId="0" applyNumberFormat="1" applyFont="1" applyFill="1"/>
    <xf numFmtId="0" fontId="20" fillId="15" borderId="0" xfId="0" applyFont="1" applyFill="1"/>
    <xf numFmtId="0" fontId="20" fillId="15" borderId="0" xfId="0" applyFont="1" applyFill="1" applyAlignment="1">
      <alignment horizontal="right"/>
    </xf>
    <xf numFmtId="0" fontId="8" fillId="14" borderId="22" xfId="0" applyFont="1" applyFill="1" applyBorder="1"/>
    <xf numFmtId="0" fontId="0" fillId="14" borderId="22" xfId="0" applyFill="1" applyBorder="1"/>
    <xf numFmtId="167" fontId="8" fillId="14" borderId="22" xfId="0" applyNumberFormat="1" applyFont="1" applyFill="1" applyBorder="1" applyAlignment="1">
      <alignment horizontal="right"/>
    </xf>
    <xf numFmtId="0" fontId="22" fillId="4" borderId="5" xfId="0" applyFont="1" applyFill="1" applyBorder="1"/>
    <xf numFmtId="0" fontId="0" fillId="4" borderId="5" xfId="0" applyFill="1" applyBorder="1"/>
    <xf numFmtId="0" fontId="8" fillId="4" borderId="5" xfId="0" applyFont="1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0" fontId="0" fillId="16" borderId="0" xfId="0" applyFill="1"/>
    <xf numFmtId="165" fontId="4" fillId="16" borderId="0" xfId="1" applyNumberFormat="1" applyFont="1" applyFill="1"/>
    <xf numFmtId="165" fontId="0" fillId="16" borderId="0" xfId="1" applyNumberFormat="1" applyFont="1" applyFill="1" applyAlignment="1">
      <alignment horizontal="right"/>
    </xf>
    <xf numFmtId="0" fontId="8" fillId="4" borderId="22" xfId="0" applyFont="1" applyFill="1" applyBorder="1"/>
    <xf numFmtId="0" fontId="0" fillId="4" borderId="22" xfId="0" applyFill="1" applyBorder="1"/>
    <xf numFmtId="167" fontId="8" fillId="4" borderId="22" xfId="0" applyNumberFormat="1" applyFont="1" applyFill="1" applyBorder="1" applyAlignment="1">
      <alignment horizontal="right"/>
    </xf>
    <xf numFmtId="0" fontId="20" fillId="16" borderId="0" xfId="0" applyFont="1" applyFill="1" applyAlignment="1">
      <alignment horizontal="left"/>
    </xf>
    <xf numFmtId="0" fontId="22" fillId="17" borderId="5" xfId="0" applyFont="1" applyFill="1" applyBorder="1"/>
    <xf numFmtId="0" fontId="8" fillId="17" borderId="5" xfId="0" applyFont="1" applyFill="1" applyBorder="1"/>
    <xf numFmtId="0" fontId="8" fillId="17" borderId="5" xfId="0" applyFont="1" applyFill="1" applyBorder="1" applyAlignment="1">
      <alignment horizontal="right"/>
    </xf>
    <xf numFmtId="0" fontId="0" fillId="17" borderId="5" xfId="0" applyFill="1" applyBorder="1" applyAlignment="1">
      <alignment horizontal="right"/>
    </xf>
    <xf numFmtId="0" fontId="0" fillId="18" borderId="0" xfId="0" applyFill="1"/>
    <xf numFmtId="165" fontId="0" fillId="18" borderId="0" xfId="1" applyNumberFormat="1" applyFont="1" applyFill="1" applyAlignment="1">
      <alignment horizontal="right"/>
    </xf>
    <xf numFmtId="0" fontId="8" fillId="17" borderId="22" xfId="0" applyFont="1" applyFill="1" applyBorder="1"/>
    <xf numFmtId="0" fontId="0" fillId="17" borderId="22" xfId="0" applyFill="1" applyBorder="1"/>
    <xf numFmtId="167" fontId="8" fillId="17" borderId="22" xfId="0" applyNumberFormat="1" applyFont="1" applyFill="1" applyBorder="1" applyAlignment="1">
      <alignment horizontal="right"/>
    </xf>
    <xf numFmtId="0" fontId="22" fillId="19" borderId="5" xfId="0" applyFont="1" applyFill="1" applyBorder="1"/>
    <xf numFmtId="0" fontId="8" fillId="19" borderId="5" xfId="0" applyFont="1" applyFill="1" applyBorder="1"/>
    <xf numFmtId="0" fontId="8" fillId="19" borderId="5" xfId="0" applyFont="1" applyFill="1" applyBorder="1" applyAlignment="1">
      <alignment horizontal="right"/>
    </xf>
    <xf numFmtId="0" fontId="0" fillId="19" borderId="5" xfId="0" applyFill="1" applyBorder="1" applyAlignment="1">
      <alignment horizontal="right"/>
    </xf>
    <xf numFmtId="0" fontId="0" fillId="20" borderId="0" xfId="0" applyFill="1"/>
    <xf numFmtId="165" fontId="0" fillId="20" borderId="0" xfId="1" applyNumberFormat="1" applyFont="1" applyFill="1" applyAlignment="1">
      <alignment horizontal="right"/>
    </xf>
    <xf numFmtId="0" fontId="8" fillId="19" borderId="22" xfId="0" applyFont="1" applyFill="1" applyBorder="1"/>
    <xf numFmtId="0" fontId="0" fillId="19" borderId="22" xfId="0" applyFill="1" applyBorder="1"/>
    <xf numFmtId="167" fontId="8" fillId="19" borderId="22" xfId="0" applyNumberFormat="1" applyFont="1" applyFill="1" applyBorder="1" applyAlignment="1">
      <alignment horizontal="right"/>
    </xf>
    <xf numFmtId="0" fontId="22" fillId="21" borderId="5" xfId="0" applyFont="1" applyFill="1" applyBorder="1"/>
    <xf numFmtId="0" fontId="0" fillId="21" borderId="5" xfId="0" applyFill="1" applyBorder="1"/>
    <xf numFmtId="0" fontId="8" fillId="21" borderId="5" xfId="0" applyFont="1" applyFill="1" applyBorder="1" applyAlignment="1">
      <alignment horizontal="right"/>
    </xf>
    <xf numFmtId="0" fontId="0" fillId="21" borderId="5" xfId="0" applyFill="1" applyBorder="1" applyAlignment="1">
      <alignment horizontal="right"/>
    </xf>
    <xf numFmtId="0" fontId="0" fillId="22" borderId="0" xfId="0" applyFill="1"/>
    <xf numFmtId="167" fontId="20" fillId="22" borderId="0" xfId="0" applyNumberFormat="1" applyFont="1" applyFill="1"/>
    <xf numFmtId="0" fontId="20" fillId="22" borderId="0" xfId="0" applyFont="1" applyFill="1"/>
    <xf numFmtId="165" fontId="0" fillId="22" borderId="0" xfId="1" applyNumberFormat="1" applyFont="1" applyFill="1" applyAlignment="1">
      <alignment horizontal="right"/>
    </xf>
    <xf numFmtId="167" fontId="0" fillId="22" borderId="0" xfId="0" applyNumberFormat="1" applyFill="1"/>
    <xf numFmtId="0" fontId="8" fillId="21" borderId="22" xfId="0" applyFont="1" applyFill="1" applyBorder="1"/>
    <xf numFmtId="0" fontId="0" fillId="21" borderId="22" xfId="0" applyFill="1" applyBorder="1"/>
    <xf numFmtId="167" fontId="8" fillId="21" borderId="22" xfId="0" applyNumberFormat="1" applyFont="1" applyFill="1" applyBorder="1" applyAlignment="1">
      <alignment horizontal="right"/>
    </xf>
    <xf numFmtId="0" fontId="22" fillId="23" borderId="5" xfId="0" applyFont="1" applyFill="1" applyBorder="1"/>
    <xf numFmtId="0" fontId="0" fillId="23" borderId="5" xfId="0" applyFill="1" applyBorder="1"/>
    <xf numFmtId="0" fontId="8" fillId="23" borderId="5" xfId="0" applyFont="1" applyFill="1" applyBorder="1" applyAlignment="1">
      <alignment horizontal="right"/>
    </xf>
    <xf numFmtId="0" fontId="0" fillId="23" borderId="5" xfId="0" applyFill="1" applyBorder="1" applyAlignment="1">
      <alignment horizontal="right"/>
    </xf>
    <xf numFmtId="0" fontId="0" fillId="8" borderId="0" xfId="0" applyFill="1"/>
    <xf numFmtId="167" fontId="0" fillId="8" borderId="0" xfId="0" applyNumberFormat="1" applyFill="1"/>
    <xf numFmtId="165" fontId="0" fillId="8" borderId="0" xfId="1" applyNumberFormat="1" applyFont="1" applyFill="1" applyAlignment="1">
      <alignment horizontal="right"/>
    </xf>
    <xf numFmtId="0" fontId="8" fillId="23" borderId="22" xfId="0" applyFont="1" applyFill="1" applyBorder="1"/>
    <xf numFmtId="0" fontId="0" fillId="23" borderId="22" xfId="0" applyFill="1" applyBorder="1"/>
    <xf numFmtId="167" fontId="8" fillId="23" borderId="22" xfId="0" applyNumberFormat="1" applyFont="1" applyFill="1" applyBorder="1" applyAlignment="1">
      <alignment horizontal="right"/>
    </xf>
    <xf numFmtId="0" fontId="22" fillId="24" borderId="5" xfId="0" applyFont="1" applyFill="1" applyBorder="1"/>
    <xf numFmtId="0" fontId="0" fillId="24" borderId="5" xfId="0" applyFill="1" applyBorder="1"/>
    <xf numFmtId="0" fontId="8" fillId="24" borderId="5" xfId="0" applyFont="1" applyFill="1" applyBorder="1" applyAlignment="1">
      <alignment horizontal="right"/>
    </xf>
    <xf numFmtId="0" fontId="0" fillId="24" borderId="5" xfId="0" applyFill="1" applyBorder="1" applyAlignment="1">
      <alignment horizontal="right"/>
    </xf>
    <xf numFmtId="0" fontId="0" fillId="25" borderId="0" xfId="0" applyFill="1"/>
    <xf numFmtId="165" fontId="0" fillId="25" borderId="0" xfId="1" applyNumberFormat="1" applyFont="1" applyFill="1" applyAlignment="1">
      <alignment horizontal="right"/>
    </xf>
    <xf numFmtId="0" fontId="0" fillId="25" borderId="0" xfId="0" applyFill="1" applyAlignment="1">
      <alignment horizontal="right"/>
    </xf>
    <xf numFmtId="0" fontId="0" fillId="25" borderId="0" xfId="0" applyFill="1" applyAlignment="1">
      <alignment horizontal="left"/>
    </xf>
    <xf numFmtId="167" fontId="0" fillId="25" borderId="0" xfId="0" applyNumberFormat="1" applyFill="1"/>
    <xf numFmtId="0" fontId="8" fillId="24" borderId="22" xfId="0" applyFont="1" applyFill="1" applyBorder="1"/>
    <xf numFmtId="0" fontId="0" fillId="24" borderId="22" xfId="0" applyFill="1" applyBorder="1"/>
    <xf numFmtId="167" fontId="8" fillId="24" borderId="22" xfId="0" applyNumberFormat="1" applyFont="1" applyFill="1" applyBorder="1" applyAlignment="1">
      <alignment horizontal="right"/>
    </xf>
    <xf numFmtId="0" fontId="22" fillId="26" borderId="5" xfId="0" applyFont="1" applyFill="1" applyBorder="1"/>
    <xf numFmtId="0" fontId="0" fillId="26" borderId="5" xfId="0" applyFill="1" applyBorder="1"/>
    <xf numFmtId="0" fontId="8" fillId="26" borderId="5" xfId="0" applyFont="1" applyFill="1" applyBorder="1" applyAlignment="1">
      <alignment horizontal="right"/>
    </xf>
    <xf numFmtId="0" fontId="0" fillId="26" borderId="5" xfId="0" applyFill="1" applyBorder="1" applyAlignment="1">
      <alignment horizontal="center"/>
    </xf>
    <xf numFmtId="0" fontId="8" fillId="26" borderId="22" xfId="0" applyFont="1" applyFill="1" applyBorder="1"/>
    <xf numFmtId="0" fontId="0" fillId="26" borderId="22" xfId="0" applyFill="1" applyBorder="1"/>
    <xf numFmtId="167" fontId="8" fillId="26" borderId="22" xfId="0" applyNumberFormat="1" applyFont="1" applyFill="1" applyBorder="1"/>
    <xf numFmtId="0" fontId="0" fillId="27" borderId="0" xfId="0" applyFill="1"/>
    <xf numFmtId="167" fontId="0" fillId="27" borderId="0" xfId="0" applyNumberFormat="1" applyFill="1"/>
    <xf numFmtId="0" fontId="12" fillId="28" borderId="0" xfId="0" applyFont="1" applyFill="1"/>
    <xf numFmtId="0" fontId="14" fillId="28" borderId="0" xfId="0" applyFont="1" applyFill="1" applyAlignment="1">
      <alignment horizontal="left"/>
    </xf>
    <xf numFmtId="0" fontId="12" fillId="14" borderId="0" xfId="0" applyFont="1" applyFill="1"/>
    <xf numFmtId="0" fontId="12" fillId="19" borderId="0" xfId="0" applyFont="1" applyFill="1"/>
    <xf numFmtId="0" fontId="12" fillId="17" borderId="0" xfId="0" applyFont="1" applyFill="1"/>
    <xf numFmtId="0" fontId="12" fillId="23" borderId="0" xfId="0" applyFont="1" applyFill="1"/>
    <xf numFmtId="0" fontId="12" fillId="24" borderId="0" xfId="0" applyFont="1" applyFill="1"/>
    <xf numFmtId="0" fontId="32" fillId="28" borderId="0" xfId="0" applyFont="1" applyFill="1"/>
    <xf numFmtId="0" fontId="16" fillId="28" borderId="0" xfId="3" applyFont="1" applyFill="1"/>
    <xf numFmtId="0" fontId="13" fillId="28" borderId="0" xfId="3" applyFont="1" applyFill="1"/>
    <xf numFmtId="0" fontId="33" fillId="28" borderId="0" xfId="3" applyFont="1" applyFill="1"/>
    <xf numFmtId="0" fontId="0" fillId="28" borderId="0" xfId="0" applyFill="1"/>
    <xf numFmtId="0" fontId="14" fillId="28" borderId="0" xfId="3" applyFont="1" applyFill="1"/>
    <xf numFmtId="0" fontId="32" fillId="17" borderId="0" xfId="0" applyFont="1" applyFill="1"/>
    <xf numFmtId="0" fontId="16" fillId="17" borderId="0" xfId="3" applyFont="1" applyFill="1"/>
    <xf numFmtId="0" fontId="13" fillId="17" borderId="0" xfId="3" applyFont="1" applyFill="1"/>
    <xf numFmtId="0" fontId="33" fillId="17" borderId="0" xfId="3" applyFont="1" applyFill="1"/>
    <xf numFmtId="0" fontId="0" fillId="17" borderId="0" xfId="0" applyFill="1"/>
    <xf numFmtId="0" fontId="14" fillId="17" borderId="0" xfId="3" applyFont="1" applyFill="1"/>
    <xf numFmtId="0" fontId="14" fillId="17" borderId="0" xfId="0" applyFont="1" applyFill="1" applyAlignment="1">
      <alignment horizontal="left"/>
    </xf>
    <xf numFmtId="0" fontId="31" fillId="17" borderId="0" xfId="0" applyFont="1" applyFill="1"/>
    <xf numFmtId="168" fontId="12" fillId="17" borderId="0" xfId="2" applyNumberFormat="1" applyFont="1" applyFill="1" applyBorder="1" applyAlignment="1">
      <alignment horizontal="left"/>
    </xf>
    <xf numFmtId="0" fontId="9" fillId="17" borderId="0" xfId="3" applyFont="1" applyFill="1" applyAlignment="1">
      <alignment horizontal="right"/>
    </xf>
    <xf numFmtId="0" fontId="12" fillId="17" borderId="0" xfId="0" applyFont="1" applyFill="1" applyAlignment="1">
      <alignment horizontal="right"/>
    </xf>
    <xf numFmtId="3" fontId="13" fillId="17" borderId="0" xfId="3" applyNumberFormat="1" applyFont="1" applyFill="1" applyAlignment="1">
      <alignment horizontal="center"/>
    </xf>
    <xf numFmtId="3" fontId="13" fillId="17" borderId="0" xfId="3" applyNumberFormat="1" applyFont="1" applyFill="1"/>
    <xf numFmtId="9" fontId="14" fillId="17" borderId="0" xfId="2" applyFont="1" applyFill="1" applyBorder="1" applyAlignment="1">
      <alignment horizontal="center"/>
    </xf>
    <xf numFmtId="0" fontId="0" fillId="28" borderId="0" xfId="0" applyFill="1" applyAlignment="1">
      <alignment horizontal="right"/>
    </xf>
    <xf numFmtId="0" fontId="13" fillId="28" borderId="0" xfId="3" applyFont="1" applyFill="1" applyAlignment="1">
      <alignment horizontal="right"/>
    </xf>
    <xf numFmtId="0" fontId="9" fillId="28" borderId="0" xfId="3" applyFont="1" applyFill="1" applyAlignment="1">
      <alignment horizontal="right"/>
    </xf>
    <xf numFmtId="0" fontId="12" fillId="28" borderId="0" xfId="0" applyFont="1" applyFill="1" applyAlignment="1">
      <alignment horizontal="right"/>
    </xf>
    <xf numFmtId="3" fontId="13" fillId="28" borderId="0" xfId="3" applyNumberFormat="1" applyFont="1" applyFill="1" applyAlignment="1">
      <alignment horizontal="center"/>
    </xf>
    <xf numFmtId="3" fontId="13" fillId="28" borderId="0" xfId="3" applyNumberFormat="1" applyFont="1" applyFill="1"/>
    <xf numFmtId="9" fontId="14" fillId="28" borderId="0" xfId="2" applyFont="1" applyFill="1" applyBorder="1" applyAlignment="1">
      <alignment horizontal="center"/>
    </xf>
    <xf numFmtId="0" fontId="0" fillId="24" borderId="0" xfId="0" applyFill="1"/>
    <xf numFmtId="0" fontId="31" fillId="24" borderId="0" xfId="0" applyFont="1" applyFill="1"/>
    <xf numFmtId="0" fontId="9" fillId="24" borderId="0" xfId="3" applyFont="1" applyFill="1" applyAlignment="1">
      <alignment horizontal="right"/>
    </xf>
    <xf numFmtId="168" fontId="12" fillId="24" borderId="0" xfId="2" applyNumberFormat="1" applyFont="1" applyFill="1" applyBorder="1" applyAlignment="1">
      <alignment horizontal="left"/>
    </xf>
    <xf numFmtId="0" fontId="12" fillId="24" borderId="0" xfId="0" applyFont="1" applyFill="1" applyAlignment="1">
      <alignment horizontal="right"/>
    </xf>
    <xf numFmtId="0" fontId="13" fillId="24" borderId="0" xfId="3" applyFont="1" applyFill="1"/>
    <xf numFmtId="0" fontId="32" fillId="19" borderId="0" xfId="0" applyFont="1" applyFill="1"/>
    <xf numFmtId="0" fontId="16" fillId="19" borderId="0" xfId="3" applyFont="1" applyFill="1"/>
    <xf numFmtId="0" fontId="13" fillId="19" borderId="0" xfId="3" applyFont="1" applyFill="1"/>
    <xf numFmtId="0" fontId="33" fillId="19" borderId="0" xfId="3" applyFont="1" applyFill="1"/>
    <xf numFmtId="0" fontId="0" fillId="19" borderId="0" xfId="0" applyFill="1"/>
    <xf numFmtId="0" fontId="14" fillId="19" borderId="0" xfId="3" applyFont="1" applyFill="1"/>
    <xf numFmtId="0" fontId="32" fillId="24" borderId="0" xfId="0" applyFont="1" applyFill="1"/>
    <xf numFmtId="0" fontId="16" fillId="24" borderId="0" xfId="3" applyFont="1" applyFill="1"/>
    <xf numFmtId="0" fontId="33" fillId="24" borderId="0" xfId="3" applyFont="1" applyFill="1"/>
    <xf numFmtId="0" fontId="14" fillId="24" borderId="0" xfId="3" applyFont="1" applyFill="1"/>
    <xf numFmtId="3" fontId="13" fillId="24" borderId="0" xfId="3" applyNumberFormat="1" applyFont="1" applyFill="1" applyAlignment="1">
      <alignment horizontal="center"/>
    </xf>
    <xf numFmtId="3" fontId="13" fillId="24" borderId="0" xfId="3" applyNumberFormat="1" applyFont="1" applyFill="1"/>
    <xf numFmtId="9" fontId="14" fillId="24" borderId="0" xfId="2" applyFont="1" applyFill="1" applyBorder="1" applyAlignment="1">
      <alignment horizontal="center"/>
    </xf>
    <xf numFmtId="0" fontId="14" fillId="24" borderId="0" xfId="0" applyFont="1" applyFill="1" applyAlignment="1">
      <alignment horizontal="left"/>
    </xf>
    <xf numFmtId="0" fontId="14" fillId="28" borderId="0" xfId="0" applyFont="1" applyFill="1"/>
    <xf numFmtId="0" fontId="14" fillId="19" borderId="0" xfId="0" applyFont="1" applyFill="1" applyAlignment="1">
      <alignment horizontal="left"/>
    </xf>
    <xf numFmtId="0" fontId="31" fillId="19" borderId="0" xfId="0" applyFont="1" applyFill="1"/>
    <xf numFmtId="168" fontId="12" fillId="19" borderId="0" xfId="2" applyNumberFormat="1" applyFont="1" applyFill="1" applyBorder="1" applyAlignment="1">
      <alignment horizontal="left"/>
    </xf>
    <xf numFmtId="0" fontId="9" fillId="19" borderId="0" xfId="3" applyFont="1" applyFill="1" applyAlignment="1">
      <alignment horizontal="right"/>
    </xf>
    <xf numFmtId="0" fontId="12" fillId="19" borderId="0" xfId="0" applyFont="1" applyFill="1" applyAlignment="1">
      <alignment horizontal="right"/>
    </xf>
    <xf numFmtId="3" fontId="13" fillId="19" borderId="0" xfId="3" applyNumberFormat="1" applyFont="1" applyFill="1" applyAlignment="1">
      <alignment horizontal="center"/>
    </xf>
    <xf numFmtId="3" fontId="13" fillId="19" borderId="0" xfId="3" applyNumberFormat="1" applyFont="1" applyFill="1"/>
    <xf numFmtId="9" fontId="14" fillId="19" borderId="0" xfId="2" applyFont="1" applyFill="1" applyBorder="1" applyAlignment="1">
      <alignment horizontal="center"/>
    </xf>
    <xf numFmtId="0" fontId="15" fillId="17" borderId="0" xfId="0" applyFont="1" applyFill="1"/>
    <xf numFmtId="0" fontId="15" fillId="19" borderId="0" xfId="0" applyFont="1" applyFill="1"/>
    <xf numFmtId="164" fontId="14" fillId="0" borderId="0" xfId="3" applyNumberFormat="1" applyFont="1" applyAlignment="1">
      <alignment horizontal="left"/>
    </xf>
    <xf numFmtId="168" fontId="14" fillId="0" borderId="0" xfId="2" applyNumberFormat="1" applyFont="1" applyFill="1" applyBorder="1" applyAlignment="1">
      <alignment horizontal="left"/>
    </xf>
    <xf numFmtId="0" fontId="15" fillId="28" borderId="0" xfId="0" applyFont="1" applyFill="1"/>
    <xf numFmtId="0" fontId="15" fillId="24" borderId="0" xfId="0" applyFont="1" applyFill="1"/>
    <xf numFmtId="0" fontId="15" fillId="23" borderId="0" xfId="0" applyFont="1" applyFill="1"/>
    <xf numFmtId="0" fontId="0" fillId="23" borderId="0" xfId="0" applyFill="1"/>
    <xf numFmtId="0" fontId="14" fillId="23" borderId="0" xfId="0" applyFont="1" applyFill="1" applyAlignment="1">
      <alignment horizontal="left"/>
    </xf>
    <xf numFmtId="0" fontId="31" fillId="23" borderId="0" xfId="0" applyFont="1" applyFill="1"/>
    <xf numFmtId="168" fontId="12" fillId="23" borderId="0" xfId="2" applyNumberFormat="1" applyFont="1" applyFill="1" applyBorder="1" applyAlignment="1">
      <alignment horizontal="left"/>
    </xf>
    <xf numFmtId="0" fontId="9" fillId="23" borderId="0" xfId="3" applyFont="1" applyFill="1" applyAlignment="1">
      <alignment horizontal="right"/>
    </xf>
    <xf numFmtId="0" fontId="12" fillId="23" borderId="0" xfId="0" applyFont="1" applyFill="1" applyAlignment="1">
      <alignment horizontal="right"/>
    </xf>
    <xf numFmtId="0" fontId="32" fillId="23" borderId="0" xfId="0" applyFont="1" applyFill="1"/>
    <xf numFmtId="0" fontId="16" fillId="23" borderId="0" xfId="3" applyFont="1" applyFill="1"/>
    <xf numFmtId="0" fontId="13" fillId="23" borderId="0" xfId="3" applyFont="1" applyFill="1"/>
    <xf numFmtId="0" fontId="33" fillId="23" borderId="0" xfId="3" applyFont="1" applyFill="1"/>
    <xf numFmtId="0" fontId="14" fillId="23" borderId="0" xfId="3" applyFont="1" applyFill="1"/>
    <xf numFmtId="3" fontId="13" fillId="23" borderId="0" xfId="3" applyNumberFormat="1" applyFont="1" applyFill="1" applyAlignment="1">
      <alignment horizontal="center"/>
    </xf>
    <xf numFmtId="3" fontId="13" fillId="23" borderId="0" xfId="3" applyNumberFormat="1" applyFont="1" applyFill="1"/>
    <xf numFmtId="9" fontId="14" fillId="23" borderId="0" xfId="2" applyFont="1" applyFill="1" applyBorder="1" applyAlignment="1">
      <alignment horizontal="center"/>
    </xf>
    <xf numFmtId="0" fontId="12" fillId="28" borderId="0" xfId="0" applyFont="1" applyFill="1" applyAlignment="1">
      <alignment horizontal="left"/>
    </xf>
    <xf numFmtId="0" fontId="12" fillId="17" borderId="0" xfId="0" applyFont="1" applyFill="1" applyAlignment="1">
      <alignment horizontal="left"/>
    </xf>
    <xf numFmtId="0" fontId="12" fillId="19" borderId="0" xfId="0" applyFont="1" applyFill="1" applyAlignment="1">
      <alignment horizontal="left"/>
    </xf>
    <xf numFmtId="0" fontId="12" fillId="23" borderId="0" xfId="0" applyFont="1" applyFill="1" applyAlignment="1">
      <alignment horizontal="left"/>
    </xf>
    <xf numFmtId="0" fontId="12" fillId="24" borderId="0" xfId="0" applyFont="1" applyFill="1" applyAlignment="1">
      <alignment horizontal="left"/>
    </xf>
    <xf numFmtId="0" fontId="15" fillId="14" borderId="0" xfId="0" applyFont="1" applyFill="1"/>
    <xf numFmtId="0" fontId="0" fillId="14" borderId="0" xfId="0" applyFill="1"/>
    <xf numFmtId="0" fontId="12" fillId="14" borderId="0" xfId="0" applyFont="1" applyFill="1" applyAlignment="1">
      <alignment horizontal="left"/>
    </xf>
    <xf numFmtId="0" fontId="14" fillId="14" borderId="0" xfId="0" applyFont="1" applyFill="1" applyAlignment="1">
      <alignment horizontal="left"/>
    </xf>
    <xf numFmtId="0" fontId="31" fillId="14" borderId="0" xfId="0" applyFont="1" applyFill="1"/>
    <xf numFmtId="168" fontId="12" fillId="14" borderId="0" xfId="2" applyNumberFormat="1" applyFont="1" applyFill="1" applyBorder="1" applyAlignment="1">
      <alignment horizontal="left"/>
    </xf>
    <xf numFmtId="0" fontId="9" fillId="14" borderId="0" xfId="3" applyFont="1" applyFill="1" applyAlignment="1">
      <alignment horizontal="right"/>
    </xf>
    <xf numFmtId="0" fontId="12" fillId="14" borderId="0" xfId="0" applyFont="1" applyFill="1" applyAlignment="1">
      <alignment horizontal="right"/>
    </xf>
    <xf numFmtId="0" fontId="32" fillId="14" borderId="0" xfId="0" applyFont="1" applyFill="1"/>
    <xf numFmtId="0" fontId="16" fillId="14" borderId="0" xfId="3" applyFont="1" applyFill="1"/>
    <xf numFmtId="0" fontId="13" fillId="14" borderId="0" xfId="3" applyFont="1" applyFill="1"/>
    <xf numFmtId="0" fontId="33" fillId="14" borderId="0" xfId="3" applyFont="1" applyFill="1"/>
    <xf numFmtId="0" fontId="14" fillId="14" borderId="0" xfId="3" applyFont="1" applyFill="1"/>
    <xf numFmtId="3" fontId="13" fillId="14" borderId="0" xfId="3" applyNumberFormat="1" applyFont="1" applyFill="1" applyAlignment="1">
      <alignment horizontal="center"/>
    </xf>
    <xf numFmtId="3" fontId="13" fillId="14" borderId="0" xfId="3" applyNumberFormat="1" applyFont="1" applyFill="1"/>
    <xf numFmtId="9" fontId="14" fillId="14" borderId="0" xfId="2" applyFont="1" applyFill="1" applyBorder="1" applyAlignment="1">
      <alignment horizontal="center"/>
    </xf>
    <xf numFmtId="0" fontId="14" fillId="14" borderId="0" xfId="0" applyFont="1" applyFill="1"/>
    <xf numFmtId="0" fontId="0" fillId="14" borderId="0" xfId="0" quotePrefix="1" applyFill="1"/>
    <xf numFmtId="169" fontId="13" fillId="0" borderId="0" xfId="3" applyNumberFormat="1" applyFont="1" applyAlignment="1">
      <alignment horizontal="center"/>
    </xf>
    <xf numFmtId="0" fontId="14" fillId="24" borderId="0" xfId="0" applyFont="1" applyFill="1"/>
    <xf numFmtId="0" fontId="14" fillId="17" borderId="0" xfId="0" applyFont="1" applyFill="1"/>
    <xf numFmtId="0" fontId="14" fillId="23" borderId="0" xfId="0" applyFont="1" applyFill="1"/>
    <xf numFmtId="0" fontId="14" fillId="19" borderId="0" xfId="0" applyFont="1" applyFill="1"/>
    <xf numFmtId="0" fontId="4" fillId="17" borderId="4" xfId="3" applyFont="1" applyFill="1" applyBorder="1"/>
    <xf numFmtId="165" fontId="4" fillId="17" borderId="14" xfId="1" applyNumberFormat="1" applyFont="1" applyFill="1" applyBorder="1"/>
    <xf numFmtId="165" fontId="4" fillId="17" borderId="13" xfId="1" applyNumberFormat="1" applyFont="1" applyFill="1" applyBorder="1"/>
    <xf numFmtId="0" fontId="25" fillId="0" borderId="8" xfId="3" applyFont="1" applyBorder="1"/>
    <xf numFmtId="165" fontId="35" fillId="0" borderId="21" xfId="1" applyNumberFormat="1" applyFont="1" applyBorder="1"/>
    <xf numFmtId="165" fontId="35" fillId="0" borderId="9" xfId="1" applyNumberFormat="1" applyFont="1" applyBorder="1"/>
    <xf numFmtId="165" fontId="35" fillId="0" borderId="8" xfId="1" applyNumberFormat="1" applyFont="1" applyBorder="1"/>
    <xf numFmtId="165" fontId="35" fillId="0" borderId="14" xfId="1" applyNumberFormat="1" applyFont="1" applyBorder="1"/>
    <xf numFmtId="0" fontId="19" fillId="7" borderId="11" xfId="3" applyFont="1" applyFill="1" applyBorder="1"/>
    <xf numFmtId="165" fontId="18" fillId="7" borderId="12" xfId="1" applyNumberFormat="1" applyFont="1" applyFill="1" applyBorder="1"/>
    <xf numFmtId="165" fontId="18" fillId="7" borderId="24" xfId="1" applyNumberFormat="1" applyFont="1" applyFill="1" applyBorder="1"/>
    <xf numFmtId="169" fontId="4" fillId="0" borderId="0" xfId="3" quotePrefix="1" applyNumberFormat="1" applyFont="1"/>
    <xf numFmtId="0" fontId="36" fillId="0" borderId="0" xfId="15" applyFill="1"/>
    <xf numFmtId="165" fontId="0" fillId="27" borderId="0" xfId="1" applyNumberFormat="1" applyFont="1" applyFill="1" applyAlignment="1">
      <alignment horizontal="right"/>
    </xf>
    <xf numFmtId="165" fontId="4" fillId="0" borderId="0" xfId="1" applyNumberFormat="1" applyFont="1" applyAlignment="1">
      <alignment horizontal="left"/>
    </xf>
    <xf numFmtId="0" fontId="4" fillId="0" borderId="0" xfId="3" applyFont="1" applyAlignment="1">
      <alignment horizontal="left"/>
    </xf>
    <xf numFmtId="165" fontId="35" fillId="0" borderId="13" xfId="1" applyNumberFormat="1" applyFont="1" applyBorder="1"/>
    <xf numFmtId="165" fontId="4" fillId="8" borderId="13" xfId="3" applyNumberFormat="1" applyFont="1" applyFill="1" applyBorder="1"/>
    <xf numFmtId="9" fontId="4" fillId="0" borderId="0" xfId="3" applyNumberFormat="1" applyFont="1" applyAlignment="1">
      <alignment horizontal="left"/>
    </xf>
    <xf numFmtId="167" fontId="4" fillId="0" borderId="0" xfId="16" applyNumberFormat="1" applyFont="1" applyAlignment="1">
      <alignment horizontal="left"/>
    </xf>
    <xf numFmtId="0" fontId="5" fillId="0" borderId="25" xfId="3" applyFont="1" applyBorder="1"/>
    <xf numFmtId="0" fontId="4" fillId="0" borderId="26" xfId="3" applyFont="1" applyBorder="1"/>
    <xf numFmtId="3" fontId="4" fillId="0" borderId="27" xfId="3" applyNumberFormat="1" applyFont="1" applyBorder="1"/>
    <xf numFmtId="165" fontId="4" fillId="0" borderId="28" xfId="3" applyNumberFormat="1" applyFont="1" applyBorder="1"/>
    <xf numFmtId="9" fontId="39" fillId="0" borderId="28" xfId="2" applyFont="1" applyBorder="1"/>
    <xf numFmtId="10" fontId="4" fillId="0" borderId="28" xfId="2" applyNumberFormat="1" applyFont="1" applyBorder="1" applyAlignment="1">
      <alignment horizontal="right"/>
    </xf>
    <xf numFmtId="6" fontId="4" fillId="0" borderId="28" xfId="3" applyNumberFormat="1" applyFont="1" applyBorder="1"/>
    <xf numFmtId="3" fontId="5" fillId="15" borderId="27" xfId="3" applyNumberFormat="1" applyFont="1" applyFill="1" applyBorder="1"/>
    <xf numFmtId="6" fontId="5" fillId="15" borderId="28" xfId="3" applyNumberFormat="1" applyFont="1" applyFill="1" applyBorder="1"/>
    <xf numFmtId="0" fontId="4" fillId="0" borderId="27" xfId="3" applyFont="1" applyBorder="1"/>
    <xf numFmtId="0" fontId="4" fillId="0" borderId="28" xfId="3" applyFont="1" applyBorder="1"/>
    <xf numFmtId="0" fontId="5" fillId="0" borderId="27" xfId="3" applyFont="1" applyBorder="1"/>
    <xf numFmtId="0" fontId="5" fillId="0" borderId="15" xfId="3" applyFont="1" applyBorder="1"/>
    <xf numFmtId="6" fontId="4" fillId="0" borderId="29" xfId="3" applyNumberFormat="1" applyFont="1" applyBorder="1"/>
    <xf numFmtId="6" fontId="4" fillId="0" borderId="0" xfId="3" applyNumberFormat="1" applyFont="1"/>
    <xf numFmtId="0" fontId="23" fillId="0" borderId="0" xfId="0" applyFont="1" applyAlignment="1">
      <alignment horizontal="left"/>
    </xf>
    <xf numFmtId="168" fontId="12" fillId="0" borderId="0" xfId="2" applyNumberFormat="1" applyFont="1" applyFill="1" applyBorder="1" applyAlignment="1">
      <alignment horizontal="left"/>
    </xf>
    <xf numFmtId="0" fontId="14" fillId="0" borderId="0" xfId="0" quotePrefix="1" applyFont="1" applyAlignment="1">
      <alignment horizontal="left"/>
    </xf>
    <xf numFmtId="168" fontId="23" fillId="0" borderId="0" xfId="2" applyNumberFormat="1" applyFont="1" applyFill="1" applyBorder="1" applyAlignment="1">
      <alignment horizontal="left"/>
    </xf>
    <xf numFmtId="0" fontId="23" fillId="0" borderId="0" xfId="0" applyFont="1"/>
    <xf numFmtId="0" fontId="0" fillId="0" borderId="0" xfId="0" quotePrefix="1" applyAlignment="1">
      <alignment horizontal="left"/>
    </xf>
    <xf numFmtId="3" fontId="4" fillId="0" borderId="0" xfId="3" quotePrefix="1" applyNumberFormat="1" applyFont="1"/>
    <xf numFmtId="4" fontId="6" fillId="0" borderId="0" xfId="3" quotePrefix="1" applyNumberFormat="1" applyFont="1"/>
    <xf numFmtId="0" fontId="13" fillId="19" borderId="0" xfId="3" applyFont="1" applyFill="1" applyAlignment="1">
      <alignment horizontal="right"/>
    </xf>
    <xf numFmtId="0" fontId="13" fillId="14" borderId="0" xfId="3" applyFont="1" applyFill="1" applyAlignment="1">
      <alignment horizontal="right"/>
    </xf>
    <xf numFmtId="0" fontId="13" fillId="23" borderId="0" xfId="3" applyFont="1" applyFill="1" applyAlignment="1">
      <alignment horizontal="right"/>
    </xf>
    <xf numFmtId="0" fontId="13" fillId="17" borderId="0" xfId="3" applyFont="1" applyFill="1" applyAlignment="1">
      <alignment horizontal="right"/>
    </xf>
    <xf numFmtId="0" fontId="13" fillId="24" borderId="0" xfId="3" applyFont="1" applyFill="1" applyAlignment="1">
      <alignment horizontal="right"/>
    </xf>
    <xf numFmtId="170" fontId="20" fillId="6" borderId="0" xfId="0" applyNumberFormat="1" applyFont="1" applyFill="1"/>
    <xf numFmtId="165" fontId="26" fillId="0" borderId="4" xfId="1" applyNumberFormat="1" applyFont="1" applyBorder="1"/>
    <xf numFmtId="165" fontId="0" fillId="0" borderId="0" xfId="0" applyNumberFormat="1"/>
    <xf numFmtId="171" fontId="0" fillId="0" borderId="0" xfId="0" applyNumberFormat="1"/>
    <xf numFmtId="165" fontId="5" fillId="0" borderId="0" xfId="3" applyNumberFormat="1" applyFont="1"/>
    <xf numFmtId="9" fontId="4" fillId="0" borderId="0" xfId="2" applyFont="1"/>
    <xf numFmtId="9" fontId="5" fillId="0" borderId="0" xfId="2" applyFont="1" applyBorder="1"/>
    <xf numFmtId="9" fontId="4" fillId="0" borderId="0" xfId="2" applyFont="1" applyBorder="1"/>
    <xf numFmtId="165" fontId="10" fillId="7" borderId="30" xfId="1" applyNumberFormat="1" applyFont="1" applyFill="1" applyBorder="1"/>
    <xf numFmtId="165" fontId="5" fillId="7" borderId="12" xfId="3" applyNumberFormat="1" applyFont="1" applyFill="1" applyBorder="1"/>
    <xf numFmtId="165" fontId="5" fillId="7" borderId="31" xfId="3" applyNumberFormat="1" applyFont="1" applyFill="1" applyBorder="1"/>
    <xf numFmtId="165" fontId="25" fillId="0" borderId="32" xfId="1" applyNumberFormat="1" applyFont="1" applyBorder="1"/>
    <xf numFmtId="165" fontId="25" fillId="0" borderId="15" xfId="1" applyNumberFormat="1" applyFont="1" applyBorder="1"/>
    <xf numFmtId="165" fontId="4" fillId="0" borderId="32" xfId="1" applyNumberFormat="1" applyFont="1" applyBorder="1"/>
    <xf numFmtId="165" fontId="5" fillId="0" borderId="14" xfId="3" applyNumberFormat="1" applyFont="1" applyBorder="1"/>
    <xf numFmtId="165" fontId="5" fillId="0" borderId="14" xfId="1" applyNumberFormat="1" applyFont="1" applyBorder="1"/>
    <xf numFmtId="165" fontId="5" fillId="0" borderId="33" xfId="1" applyNumberFormat="1" applyFont="1" applyBorder="1"/>
    <xf numFmtId="9" fontId="25" fillId="0" borderId="0" xfId="2" applyFont="1" applyBorder="1"/>
    <xf numFmtId="165" fontId="25" fillId="0" borderId="34" xfId="1" applyNumberFormat="1" applyFont="1" applyFill="1" applyBorder="1"/>
    <xf numFmtId="165" fontId="25" fillId="0" borderId="34" xfId="1" applyNumberFormat="1" applyFont="1" applyBorder="1"/>
    <xf numFmtId="0" fontId="4" fillId="2" borderId="29" xfId="3" applyFont="1" applyFill="1" applyBorder="1"/>
    <xf numFmtId="0" fontId="4" fillId="2" borderId="9" xfId="3" applyFont="1" applyFill="1" applyBorder="1"/>
    <xf numFmtId="0" fontId="4" fillId="2" borderId="15" xfId="3" applyFont="1" applyFill="1" applyBorder="1"/>
    <xf numFmtId="165" fontId="4" fillId="2" borderId="34" xfId="1" applyNumberFormat="1" applyFont="1" applyFill="1" applyBorder="1"/>
    <xf numFmtId="165" fontId="4" fillId="2" borderId="15" xfId="1" applyNumberFormat="1" applyFont="1" applyFill="1" applyBorder="1"/>
    <xf numFmtId="9" fontId="4" fillId="0" borderId="28" xfId="2" applyFont="1" applyBorder="1"/>
    <xf numFmtId="9" fontId="6" fillId="0" borderId="0" xfId="2" applyFont="1" applyBorder="1"/>
    <xf numFmtId="9" fontId="6" fillId="0" borderId="27" xfId="2" applyFont="1" applyBorder="1"/>
    <xf numFmtId="165" fontId="4" fillId="0" borderId="35" xfId="1" applyNumberFormat="1" applyFont="1" applyBorder="1"/>
    <xf numFmtId="165" fontId="4" fillId="0" borderId="27" xfId="1" applyNumberFormat="1" applyFont="1" applyBorder="1"/>
    <xf numFmtId="9" fontId="5" fillId="0" borderId="28" xfId="2" applyFont="1" applyBorder="1"/>
    <xf numFmtId="9" fontId="5" fillId="0" borderId="27" xfId="2" applyFont="1" applyBorder="1"/>
    <xf numFmtId="165" fontId="4" fillId="2" borderId="9" xfId="3" applyNumberFormat="1" applyFont="1" applyFill="1" applyBorder="1"/>
    <xf numFmtId="165" fontId="4" fillId="2" borderId="15" xfId="3" applyNumberFormat="1" applyFont="1" applyFill="1" applyBorder="1"/>
    <xf numFmtId="0" fontId="5" fillId="8" borderId="29" xfId="3" applyFont="1" applyFill="1" applyBorder="1"/>
    <xf numFmtId="0" fontId="5" fillId="8" borderId="9" xfId="3" applyFont="1" applyFill="1" applyBorder="1"/>
    <xf numFmtId="0" fontId="5" fillId="8" borderId="15" xfId="3" applyFont="1" applyFill="1" applyBorder="1"/>
    <xf numFmtId="165" fontId="4" fillId="8" borderId="32" xfId="3" applyNumberFormat="1" applyFont="1" applyFill="1" applyBorder="1"/>
    <xf numFmtId="165" fontId="5" fillId="8" borderId="9" xfId="3" applyNumberFormat="1" applyFont="1" applyFill="1" applyBorder="1"/>
    <xf numFmtId="165" fontId="5" fillId="8" borderId="15" xfId="3" applyNumberFormat="1" applyFont="1" applyFill="1" applyBorder="1"/>
    <xf numFmtId="9" fontId="18" fillId="0" borderId="0" xfId="2" applyFont="1" applyBorder="1"/>
    <xf numFmtId="9" fontId="18" fillId="0" borderId="27" xfId="2" applyFont="1" applyBorder="1"/>
    <xf numFmtId="9" fontId="4" fillId="0" borderId="27" xfId="2" applyFont="1" applyBorder="1"/>
    <xf numFmtId="165" fontId="4" fillId="0" borderId="35" xfId="3" applyNumberFormat="1" applyFont="1" applyBorder="1"/>
    <xf numFmtId="0" fontId="5" fillId="0" borderId="28" xfId="3" applyFont="1" applyBorder="1"/>
    <xf numFmtId="0" fontId="4" fillId="0" borderId="35" xfId="3" applyFont="1" applyBorder="1"/>
    <xf numFmtId="0" fontId="5" fillId="0" borderId="36" xfId="3" applyFont="1" applyBorder="1" applyAlignment="1">
      <alignment horizontal="right"/>
    </xf>
    <xf numFmtId="0" fontId="5" fillId="0" borderId="5" xfId="3" applyFont="1" applyBorder="1" applyAlignment="1">
      <alignment horizontal="right"/>
    </xf>
    <xf numFmtId="0" fontId="5" fillId="0" borderId="37" xfId="3" applyFont="1" applyBorder="1" applyAlignment="1">
      <alignment horizontal="right"/>
    </xf>
    <xf numFmtId="164" fontId="4" fillId="0" borderId="38" xfId="3" applyNumberFormat="1" applyFont="1" applyBorder="1" applyAlignment="1">
      <alignment horizontal="right"/>
    </xf>
    <xf numFmtId="0" fontId="5" fillId="0" borderId="6" xfId="3" applyFont="1" applyBorder="1" applyAlignment="1">
      <alignment horizontal="right"/>
    </xf>
    <xf numFmtId="0" fontId="5" fillId="0" borderId="20" xfId="3" applyFont="1" applyBorder="1" applyAlignment="1">
      <alignment horizontal="right"/>
    </xf>
    <xf numFmtId="0" fontId="5" fillId="0" borderId="28" xfId="3" applyFont="1" applyBorder="1" applyAlignment="1">
      <alignment horizontal="right"/>
    </xf>
    <xf numFmtId="0" fontId="5" fillId="0" borderId="0" xfId="3" applyFont="1" applyAlignment="1">
      <alignment horizontal="center"/>
    </xf>
    <xf numFmtId="0" fontId="5" fillId="0" borderId="27" xfId="3" applyFont="1" applyBorder="1" applyAlignment="1">
      <alignment horizontal="right"/>
    </xf>
    <xf numFmtId="164" fontId="4" fillId="0" borderId="35" xfId="3" applyNumberFormat="1" applyFont="1" applyBorder="1" applyAlignment="1">
      <alignment horizontal="right"/>
    </xf>
    <xf numFmtId="0" fontId="4" fillId="0" borderId="39" xfId="3" applyFont="1" applyBorder="1" applyAlignment="1">
      <alignment horizontal="right"/>
    </xf>
    <xf numFmtId="0" fontId="4" fillId="0" borderId="25" xfId="3" applyFont="1" applyBorder="1" applyAlignment="1">
      <alignment horizontal="right"/>
    </xf>
    <xf numFmtId="0" fontId="5" fillId="29" borderId="4" xfId="3" applyFont="1" applyFill="1" applyBorder="1"/>
    <xf numFmtId="165" fontId="4" fillId="29" borderId="14" xfId="3" applyNumberFormat="1" applyFont="1" applyFill="1" applyBorder="1"/>
    <xf numFmtId="0" fontId="4" fillId="29" borderId="33" xfId="3" applyFont="1" applyFill="1" applyBorder="1"/>
    <xf numFmtId="0" fontId="4" fillId="29" borderId="40" xfId="3" applyFont="1" applyFill="1" applyBorder="1"/>
    <xf numFmtId="165" fontId="5" fillId="29" borderId="9" xfId="3" applyNumberFormat="1" applyFont="1" applyFill="1" applyBorder="1"/>
    <xf numFmtId="165" fontId="5" fillId="29" borderId="34" xfId="1" applyNumberFormat="1" applyFont="1" applyFill="1" applyBorder="1"/>
    <xf numFmtId="9" fontId="18" fillId="0" borderId="28" xfId="2" applyFont="1" applyBorder="1"/>
    <xf numFmtId="0" fontId="45" fillId="0" borderId="0" xfId="0" applyFont="1"/>
    <xf numFmtId="172" fontId="4" fillId="0" borderId="0" xfId="3" quotePrefix="1" applyNumberFormat="1" applyFont="1"/>
    <xf numFmtId="3" fontId="18" fillId="0" borderId="0" xfId="3" applyNumberFormat="1" applyFont="1"/>
    <xf numFmtId="173" fontId="13" fillId="0" borderId="0" xfId="16" applyNumberFormat="1" applyFont="1" applyFill="1" applyBorder="1"/>
    <xf numFmtId="3" fontId="13" fillId="0" borderId="0" xfId="3" quotePrefix="1" applyNumberFormat="1" applyFont="1" applyAlignment="1">
      <alignment horizontal="center"/>
    </xf>
    <xf numFmtId="165" fontId="12" fillId="3" borderId="0" xfId="1" applyNumberFormat="1" applyFont="1" applyFill="1" applyBorder="1" applyAlignment="1">
      <alignment horizontal="right" vertical="center"/>
    </xf>
    <xf numFmtId="165" fontId="12" fillId="24" borderId="0" xfId="1" applyNumberFormat="1" applyFont="1" applyFill="1" applyBorder="1" applyAlignment="1">
      <alignment horizontal="right"/>
    </xf>
    <xf numFmtId="0" fontId="6" fillId="0" borderId="0" xfId="3" applyFont="1"/>
    <xf numFmtId="3" fontId="6" fillId="0" borderId="0" xfId="3" applyNumberFormat="1" applyFont="1"/>
    <xf numFmtId="0" fontId="20" fillId="0" borderId="0" xfId="0" applyFont="1" applyAlignment="1">
      <alignment horizontal="right"/>
    </xf>
    <xf numFmtId="165" fontId="12" fillId="0" borderId="0" xfId="0" applyNumberFormat="1" applyFont="1"/>
    <xf numFmtId="3" fontId="14" fillId="0" borderId="0" xfId="0" applyNumberFormat="1" applyFont="1"/>
    <xf numFmtId="0" fontId="14" fillId="0" borderId="0" xfId="0" applyFont="1" applyAlignment="1">
      <alignment horizontal="right"/>
    </xf>
    <xf numFmtId="0" fontId="12" fillId="0" borderId="0" xfId="0" applyFont="1" applyAlignment="1">
      <alignment horizontal="right" wrapText="1"/>
    </xf>
    <xf numFmtId="0" fontId="12" fillId="0" borderId="49" xfId="0" applyFont="1" applyBorder="1" applyAlignment="1">
      <alignment horizontal="left" wrapText="1"/>
    </xf>
    <xf numFmtId="3" fontId="12" fillId="0" borderId="50" xfId="3" applyNumberFormat="1" applyFont="1" applyBorder="1" applyAlignment="1">
      <alignment horizontal="right"/>
    </xf>
    <xf numFmtId="0" fontId="12" fillId="0" borderId="50" xfId="0" applyFont="1" applyBorder="1" applyAlignment="1">
      <alignment horizontal="center"/>
    </xf>
    <xf numFmtId="3" fontId="13" fillId="0" borderId="32" xfId="3" applyNumberFormat="1" applyFont="1" applyBorder="1"/>
    <xf numFmtId="3" fontId="14" fillId="0" borderId="0" xfId="3" applyNumberFormat="1" applyFont="1" applyAlignment="1">
      <alignment horizontal="right"/>
    </xf>
    <xf numFmtId="165" fontId="13" fillId="13" borderId="0" xfId="1" applyNumberFormat="1" applyFont="1" applyFill="1"/>
    <xf numFmtId="3" fontId="13" fillId="13" borderId="0" xfId="3" applyNumberFormat="1" applyFont="1" applyFill="1" applyAlignment="1">
      <alignment horizontal="center"/>
    </xf>
    <xf numFmtId="0" fontId="12" fillId="13" borderId="47" xfId="0" applyFont="1" applyFill="1" applyBorder="1" applyAlignment="1">
      <alignment horizontal="center" vertical="center" wrapText="1"/>
    </xf>
    <xf numFmtId="165" fontId="13" fillId="13" borderId="48" xfId="1" applyNumberFormat="1" applyFont="1" applyFill="1" applyBorder="1"/>
    <xf numFmtId="9" fontId="12" fillId="13" borderId="48" xfId="2" applyFont="1" applyFill="1" applyBorder="1" applyAlignment="1">
      <alignment horizontal="center"/>
    </xf>
    <xf numFmtId="165" fontId="13" fillId="13" borderId="38" xfId="1" applyNumberFormat="1" applyFont="1" applyFill="1" applyBorder="1"/>
    <xf numFmtId="3" fontId="14" fillId="0" borderId="0" xfId="3" applyNumberFormat="1" applyFont="1"/>
    <xf numFmtId="0" fontId="12" fillId="0" borderId="0" xfId="0" applyFont="1" applyAlignment="1">
      <alignment horizontal="right" vertical="center" wrapText="1" indent="1"/>
    </xf>
    <xf numFmtId="0" fontId="13" fillId="0" borderId="0" xfId="3" quotePrefix="1" applyFont="1"/>
    <xf numFmtId="0" fontId="12" fillId="13" borderId="43" xfId="0" applyFont="1" applyFill="1" applyBorder="1" applyAlignment="1">
      <alignment horizontal="center" vertical="center" wrapText="1"/>
    </xf>
    <xf numFmtId="165" fontId="13" fillId="13" borderId="42" xfId="1" applyNumberFormat="1" applyFont="1" applyFill="1" applyBorder="1"/>
    <xf numFmtId="9" fontId="12" fillId="13" borderId="42" xfId="2" applyFont="1" applyFill="1" applyBorder="1" applyAlignment="1">
      <alignment horizontal="center"/>
    </xf>
    <xf numFmtId="165" fontId="13" fillId="13" borderId="44" xfId="1" applyNumberFormat="1" applyFont="1" applyFill="1" applyBorder="1"/>
    <xf numFmtId="165" fontId="13" fillId="0" borderId="0" xfId="1" applyNumberFormat="1" applyFont="1" applyFill="1"/>
    <xf numFmtId="165" fontId="14" fillId="0" borderId="0" xfId="3" applyNumberFormat="1" applyFont="1"/>
    <xf numFmtId="165" fontId="13" fillId="15" borderId="0" xfId="1" applyNumberFormat="1" applyFont="1" applyFill="1"/>
    <xf numFmtId="3" fontId="13" fillId="15" borderId="0" xfId="3" applyNumberFormat="1" applyFont="1" applyFill="1" applyAlignment="1">
      <alignment horizontal="center"/>
    </xf>
    <xf numFmtId="0" fontId="12" fillId="15" borderId="43" xfId="0" applyFont="1" applyFill="1" applyBorder="1" applyAlignment="1">
      <alignment horizontal="center" vertical="center" wrapText="1"/>
    </xf>
    <xf numFmtId="165" fontId="13" fillId="15" borderId="42" xfId="1" applyNumberFormat="1" applyFont="1" applyFill="1" applyBorder="1"/>
    <xf numFmtId="9" fontId="12" fillId="15" borderId="42" xfId="2" applyFont="1" applyFill="1" applyBorder="1" applyAlignment="1">
      <alignment horizontal="center"/>
    </xf>
    <xf numFmtId="165" fontId="13" fillId="15" borderId="44" xfId="1" applyNumberFormat="1" applyFont="1" applyFill="1" applyBorder="1"/>
    <xf numFmtId="165" fontId="12" fillId="15" borderId="0" xfId="1" applyNumberFormat="1" applyFont="1" applyFill="1"/>
    <xf numFmtId="165" fontId="12" fillId="15" borderId="42" xfId="1" applyNumberFormat="1" applyFont="1" applyFill="1" applyBorder="1"/>
    <xf numFmtId="165" fontId="13" fillId="18" borderId="0" xfId="1" applyNumberFormat="1" applyFont="1" applyFill="1"/>
    <xf numFmtId="3" fontId="12" fillId="18" borderId="0" xfId="3" applyNumberFormat="1" applyFont="1" applyFill="1" applyAlignment="1">
      <alignment horizontal="center"/>
    </xf>
    <xf numFmtId="0" fontId="12" fillId="18" borderId="43" xfId="0" applyFont="1" applyFill="1" applyBorder="1" applyAlignment="1">
      <alignment horizontal="center" vertical="center" wrapText="1"/>
    </xf>
    <xf numFmtId="165" fontId="12" fillId="18" borderId="42" xfId="1" applyNumberFormat="1" applyFont="1" applyFill="1" applyBorder="1"/>
    <xf numFmtId="9" fontId="12" fillId="18" borderId="42" xfId="2" applyFont="1" applyFill="1" applyBorder="1" applyAlignment="1">
      <alignment horizontal="center"/>
    </xf>
    <xf numFmtId="165" fontId="12" fillId="18" borderId="44" xfId="1" applyNumberFormat="1" applyFont="1" applyFill="1" applyBorder="1"/>
    <xf numFmtId="165" fontId="13" fillId="20" borderId="0" xfId="1" applyNumberFormat="1" applyFont="1" applyFill="1"/>
    <xf numFmtId="3" fontId="12" fillId="20" borderId="0" xfId="3" applyNumberFormat="1" applyFont="1" applyFill="1" applyAlignment="1">
      <alignment horizontal="center"/>
    </xf>
    <xf numFmtId="0" fontId="12" fillId="20" borderId="43" xfId="0" applyFont="1" applyFill="1" applyBorder="1" applyAlignment="1">
      <alignment horizontal="center" vertical="center" wrapText="1"/>
    </xf>
    <xf numFmtId="165" fontId="12" fillId="20" borderId="42" xfId="1" applyNumberFormat="1" applyFont="1" applyFill="1" applyBorder="1"/>
    <xf numFmtId="9" fontId="12" fillId="20" borderId="42" xfId="2" applyFont="1" applyFill="1" applyBorder="1" applyAlignment="1">
      <alignment horizontal="center"/>
    </xf>
    <xf numFmtId="165" fontId="12" fillId="20" borderId="44" xfId="1" applyNumberFormat="1" applyFont="1" applyFill="1" applyBorder="1"/>
    <xf numFmtId="165" fontId="13" fillId="8" borderId="0" xfId="1" applyNumberFormat="1" applyFont="1" applyFill="1"/>
    <xf numFmtId="3" fontId="12" fillId="8" borderId="0" xfId="3" applyNumberFormat="1" applyFont="1" applyFill="1" applyAlignment="1">
      <alignment horizontal="center"/>
    </xf>
    <xf numFmtId="0" fontId="12" fillId="8" borderId="43" xfId="0" applyFont="1" applyFill="1" applyBorder="1" applyAlignment="1">
      <alignment horizontal="center" vertical="center" wrapText="1"/>
    </xf>
    <xf numFmtId="165" fontId="12" fillId="8" borderId="42" xfId="1" applyNumberFormat="1" applyFont="1" applyFill="1" applyBorder="1"/>
    <xf numFmtId="9" fontId="12" fillId="8" borderId="42" xfId="2" applyFont="1" applyFill="1" applyBorder="1" applyAlignment="1">
      <alignment horizontal="center"/>
    </xf>
    <xf numFmtId="165" fontId="12" fillId="8" borderId="44" xfId="1" applyNumberFormat="1" applyFont="1" applyFill="1" applyBorder="1"/>
    <xf numFmtId="0" fontId="13" fillId="0" borderId="22" xfId="3" applyFont="1" applyBorder="1"/>
    <xf numFmtId="3" fontId="12" fillId="0" borderId="45" xfId="3" applyNumberFormat="1" applyFont="1" applyBorder="1" applyAlignment="1">
      <alignment horizontal="center"/>
    </xf>
    <xf numFmtId="3" fontId="12" fillId="0" borderId="46" xfId="3" applyNumberFormat="1" applyFont="1" applyBorder="1"/>
    <xf numFmtId="3" fontId="13" fillId="0" borderId="46" xfId="3" applyNumberFormat="1" applyFont="1" applyBorder="1"/>
    <xf numFmtId="3" fontId="12" fillId="0" borderId="30" xfId="3" applyNumberFormat="1" applyFont="1" applyBorder="1"/>
    <xf numFmtId="0" fontId="14" fillId="0" borderId="0" xfId="3" applyFont="1" applyAlignment="1">
      <alignment horizontal="right"/>
    </xf>
    <xf numFmtId="0" fontId="14" fillId="0" borderId="0" xfId="0" applyFont="1"/>
    <xf numFmtId="0" fontId="14" fillId="0" borderId="22" xfId="3" applyFont="1" applyBorder="1"/>
    <xf numFmtId="3" fontId="12" fillId="0" borderId="0" xfId="3" applyNumberFormat="1" applyFont="1" applyAlignment="1">
      <alignment horizontal="right"/>
    </xf>
    <xf numFmtId="165" fontId="12" fillId="0" borderId="0" xfId="3" applyNumberFormat="1" applyFont="1" applyAlignment="1">
      <alignment horizontal="right"/>
    </xf>
    <xf numFmtId="3" fontId="7" fillId="0" borderId="0" xfId="3" applyNumberFormat="1" applyFont="1"/>
    <xf numFmtId="0" fontId="46" fillId="0" borderId="25" xfId="3" applyFont="1" applyBorder="1" applyAlignment="1">
      <alignment horizontal="center"/>
    </xf>
    <xf numFmtId="165" fontId="47" fillId="0" borderId="2" xfId="1" applyNumberFormat="1" applyFont="1" applyBorder="1"/>
    <xf numFmtId="3" fontId="47" fillId="0" borderId="26" xfId="3" applyNumberFormat="1" applyFont="1" applyBorder="1"/>
    <xf numFmtId="0" fontId="46" fillId="0" borderId="49" xfId="3" applyFont="1" applyBorder="1"/>
    <xf numFmtId="0" fontId="46" fillId="0" borderId="50" xfId="3" applyFont="1" applyBorder="1" applyAlignment="1">
      <alignment horizontal="right"/>
    </xf>
    <xf numFmtId="0" fontId="46" fillId="0" borderId="32" xfId="3" applyFont="1" applyBorder="1" applyAlignment="1">
      <alignment horizontal="right"/>
    </xf>
    <xf numFmtId="0" fontId="46" fillId="0" borderId="41" xfId="3" applyFont="1" applyBorder="1" applyAlignment="1">
      <alignment horizontal="center"/>
    </xf>
    <xf numFmtId="0" fontId="46" fillId="0" borderId="33" xfId="3" applyFont="1" applyBorder="1" applyAlignment="1">
      <alignment wrapText="1"/>
    </xf>
    <xf numFmtId="165" fontId="47" fillId="0" borderId="13" xfId="3" applyNumberFormat="1" applyFont="1" applyBorder="1"/>
    <xf numFmtId="165" fontId="47" fillId="0" borderId="41" xfId="1" applyNumberFormat="1" applyFont="1" applyBorder="1"/>
    <xf numFmtId="0" fontId="46" fillId="0" borderId="33" xfId="3" applyFont="1" applyBorder="1"/>
    <xf numFmtId="165" fontId="47" fillId="0" borderId="13" xfId="1" applyNumberFormat="1" applyFont="1" applyBorder="1"/>
    <xf numFmtId="0" fontId="46" fillId="0" borderId="15" xfId="3" applyFont="1" applyBorder="1"/>
    <xf numFmtId="165" fontId="47" fillId="0" borderId="21" xfId="1" applyNumberFormat="1" applyFont="1" applyBorder="1"/>
    <xf numFmtId="0" fontId="46" fillId="0" borderId="0" xfId="3" applyFont="1"/>
    <xf numFmtId="165" fontId="47" fillId="0" borderId="0" xfId="1" applyNumberFormat="1" applyFont="1" applyBorder="1"/>
    <xf numFmtId="3" fontId="47" fillId="0" borderId="0" xfId="3" applyNumberFormat="1" applyFont="1"/>
    <xf numFmtId="0" fontId="46" fillId="3" borderId="25" xfId="3" applyFont="1" applyFill="1" applyBorder="1" applyAlignment="1">
      <alignment horizontal="center"/>
    </xf>
    <xf numFmtId="165" fontId="47" fillId="3" borderId="2" xfId="1" applyNumberFormat="1" applyFont="1" applyFill="1" applyBorder="1"/>
    <xf numFmtId="3" fontId="47" fillId="3" borderId="26" xfId="3" applyNumberFormat="1" applyFont="1" applyFill="1" applyBorder="1"/>
    <xf numFmtId="0" fontId="46" fillId="3" borderId="41" xfId="3" applyFont="1" applyFill="1" applyBorder="1"/>
    <xf numFmtId="0" fontId="46" fillId="3" borderId="41" xfId="3" applyFont="1" applyFill="1" applyBorder="1" applyAlignment="1">
      <alignment horizontal="right"/>
    </xf>
    <xf numFmtId="0" fontId="46" fillId="3" borderId="41" xfId="3" applyFont="1" applyFill="1" applyBorder="1" applyAlignment="1">
      <alignment horizontal="center"/>
    </xf>
    <xf numFmtId="0" fontId="46" fillId="3" borderId="33" xfId="3" applyFont="1" applyFill="1" applyBorder="1"/>
    <xf numFmtId="165" fontId="48" fillId="3" borderId="25" xfId="3" applyNumberFormat="1" applyFont="1" applyFill="1" applyBorder="1" applyAlignment="1">
      <alignment horizontal="right"/>
    </xf>
    <xf numFmtId="165" fontId="47" fillId="3" borderId="41" xfId="1" applyNumberFormat="1" applyFont="1" applyFill="1" applyBorder="1"/>
    <xf numFmtId="165" fontId="47" fillId="3" borderId="25" xfId="3" applyNumberFormat="1" applyFont="1" applyFill="1" applyBorder="1" applyAlignment="1">
      <alignment horizontal="right"/>
    </xf>
    <xf numFmtId="165" fontId="47" fillId="3" borderId="33" xfId="3" applyNumberFormat="1" applyFont="1" applyFill="1" applyBorder="1"/>
    <xf numFmtId="165" fontId="47" fillId="3" borderId="33" xfId="1" applyNumberFormat="1" applyFont="1" applyFill="1" applyBorder="1"/>
    <xf numFmtId="0" fontId="46" fillId="30" borderId="33" xfId="3" applyFont="1" applyFill="1" applyBorder="1"/>
    <xf numFmtId="165" fontId="47" fillId="30" borderId="33" xfId="3" applyNumberFormat="1" applyFont="1" applyFill="1" applyBorder="1"/>
    <xf numFmtId="165" fontId="47" fillId="30" borderId="41" xfId="1" applyNumberFormat="1" applyFont="1" applyFill="1" applyBorder="1"/>
    <xf numFmtId="0" fontId="46" fillId="31" borderId="33" xfId="3" applyFont="1" applyFill="1" applyBorder="1"/>
    <xf numFmtId="165" fontId="47" fillId="31" borderId="33" xfId="3" applyNumberFormat="1" applyFont="1" applyFill="1" applyBorder="1"/>
    <xf numFmtId="165" fontId="47" fillId="31" borderId="41" xfId="1" applyNumberFormat="1" applyFont="1" applyFill="1" applyBorder="1"/>
    <xf numFmtId="165" fontId="4" fillId="0" borderId="0" xfId="1" quotePrefix="1" applyNumberFormat="1" applyFont="1"/>
    <xf numFmtId="0" fontId="4" fillId="0" borderId="8" xfId="3" applyFont="1" applyBorder="1"/>
    <xf numFmtId="0" fontId="44" fillId="0" borderId="0" xfId="0" applyFont="1"/>
    <xf numFmtId="3" fontId="4" fillId="0" borderId="0" xfId="3" applyNumberFormat="1" applyFont="1" applyAlignment="1">
      <alignment horizontal="center"/>
    </xf>
    <xf numFmtId="0" fontId="4" fillId="28" borderId="0" xfId="3" applyFont="1" applyFill="1"/>
    <xf numFmtId="0" fontId="5" fillId="28" borderId="0" xfId="3" applyFont="1" applyFill="1"/>
    <xf numFmtId="0" fontId="6" fillId="10" borderId="0" xfId="3" applyFont="1" applyFill="1"/>
    <xf numFmtId="0" fontId="4" fillId="0" borderId="1" xfId="3" quotePrefix="1" applyFont="1" applyBorder="1"/>
    <xf numFmtId="0" fontId="5" fillId="17" borderId="0" xfId="3" applyFont="1" applyFill="1"/>
    <xf numFmtId="0" fontId="4" fillId="17" borderId="0" xfId="3" applyFont="1" applyFill="1"/>
    <xf numFmtId="165" fontId="12" fillId="13" borderId="0" xfId="1" applyNumberFormat="1" applyFont="1" applyFill="1" applyBorder="1" applyAlignment="1">
      <alignment horizontal="right" vertical="center" wrapText="1" indent="1"/>
    </xf>
    <xf numFmtId="165" fontId="12" fillId="15" borderId="0" xfId="1" applyNumberFormat="1" applyFont="1" applyFill="1" applyBorder="1" applyAlignment="1">
      <alignment horizontal="right" vertical="center" wrapText="1" indent="1"/>
    </xf>
    <xf numFmtId="165" fontId="12" fillId="18" borderId="0" xfId="1" applyNumberFormat="1" applyFont="1" applyFill="1" applyBorder="1" applyAlignment="1">
      <alignment horizontal="right" vertical="center" wrapText="1" indent="1"/>
    </xf>
    <xf numFmtId="165" fontId="12" fillId="20" borderId="0" xfId="1" applyNumberFormat="1" applyFont="1" applyFill="1" applyBorder="1" applyAlignment="1">
      <alignment horizontal="right" vertical="center" wrapText="1" indent="1"/>
    </xf>
    <xf numFmtId="165" fontId="12" fillId="8" borderId="0" xfId="1" applyNumberFormat="1" applyFont="1" applyFill="1" applyBorder="1" applyAlignment="1">
      <alignment horizontal="right" vertical="center" wrapText="1" indent="1"/>
    </xf>
    <xf numFmtId="165" fontId="13" fillId="0" borderId="22" xfId="1" applyNumberFormat="1" applyFont="1" applyBorder="1"/>
    <xf numFmtId="0" fontId="50" fillId="0" borderId="0" xfId="0" applyFont="1"/>
    <xf numFmtId="14" fontId="4" fillId="0" borderId="0" xfId="3" quotePrefix="1" applyNumberFormat="1" applyFont="1"/>
    <xf numFmtId="0" fontId="19" fillId="0" borderId="0" xfId="3" applyFont="1"/>
    <xf numFmtId="165" fontId="18" fillId="0" borderId="0" xfId="1" applyNumberFormat="1" applyFont="1" applyBorder="1"/>
    <xf numFmtId="3" fontId="51" fillId="0" borderId="0" xfId="3" quotePrefix="1" applyNumberFormat="1" applyFont="1"/>
    <xf numFmtId="3" fontId="6" fillId="0" borderId="0" xfId="3" quotePrefix="1" applyNumberFormat="1" applyFont="1"/>
    <xf numFmtId="3" fontId="18" fillId="0" borderId="0" xfId="3" quotePrefix="1" applyNumberFormat="1" applyFont="1"/>
    <xf numFmtId="3" fontId="39" fillId="0" borderId="0" xfId="3" applyNumberFormat="1" applyFont="1"/>
    <xf numFmtId="165" fontId="4" fillId="0" borderId="9" xfId="1" applyNumberFormat="1" applyFont="1" applyFill="1" applyBorder="1"/>
    <xf numFmtId="165" fontId="18" fillId="0" borderId="0" xfId="1" applyNumberFormat="1" applyFont="1" applyFill="1"/>
    <xf numFmtId="0" fontId="0" fillId="0" borderId="2" xfId="0" applyBorder="1"/>
    <xf numFmtId="0" fontId="45" fillId="0" borderId="0" xfId="0" quotePrefix="1" applyFont="1"/>
    <xf numFmtId="165" fontId="4" fillId="0" borderId="0" xfId="1" applyNumberFormat="1" applyFont="1" applyFill="1" applyBorder="1"/>
    <xf numFmtId="0" fontId="25" fillId="0" borderId="8" xfId="3" applyFont="1" applyBorder="1" applyAlignment="1">
      <alignment vertical="center"/>
    </xf>
    <xf numFmtId="0" fontId="5" fillId="0" borderId="4" xfId="3" applyFont="1" applyBorder="1" applyAlignment="1">
      <alignment vertical="center"/>
    </xf>
    <xf numFmtId="0" fontId="25" fillId="0" borderId="4" xfId="3" applyFont="1" applyBorder="1" applyAlignment="1">
      <alignment vertical="center"/>
    </xf>
    <xf numFmtId="0" fontId="26" fillId="0" borderId="4" xfId="3" applyFont="1" applyBorder="1" applyAlignment="1">
      <alignment vertical="center"/>
    </xf>
    <xf numFmtId="0" fontId="26" fillId="0" borderId="11" xfId="3" applyFont="1" applyBorder="1" applyAlignment="1">
      <alignment vertical="center"/>
    </xf>
    <xf numFmtId="0" fontId="4" fillId="0" borderId="0" xfId="3" applyFont="1" applyAlignment="1">
      <alignment vertical="center"/>
    </xf>
    <xf numFmtId="0" fontId="10" fillId="0" borderId="4" xfId="3" applyFont="1" applyBorder="1" applyAlignment="1">
      <alignment vertical="center"/>
    </xf>
    <xf numFmtId="0" fontId="53" fillId="0" borderId="4" xfId="3" applyFont="1" applyBorder="1" applyAlignment="1">
      <alignment vertical="center"/>
    </xf>
    <xf numFmtId="165" fontId="26" fillId="0" borderId="13" xfId="1" quotePrefix="1" applyNumberFormat="1" applyFont="1" applyBorder="1"/>
    <xf numFmtId="165" fontId="26" fillId="0" borderId="14" xfId="1" quotePrefix="1" applyNumberFormat="1" applyFont="1" applyBorder="1"/>
    <xf numFmtId="165" fontId="26" fillId="0" borderId="4" xfId="1" quotePrefix="1" applyNumberFormat="1" applyFont="1" applyBorder="1"/>
    <xf numFmtId="0" fontId="18" fillId="0" borderId="0" xfId="3" quotePrefix="1" applyFont="1"/>
    <xf numFmtId="0" fontId="54" fillId="0" borderId="0" xfId="0" applyFont="1"/>
    <xf numFmtId="0" fontId="36" fillId="0" borderId="0" xfId="15"/>
    <xf numFmtId="0" fontId="36" fillId="0" borderId="0" xfId="15" applyBorder="1"/>
    <xf numFmtId="168" fontId="4" fillId="0" borderId="0" xfId="2" applyNumberFormat="1" applyFont="1"/>
    <xf numFmtId="165" fontId="4" fillId="18" borderId="9" xfId="1" applyNumberFormat="1" applyFont="1" applyFill="1" applyBorder="1"/>
    <xf numFmtId="0" fontId="5" fillId="18" borderId="8" xfId="3" applyFont="1" applyFill="1" applyBorder="1"/>
    <xf numFmtId="165" fontId="4" fillId="18" borderId="21" xfId="1" applyNumberFormat="1" applyFont="1" applyFill="1" applyBorder="1"/>
    <xf numFmtId="0" fontId="12" fillId="0" borderId="0" xfId="0" quotePrefix="1" applyFont="1"/>
    <xf numFmtId="165" fontId="4" fillId="0" borderId="42" xfId="3" applyNumberFormat="1" applyFont="1" applyBorder="1"/>
    <xf numFmtId="0" fontId="5" fillId="0" borderId="51" xfId="3" applyFont="1" applyBorder="1"/>
    <xf numFmtId="165" fontId="4" fillId="0" borderId="52" xfId="3" applyNumberFormat="1" applyFont="1" applyBorder="1"/>
    <xf numFmtId="165" fontId="4" fillId="0" borderId="53" xfId="3" applyNumberFormat="1" applyFont="1" applyBorder="1"/>
    <xf numFmtId="0" fontId="4" fillId="0" borderId="43" xfId="3" applyFont="1" applyBorder="1"/>
    <xf numFmtId="165" fontId="4" fillId="0" borderId="44" xfId="3" applyNumberFormat="1" applyFont="1" applyBorder="1"/>
    <xf numFmtId="0" fontId="5" fillId="0" borderId="43" xfId="3" applyFont="1" applyBorder="1"/>
    <xf numFmtId="0" fontId="5" fillId="0" borderId="45" xfId="3" applyFont="1" applyBorder="1"/>
    <xf numFmtId="165" fontId="4" fillId="0" borderId="46" xfId="3" applyNumberFormat="1" applyFont="1" applyBorder="1"/>
    <xf numFmtId="165" fontId="4" fillId="0" borderId="30" xfId="3" applyNumberFormat="1" applyFont="1" applyBorder="1"/>
    <xf numFmtId="0" fontId="5" fillId="0" borderId="41" xfId="3" applyFont="1" applyBorder="1" applyAlignment="1">
      <alignment horizontal="right"/>
    </xf>
    <xf numFmtId="9" fontId="4" fillId="0" borderId="0" xfId="2" quotePrefix="1" applyFont="1"/>
    <xf numFmtId="0" fontId="58" fillId="0" borderId="0" xfId="3" applyFont="1"/>
    <xf numFmtId="165" fontId="4" fillId="0" borderId="54" xfId="3" applyNumberFormat="1" applyFont="1" applyBorder="1"/>
    <xf numFmtId="0" fontId="58" fillId="0" borderId="43" xfId="3" applyFont="1" applyBorder="1"/>
    <xf numFmtId="0" fontId="7" fillId="9" borderId="0" xfId="3" applyFont="1" applyFill="1" applyAlignment="1">
      <alignment horizontal="right"/>
    </xf>
    <xf numFmtId="0" fontId="12" fillId="21" borderId="0" xfId="0" applyFont="1" applyFill="1"/>
    <xf numFmtId="0" fontId="15" fillId="21" borderId="0" xfId="0" applyFont="1" applyFill="1"/>
    <xf numFmtId="0" fontId="0" fillId="21" borderId="0" xfId="0" applyFill="1"/>
    <xf numFmtId="0" fontId="12" fillId="21" borderId="0" xfId="0" applyFont="1" applyFill="1" applyAlignment="1">
      <alignment horizontal="left"/>
    </xf>
    <xf numFmtId="0" fontId="14" fillId="21" borderId="0" xfId="0" applyFont="1" applyFill="1" applyAlignment="1">
      <alignment horizontal="left"/>
    </xf>
    <xf numFmtId="0" fontId="14" fillId="21" borderId="0" xfId="0" applyFont="1" applyFill="1"/>
    <xf numFmtId="0" fontId="0" fillId="21" borderId="0" xfId="0" quotePrefix="1" applyFill="1"/>
    <xf numFmtId="0" fontId="31" fillId="21" borderId="0" xfId="0" applyFont="1" applyFill="1"/>
    <xf numFmtId="168" fontId="12" fillId="21" borderId="0" xfId="2" applyNumberFormat="1" applyFont="1" applyFill="1" applyBorder="1" applyAlignment="1">
      <alignment horizontal="left"/>
    </xf>
    <xf numFmtId="0" fontId="9" fillId="21" borderId="0" xfId="3" applyFont="1" applyFill="1" applyAlignment="1">
      <alignment horizontal="right"/>
    </xf>
    <xf numFmtId="0" fontId="12" fillId="21" borderId="0" xfId="0" applyFont="1" applyFill="1" applyAlignment="1">
      <alignment horizontal="right"/>
    </xf>
    <xf numFmtId="0" fontId="13" fillId="21" borderId="0" xfId="3" applyFont="1" applyFill="1" applyAlignment="1">
      <alignment horizontal="right"/>
    </xf>
    <xf numFmtId="0" fontId="32" fillId="21" borderId="0" xfId="0" applyFont="1" applyFill="1"/>
    <xf numFmtId="0" fontId="16" fillId="21" borderId="0" xfId="3" applyFont="1" applyFill="1"/>
    <xf numFmtId="0" fontId="13" fillId="21" borderId="0" xfId="3" applyFont="1" applyFill="1"/>
    <xf numFmtId="0" fontId="33" fillId="21" borderId="0" xfId="3" applyFont="1" applyFill="1"/>
    <xf numFmtId="0" fontId="14" fillId="21" borderId="0" xfId="3" applyFont="1" applyFill="1"/>
    <xf numFmtId="3" fontId="13" fillId="21" borderId="0" xfId="3" applyNumberFormat="1" applyFont="1" applyFill="1" applyAlignment="1">
      <alignment horizontal="center"/>
    </xf>
    <xf numFmtId="3" fontId="13" fillId="21" borderId="0" xfId="3" applyNumberFormat="1" applyFont="1" applyFill="1"/>
    <xf numFmtId="9" fontId="14" fillId="21" borderId="0" xfId="2" applyFont="1" applyFill="1" applyBorder="1" applyAlignment="1">
      <alignment horizontal="center"/>
    </xf>
    <xf numFmtId="0" fontId="59" fillId="0" borderId="0" xfId="0" applyFont="1" applyAlignment="1">
      <alignment horizontal="left"/>
    </xf>
    <xf numFmtId="0" fontId="60" fillId="0" borderId="0" xfId="0" applyFont="1"/>
    <xf numFmtId="0" fontId="4" fillId="0" borderId="28" xfId="2" applyNumberFormat="1" applyFont="1" applyBorder="1"/>
    <xf numFmtId="0" fontId="19" fillId="6" borderId="11" xfId="3" applyFont="1" applyFill="1" applyBorder="1"/>
    <xf numFmtId="165" fontId="18" fillId="6" borderId="12" xfId="1" applyNumberFormat="1" applyFont="1" applyFill="1" applyBorder="1"/>
    <xf numFmtId="165" fontId="18" fillId="6" borderId="24" xfId="1" applyNumberFormat="1" applyFont="1" applyFill="1" applyBorder="1"/>
    <xf numFmtId="0" fontId="5" fillId="0" borderId="3" xfId="3" applyFont="1" applyBorder="1" applyAlignment="1">
      <alignment horizontal="right"/>
    </xf>
    <xf numFmtId="0" fontId="5" fillId="0" borderId="1" xfId="3" applyFont="1" applyBorder="1" applyAlignment="1">
      <alignment horizontal="right"/>
    </xf>
    <xf numFmtId="3" fontId="4" fillId="0" borderId="0" xfId="3" applyNumberFormat="1" applyFont="1" applyAlignment="1">
      <alignment horizontal="right"/>
    </xf>
    <xf numFmtId="9" fontId="4" fillId="0" borderId="0" xfId="3" applyNumberFormat="1" applyFont="1"/>
    <xf numFmtId="0" fontId="61" fillId="0" borderId="0" xfId="0" applyFont="1"/>
    <xf numFmtId="0" fontId="23" fillId="0" borderId="0" xfId="0" applyFont="1" applyAlignment="1">
      <alignment horizontal="right"/>
    </xf>
    <xf numFmtId="9" fontId="14" fillId="0" borderId="0" xfId="2" quotePrefix="1" applyFont="1" applyAlignment="1">
      <alignment horizontal="left"/>
    </xf>
    <xf numFmtId="0" fontId="5" fillId="32" borderId="0" xfId="3" applyFont="1" applyFill="1" applyAlignment="1">
      <alignment horizontal="right"/>
    </xf>
    <xf numFmtId="165" fontId="5" fillId="32" borderId="5" xfId="1" applyNumberFormat="1" applyFont="1" applyFill="1" applyBorder="1" applyAlignment="1">
      <alignment horizontal="right"/>
    </xf>
    <xf numFmtId="165" fontId="18" fillId="32" borderId="0" xfId="1" applyNumberFormat="1" applyFont="1" applyFill="1" applyBorder="1"/>
    <xf numFmtId="0" fontId="5" fillId="15" borderId="0" xfId="3" applyFont="1" applyFill="1" applyAlignment="1">
      <alignment horizontal="right"/>
    </xf>
    <xf numFmtId="165" fontId="5" fillId="15" borderId="0" xfId="1" applyNumberFormat="1" applyFont="1" applyFill="1" applyAlignment="1">
      <alignment horizontal="right"/>
    </xf>
    <xf numFmtId="165" fontId="5" fillId="15" borderId="5" xfId="1" applyNumberFormat="1" applyFont="1" applyFill="1" applyBorder="1" applyAlignment="1">
      <alignment horizontal="right"/>
    </xf>
    <xf numFmtId="0" fontId="4" fillId="15" borderId="0" xfId="3" applyFont="1" applyFill="1" applyAlignment="1">
      <alignment horizontal="right"/>
    </xf>
    <xf numFmtId="9" fontId="4" fillId="15" borderId="0" xfId="2" quotePrefix="1" applyFont="1" applyFill="1"/>
    <xf numFmtId="165" fontId="18" fillId="15" borderId="0" xfId="1" applyNumberFormat="1" applyFont="1" applyFill="1" applyBorder="1"/>
    <xf numFmtId="165" fontId="7" fillId="15" borderId="0" xfId="1" applyNumberFormat="1" applyFont="1" applyFill="1" applyAlignment="1">
      <alignment horizontal="right"/>
    </xf>
    <xf numFmtId="165" fontId="7" fillId="15" borderId="5" xfId="1" applyNumberFormat="1" applyFont="1" applyFill="1" applyBorder="1" applyAlignment="1">
      <alignment horizontal="right"/>
    </xf>
    <xf numFmtId="165" fontId="6" fillId="15" borderId="0" xfId="1" applyNumberFormat="1" applyFont="1" applyFill="1" applyBorder="1"/>
    <xf numFmtId="3" fontId="7" fillId="0" borderId="0" xfId="3" quotePrefix="1" applyNumberFormat="1" applyFont="1"/>
    <xf numFmtId="44" fontId="13" fillId="0" borderId="0" xfId="16" applyFont="1" applyFill="1" applyBorder="1"/>
    <xf numFmtId="0" fontId="8" fillId="0" borderId="0" xfId="0" applyFont="1"/>
    <xf numFmtId="0" fontId="13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12" fillId="33" borderId="0" xfId="0" applyFont="1" applyFill="1"/>
    <xf numFmtId="165" fontId="5" fillId="0" borderId="42" xfId="3" applyNumberFormat="1" applyFont="1" applyBorder="1"/>
    <xf numFmtId="165" fontId="5" fillId="0" borderId="44" xfId="3" applyNumberFormat="1" applyFont="1" applyBorder="1"/>
    <xf numFmtId="165" fontId="5" fillId="0" borderId="52" xfId="3" applyNumberFormat="1" applyFont="1" applyBorder="1"/>
    <xf numFmtId="165" fontId="5" fillId="0" borderId="53" xfId="3" applyNumberFormat="1" applyFont="1" applyBorder="1"/>
    <xf numFmtId="165" fontId="5" fillId="0" borderId="46" xfId="3" applyNumberFormat="1" applyFont="1" applyBorder="1"/>
    <xf numFmtId="165" fontId="5" fillId="0" borderId="30" xfId="3" applyNumberFormat="1" applyFont="1" applyBorder="1"/>
    <xf numFmtId="0" fontId="63" fillId="0" borderId="27" xfId="0" applyFont="1" applyBorder="1"/>
    <xf numFmtId="0" fontId="12" fillId="0" borderId="28" xfId="0" applyFont="1" applyBorder="1"/>
    <xf numFmtId="0" fontId="63" fillId="0" borderId="15" xfId="0" applyFont="1" applyBorder="1"/>
    <xf numFmtId="0" fontId="12" fillId="0" borderId="9" xfId="0" applyFont="1" applyBorder="1"/>
    <xf numFmtId="0" fontId="12" fillId="0" borderId="29" xfId="0" applyFont="1" applyBorder="1"/>
    <xf numFmtId="0" fontId="36" fillId="0" borderId="0" xfId="15" applyFill="1" applyBorder="1"/>
    <xf numFmtId="2" fontId="14" fillId="6" borderId="0" xfId="2" applyNumberFormat="1" applyFont="1" applyFill="1" applyBorder="1" applyAlignment="1">
      <alignment horizontal="right"/>
    </xf>
    <xf numFmtId="2" fontId="0" fillId="0" borderId="0" xfId="0" applyNumberFormat="1"/>
    <xf numFmtId="43" fontId="12" fillId="3" borderId="0" xfId="1" applyFont="1" applyFill="1" applyBorder="1" applyAlignment="1">
      <alignment horizontal="right"/>
    </xf>
    <xf numFmtId="0" fontId="0" fillId="9" borderId="0" xfId="0" applyFill="1"/>
    <xf numFmtId="0" fontId="20" fillId="0" borderId="0" xfId="0" quotePrefix="1" applyFont="1" applyAlignment="1">
      <alignment horizontal="left"/>
    </xf>
    <xf numFmtId="0" fontId="67" fillId="28" borderId="0" xfId="3" applyFont="1" applyFill="1"/>
    <xf numFmtId="0" fontId="67" fillId="17" borderId="0" xfId="3" applyFont="1" applyFill="1"/>
    <xf numFmtId="0" fontId="67" fillId="19" borderId="0" xfId="3" applyFont="1" applyFill="1"/>
    <xf numFmtId="0" fontId="67" fillId="23" borderId="0" xfId="3" applyFont="1" applyFill="1"/>
    <xf numFmtId="0" fontId="67" fillId="24" borderId="0" xfId="3" applyFont="1" applyFill="1"/>
    <xf numFmtId="0" fontId="67" fillId="14" borderId="0" xfId="3" applyFont="1" applyFill="1"/>
    <xf numFmtId="0" fontId="67" fillId="21" borderId="0" xfId="3" applyFont="1" applyFill="1"/>
    <xf numFmtId="0" fontId="54" fillId="0" borderId="0" xfId="0" applyFont="1" applyAlignment="1">
      <alignment horizontal="left"/>
    </xf>
    <xf numFmtId="0" fontId="62" fillId="0" borderId="0" xfId="0" applyFont="1"/>
    <xf numFmtId="0" fontId="63" fillId="0" borderId="25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 applyAlignment="1">
      <alignment wrapText="1"/>
    </xf>
    <xf numFmtId="0" fontId="0" fillId="0" borderId="28" xfId="0" applyBorder="1" applyAlignment="1">
      <alignment wrapText="1"/>
    </xf>
    <xf numFmtId="0" fontId="4" fillId="0" borderId="25" xfId="3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6" xfId="0" applyBorder="1" applyAlignment="1">
      <alignment horizontal="center"/>
    </xf>
    <xf numFmtId="0" fontId="37" fillId="0" borderId="0" xfId="3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6" fontId="0" fillId="6" borderId="0" xfId="0" applyNumberFormat="1" applyFill="1"/>
  </cellXfs>
  <cellStyles count="17">
    <cellStyle name="Comma" xfId="1" builtinId="3"/>
    <cellStyle name="Comma 2" xfId="5" xr:uid="{00000000-0005-0000-0000-000001000000}"/>
    <cellStyle name="Comma 2 2" xfId="11" xr:uid="{00000000-0005-0000-0000-000002000000}"/>
    <cellStyle name="Comma 3" xfId="9" xr:uid="{00000000-0005-0000-0000-000003000000}"/>
    <cellStyle name="Comma 4" xfId="14" xr:uid="{00000000-0005-0000-0000-000004000000}"/>
    <cellStyle name="Currency" xfId="16" builtinId="4"/>
    <cellStyle name="Hyperlink" xfId="15" builtinId="8"/>
    <cellStyle name="Normal" xfId="0" builtinId="0"/>
    <cellStyle name="Normal 2" xfId="3" xr:uid="{00000000-0005-0000-0000-000008000000}"/>
    <cellStyle name="Normal 2 2" xfId="10" xr:uid="{00000000-0005-0000-0000-000009000000}"/>
    <cellStyle name="Normal 3" xfId="12" xr:uid="{00000000-0005-0000-0000-00000A000000}"/>
    <cellStyle name="Normal 3 2" xfId="4" xr:uid="{00000000-0005-0000-0000-00000B000000}"/>
    <cellStyle name="Normal 3 3" xfId="6" xr:uid="{00000000-0005-0000-0000-00000C000000}"/>
    <cellStyle name="Normal 3 4" xfId="7" xr:uid="{00000000-0005-0000-0000-00000D000000}"/>
    <cellStyle name="Normal 3 5" xfId="13" xr:uid="{00000000-0005-0000-0000-00000E000000}"/>
    <cellStyle name="Percent" xfId="2" builtinId="5"/>
    <cellStyle name="Percent 2" xfId="8" xr:uid="{00000000-0005-0000-0000-000010000000}"/>
  </cellStyles>
  <dxfs count="14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ill>
        <patternFill>
          <bgColor rgb="FFC4E59F"/>
        </patternFill>
      </fill>
    </dxf>
    <dxf>
      <fill>
        <patternFill>
          <bgColor rgb="FFC4E59F"/>
        </patternFill>
      </fill>
    </dxf>
    <dxf>
      <fill>
        <patternFill>
          <bgColor rgb="FFC4E59F"/>
        </patternFill>
      </fill>
    </dxf>
    <dxf>
      <fill>
        <patternFill>
          <bgColor rgb="FFC4E59F"/>
        </patternFill>
      </fill>
    </dxf>
    <dxf>
      <fill>
        <patternFill>
          <bgColor rgb="FFC4E59F"/>
        </patternFill>
      </fill>
    </dxf>
    <dxf>
      <fill>
        <patternFill>
          <bgColor rgb="FFC4E59F"/>
        </patternFill>
      </fill>
    </dxf>
    <dxf>
      <fill>
        <patternFill>
          <bgColor rgb="FFC4E59F"/>
        </patternFill>
      </fill>
    </dxf>
    <dxf>
      <fill>
        <patternFill>
          <bgColor rgb="FFC4E59F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4E59F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4E59F"/>
        </patternFill>
      </fill>
    </dxf>
    <dxf>
      <fill>
        <patternFill>
          <bgColor rgb="FFC4E59F"/>
        </patternFill>
      </fill>
    </dxf>
    <dxf>
      <fill>
        <patternFill>
          <bgColor rgb="FFC4E59F"/>
        </patternFill>
      </fill>
    </dxf>
    <dxf>
      <fill>
        <patternFill>
          <bgColor rgb="FFC4E59F"/>
        </patternFill>
      </fill>
    </dxf>
    <dxf>
      <fill>
        <patternFill>
          <bgColor rgb="FFC4E59F"/>
        </patternFill>
      </fill>
    </dxf>
    <dxf>
      <fill>
        <patternFill>
          <bgColor rgb="FFC4E59F"/>
        </patternFill>
      </fill>
    </dxf>
    <dxf>
      <fill>
        <patternFill>
          <bgColor rgb="FFC4E59F"/>
        </patternFill>
      </fill>
    </dxf>
    <dxf>
      <fill>
        <patternFill>
          <bgColor rgb="FFC4E59F"/>
        </patternFill>
      </fill>
    </dxf>
    <dxf>
      <fill>
        <patternFill>
          <bgColor rgb="FFC4E59F"/>
        </patternFill>
      </fill>
    </dxf>
    <dxf>
      <fill>
        <patternFill>
          <bgColor rgb="FFC4E59F"/>
        </patternFill>
      </fill>
    </dxf>
    <dxf>
      <fill>
        <patternFill>
          <bgColor rgb="FFC4E59F"/>
        </patternFill>
      </fill>
    </dxf>
    <dxf>
      <fill>
        <patternFill>
          <bgColor rgb="FFC4E59F"/>
        </patternFill>
      </fill>
    </dxf>
    <dxf>
      <fill>
        <patternFill>
          <bgColor rgb="FFC4E59F"/>
        </patternFill>
      </fill>
    </dxf>
    <dxf>
      <fill>
        <patternFill>
          <bgColor rgb="FFC4E59F"/>
        </patternFill>
      </fill>
    </dxf>
    <dxf>
      <fill>
        <patternFill>
          <bgColor rgb="FFC4E59F"/>
        </patternFill>
      </fill>
    </dxf>
    <dxf>
      <fill>
        <patternFill>
          <bgColor rgb="FFC4E59F"/>
        </patternFill>
      </fill>
    </dxf>
    <dxf>
      <fill>
        <patternFill>
          <bgColor rgb="FFC4E59F"/>
        </patternFill>
      </fill>
    </dxf>
    <dxf>
      <fill>
        <patternFill>
          <bgColor rgb="FFC4E59F"/>
        </patternFill>
      </fill>
    </dxf>
    <dxf>
      <fill>
        <patternFill>
          <bgColor rgb="FFC4E59F"/>
        </patternFill>
      </fill>
    </dxf>
    <dxf>
      <fill>
        <patternFill>
          <bgColor rgb="FFC4E59F"/>
        </patternFill>
      </fill>
    </dxf>
    <dxf>
      <fill>
        <patternFill>
          <bgColor rgb="FFC4E59F"/>
        </patternFill>
      </fill>
    </dxf>
    <dxf>
      <fill>
        <patternFill>
          <bgColor rgb="FFC4E59F"/>
        </patternFill>
      </fill>
    </dxf>
    <dxf>
      <fill>
        <patternFill>
          <bgColor rgb="FFC4E59F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4E59F"/>
        </patternFill>
      </fill>
    </dxf>
    <dxf>
      <fill>
        <patternFill>
          <bgColor theme="0" tint="-0.14996795556505021"/>
        </patternFill>
      </fill>
    </dxf>
    <dxf>
      <fill>
        <patternFill>
          <bgColor rgb="FFC4E59F"/>
        </patternFill>
      </fill>
    </dxf>
    <dxf>
      <fill>
        <patternFill>
          <bgColor rgb="FFC4E59F"/>
        </patternFill>
      </fill>
    </dxf>
    <dxf>
      <fill>
        <patternFill>
          <bgColor rgb="FFC4E59F"/>
        </patternFill>
      </fill>
    </dxf>
    <dxf>
      <fill>
        <patternFill>
          <bgColor rgb="FFC4E59F"/>
        </patternFill>
      </fill>
    </dxf>
    <dxf>
      <fill>
        <patternFill>
          <bgColor rgb="FFC4E59F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4E59F"/>
        </patternFill>
      </fill>
    </dxf>
    <dxf>
      <fill>
        <patternFill>
          <bgColor theme="0" tint="-0.14996795556505021"/>
        </patternFill>
      </fill>
    </dxf>
    <dxf>
      <fill>
        <patternFill>
          <bgColor rgb="FFC4E59F"/>
        </patternFill>
      </fill>
    </dxf>
    <dxf>
      <fill>
        <patternFill>
          <bgColor rgb="FFC4E59F"/>
        </patternFill>
      </fill>
    </dxf>
    <dxf>
      <fill>
        <patternFill>
          <bgColor rgb="FFC4E59F"/>
        </patternFill>
      </fill>
    </dxf>
    <dxf>
      <fill>
        <patternFill>
          <bgColor rgb="FFC4E59F"/>
        </patternFill>
      </fill>
    </dxf>
    <dxf>
      <fill>
        <patternFill>
          <bgColor rgb="FFC4E59F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4E59F"/>
        </patternFill>
      </fill>
    </dxf>
    <dxf>
      <fill>
        <patternFill>
          <bgColor theme="0" tint="-0.14996795556505021"/>
        </patternFill>
      </fill>
    </dxf>
    <dxf>
      <fill>
        <patternFill>
          <bgColor rgb="FFC4E59F"/>
        </patternFill>
      </fill>
    </dxf>
    <dxf>
      <fill>
        <patternFill>
          <bgColor rgb="FFC4E59F"/>
        </patternFill>
      </fill>
    </dxf>
    <dxf>
      <fill>
        <patternFill>
          <bgColor rgb="FFC4E59F"/>
        </patternFill>
      </fill>
    </dxf>
    <dxf>
      <fill>
        <patternFill>
          <bgColor rgb="FFC4E59F"/>
        </patternFill>
      </fill>
    </dxf>
    <dxf>
      <fill>
        <patternFill>
          <bgColor rgb="FFC4E59F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4E59F"/>
        </patternFill>
      </fill>
    </dxf>
    <dxf>
      <fill>
        <patternFill>
          <bgColor theme="0" tint="-0.14996795556505021"/>
        </patternFill>
      </fill>
    </dxf>
    <dxf>
      <fill>
        <patternFill>
          <bgColor rgb="FFC4E59F"/>
        </patternFill>
      </fill>
    </dxf>
    <dxf>
      <fill>
        <patternFill>
          <bgColor rgb="FFC4E59F"/>
        </patternFill>
      </fill>
    </dxf>
    <dxf>
      <fill>
        <patternFill>
          <bgColor rgb="FFC4E59F"/>
        </patternFill>
      </fill>
    </dxf>
    <dxf>
      <fill>
        <patternFill>
          <bgColor rgb="FFC4E59F"/>
        </patternFill>
      </fill>
    </dxf>
    <dxf>
      <fill>
        <patternFill>
          <bgColor rgb="FFC4E59F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4E59F"/>
        </patternFill>
      </fill>
    </dxf>
    <dxf>
      <fill>
        <patternFill>
          <bgColor theme="0" tint="-0.14996795556505021"/>
        </patternFill>
      </fill>
    </dxf>
    <dxf>
      <fill>
        <patternFill>
          <bgColor rgb="FFC4E59F"/>
        </patternFill>
      </fill>
    </dxf>
    <dxf>
      <fill>
        <patternFill>
          <bgColor rgb="FFC4E59F"/>
        </patternFill>
      </fill>
    </dxf>
    <dxf>
      <fill>
        <patternFill>
          <bgColor rgb="FFC4E59F"/>
        </patternFill>
      </fill>
    </dxf>
    <dxf>
      <fill>
        <patternFill>
          <bgColor rgb="FFC4E59F"/>
        </patternFill>
      </fill>
    </dxf>
    <dxf>
      <fill>
        <patternFill>
          <bgColor rgb="FFC4E59F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4E59F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FF99"/>
      <color rgb="FFE9F369"/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niaid.nih.gov/grants-contracts/salary-cap-stipends" TargetMode="External"/><Relationship Id="rId7" Type="http://schemas.openxmlformats.org/officeDocument/2006/relationships/hyperlink" Target="https://grants.nih.gov/grants/guide/notice-files/NOT-OD-22-108.html" TargetMode="External"/><Relationship Id="rId2" Type="http://schemas.openxmlformats.org/officeDocument/2006/relationships/hyperlink" Target="https://grants.nih.gov/grants/policy/salcap_summary.htm" TargetMode="External"/><Relationship Id="rId1" Type="http://schemas.openxmlformats.org/officeDocument/2006/relationships/hyperlink" Target="https://researchservices.cornell.edu/rates/employee-benefit-fringe-rates" TargetMode="External"/><Relationship Id="rId6" Type="http://schemas.openxmlformats.org/officeDocument/2006/relationships/hyperlink" Target="https://www.ny.gov/new-york-states-minimum-wage/new-york-states-minimum-wage" TargetMode="External"/><Relationship Id="rId5" Type="http://schemas.openxmlformats.org/officeDocument/2006/relationships/hyperlink" Target="https://sbshrs.adpinfo.com/blog/exempt-employees-minimum-salary-requirements-for-2022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studentemployment.cornell.edu/jobs/wages-and-classifications/student-wage-scale" TargetMode="External"/><Relationship Id="rId9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irs.gov/newsroom/irs-issues-standard-mileage-rates-for-2022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U765"/>
  <sheetViews>
    <sheetView topLeftCell="A77" zoomScaleNormal="100" workbookViewId="0">
      <selection activeCell="H105" sqref="H105"/>
    </sheetView>
  </sheetViews>
  <sheetFormatPr defaultRowHeight="15" x14ac:dyDescent="0.25"/>
  <cols>
    <col min="1" max="1" width="43.28515625" bestFit="1" customWidth="1"/>
    <col min="2" max="9" width="10.28515625" customWidth="1"/>
    <col min="10" max="11" width="11" customWidth="1"/>
    <col min="12" max="12" width="41.5703125" customWidth="1"/>
    <col min="13" max="19" width="14.5703125" customWidth="1"/>
    <col min="20" max="20" width="18.42578125" customWidth="1"/>
    <col min="24" max="24" width="16.28515625" bestFit="1" customWidth="1"/>
    <col min="26" max="26" width="13.42578125" bestFit="1" customWidth="1"/>
    <col min="32" max="32" width="12.7109375" customWidth="1"/>
    <col min="47" max="47" width="22" bestFit="1" customWidth="1"/>
  </cols>
  <sheetData>
    <row r="1" spans="1:47" ht="20.25" x14ac:dyDescent="0.3">
      <c r="A1" s="64" t="s">
        <v>53</v>
      </c>
      <c r="B1" s="681" t="s">
        <v>284</v>
      </c>
      <c r="L1" s="64" t="s">
        <v>58</v>
      </c>
      <c r="M1" s="628" t="s">
        <v>288</v>
      </c>
      <c r="N1" s="47"/>
      <c r="O1" s="47"/>
      <c r="P1" s="47"/>
      <c r="Q1" s="47"/>
      <c r="R1" s="47"/>
      <c r="S1" s="47"/>
      <c r="AL1" s="47"/>
      <c r="AM1" s="47"/>
      <c r="AN1" s="47"/>
      <c r="AO1" s="47"/>
      <c r="AP1" s="47"/>
    </row>
    <row r="2" spans="1:47" x14ac:dyDescent="0.25">
      <c r="L2" s="57" t="s">
        <v>33</v>
      </c>
      <c r="M2" s="121" t="s">
        <v>485</v>
      </c>
      <c r="N2" s="90" t="str">
        <f>CONCATENATE("FY",RIGHT(M2,4)+"1")</f>
        <v>FY2024</v>
      </c>
      <c r="O2" s="90" t="str">
        <f t="shared" ref="O2:S2" si="0">CONCATENATE("FY",RIGHT(N2,4)+"1")</f>
        <v>FY2025</v>
      </c>
      <c r="P2" s="90" t="str">
        <f t="shared" si="0"/>
        <v>FY2026</v>
      </c>
      <c r="Q2" s="90" t="str">
        <f t="shared" si="0"/>
        <v>FY2027</v>
      </c>
      <c r="R2" s="90" t="str">
        <f t="shared" si="0"/>
        <v>FY2028</v>
      </c>
      <c r="S2" s="90" t="str">
        <f t="shared" si="0"/>
        <v>FY2029</v>
      </c>
      <c r="T2" s="47"/>
      <c r="X2" s="112" t="s">
        <v>107</v>
      </c>
      <c r="Y2" s="88">
        <f>MONTH(DATE(YEAR(B5),MONTH(B5),1))</f>
        <v>1</v>
      </c>
      <c r="Z2" s="47"/>
      <c r="AA2" s="47"/>
      <c r="AB2" s="47"/>
      <c r="AC2" s="47"/>
      <c r="AD2" s="47"/>
      <c r="AE2" s="47"/>
      <c r="AH2" s="47" t="str">
        <f ca="1">CELL("filename",'Lead Budget'!$A$1)</f>
        <v>Z:\aGrant Proposal Team\Amy Jackson\2022.09.21 - Srikrishnan - SloanFoundation-BEE\[146733_Srikrishnan_BUD 3.1.xlsx]Lead Budget</v>
      </c>
      <c r="AT2" s="47" t="s">
        <v>182</v>
      </c>
      <c r="AU2" s="112" t="s">
        <v>325</v>
      </c>
    </row>
    <row r="3" spans="1:47" x14ac:dyDescent="0.25">
      <c r="A3" s="47" t="s">
        <v>181</v>
      </c>
      <c r="B3" s="120" t="s">
        <v>182</v>
      </c>
      <c r="C3" s="480" t="s">
        <v>195</v>
      </c>
      <c r="J3" s="120"/>
      <c r="L3" s="49" t="s">
        <v>146</v>
      </c>
      <c r="M3" s="49">
        <v>0.68300000000000005</v>
      </c>
      <c r="N3" s="49">
        <v>0.68300000000000005</v>
      </c>
      <c r="O3" s="49">
        <v>0.68300000000000005</v>
      </c>
      <c r="P3" s="49">
        <v>0.68300000000000005</v>
      </c>
      <c r="Q3" s="49">
        <v>0.68300000000000005</v>
      </c>
      <c r="R3" s="49">
        <v>0.68300000000000005</v>
      </c>
      <c r="S3" s="49">
        <v>0.68300000000000005</v>
      </c>
      <c r="T3" s="47"/>
      <c r="X3" s="112" t="s">
        <v>83</v>
      </c>
      <c r="Y3" s="88">
        <f>YEAR(DATE(YEAR(B5),MONTH(B5)+6,1))</f>
        <v>2023</v>
      </c>
      <c r="Z3" s="112" t="s">
        <v>1</v>
      </c>
      <c r="AA3" s="112" t="s">
        <v>2</v>
      </c>
      <c r="AB3" s="112" t="s">
        <v>3</v>
      </c>
      <c r="AC3" s="112" t="s">
        <v>44</v>
      </c>
      <c r="AD3" s="112" t="s">
        <v>50</v>
      </c>
      <c r="AE3" s="47"/>
      <c r="AH3" s="47" t="str">
        <f ca="1">CELL("filename",Stedman!$A$1)</f>
        <v>Z:\aGrant Proposal Team\Amy Jackson\2022.09.21 - Srikrishnan - SloanFoundation-BEE\[146733_Srikrishnan_BUD 3.1.xlsx]Stedman</v>
      </c>
      <c r="AT3" s="47" t="s">
        <v>183</v>
      </c>
      <c r="AU3" s="112" t="s">
        <v>330</v>
      </c>
    </row>
    <row r="4" spans="1:47" x14ac:dyDescent="0.25">
      <c r="A4" s="47" t="s">
        <v>484</v>
      </c>
      <c r="B4" s="671" t="s">
        <v>487</v>
      </c>
      <c r="C4" s="47"/>
      <c r="D4" s="672"/>
      <c r="J4" s="120"/>
      <c r="L4" s="49" t="s">
        <v>147</v>
      </c>
      <c r="M4" s="49">
        <v>0.68769999999999998</v>
      </c>
      <c r="N4" s="49">
        <v>0.68769999999999998</v>
      </c>
      <c r="O4" s="49">
        <v>0.68769999999999998</v>
      </c>
      <c r="P4" s="49">
        <v>0.68769999999999998</v>
      </c>
      <c r="Q4" s="49">
        <v>0.68769999999999998</v>
      </c>
      <c r="R4" s="49">
        <v>0.68769999999999998</v>
      </c>
      <c r="S4" s="49">
        <v>0.68769999999999998</v>
      </c>
      <c r="T4" s="47"/>
      <c r="X4" s="47"/>
      <c r="Y4" s="112" t="s">
        <v>29</v>
      </c>
      <c r="Z4" s="48" t="str">
        <f>CONCATENATE("FY",$Y$3)</f>
        <v>FY2023</v>
      </c>
      <c r="AA4" s="48" t="str">
        <f>CONCATENATE("FY",$Y$3+1)</f>
        <v>FY2024</v>
      </c>
      <c r="AB4" s="48" t="str">
        <f>CONCATENATE("FY",$Y$3+2)</f>
        <v>FY2025</v>
      </c>
      <c r="AC4" s="48" t="str">
        <f>CONCATENATE("FY",$Y$3+3)</f>
        <v>FY2026</v>
      </c>
      <c r="AD4" s="48" t="str">
        <f>CONCATENATE("FY",$Y$3+4)</f>
        <v>FY2027</v>
      </c>
      <c r="AE4" s="48" t="str">
        <f>CONCATENATE("FY",$Y$3+5)</f>
        <v>FY2028</v>
      </c>
      <c r="AH4" s="47" t="str">
        <f ca="1">CELL("filename",'Co PI 2'!$A$1)</f>
        <v>Z:\aGrant Proposal Team\Amy Jackson\2022.09.21 - Srikrishnan - SloanFoundation-BEE\[146733_Srikrishnan_BUD 3.1.xlsx]Co PI 2</v>
      </c>
      <c r="AT4" s="47" t="s">
        <v>184</v>
      </c>
      <c r="AU4" s="112" t="s">
        <v>326</v>
      </c>
    </row>
    <row r="5" spans="1:47" x14ac:dyDescent="0.25">
      <c r="A5" s="47" t="s">
        <v>55</v>
      </c>
      <c r="B5" s="320">
        <v>44927</v>
      </c>
      <c r="C5" s="480" t="s">
        <v>291</v>
      </c>
      <c r="J5" s="120"/>
      <c r="L5" s="49" t="s">
        <v>148</v>
      </c>
      <c r="M5" s="49">
        <v>0.37</v>
      </c>
      <c r="N5" s="49">
        <v>0.37</v>
      </c>
      <c r="O5" s="49">
        <v>0.37</v>
      </c>
      <c r="P5" s="49">
        <v>0.37</v>
      </c>
      <c r="Q5" s="49">
        <v>0.37</v>
      </c>
      <c r="R5" s="49">
        <v>0.37</v>
      </c>
      <c r="S5" s="49">
        <v>0.37</v>
      </c>
      <c r="T5" s="47"/>
      <c r="X5" s="47"/>
      <c r="Y5" s="112" t="s">
        <v>78</v>
      </c>
      <c r="Z5" s="48" t="str">
        <f>IF($M$41&lt;12,CONCATENATE("FY",$Y$3+1),CONCATENATE("FY",$Y$3))</f>
        <v>FY2024</v>
      </c>
      <c r="AA5" s="48" t="str">
        <f>IF($M$41&lt;12,CONCATENATE("FY",$Y$3+2),CONCATENATE("FY",$Y$3+1))</f>
        <v>FY2025</v>
      </c>
      <c r="AB5" s="48" t="str">
        <f>IF($M$41&lt;12,CONCATENATE("FY",$Y$3+3),CONCATENATE("FY",$Y$3+2))</f>
        <v>FY2026</v>
      </c>
      <c r="AC5" s="48" t="str">
        <f>IF($M$41&lt;12,CONCATENATE("FY",$Y$3+4),CONCATENATE("FY",$Y$3+3))</f>
        <v>FY2027</v>
      </c>
      <c r="AD5" s="48" t="str">
        <f>IF($M$41&lt;12,CONCATENATE("FY",$Y$3+5),CONCATENATE("FY",$Y$3+4))</f>
        <v>FY2028</v>
      </c>
      <c r="AE5" s="47"/>
      <c r="AH5" s="47" t="str">
        <f ca="1">CELL("filename",'Co PI 3'!$A$1)</f>
        <v>Z:\aGrant Proposal Team\Amy Jackson\2022.09.21 - Srikrishnan - SloanFoundation-BEE\[146733_Srikrishnan_BUD 3.1.xlsx]Co PI 3</v>
      </c>
      <c r="AT5" s="47" t="s">
        <v>279</v>
      </c>
      <c r="AU5" s="112" t="s">
        <v>336</v>
      </c>
    </row>
    <row r="6" spans="1:47" x14ac:dyDescent="0.25">
      <c r="A6" s="47" t="s">
        <v>114</v>
      </c>
      <c r="B6" s="120" t="s">
        <v>108</v>
      </c>
      <c r="C6" s="480"/>
      <c r="J6" s="120"/>
      <c r="L6" s="49" t="s">
        <v>321</v>
      </c>
      <c r="M6" s="49">
        <v>0.1</v>
      </c>
      <c r="N6" s="49">
        <v>0.1</v>
      </c>
      <c r="O6" s="49">
        <v>0.1</v>
      </c>
      <c r="P6" s="49">
        <v>0.1</v>
      </c>
      <c r="Q6" s="49">
        <v>0.1</v>
      </c>
      <c r="R6" s="49">
        <v>0.1</v>
      </c>
      <c r="S6" s="49">
        <v>0.1</v>
      </c>
      <c r="T6" s="47"/>
      <c r="X6" s="47"/>
      <c r="Y6" s="112"/>
      <c r="Z6" s="48"/>
      <c r="AA6" s="48"/>
      <c r="AB6" s="48"/>
      <c r="AC6" s="48"/>
      <c r="AD6" s="48"/>
      <c r="AE6" s="47"/>
      <c r="AH6" s="47" t="str">
        <f ca="1">CELL("filename",'Co-PI Budget (4)'!$A$1)</f>
        <v>Z:\aGrant Proposal Team\Amy Jackson\2022.09.21 - Srikrishnan - SloanFoundation-BEE\[146733_Srikrishnan_BUD 3.1.xlsx]Co-PI Budget (4)</v>
      </c>
    </row>
    <row r="7" spans="1:47" x14ac:dyDescent="0.25">
      <c r="A7" s="47" t="s">
        <v>179</v>
      </c>
      <c r="B7" s="120" t="s">
        <v>175</v>
      </c>
      <c r="G7" s="129"/>
      <c r="L7" s="49" t="s">
        <v>149</v>
      </c>
      <c r="M7" s="49">
        <v>0.56999999999999995</v>
      </c>
      <c r="N7" s="49">
        <v>0.56999999999999995</v>
      </c>
      <c r="O7" s="49">
        <v>0.56999999999999995</v>
      </c>
      <c r="P7" s="49">
        <v>0.56999999999999995</v>
      </c>
      <c r="Q7" s="49">
        <v>0.56999999999999995</v>
      </c>
      <c r="R7" s="49">
        <v>0.56999999999999995</v>
      </c>
      <c r="S7" s="49">
        <v>0.56999999999999995</v>
      </c>
      <c r="T7" s="47"/>
      <c r="X7" s="47"/>
      <c r="Y7" s="112" t="s">
        <v>99</v>
      </c>
      <c r="Z7" s="135">
        <f>+B5</f>
        <v>44927</v>
      </c>
      <c r="AA7" s="135">
        <f>+Z8+1</f>
        <v>45292</v>
      </c>
      <c r="AB7" s="135">
        <f>+AA8+1</f>
        <v>45658</v>
      </c>
      <c r="AC7" s="135">
        <f>+AB8+1</f>
        <v>46023</v>
      </c>
      <c r="AD7" s="135">
        <f>+AC8+1</f>
        <v>46388</v>
      </c>
      <c r="AE7" s="47"/>
      <c r="AH7" s="47" t="str">
        <f ca="1">CELL("filename",'Co-PI Budget (5)'!$A$1)</f>
        <v>Z:\aGrant Proposal Team\Amy Jackson\2022.09.21 - Srikrishnan - SloanFoundation-BEE\[146733_Srikrishnan_BUD 3.1.xlsx]Co-PI Budget (5)</v>
      </c>
    </row>
    <row r="8" spans="1:47" x14ac:dyDescent="0.25">
      <c r="A8" s="47" t="s">
        <v>335</v>
      </c>
      <c r="B8" s="120" t="s">
        <v>112</v>
      </c>
      <c r="G8" s="129"/>
      <c r="L8" s="49" t="s">
        <v>95</v>
      </c>
      <c r="M8" s="49">
        <v>0.64</v>
      </c>
      <c r="N8" s="49">
        <v>0.64</v>
      </c>
      <c r="O8" s="49">
        <v>0.64</v>
      </c>
      <c r="P8" s="49">
        <v>0.64</v>
      </c>
      <c r="Q8" s="49">
        <v>0.64</v>
      </c>
      <c r="R8" s="49">
        <v>0.64</v>
      </c>
      <c r="S8" s="49">
        <v>0.64</v>
      </c>
      <c r="T8" s="50"/>
      <c r="X8" s="47"/>
      <c r="Y8" s="112" t="s">
        <v>100</v>
      </c>
      <c r="Z8" s="135">
        <f>DATE(YEAR(Z7), MONTH(Z7) + 12, DAY(Z7))-1</f>
        <v>45291</v>
      </c>
      <c r="AA8" s="135">
        <f>DATE(YEAR(AA7), MONTH(AA7) + 12, DAY(AA7))-1</f>
        <v>45657</v>
      </c>
      <c r="AB8" s="135">
        <f>DATE(YEAR(AB7), MONTH(AB7) + 12, DAY(AB7))-1</f>
        <v>46022</v>
      </c>
      <c r="AC8" s="135">
        <f>DATE(YEAR(AC7), MONTH(AC7) + 12, DAY(AC7))-1</f>
        <v>46387</v>
      </c>
      <c r="AD8" s="135">
        <f>DATE(YEAR(AD7), MONTH(AD7) + 12, DAY(AD7))-1</f>
        <v>46752</v>
      </c>
      <c r="AE8" s="47"/>
      <c r="AH8" s="47" t="str">
        <f ca="1">CELL("filename",'Co-PI Budget (6)'!$A$1)</f>
        <v>Z:\aGrant Proposal Team\Amy Jackson\2022.09.21 - Srikrishnan - SloanFoundation-BEE\[146733_Srikrishnan_BUD 3.1.xlsx]Co-PI Budget (6)</v>
      </c>
    </row>
    <row r="9" spans="1:47" x14ac:dyDescent="0.25">
      <c r="A9" s="402" t="str">
        <f>IF($B$8="No"," ","Select Cost Share Type:")</f>
        <v xml:space="preserve"> </v>
      </c>
      <c r="B9" s="120"/>
      <c r="E9" s="682"/>
      <c r="L9" s="49" t="s">
        <v>176</v>
      </c>
      <c r="M9" s="49">
        <v>0.37</v>
      </c>
      <c r="N9" s="49">
        <v>0.37</v>
      </c>
      <c r="O9" s="49">
        <v>0.37</v>
      </c>
      <c r="P9" s="49">
        <v>0.37</v>
      </c>
      <c r="Q9" s="49">
        <v>0.37</v>
      </c>
      <c r="R9" s="49">
        <v>0.37</v>
      </c>
      <c r="S9" s="49">
        <v>0.37</v>
      </c>
      <c r="T9" s="50"/>
      <c r="X9" s="47"/>
      <c r="Y9" s="112" t="s">
        <v>101</v>
      </c>
      <c r="Z9" s="48" t="str">
        <f>CONCATENATE(YEAR(DATE(YEAR(Z7),MONTH(Z7),1)),"-",YEAR(DATE(YEAR(Z8),MONTH(Z8),1)))</f>
        <v>2023-2023</v>
      </c>
      <c r="AA9" s="48" t="str">
        <f>CONCATENATE(YEAR(DATE(YEAR(AA7),MONTH(AA7),1)),"-",YEAR(DATE(YEAR(AA8),MONTH(AA8),1)))</f>
        <v>2024-2024</v>
      </c>
      <c r="AB9" s="48" t="str">
        <f>CONCATENATE(YEAR(DATE(YEAR(AB7),MONTH(AB7),1)),"-",YEAR(DATE(YEAR(AB8),MONTH(AB8),1)))</f>
        <v>2025-2025</v>
      </c>
      <c r="AC9" s="48" t="str">
        <f>CONCATENATE(YEAR(DATE(YEAR(AC7),MONTH(AC7),1)),"-",YEAR(DATE(YEAR(AC8),MONTH(AC8),1)))</f>
        <v>2026-2026</v>
      </c>
      <c r="AD9" s="48" t="str">
        <f>CONCATENATE(YEAR(DATE(YEAR(AD7),MONTH(AD7),1)),"-",YEAR(DATE(YEAR(AD8),MONTH(AD8),1)))</f>
        <v>2027-2027</v>
      </c>
      <c r="AE9" s="47"/>
      <c r="AH9" s="47" t="str">
        <f ca="1">CELL("filename",'Consortium 1'!$A$1)</f>
        <v>Z:\aGrant Proposal Team\Amy Jackson\2022.09.21 - Srikrishnan - SloanFoundation-BEE\[146733_Srikrishnan_BUD 3.1.xlsx]Consortium 1</v>
      </c>
    </row>
    <row r="10" spans="1:47" x14ac:dyDescent="0.25">
      <c r="A10" s="402" t="str">
        <f>IF(OR($B$9="% of Total funds",$B$9="% of Requested funds"),"Enter Percentage required:","")</f>
        <v/>
      </c>
      <c r="B10" s="683"/>
      <c r="E10" s="682"/>
      <c r="L10" s="49" t="s">
        <v>96</v>
      </c>
      <c r="M10" s="49">
        <v>0.26</v>
      </c>
      <c r="N10" s="49">
        <v>0.26</v>
      </c>
      <c r="O10" s="49">
        <v>0.26</v>
      </c>
      <c r="P10" s="49">
        <v>0.26</v>
      </c>
      <c r="Q10" s="49">
        <v>0.26</v>
      </c>
      <c r="R10" s="49">
        <v>0.26</v>
      </c>
      <c r="S10" s="49">
        <v>0.26</v>
      </c>
      <c r="T10" s="50"/>
      <c r="AH10" s="47" t="str">
        <f ca="1">CELL("filename",'Consortium 2'!$A$1)</f>
        <v>Z:\aGrant Proposal Team\Amy Jackson\2022.09.21 - Srikrishnan - SloanFoundation-BEE\[146733_Srikrishnan_BUD 3.1.xlsx]Consortium 2</v>
      </c>
    </row>
    <row r="11" spans="1:47" x14ac:dyDescent="0.25">
      <c r="A11" s="47" t="s">
        <v>117</v>
      </c>
      <c r="B11" s="120" t="s">
        <v>112</v>
      </c>
      <c r="L11" s="49" t="s">
        <v>151</v>
      </c>
      <c r="M11" s="49">
        <f>IF(OR($B$11="Yes",$B$13=" "),"",IF(AND($B$11="No",$B$12="TDC"),$B$13,IF(AND($B$11="No",$B$12="TFF"),ROUND(+$B$13/(1-$B$13),5),FALSE)))</f>
        <v>0.2</v>
      </c>
      <c r="N11" s="49">
        <f t="shared" ref="N11:S11" si="1">IF(OR($B$11="Yes",$B$13=" "),"",IF(AND($B$11="No",$B$12="TDC"),$B$13,IF(AND($B$11="No",$B$12="TFF"),ROUND(+$B$13/(1-$B$13),5),FALSE)))</f>
        <v>0.2</v>
      </c>
      <c r="O11" s="49">
        <f t="shared" si="1"/>
        <v>0.2</v>
      </c>
      <c r="P11" s="49">
        <f t="shared" si="1"/>
        <v>0.2</v>
      </c>
      <c r="Q11" s="49">
        <f t="shared" si="1"/>
        <v>0.2</v>
      </c>
      <c r="R11" s="49">
        <f t="shared" si="1"/>
        <v>0.2</v>
      </c>
      <c r="S11" s="49">
        <f t="shared" si="1"/>
        <v>0.2</v>
      </c>
      <c r="T11" s="50"/>
      <c r="Z11" s="47"/>
      <c r="AA11" s="47"/>
      <c r="AB11" s="47"/>
      <c r="AC11" s="47"/>
      <c r="AD11" s="47"/>
      <c r="AE11" s="47"/>
      <c r="AF11" s="47"/>
      <c r="AG11" s="47"/>
      <c r="AH11" s="47" t="str">
        <f ca="1">CELL("filename",'Consortium 3'!$A$1)</f>
        <v>Z:\aGrant Proposal Team\Amy Jackson\2022.09.21 - Srikrishnan - SloanFoundation-BEE\[146733_Srikrishnan_BUD 3.1.xlsx]Consortium 3</v>
      </c>
    </row>
    <row r="12" spans="1:47" x14ac:dyDescent="0.25">
      <c r="A12" s="47" t="str">
        <f>IF($B$11="Yes"," ",IF($B$11="No","Select Percentage Base TDC or TFF:",FALSE))</f>
        <v>Select Percentage Base TDC or TFF:</v>
      </c>
      <c r="B12" s="404" t="s">
        <v>173</v>
      </c>
      <c r="C12" s="402" t="str">
        <f>IF($B$11="Yes"," ",IF($B$11="No","Total Direct Costs (TDC) or Total Federal Funds (TFF)",FALSE))</f>
        <v>Total Direct Costs (TDC) or Total Federal Funds (TFF)</v>
      </c>
      <c r="H12" s="129"/>
      <c r="L12" s="49"/>
      <c r="T12" s="50"/>
      <c r="Z12" s="47"/>
      <c r="AA12" s="47"/>
      <c r="AB12" s="47"/>
      <c r="AC12" s="47"/>
      <c r="AD12" s="47"/>
      <c r="AE12" s="47"/>
      <c r="AF12" s="47"/>
      <c r="AG12" s="47"/>
      <c r="AH12" s="47" t="str">
        <f ca="1">CELL("filename",'Consortium 4'!$A$1)</f>
        <v>Z:\aGrant Proposal Team\Amy Jackson\2022.09.21 - Srikrishnan - SloanFoundation-BEE\[146733_Srikrishnan_BUD 3.1.xlsx]Consortium 4</v>
      </c>
    </row>
    <row r="13" spans="1:47" x14ac:dyDescent="0.25">
      <c r="A13" s="47" t="str">
        <f>IF($B$12="TDC","Enter % to be applied to Total Direct Costs",IF($B$12="TFF","Enter % of the total Federal funds allowed:"," "))</f>
        <v>Enter % to be applied to Total Direct Costs</v>
      </c>
      <c r="B13" s="321">
        <v>0.2</v>
      </c>
      <c r="C13" s="47" t="str">
        <f>IF(OR(B13=0,B13=" ")," ",IF(OR($B$12="TDC",$B$12=" ")," ",CONCATENATE("This limitation is equivalent to ",TEXT(ROUND(+$B$13/(1-$B$13),5),"0.000%")," of the total direct costs")))</f>
        <v xml:space="preserve"> </v>
      </c>
      <c r="D13" s="129"/>
      <c r="I13" s="129"/>
      <c r="L13" s="49" t="s">
        <v>202</v>
      </c>
      <c r="M13" s="483">
        <v>152775</v>
      </c>
      <c r="N13" s="629" t="s">
        <v>332</v>
      </c>
      <c r="O13" s="49"/>
      <c r="P13" s="49"/>
      <c r="Q13" s="49"/>
      <c r="R13" s="49"/>
      <c r="S13" s="49"/>
      <c r="T13" s="50"/>
      <c r="X13" s="112" t="s">
        <v>108</v>
      </c>
      <c r="Y13" s="47" t="s">
        <v>109</v>
      </c>
      <c r="Z13" s="47" t="s">
        <v>110</v>
      </c>
      <c r="AA13" s="47"/>
      <c r="AB13" s="47" t="s">
        <v>173</v>
      </c>
      <c r="AC13" s="47" t="s">
        <v>175</v>
      </c>
      <c r="AD13" s="47"/>
      <c r="AE13" s="47" t="s">
        <v>178</v>
      </c>
      <c r="AG13" s="47"/>
      <c r="AH13" s="47" t="str">
        <f ca="1">CELL("filename",'Consortium 5'!$A$1)</f>
        <v>Z:\aGrant Proposal Team\Amy Jackson\2022.09.21 - Srikrishnan - SloanFoundation-BEE\[146733_Srikrishnan_BUD 3.1.xlsx]Consortium 5</v>
      </c>
    </row>
    <row r="14" spans="1:47" x14ac:dyDescent="0.25">
      <c r="A14" s="47"/>
      <c r="B14" s="47"/>
      <c r="C14" s="47"/>
      <c r="D14" s="47"/>
      <c r="E14" s="47"/>
      <c r="F14" s="129"/>
      <c r="I14" s="47"/>
      <c r="J14" s="120"/>
      <c r="L14" s="49" t="s">
        <v>203</v>
      </c>
      <c r="M14" s="483">
        <v>203700</v>
      </c>
      <c r="N14" s="629"/>
      <c r="O14" s="49"/>
      <c r="P14" s="49"/>
      <c r="Q14" s="49"/>
      <c r="R14" s="49"/>
      <c r="S14" s="49"/>
      <c r="T14" s="50"/>
      <c r="X14" s="112" t="s">
        <v>111</v>
      </c>
      <c r="Y14" s="47" t="s">
        <v>112</v>
      </c>
      <c r="Z14" s="47" t="s">
        <v>113</v>
      </c>
      <c r="AA14" s="47"/>
      <c r="AB14" s="47" t="s">
        <v>174</v>
      </c>
      <c r="AC14" s="47" t="s">
        <v>29</v>
      </c>
      <c r="AD14" s="47"/>
      <c r="AE14" s="47" t="s">
        <v>177</v>
      </c>
      <c r="AG14" s="47"/>
      <c r="AH14" s="47" t="str">
        <f ca="1">CELL("filename",'Consortium 6'!$A$1)</f>
        <v>Z:\aGrant Proposal Team\Amy Jackson\2022.09.21 - Srikrishnan - SloanFoundation-BEE\[146733_Srikrishnan_BUD 3.1.xlsx]Consortium 6</v>
      </c>
    </row>
    <row r="15" spans="1:47" x14ac:dyDescent="0.25">
      <c r="A15" s="406" t="str">
        <f>IF($B$11="Yes"," ","Rate being applied to Total Direct Costs:")</f>
        <v>Rate being applied to Total Direct Costs:</v>
      </c>
      <c r="B15" s="405">
        <f>IF(OR($B$11="Yes",$B$13=" "),"",IF(AND($B$11="No",$B$12="TDC"),$B$13,IF(AND($B$11="No",$B$12="TFF"),ROUND(+$B$13/(1-$B$13),5),FALSE)))</f>
        <v>0.2</v>
      </c>
      <c r="C15" s="403"/>
      <c r="D15" s="407"/>
      <c r="I15" s="47"/>
      <c r="J15" s="120"/>
      <c r="L15" s="49" t="s">
        <v>331</v>
      </c>
      <c r="M15" s="483">
        <v>54840</v>
      </c>
      <c r="N15" s="628" t="s">
        <v>333</v>
      </c>
      <c r="R15" s="628" t="s">
        <v>483</v>
      </c>
      <c r="X15" s="82"/>
      <c r="AG15" s="47"/>
      <c r="AH15" s="47" t="str">
        <f ca="1">CELL("filename",'Consortium 7'!$A$1)</f>
        <v>Z:\aGrant Proposal Team\Amy Jackson\2022.09.21 - Srikrishnan - SloanFoundation-BEE\[146733_Srikrishnan_BUD 3.1.xlsx]Consortium 7</v>
      </c>
    </row>
    <row r="16" spans="1:47" x14ac:dyDescent="0.25">
      <c r="A16" s="627" t="str">
        <f>IF($B$12="TFF","Are we allowed to calculate IDC on subcontracts:"," ")</f>
        <v xml:space="preserve"> </v>
      </c>
      <c r="B16" s="321" t="str">
        <f>IF(AND(B11="no",B12="TFF"),"No"," ")</f>
        <v xml:space="preserve"> </v>
      </c>
      <c r="C16" s="321" t="str">
        <f>IF($B$16="No","If we ARE allowed to calculate IDC on subcontracts, change cell B16 to YES"," ")</f>
        <v xml:space="preserve"> </v>
      </c>
      <c r="D16" s="718"/>
      <c r="I16" s="47"/>
      <c r="J16" s="120"/>
      <c r="L16" s="49" t="s">
        <v>334</v>
      </c>
      <c r="M16" s="483">
        <v>51480</v>
      </c>
      <c r="N16" s="713" t="s">
        <v>451</v>
      </c>
      <c r="O16" s="49"/>
      <c r="P16" s="49"/>
      <c r="Q16" s="49"/>
      <c r="R16" s="49"/>
      <c r="S16" s="49"/>
      <c r="X16" s="112"/>
      <c r="Y16" s="47"/>
      <c r="Z16" s="47"/>
      <c r="AH16" s="47" t="str">
        <f ca="1">CELL("filename",'Consortium 8'!$A$1)</f>
        <v>Z:\aGrant Proposal Team\Amy Jackson\2022.09.21 - Srikrishnan - SloanFoundation-BEE\[146733_Srikrishnan_BUD 3.1.xlsx]Consortium 8</v>
      </c>
    </row>
    <row r="17" spans="1:34" x14ac:dyDescent="0.25">
      <c r="A17" s="47"/>
      <c r="B17" s="480" t="s">
        <v>292</v>
      </c>
      <c r="G17" s="47"/>
      <c r="L17" s="49" t="s">
        <v>339</v>
      </c>
      <c r="M17" s="697">
        <v>13.2</v>
      </c>
      <c r="N17" s="628" t="s">
        <v>452</v>
      </c>
      <c r="T17" s="50"/>
      <c r="Z17" s="47"/>
      <c r="AA17" s="47"/>
      <c r="AB17" s="47" t="s">
        <v>6</v>
      </c>
      <c r="AC17" s="47"/>
      <c r="AD17" s="47"/>
      <c r="AE17" s="47"/>
      <c r="AF17" s="47"/>
      <c r="AG17" s="47"/>
      <c r="AH17" s="47" t="str">
        <f ca="1">CELL("filename",'Consortium 9'!$A$1)</f>
        <v>Z:\aGrant Proposal Team\Amy Jackson\2022.09.21 - Srikrishnan - SloanFoundation-BEE\[146733_Srikrishnan_BUD 3.1.xlsx]Consortium 9</v>
      </c>
    </row>
    <row r="18" spans="1:34" x14ac:dyDescent="0.25">
      <c r="A18" s="264" t="str">
        <f t="shared" ref="A18:A24" ca="1" si="2">""&amp;MID(AH2,FIND("]",AH2)+1,25)</f>
        <v>Lead Budget</v>
      </c>
      <c r="B18" s="120" t="s">
        <v>488</v>
      </c>
      <c r="D18" s="698"/>
      <c r="E18" s="112" t="s">
        <v>416</v>
      </c>
      <c r="F18" s="726" t="s">
        <v>453</v>
      </c>
      <c r="G18" s="727"/>
      <c r="H18" s="727"/>
      <c r="I18" s="727"/>
      <c r="J18" s="727"/>
      <c r="L18" s="49" t="s">
        <v>450</v>
      </c>
      <c r="M18" s="697">
        <v>13.2</v>
      </c>
      <c r="N18" s="628" t="s">
        <v>449</v>
      </c>
      <c r="T18" s="50"/>
      <c r="AH18" s="47" t="str">
        <f ca="1">CELL("filename",'Consortium 10'!$A$1)</f>
        <v>Z:\aGrant Proposal Team\Amy Jackson\2022.09.21 - Srikrishnan - SloanFoundation-BEE\[146733_Srikrishnan_BUD 3.1.xlsx]Consortium 10</v>
      </c>
    </row>
    <row r="19" spans="1:34" x14ac:dyDescent="0.25">
      <c r="A19" s="259" t="str">
        <f t="shared" ca="1" si="2"/>
        <v>Stedman</v>
      </c>
      <c r="B19" s="120" t="s">
        <v>489</v>
      </c>
      <c r="D19" s="82"/>
      <c r="L19" s="49" t="s">
        <v>445</v>
      </c>
      <c r="M19" s="483">
        <v>172500</v>
      </c>
    </row>
    <row r="20" spans="1:34" x14ac:dyDescent="0.25">
      <c r="A20" s="258" t="str">
        <f t="shared" ca="1" si="2"/>
        <v>Co PI 2</v>
      </c>
      <c r="B20" s="120" t="s">
        <v>61</v>
      </c>
      <c r="D20" s="82"/>
      <c r="E20" s="379"/>
    </row>
    <row r="21" spans="1:34" x14ac:dyDescent="0.25">
      <c r="A21" s="260" t="str">
        <f t="shared" ca="1" si="2"/>
        <v>Co PI 3</v>
      </c>
      <c r="B21" s="120" t="s">
        <v>61</v>
      </c>
      <c r="D21" s="82"/>
      <c r="L21" s="602" t="s">
        <v>283</v>
      </c>
      <c r="T21" s="50"/>
      <c r="Z21" s="47"/>
      <c r="AA21" s="47"/>
      <c r="AB21" s="47"/>
      <c r="AC21" s="47"/>
      <c r="AD21" s="47"/>
      <c r="AE21" s="47"/>
      <c r="AF21" s="47"/>
      <c r="AG21" s="47"/>
    </row>
    <row r="22" spans="1:34" x14ac:dyDescent="0.25">
      <c r="A22" s="261" t="str">
        <f t="shared" ca="1" si="2"/>
        <v>Co-PI Budget (4)</v>
      </c>
      <c r="B22" s="120" t="s">
        <v>61</v>
      </c>
      <c r="D22" s="82"/>
      <c r="L22" s="602" t="s">
        <v>486</v>
      </c>
      <c r="T22" s="50"/>
    </row>
    <row r="23" spans="1:34" x14ac:dyDescent="0.25">
      <c r="A23" s="257" t="str">
        <f t="shared" ca="1" si="2"/>
        <v>Co-PI Budget (5)</v>
      </c>
      <c r="B23" s="120" t="s">
        <v>61</v>
      </c>
      <c r="D23" s="82"/>
      <c r="T23" s="50"/>
    </row>
    <row r="24" spans="1:34" x14ac:dyDescent="0.25">
      <c r="A24" s="651" t="str">
        <f t="shared" ca="1" si="2"/>
        <v>Co-PI Budget (6)</v>
      </c>
      <c r="B24" s="120" t="s">
        <v>61</v>
      </c>
      <c r="D24" s="82"/>
      <c r="T24" s="50"/>
    </row>
    <row r="25" spans="1:34" ht="20.25" x14ac:dyDescent="0.3">
      <c r="L25" s="64" t="s">
        <v>87</v>
      </c>
      <c r="M25" s="51"/>
      <c r="N25" s="52"/>
      <c r="O25" s="51"/>
      <c r="P25" s="52"/>
      <c r="Q25" s="53"/>
      <c r="T25" s="50"/>
      <c r="AD25" s="47"/>
      <c r="AF25" s="47"/>
      <c r="AG25" s="47"/>
      <c r="AH25" s="47"/>
    </row>
    <row r="26" spans="1:34" x14ac:dyDescent="0.25">
      <c r="A26" s="322" t="str">
        <f ca="1">+A18</f>
        <v>Lead Budget</v>
      </c>
      <c r="M26" s="112" t="str">
        <f t="shared" ref="M26:S26" si="3">CONCATENATE("Fall ",RIGHT(M29,4)-"1")</f>
        <v>Fall 2022</v>
      </c>
      <c r="N26" s="112" t="str">
        <f t="shared" si="3"/>
        <v>Fall 2023</v>
      </c>
      <c r="O26" s="112" t="str">
        <f t="shared" si="3"/>
        <v>Fall 2024</v>
      </c>
      <c r="P26" s="112" t="str">
        <f t="shared" si="3"/>
        <v>Fall 2025</v>
      </c>
      <c r="Q26" s="112" t="str">
        <f t="shared" si="3"/>
        <v>Fall 2026</v>
      </c>
      <c r="R26" s="112" t="str">
        <f t="shared" si="3"/>
        <v>Fall 2027</v>
      </c>
      <c r="S26" s="112" t="str">
        <f t="shared" si="3"/>
        <v>Fall 2028</v>
      </c>
      <c r="T26" s="50"/>
    </row>
    <row r="27" spans="1:34" x14ac:dyDescent="0.25">
      <c r="A27" s="255" t="s">
        <v>54</v>
      </c>
      <c r="B27" s="339" t="str">
        <f>+B18</f>
        <v>Vivek Srikrishnan</v>
      </c>
      <c r="C27" s="266"/>
      <c r="D27" s="266"/>
      <c r="E27" s="266"/>
      <c r="F27" s="266"/>
      <c r="G27" s="266"/>
      <c r="H27" s="266"/>
      <c r="I27" s="266"/>
      <c r="J27" s="266"/>
      <c r="L27" s="49"/>
      <c r="M27" s="112" t="str">
        <f t="shared" ref="M27:S27" si="4">CONCATENATE("Spring ",RIGHT(M29,4))</f>
        <v>Spring 2023</v>
      </c>
      <c r="N27" s="112" t="str">
        <f t="shared" si="4"/>
        <v>Spring 2024</v>
      </c>
      <c r="O27" s="112" t="str">
        <f t="shared" si="4"/>
        <v>Spring 2025</v>
      </c>
      <c r="P27" s="112" t="str">
        <f t="shared" si="4"/>
        <v>Spring 2026</v>
      </c>
      <c r="Q27" s="112" t="str">
        <f t="shared" si="4"/>
        <v>Spring 2027</v>
      </c>
      <c r="R27" s="112" t="str">
        <f t="shared" si="4"/>
        <v>Spring 2028</v>
      </c>
      <c r="S27" s="112" t="str">
        <f t="shared" si="4"/>
        <v>Spring 2029</v>
      </c>
      <c r="T27" s="50"/>
    </row>
    <row r="28" spans="1:34" x14ac:dyDescent="0.25">
      <c r="A28" s="255" t="s">
        <v>57</v>
      </c>
      <c r="B28" s="256" t="s">
        <v>493</v>
      </c>
      <c r="C28" s="266"/>
      <c r="D28" s="266"/>
      <c r="E28" s="266"/>
      <c r="F28" s="266"/>
      <c r="G28" s="266"/>
      <c r="H28" s="266"/>
      <c r="I28" s="266"/>
      <c r="J28" s="266"/>
      <c r="L28" s="49"/>
      <c r="M28" s="112" t="str">
        <f t="shared" ref="M28:S28" si="5">CONCATENATE("Summer ",RIGHT(M29,4))</f>
        <v>Summer 2023</v>
      </c>
      <c r="N28" s="112" t="str">
        <f t="shared" si="5"/>
        <v>Summer 2024</v>
      </c>
      <c r="O28" s="112" t="str">
        <f t="shared" si="5"/>
        <v>Summer 2025</v>
      </c>
      <c r="P28" s="112" t="str">
        <f t="shared" si="5"/>
        <v>Summer 2026</v>
      </c>
      <c r="Q28" s="112" t="str">
        <f t="shared" si="5"/>
        <v>Summer 2027</v>
      </c>
      <c r="R28" s="112" t="str">
        <f t="shared" si="5"/>
        <v>Summer 2028</v>
      </c>
      <c r="S28" s="112" t="str">
        <f t="shared" si="5"/>
        <v>Summer 2029</v>
      </c>
      <c r="T28" s="50"/>
    </row>
    <row r="29" spans="1:34" x14ac:dyDescent="0.25">
      <c r="A29" s="255" t="s">
        <v>57</v>
      </c>
      <c r="B29" s="256" t="s">
        <v>61</v>
      </c>
      <c r="C29" s="266"/>
      <c r="D29" s="282"/>
      <c r="E29" s="283"/>
      <c r="F29" s="283"/>
      <c r="G29" s="284"/>
      <c r="H29" s="284"/>
      <c r="I29" s="266"/>
      <c r="J29" s="266"/>
      <c r="L29" s="49"/>
      <c r="M29" s="122" t="str">
        <f t="shared" ref="M29:S29" si="6">+M2</f>
        <v>FY2023</v>
      </c>
      <c r="N29" s="122" t="str">
        <f t="shared" si="6"/>
        <v>FY2024</v>
      </c>
      <c r="O29" s="122" t="str">
        <f t="shared" si="6"/>
        <v>FY2025</v>
      </c>
      <c r="P29" s="122" t="str">
        <f t="shared" si="6"/>
        <v>FY2026</v>
      </c>
      <c r="Q29" s="122" t="str">
        <f t="shared" si="6"/>
        <v>FY2027</v>
      </c>
      <c r="R29" s="122" t="str">
        <f t="shared" si="6"/>
        <v>FY2028</v>
      </c>
      <c r="S29" s="122" t="str">
        <f t="shared" si="6"/>
        <v>FY2029</v>
      </c>
      <c r="T29" s="123" t="s">
        <v>119</v>
      </c>
    </row>
    <row r="30" spans="1:34" x14ac:dyDescent="0.25">
      <c r="A30" s="255" t="s">
        <v>138</v>
      </c>
      <c r="B30" s="309" t="s">
        <v>110</v>
      </c>
      <c r="C30" s="266"/>
      <c r="D30" s="282"/>
      <c r="E30" s="283"/>
      <c r="F30" s="283"/>
      <c r="G30" s="284"/>
      <c r="H30" s="284"/>
      <c r="I30" s="266"/>
      <c r="J30" s="266"/>
      <c r="L30" s="54" t="s">
        <v>35</v>
      </c>
      <c r="M30" s="110">
        <v>30088</v>
      </c>
      <c r="N30" s="110">
        <f t="shared" ref="N30:S30" si="7">ROUND(M30*(1+$T30),0)</f>
        <v>31592</v>
      </c>
      <c r="O30" s="110">
        <f t="shared" si="7"/>
        <v>33172</v>
      </c>
      <c r="P30" s="110">
        <f t="shared" si="7"/>
        <v>34831</v>
      </c>
      <c r="Q30" s="110">
        <f t="shared" si="7"/>
        <v>36573</v>
      </c>
      <c r="R30" s="110">
        <f t="shared" si="7"/>
        <v>38402</v>
      </c>
      <c r="S30" s="110">
        <f t="shared" si="7"/>
        <v>40322</v>
      </c>
      <c r="T30" s="55">
        <v>0.05</v>
      </c>
    </row>
    <row r="31" spans="1:34" x14ac:dyDescent="0.25">
      <c r="A31" s="255" t="s">
        <v>180</v>
      </c>
      <c r="B31" s="309" t="s">
        <v>178</v>
      </c>
      <c r="C31" s="266"/>
      <c r="D31" s="282"/>
      <c r="E31" s="283"/>
      <c r="F31" s="283"/>
      <c r="G31" s="284"/>
      <c r="H31" s="284"/>
      <c r="I31" s="266"/>
      <c r="J31" s="266"/>
      <c r="L31" s="54" t="s">
        <v>23</v>
      </c>
      <c r="M31" s="110">
        <v>10029</v>
      </c>
      <c r="N31" s="110">
        <f t="shared" ref="N31:S31" si="8">ROUND(M31*(1+$T31),0)</f>
        <v>10530</v>
      </c>
      <c r="O31" s="110">
        <f t="shared" si="8"/>
        <v>11057</v>
      </c>
      <c r="P31" s="110">
        <f t="shared" si="8"/>
        <v>11610</v>
      </c>
      <c r="Q31" s="110">
        <f t="shared" si="8"/>
        <v>12191</v>
      </c>
      <c r="R31" s="110">
        <f t="shared" si="8"/>
        <v>12801</v>
      </c>
      <c r="S31" s="110">
        <f t="shared" si="8"/>
        <v>13441</v>
      </c>
      <c r="T31" s="97">
        <v>0.05</v>
      </c>
    </row>
    <row r="32" spans="1:34" ht="15.75" customHeight="1" x14ac:dyDescent="0.25">
      <c r="A32" s="266"/>
      <c r="B32" s="266"/>
      <c r="C32" s="266"/>
      <c r="D32" s="266"/>
      <c r="E32" s="266"/>
      <c r="F32" s="266"/>
      <c r="G32" s="266"/>
      <c r="H32" s="266"/>
      <c r="I32" s="266"/>
      <c r="J32" s="266"/>
      <c r="L32" s="54" t="s">
        <v>30</v>
      </c>
      <c r="M32" s="110">
        <f t="shared" ref="M32:N32" si="9">+M30+M31</f>
        <v>40117</v>
      </c>
      <c r="N32" s="110">
        <f t="shared" si="9"/>
        <v>42122</v>
      </c>
      <c r="O32" s="110">
        <f t="shared" ref="O32:S32" si="10">+O30+O31</f>
        <v>44229</v>
      </c>
      <c r="P32" s="110">
        <f t="shared" si="10"/>
        <v>46441</v>
      </c>
      <c r="Q32" s="110">
        <f t="shared" si="10"/>
        <v>48764</v>
      </c>
      <c r="R32" s="110">
        <f t="shared" si="10"/>
        <v>51203</v>
      </c>
      <c r="S32" s="110">
        <f t="shared" si="10"/>
        <v>53763</v>
      </c>
      <c r="T32" s="55"/>
    </row>
    <row r="33" spans="1:20" x14ac:dyDescent="0.25">
      <c r="A33" s="255" t="s">
        <v>115</v>
      </c>
      <c r="B33" s="309" t="str">
        <f>IF(B30="Contract College","Contract College","Endowed College")</f>
        <v>Contract College</v>
      </c>
      <c r="C33" s="266"/>
      <c r="D33" s="266"/>
      <c r="E33" s="266"/>
      <c r="F33" s="266"/>
      <c r="G33" s="266"/>
      <c r="H33" s="266"/>
      <c r="I33" s="266"/>
      <c r="J33" s="266"/>
      <c r="L33" s="54" t="s">
        <v>139</v>
      </c>
      <c r="M33" s="110">
        <v>10400</v>
      </c>
      <c r="N33" s="110">
        <f t="shared" ref="N33:S35" si="11">ROUND(M33*(1+$T33),0)</f>
        <v>10400</v>
      </c>
      <c r="O33" s="110">
        <f t="shared" si="11"/>
        <v>10400</v>
      </c>
      <c r="P33" s="110">
        <f t="shared" si="11"/>
        <v>10400</v>
      </c>
      <c r="Q33" s="110">
        <f t="shared" si="11"/>
        <v>10400</v>
      </c>
      <c r="R33" s="110">
        <f t="shared" si="11"/>
        <v>10400</v>
      </c>
      <c r="S33" s="110">
        <f t="shared" si="11"/>
        <v>10400</v>
      </c>
      <c r="T33" s="55">
        <v>0</v>
      </c>
    </row>
    <row r="34" spans="1:20" x14ac:dyDescent="0.25">
      <c r="A34" s="255" t="s">
        <v>116</v>
      </c>
      <c r="B34" s="309" t="str">
        <f>IF(B33="Contract College","Contract College","Endowed College")</f>
        <v>Contract College</v>
      </c>
      <c r="C34" s="266"/>
      <c r="D34" s="266"/>
      <c r="E34" s="266"/>
      <c r="F34" s="266"/>
      <c r="G34" s="266"/>
      <c r="H34" s="266"/>
      <c r="I34" s="266"/>
      <c r="J34" s="284"/>
      <c r="L34" s="54" t="s">
        <v>140</v>
      </c>
      <c r="M34" s="110">
        <v>14750</v>
      </c>
      <c r="N34" s="110">
        <f t="shared" si="11"/>
        <v>14750</v>
      </c>
      <c r="O34" s="110">
        <f t="shared" si="11"/>
        <v>14750</v>
      </c>
      <c r="P34" s="110">
        <f t="shared" si="11"/>
        <v>14750</v>
      </c>
      <c r="Q34" s="110">
        <f t="shared" si="11"/>
        <v>14750</v>
      </c>
      <c r="R34" s="110">
        <f t="shared" si="11"/>
        <v>14750</v>
      </c>
      <c r="S34" s="110">
        <f t="shared" si="11"/>
        <v>14750</v>
      </c>
      <c r="T34" s="55">
        <v>0</v>
      </c>
    </row>
    <row r="35" spans="1:20" x14ac:dyDescent="0.25">
      <c r="A35" s="266"/>
      <c r="B35" s="266"/>
      <c r="C35" s="266"/>
      <c r="D35" s="266"/>
      <c r="E35" s="266"/>
      <c r="F35" s="266"/>
      <c r="G35" s="266"/>
      <c r="H35" s="266"/>
      <c r="I35" s="266"/>
      <c r="J35" s="284"/>
      <c r="L35" s="54" t="s">
        <v>24</v>
      </c>
      <c r="M35" s="110">
        <f>3612+434</f>
        <v>4046</v>
      </c>
      <c r="N35" s="110">
        <f t="shared" si="11"/>
        <v>4451</v>
      </c>
      <c r="O35" s="110">
        <f t="shared" si="11"/>
        <v>4896</v>
      </c>
      <c r="P35" s="110">
        <f t="shared" si="11"/>
        <v>5386</v>
      </c>
      <c r="Q35" s="110">
        <f t="shared" si="11"/>
        <v>5925</v>
      </c>
      <c r="R35" s="110">
        <f t="shared" si="11"/>
        <v>6518</v>
      </c>
      <c r="S35" s="110">
        <f t="shared" si="11"/>
        <v>7170</v>
      </c>
      <c r="T35" s="55">
        <v>0.1</v>
      </c>
    </row>
    <row r="36" spans="1:20" x14ac:dyDescent="0.25">
      <c r="A36" s="255" t="s">
        <v>118</v>
      </c>
      <c r="B36" s="285" t="str">
        <f>+Z4</f>
        <v>FY2023</v>
      </c>
      <c r="C36" s="285" t="str">
        <f>+AA4</f>
        <v>FY2024</v>
      </c>
      <c r="D36" s="285" t="str">
        <f>+AB4</f>
        <v>FY2025</v>
      </c>
      <c r="E36" s="285" t="str">
        <f>+AC4</f>
        <v>FY2026</v>
      </c>
      <c r="F36" s="285" t="str">
        <f>+AD4</f>
        <v>FY2027</v>
      </c>
      <c r="G36" s="285" t="str">
        <f>CONCATENATE("FY",$Y$3+5)</f>
        <v>FY2028</v>
      </c>
      <c r="H36" s="284"/>
      <c r="I36" s="266"/>
      <c r="J36" s="284"/>
      <c r="M36" s="418"/>
      <c r="N36" s="110"/>
    </row>
    <row r="37" spans="1:20" x14ac:dyDescent="0.25">
      <c r="A37" s="255" t="str">
        <f>IF(AND(B30="Contract College",B$6="Federal"),"   Contract (Federal) - Senior Personnel",IF(AND(B30="Contract College",B$6="Non-federal"),"   Contract (Non-federal) - Senior Personnel","   Endowed - Senior Personnel"))</f>
        <v xml:space="preserve">   Contract (Federal) - Senior Personnel</v>
      </c>
      <c r="B37" s="255">
        <f t="shared" ref="B37:G37" si="12">IF(AND($B30="Contract College",$B$6="Federal"),HLOOKUP(B36,$M$2:$S$11,2,FALSE),IF(AND($B$30="Contract College",$B$6="Non-Federal"),HLOOKUP(B36,$M$2:$S$11,3,FALSE),HLOOKUP(B36,$M$2:$S$11,4,FALSE)))</f>
        <v>0.68300000000000005</v>
      </c>
      <c r="C37" s="255">
        <f t="shared" si="12"/>
        <v>0.68300000000000005</v>
      </c>
      <c r="D37" s="255">
        <f t="shared" si="12"/>
        <v>0.68300000000000005</v>
      </c>
      <c r="E37" s="255">
        <f t="shared" si="12"/>
        <v>0.68300000000000005</v>
      </c>
      <c r="F37" s="255">
        <f t="shared" si="12"/>
        <v>0.68300000000000005</v>
      </c>
      <c r="G37" s="255">
        <f t="shared" si="12"/>
        <v>0.68300000000000005</v>
      </c>
      <c r="H37" s="284"/>
      <c r="I37" s="266"/>
      <c r="J37" s="284"/>
      <c r="M37" s="418"/>
      <c r="N37" s="417"/>
    </row>
    <row r="38" spans="1:20" x14ac:dyDescent="0.25">
      <c r="A38" s="255" t="str">
        <f>IF(AND(B$6="Federal",B33="Contract College"),"   Contract (Federal) - Post Doc",IF(AND(B$6="Non-federal",B33="Contract College"),"   Contract (Non-federal) - Post Doc","   Endowed - Post Doc"))</f>
        <v xml:space="preserve">   Contract (Federal) - Post Doc</v>
      </c>
      <c r="B38" s="255">
        <f t="shared" ref="B38:G39" si="13">IF($B33="Endowed College",HLOOKUP(B$36,$M$2:$S$11,4,FALSE),IF($B$6="Federal",HLOOKUP(B$36,$M$2:$S$11,2,FALSE),IF($B$6="Non-Federal",HLOOKUP(B$36,$M$2:$S$11,3,FALSE))))</f>
        <v>0.68300000000000005</v>
      </c>
      <c r="C38" s="255">
        <f t="shared" si="13"/>
        <v>0.68300000000000005</v>
      </c>
      <c r="D38" s="255">
        <f t="shared" si="13"/>
        <v>0.68300000000000005</v>
      </c>
      <c r="E38" s="255">
        <f t="shared" si="13"/>
        <v>0.68300000000000005</v>
      </c>
      <c r="F38" s="255">
        <f t="shared" si="13"/>
        <v>0.68300000000000005</v>
      </c>
      <c r="G38" s="255">
        <f t="shared" si="13"/>
        <v>0.68300000000000005</v>
      </c>
      <c r="H38" s="284"/>
      <c r="I38" s="266"/>
      <c r="J38" s="284"/>
    </row>
    <row r="39" spans="1:20" x14ac:dyDescent="0.25">
      <c r="A39" s="255" t="str">
        <f>IF(AND(B$6="Federal",B34="Contract College"),"   Contract (Federal) - Other Employee",IF(AND(B$6="Non-federal",B34="Contract College"),"   Contract (Non-federal) - Other Empolyee","   Endowed - Other Employee"))</f>
        <v xml:space="preserve">   Contract (Federal) - Other Employee</v>
      </c>
      <c r="B39" s="255">
        <f t="shared" si="13"/>
        <v>0.68300000000000005</v>
      </c>
      <c r="C39" s="255">
        <f t="shared" si="13"/>
        <v>0.68300000000000005</v>
      </c>
      <c r="D39" s="255">
        <f t="shared" si="13"/>
        <v>0.68300000000000005</v>
      </c>
      <c r="E39" s="255">
        <f t="shared" si="13"/>
        <v>0.68300000000000005</v>
      </c>
      <c r="F39" s="255">
        <f t="shared" si="13"/>
        <v>0.68300000000000005</v>
      </c>
      <c r="G39" s="255">
        <f t="shared" si="13"/>
        <v>0.68300000000000005</v>
      </c>
      <c r="H39" s="284"/>
      <c r="I39" s="266"/>
      <c r="J39" s="284"/>
      <c r="L39" s="66" t="s">
        <v>125</v>
      </c>
      <c r="M39" s="48" t="s">
        <v>36</v>
      </c>
      <c r="N39" s="48" t="s">
        <v>56</v>
      </c>
      <c r="O39" s="47"/>
    </row>
    <row r="40" spans="1:20" x14ac:dyDescent="0.25">
      <c r="A40" s="255" t="s">
        <v>320</v>
      </c>
      <c r="B40" s="255">
        <f t="shared" ref="B40:G40" si="14">HLOOKUP(B$36,$M$2:$S$11,5,FALSE)</f>
        <v>0.1</v>
      </c>
      <c r="C40" s="255">
        <f t="shared" si="14"/>
        <v>0.1</v>
      </c>
      <c r="D40" s="255">
        <f t="shared" si="14"/>
        <v>0.1</v>
      </c>
      <c r="E40" s="255">
        <f t="shared" si="14"/>
        <v>0.1</v>
      </c>
      <c r="F40" s="255">
        <f t="shared" si="14"/>
        <v>0.1</v>
      </c>
      <c r="G40" s="255">
        <f t="shared" si="14"/>
        <v>0.1</v>
      </c>
      <c r="H40" s="284"/>
      <c r="I40" s="266"/>
      <c r="J40" s="284"/>
      <c r="L40" s="66"/>
      <c r="M40" s="48"/>
      <c r="N40" s="48"/>
      <c r="O40" s="47"/>
    </row>
    <row r="41" spans="1:20" x14ac:dyDescent="0.25">
      <c r="A41" s="255" t="str">
        <f>CONCATENATE("Cornell IDC Rate - ",B30)</f>
        <v>Cornell IDC Rate - Contract College</v>
      </c>
      <c r="B41" s="255">
        <f>IF($B31="Off",(HLOOKUP(B$36,$M$2:$S$11,9,FALSE)),IF(AND($B$7="Other",$B31="On"),(HLOOKUP(B$36,$M$2:$S$11,8,FALSE)),IF(AND($B31="On",$B30="Contract College",$B$7="Research"),(HLOOKUP(B$36,$M$2:$S$11,6,FALSE)),(HLOOKUP(B$36,$M$2:$S$11,7,FALSE)))))</f>
        <v>0.56999999999999995</v>
      </c>
      <c r="C41" s="255">
        <f t="shared" ref="C41:G41" si="15">IF($B31="Off",(HLOOKUP(C$36,$M$2:$S$11,9,FALSE)),IF(AND($B$7="Other",$B31="On"),(HLOOKUP(C$36,$M$2:$S$11,8,FALSE)),IF(AND($B31="On",$B30="Contract College",$B$7="Research"),(HLOOKUP(C$36,$M$2:$S$11,6,FALSE)),(HLOOKUP(C$36,$M$2:$S$11,7,FALSE)))))</f>
        <v>0.56999999999999995</v>
      </c>
      <c r="D41" s="255">
        <f t="shared" si="15"/>
        <v>0.56999999999999995</v>
      </c>
      <c r="E41" s="255">
        <f t="shared" si="15"/>
        <v>0.56999999999999995</v>
      </c>
      <c r="F41" s="255">
        <f t="shared" si="15"/>
        <v>0.56999999999999995</v>
      </c>
      <c r="G41" s="255">
        <f t="shared" si="15"/>
        <v>0.56999999999999995</v>
      </c>
      <c r="H41" s="284"/>
      <c r="I41" s="266"/>
      <c r="J41" s="284"/>
      <c r="L41" s="65" t="s">
        <v>51</v>
      </c>
      <c r="M41" s="57">
        <f>DATEDIF(B5,(DATE((YEAR(DATE(YEAR(B5),MONTH(B5)+6,1))),6,30)),"m")+1</f>
        <v>6</v>
      </c>
      <c r="N41" s="49">
        <f>+M41/M43</f>
        <v>0.5</v>
      </c>
      <c r="O41" s="47"/>
      <c r="Q41" s="129"/>
    </row>
    <row r="42" spans="1:20" x14ac:dyDescent="0.25">
      <c r="A42" s="255" t="str">
        <f>IF($B$11="Yes","","Rate Allowed by Sponsor:")</f>
        <v>Rate Allowed by Sponsor:</v>
      </c>
      <c r="B42" s="285">
        <f t="shared" ref="B42:G42" si="16">IF($B$11="Yes","",IF($B$11="No",HLOOKUP(B$36,$M$2:$S$11,10,FALSE),(HLOOKUP(B$36,$M$2:$S$11,10,FALSE))))</f>
        <v>0.2</v>
      </c>
      <c r="C42" s="285">
        <f t="shared" si="16"/>
        <v>0.2</v>
      </c>
      <c r="D42" s="285">
        <f t="shared" si="16"/>
        <v>0.2</v>
      </c>
      <c r="E42" s="285">
        <f t="shared" si="16"/>
        <v>0.2</v>
      </c>
      <c r="F42" s="285">
        <f t="shared" si="16"/>
        <v>0.2</v>
      </c>
      <c r="G42" s="285">
        <f t="shared" si="16"/>
        <v>0.2</v>
      </c>
      <c r="H42" s="283"/>
      <c r="I42" s="283"/>
      <c r="J42" s="283"/>
      <c r="L42" s="65" t="s">
        <v>52</v>
      </c>
      <c r="M42" s="57">
        <f>12-M41</f>
        <v>6</v>
      </c>
      <c r="N42" s="49">
        <f>+M42/M43</f>
        <v>0.5</v>
      </c>
      <c r="O42" s="47"/>
    </row>
    <row r="43" spans="1:20" x14ac:dyDescent="0.25">
      <c r="B43" s="407"/>
      <c r="C43" s="82"/>
      <c r="D43" s="82"/>
      <c r="E43" s="82"/>
      <c r="F43" s="82"/>
      <c r="G43" s="82"/>
      <c r="M43" s="49">
        <f>SUM(M41:M42)</f>
        <v>12</v>
      </c>
      <c r="N43" s="49" t="s">
        <v>97</v>
      </c>
    </row>
    <row r="44" spans="1:20" ht="20.25" x14ac:dyDescent="0.3">
      <c r="A44" s="64" t="s">
        <v>59</v>
      </c>
      <c r="C44" s="113"/>
      <c r="D44" s="113"/>
      <c r="E44" s="113"/>
      <c r="F44" s="113"/>
      <c r="G44" s="113"/>
      <c r="H44" s="113"/>
    </row>
    <row r="45" spans="1:20" ht="15.75" x14ac:dyDescent="0.25">
      <c r="A45" s="114" t="s">
        <v>102</v>
      </c>
      <c r="B45" s="115" t="str">
        <f t="shared" ref="B45:H45" si="17">IF(B48=$Z$5,$Z$9,IF(B48=$AA$5,$AA$9,IF(B48=$AB$5,$AB$9,IF(B48=$AC$5,$AC$9,IF(B48=$AD$5,$AD$9," ")))))</f>
        <v xml:space="preserve"> </v>
      </c>
      <c r="C45" s="115" t="str">
        <f t="shared" si="17"/>
        <v>2023-2023</v>
      </c>
      <c r="D45" s="115" t="str">
        <f t="shared" si="17"/>
        <v>2024-2024</v>
      </c>
      <c r="E45" s="115" t="str">
        <f t="shared" si="17"/>
        <v>2025-2025</v>
      </c>
      <c r="F45" s="115" t="str">
        <f t="shared" si="17"/>
        <v>2026-2026</v>
      </c>
      <c r="G45" s="115" t="str">
        <f t="shared" si="17"/>
        <v>2027-2027</v>
      </c>
      <c r="H45" s="115" t="str">
        <f t="shared" si="17"/>
        <v xml:space="preserve"> </v>
      </c>
    </row>
    <row r="47" spans="1:20" x14ac:dyDescent="0.25">
      <c r="A47" s="262" t="str">
        <f>CONCATENATE("Calculation based on ",I49," month salary")</f>
        <v>Calculation based on 9 month salary</v>
      </c>
      <c r="B47" s="113" t="str">
        <f t="shared" ref="B47:H47" si="18">IF(AND(B48=$Z$5,$I49=9),$Z$3,IF(AND(B48=$AA$5,$I49=9),$AA$3,IF(AND(B48=$AB$5,$I49=9),$AB$3,IF(AND(B48=$AC$5,$I49=9),$AC$3,IF(AND(B48=$AD$5,$I49=9),$AD$3,IF(AND(B48=$Z$4,$I49=12),$Z$3,IF(AND(B48=$AA$4,$I49=12),$AA$3,IF(AND(B48=$AB$4,$I49=12),$AB$3,IF(AND(B48=$AC$4,$I49=12),$AC$3,IF(AND(B48=$AD$4,$I49=12),$AD$3," "))))))))))</f>
        <v xml:space="preserve"> </v>
      </c>
      <c r="C47" s="113" t="str">
        <f t="shared" si="18"/>
        <v>Year 1</v>
      </c>
      <c r="D47" s="113" t="str">
        <f t="shared" si="18"/>
        <v>Year 2</v>
      </c>
      <c r="E47" s="113" t="str">
        <f t="shared" si="18"/>
        <v>Year 3</v>
      </c>
      <c r="F47" s="113" t="str">
        <f t="shared" si="18"/>
        <v>Year 4</v>
      </c>
      <c r="G47" s="113" t="str">
        <f t="shared" si="18"/>
        <v>Year 5</v>
      </c>
      <c r="H47" s="113" t="str">
        <f t="shared" si="18"/>
        <v xml:space="preserve"> </v>
      </c>
    </row>
    <row r="48" spans="1:20" x14ac:dyDescent="0.25">
      <c r="A48" s="263" t="str">
        <f>+B27</f>
        <v>Vivek Srikrishnan</v>
      </c>
      <c r="B48" s="84" t="str">
        <f>+M$2</f>
        <v>FY2023</v>
      </c>
      <c r="C48" s="84" t="str">
        <f t="shared" ref="C48:H48" si="19">+N$2</f>
        <v>FY2024</v>
      </c>
      <c r="D48" s="84" t="str">
        <f t="shared" si="19"/>
        <v>FY2025</v>
      </c>
      <c r="E48" s="84" t="str">
        <f t="shared" si="19"/>
        <v>FY2026</v>
      </c>
      <c r="F48" s="84" t="str">
        <f t="shared" si="19"/>
        <v>FY2027</v>
      </c>
      <c r="G48" s="84" t="str">
        <f t="shared" si="19"/>
        <v>FY2028</v>
      </c>
      <c r="H48" s="84" t="str">
        <f t="shared" si="19"/>
        <v>FY2029</v>
      </c>
      <c r="I48" s="56" t="s">
        <v>20</v>
      </c>
      <c r="J48" s="100" t="s">
        <v>77</v>
      </c>
      <c r="K48" s="100"/>
    </row>
    <row r="49" spans="1:20" x14ac:dyDescent="0.25">
      <c r="A49" s="264" t="str">
        <f>CONCATENATE("Base Salary: ",I49," month term")</f>
        <v>Base Salary: 9 month term</v>
      </c>
      <c r="B49" s="93">
        <v>103000</v>
      </c>
      <c r="C49" s="118">
        <f>ROUND(+B49*(1+J49),0)</f>
        <v>106090</v>
      </c>
      <c r="D49" s="118">
        <f>ROUND(+C49*(1+J49),0)</f>
        <v>109273</v>
      </c>
      <c r="E49" s="118">
        <f>ROUND(+D49*(1+J49),0)</f>
        <v>112551</v>
      </c>
      <c r="F49" s="118">
        <f>ROUND(+E49*(1+J49),0)</f>
        <v>115928</v>
      </c>
      <c r="G49" s="118">
        <f>ROUND(+F49*(1+J49),0)</f>
        <v>119406</v>
      </c>
      <c r="H49" s="118">
        <f>ROUND(+G49*(1+J49),0)</f>
        <v>122988</v>
      </c>
      <c r="I49" s="74">
        <v>9</v>
      </c>
      <c r="J49" s="81">
        <v>0.03</v>
      </c>
      <c r="K49" s="81"/>
    </row>
    <row r="50" spans="1:20" x14ac:dyDescent="0.25">
      <c r="A50" s="264" t="s">
        <v>49</v>
      </c>
      <c r="B50" s="86">
        <v>0</v>
      </c>
      <c r="C50" s="86">
        <v>0.5</v>
      </c>
      <c r="D50" s="86">
        <v>0.5</v>
      </c>
      <c r="E50" s="86">
        <v>0</v>
      </c>
      <c r="F50" s="86">
        <v>0</v>
      </c>
      <c r="G50" s="86">
        <v>0</v>
      </c>
      <c r="H50" s="86">
        <v>0</v>
      </c>
      <c r="I50" s="49"/>
      <c r="J50" s="49"/>
      <c r="K50" s="49"/>
    </row>
    <row r="51" spans="1:20" x14ac:dyDescent="0.25">
      <c r="A51" s="264" t="str">
        <f>CONCATENATE("FTE for ",I49," Months")</f>
        <v>FTE for 9 Months</v>
      </c>
      <c r="B51" s="85">
        <f t="shared" ref="B51:H51" si="20">+B50/$I49</f>
        <v>0</v>
      </c>
      <c r="C51" s="85">
        <f t="shared" si="20"/>
        <v>5.5555555555555552E-2</v>
      </c>
      <c r="D51" s="85">
        <f t="shared" si="20"/>
        <v>5.5555555555555552E-2</v>
      </c>
      <c r="E51" s="85">
        <f t="shared" si="20"/>
        <v>0</v>
      </c>
      <c r="F51" s="85">
        <f t="shared" si="20"/>
        <v>0</v>
      </c>
      <c r="G51" s="85">
        <f t="shared" si="20"/>
        <v>0</v>
      </c>
      <c r="H51" s="85">
        <f t="shared" si="20"/>
        <v>0</v>
      </c>
      <c r="I51" s="100"/>
      <c r="J51" s="100"/>
      <c r="K51" s="100"/>
    </row>
    <row r="52" spans="1:20" x14ac:dyDescent="0.25">
      <c r="A52" s="265" t="s">
        <v>60</v>
      </c>
      <c r="B52" s="124">
        <f t="shared" ref="B52:H52" si="21">+B50/12</f>
        <v>0</v>
      </c>
      <c r="C52" s="125">
        <f t="shared" si="21"/>
        <v>4.1666666666666664E-2</v>
      </c>
      <c r="D52" s="124">
        <f t="shared" si="21"/>
        <v>4.1666666666666664E-2</v>
      </c>
      <c r="E52" s="124">
        <f t="shared" si="21"/>
        <v>0</v>
      </c>
      <c r="F52" s="124">
        <f t="shared" si="21"/>
        <v>0</v>
      </c>
      <c r="G52" s="124">
        <f t="shared" si="21"/>
        <v>0</v>
      </c>
      <c r="H52" s="124">
        <f t="shared" si="21"/>
        <v>0</v>
      </c>
      <c r="I52" s="100"/>
      <c r="J52" s="100"/>
      <c r="K52" s="100"/>
    </row>
    <row r="53" spans="1:20" ht="14.45" customHeight="1" x14ac:dyDescent="0.25">
      <c r="A53" s="264" t="s">
        <v>21</v>
      </c>
      <c r="B53" s="485">
        <f t="shared" ref="B53:H53" si="22">IF($B$3="NIH",IF(IF($I49=9,ROUND(B49*B51,0),IF($I49=12,ROUND((B49*B51*$N$41)+(C49*B51*$N$42),0),0))&lt;IF($I49=9,ROUND($M$13*B51,0),IF($I49=12,ROUND(($M$14*B51*$N$41)+($M$14*B51*$N$42),0),0)),IF($I49=9,ROUND(B49*B51,0),IF($I49=12,ROUND((B49*B51*$N$41)+(C49*B51*$N$42),0),0)),IF($I49=9,ROUND($M$13*B51,0),IF($I49=12,ROUND(($M$14*B51*$N$41)+($M$14*B51*$N$42),0),0))),IF($I49=9,ROUND(B49*B51,0),IF($I49=12,ROUND((B49*B51*$N$41)+(C49*B51*$N$42),0),0)))</f>
        <v>0</v>
      </c>
      <c r="C53" s="485">
        <f t="shared" si="22"/>
        <v>5894</v>
      </c>
      <c r="D53" s="485">
        <f t="shared" si="22"/>
        <v>6071</v>
      </c>
      <c r="E53" s="485">
        <f t="shared" si="22"/>
        <v>0</v>
      </c>
      <c r="F53" s="485">
        <f t="shared" si="22"/>
        <v>0</v>
      </c>
      <c r="G53" s="485">
        <f t="shared" si="22"/>
        <v>0</v>
      </c>
      <c r="H53" s="485">
        <f t="shared" si="22"/>
        <v>0</v>
      </c>
      <c r="I53" s="100"/>
      <c r="J53" s="100"/>
      <c r="K53" s="100"/>
      <c r="R53" s="82"/>
      <c r="T53" s="50"/>
    </row>
    <row r="54" spans="1:20" x14ac:dyDescent="0.25">
      <c r="A54" s="719" t="str">
        <f>IF($B$3="NIH",IF(I49=9,CONCATENATE("NIH ",I49," Month Salary Cap = ",TEXT($M$13,"$0,000")),IF(I49=12,CONCATENATE("NIH ",I49," Month Salary Cap = ",TEXT($M$14,"$0,000")),"N/A"))," ")</f>
        <v xml:space="preserve"> </v>
      </c>
      <c r="I54" s="100"/>
      <c r="J54" s="484"/>
      <c r="K54" s="100"/>
      <c r="R54" s="82"/>
      <c r="T54" s="50"/>
    </row>
    <row r="55" spans="1:20" x14ac:dyDescent="0.25">
      <c r="A55" s="265" t="s">
        <v>189</v>
      </c>
      <c r="B55" s="86">
        <v>0</v>
      </c>
      <c r="C55" s="86">
        <v>0</v>
      </c>
      <c r="D55" s="86">
        <v>0</v>
      </c>
      <c r="E55" s="86">
        <v>0</v>
      </c>
      <c r="F55" s="86">
        <v>0</v>
      </c>
      <c r="G55" s="86">
        <v>0</v>
      </c>
      <c r="H55" s="86">
        <v>0</v>
      </c>
      <c r="I55" s="100"/>
      <c r="J55" s="100"/>
      <c r="K55" s="100"/>
      <c r="R55" s="82"/>
      <c r="T55" s="50"/>
    </row>
    <row r="56" spans="1:20" x14ac:dyDescent="0.25">
      <c r="A56" s="265" t="str">
        <f>CONCATENATE("FTE for ",I49," Months")</f>
        <v>FTE for 9 Months</v>
      </c>
      <c r="B56" s="85">
        <f t="shared" ref="B56:H56" si="23">+B55/$I49</f>
        <v>0</v>
      </c>
      <c r="C56" s="85">
        <f t="shared" si="23"/>
        <v>0</v>
      </c>
      <c r="D56" s="85">
        <f t="shared" si="23"/>
        <v>0</v>
      </c>
      <c r="E56" s="85">
        <f t="shared" si="23"/>
        <v>0</v>
      </c>
      <c r="F56" s="85">
        <f t="shared" si="23"/>
        <v>0</v>
      </c>
      <c r="G56" s="85">
        <f t="shared" si="23"/>
        <v>0</v>
      </c>
      <c r="H56" s="85">
        <f t="shared" si="23"/>
        <v>0</v>
      </c>
      <c r="I56" s="100"/>
      <c r="J56" s="100"/>
      <c r="K56" s="100"/>
      <c r="R56" s="82"/>
      <c r="T56" s="50"/>
    </row>
    <row r="57" spans="1:20" x14ac:dyDescent="0.25">
      <c r="A57" s="265" t="s">
        <v>60</v>
      </c>
      <c r="B57" s="124">
        <f t="shared" ref="B57:H57" si="24">+B55/12</f>
        <v>0</v>
      </c>
      <c r="C57" s="125">
        <f t="shared" si="24"/>
        <v>0</v>
      </c>
      <c r="D57" s="124">
        <f t="shared" si="24"/>
        <v>0</v>
      </c>
      <c r="E57" s="124">
        <f t="shared" si="24"/>
        <v>0</v>
      </c>
      <c r="F57" s="124">
        <f t="shared" si="24"/>
        <v>0</v>
      </c>
      <c r="G57" s="124">
        <f t="shared" si="24"/>
        <v>0</v>
      </c>
      <c r="H57" s="124">
        <f t="shared" si="24"/>
        <v>0</v>
      </c>
      <c r="I57" s="100"/>
      <c r="J57" s="100"/>
      <c r="K57" s="100"/>
      <c r="R57" s="82"/>
      <c r="T57" s="50"/>
    </row>
    <row r="58" spans="1:20" x14ac:dyDescent="0.25">
      <c r="A58" s="265" t="s">
        <v>204</v>
      </c>
      <c r="B58" s="119">
        <f t="shared" ref="B58:H58" si="25">IF($I49=9,ROUND(B49*B56,0),IF($I49=12,ROUND((B49*B56*$N$41)+(C49*B56*$N$42),0),0))</f>
        <v>0</v>
      </c>
      <c r="C58" s="119">
        <f t="shared" si="25"/>
        <v>0</v>
      </c>
      <c r="D58" s="119">
        <f t="shared" si="25"/>
        <v>0</v>
      </c>
      <c r="E58" s="119">
        <f t="shared" si="25"/>
        <v>0</v>
      </c>
      <c r="F58" s="119">
        <f t="shared" si="25"/>
        <v>0</v>
      </c>
      <c r="G58" s="119">
        <f t="shared" si="25"/>
        <v>0</v>
      </c>
      <c r="H58" s="119">
        <f t="shared" si="25"/>
        <v>0</v>
      </c>
      <c r="I58" s="100"/>
      <c r="J58" s="100"/>
      <c r="K58" s="100"/>
      <c r="R58" s="82"/>
      <c r="T58" s="50"/>
    </row>
    <row r="59" spans="1:20" x14ac:dyDescent="0.25">
      <c r="A59" s="264" t="str">
        <f>IF($B$3="NIH", "Over the Salary Limit", " ")</f>
        <v xml:space="preserve"> </v>
      </c>
      <c r="B59" s="486">
        <f>IF($B$3="NIH",IF(AND($I49=9,B49&lt;$M$13),0,IF(AND($I49=9,B49&gt;=$M$13),ROUND((B49*B51)-($M$13*B51),0),IF(AND($I49=12,B49&lt;$M$14),0,IF(AND($I49=12,B49&gt;=$M$14),ROUND(((B49*B51*$N$41)+(C49*B51*$N$42))-($M$14*B51),0))))),0)</f>
        <v>0</v>
      </c>
      <c r="C59" s="486">
        <f t="shared" ref="C59:H59" si="26">IF($B$3="NIH",IF(AND($I49=9,C49&lt;$M$13),0,IF(AND($I49=9,C49&gt;=$M$13),ROUND((C49*C51)-($M$13*C51),0),IF(AND($I49=12,C49&lt;$M$14),0,IF(AND($I49=12,C49&gt;=$M$14),ROUND(((C49*C51*$N$41)+(D49*C51*$N$42))-($M$14*C51),0))))),0)</f>
        <v>0</v>
      </c>
      <c r="D59" s="486">
        <f t="shared" si="26"/>
        <v>0</v>
      </c>
      <c r="E59" s="486">
        <f t="shared" si="26"/>
        <v>0</v>
      </c>
      <c r="F59" s="486">
        <f t="shared" si="26"/>
        <v>0</v>
      </c>
      <c r="G59" s="486">
        <f t="shared" si="26"/>
        <v>0</v>
      </c>
      <c r="H59" s="486">
        <f t="shared" si="26"/>
        <v>0</v>
      </c>
      <c r="I59" s="100"/>
      <c r="J59" s="100"/>
      <c r="K59" s="100"/>
      <c r="R59" s="82"/>
      <c r="T59" s="50"/>
    </row>
    <row r="60" spans="1:20" x14ac:dyDescent="0.25">
      <c r="A60" s="266"/>
      <c r="I60" s="100"/>
      <c r="J60" s="100"/>
      <c r="K60" s="100"/>
      <c r="R60" s="82"/>
      <c r="T60" s="50"/>
    </row>
    <row r="61" spans="1:20" x14ac:dyDescent="0.25">
      <c r="A61" s="262" t="str">
        <f>CONCATENATE("Calculation based on ",I63," month salary")</f>
        <v>Calculation based on 9 month salary</v>
      </c>
      <c r="B61" s="113" t="str">
        <f t="shared" ref="B61:H61" si="27">IF(AND(B62=$Z$5,$I63=9),$Z$3,IF(AND(B62=$AA$5,$I63=9),$AA$3,IF(AND(B62=$AB$5,$I63=9),$AB$3,IF(AND(B62=$AC$5,$I63=9),$AC$3,IF(AND(B62=$AD$5,$I63=9),$AD$3,IF(AND(B62=$Z$4,$I63=12),$Z$3,IF(AND(B62=$AA$4,$I63=12),$AA$3,IF(AND(B62=$AB$4,$I63=12),$AB$3,IF(AND(B62=$AC$4,$I63=12),$AC$3,IF(AND(B62=$AD$4,$I63=12),$AD$3," "))))))))))</f>
        <v xml:space="preserve"> </v>
      </c>
      <c r="C61" s="113" t="str">
        <f t="shared" si="27"/>
        <v>Year 1</v>
      </c>
      <c r="D61" s="113" t="str">
        <f t="shared" si="27"/>
        <v>Year 2</v>
      </c>
      <c r="E61" s="113" t="str">
        <f t="shared" si="27"/>
        <v>Year 3</v>
      </c>
      <c r="F61" s="113" t="str">
        <f t="shared" si="27"/>
        <v>Year 4</v>
      </c>
      <c r="G61" s="113" t="str">
        <f t="shared" si="27"/>
        <v>Year 5</v>
      </c>
      <c r="H61" s="113" t="str">
        <f t="shared" si="27"/>
        <v xml:space="preserve"> </v>
      </c>
      <c r="I61" s="100"/>
      <c r="J61" s="100"/>
      <c r="K61" s="100"/>
      <c r="P61" s="47"/>
    </row>
    <row r="62" spans="1:20" x14ac:dyDescent="0.25">
      <c r="A62" s="263" t="str">
        <f>+B28</f>
        <v>S. Steinschneider</v>
      </c>
      <c r="B62" s="84" t="str">
        <f>+M$2</f>
        <v>FY2023</v>
      </c>
      <c r="C62" s="84" t="str">
        <f t="shared" ref="C62:H62" si="28">+N$2</f>
        <v>FY2024</v>
      </c>
      <c r="D62" s="84" t="str">
        <f t="shared" si="28"/>
        <v>FY2025</v>
      </c>
      <c r="E62" s="84" t="str">
        <f t="shared" si="28"/>
        <v>FY2026</v>
      </c>
      <c r="F62" s="84" t="str">
        <f t="shared" si="28"/>
        <v>FY2027</v>
      </c>
      <c r="G62" s="84" t="str">
        <f t="shared" si="28"/>
        <v>FY2028</v>
      </c>
      <c r="H62" s="84" t="str">
        <f t="shared" si="28"/>
        <v>FY2029</v>
      </c>
      <c r="I62" s="56" t="s">
        <v>20</v>
      </c>
      <c r="J62" s="100" t="s">
        <v>77</v>
      </c>
      <c r="K62" s="100"/>
      <c r="P62" s="47"/>
    </row>
    <row r="63" spans="1:20" x14ac:dyDescent="0.25">
      <c r="A63" s="264" t="str">
        <f>CONCATENATE("Base Salary: ",I63," month term")</f>
        <v>Base Salary: 9 month term</v>
      </c>
      <c r="B63" s="93">
        <v>112842</v>
      </c>
      <c r="C63" s="118">
        <f>ROUND(+B63*(1+J63),0)</f>
        <v>116227</v>
      </c>
      <c r="D63" s="118">
        <f>ROUND(+C63*(1+J63),0)</f>
        <v>119714</v>
      </c>
      <c r="E63" s="118">
        <f>ROUND(+D63*(1+J63),0)</f>
        <v>123305</v>
      </c>
      <c r="F63" s="118">
        <f>ROUND(+E63*(1+J63),0)</f>
        <v>127004</v>
      </c>
      <c r="G63" s="118">
        <f>ROUND(+F63*(1+J63),0)</f>
        <v>130814</v>
      </c>
      <c r="H63" s="118">
        <f>ROUND(+G63*(1+J63),0)</f>
        <v>134738</v>
      </c>
      <c r="I63" s="74">
        <v>9</v>
      </c>
      <c r="J63" s="81">
        <v>0.03</v>
      </c>
      <c r="K63" s="81"/>
      <c r="N63" s="47"/>
      <c r="P63" s="47"/>
    </row>
    <row r="64" spans="1:20" x14ac:dyDescent="0.25">
      <c r="A64" s="264" t="s">
        <v>49</v>
      </c>
      <c r="B64" s="86">
        <v>0</v>
      </c>
      <c r="C64" s="86">
        <v>0.25</v>
      </c>
      <c r="D64" s="86">
        <v>0.25</v>
      </c>
      <c r="E64" s="86">
        <v>0</v>
      </c>
      <c r="F64" s="86">
        <v>0</v>
      </c>
      <c r="G64" s="86">
        <v>0</v>
      </c>
      <c r="H64" s="86">
        <v>0</v>
      </c>
      <c r="I64" s="49"/>
      <c r="J64" s="49"/>
      <c r="K64" s="49"/>
      <c r="N64" s="47"/>
    </row>
    <row r="65" spans="1:19" x14ac:dyDescent="0.25">
      <c r="A65" s="264" t="str">
        <f>CONCATENATE("FTE for ",I63," Months")</f>
        <v>FTE for 9 Months</v>
      </c>
      <c r="B65" s="85">
        <f t="shared" ref="B65:H65" si="29">+B64/$I63</f>
        <v>0</v>
      </c>
      <c r="C65" s="85">
        <f t="shared" si="29"/>
        <v>2.7777777777777776E-2</v>
      </c>
      <c r="D65" s="85">
        <f t="shared" si="29"/>
        <v>2.7777777777777776E-2</v>
      </c>
      <c r="E65" s="85">
        <f t="shared" si="29"/>
        <v>0</v>
      </c>
      <c r="F65" s="85">
        <f t="shared" si="29"/>
        <v>0</v>
      </c>
      <c r="G65" s="85">
        <f t="shared" si="29"/>
        <v>0</v>
      </c>
      <c r="H65" s="85">
        <f t="shared" si="29"/>
        <v>0</v>
      </c>
      <c r="I65" s="100"/>
      <c r="J65" s="100"/>
      <c r="K65" s="100"/>
      <c r="N65" s="47"/>
    </row>
    <row r="66" spans="1:19" x14ac:dyDescent="0.25">
      <c r="A66" s="265" t="s">
        <v>60</v>
      </c>
      <c r="B66" s="124">
        <f>+B64/12</f>
        <v>0</v>
      </c>
      <c r="C66" s="125">
        <f>+C64/12</f>
        <v>2.0833333333333332E-2</v>
      </c>
      <c r="D66" s="124">
        <f t="shared" ref="D66:H66" si="30">+D64/12</f>
        <v>2.0833333333333332E-2</v>
      </c>
      <c r="E66" s="124">
        <f t="shared" si="30"/>
        <v>0</v>
      </c>
      <c r="F66" s="124">
        <f t="shared" si="30"/>
        <v>0</v>
      </c>
      <c r="G66" s="124">
        <f t="shared" si="30"/>
        <v>0</v>
      </c>
      <c r="H66" s="124">
        <f t="shared" si="30"/>
        <v>0</v>
      </c>
      <c r="I66" s="100"/>
      <c r="J66" s="100"/>
      <c r="K66" s="100"/>
      <c r="N66" s="47"/>
    </row>
    <row r="67" spans="1:19" ht="14.45" customHeight="1" x14ac:dyDescent="0.25">
      <c r="A67" s="264" t="s">
        <v>21</v>
      </c>
      <c r="B67" s="485">
        <f t="shared" ref="B67:H67" si="31">IF($B$3="NIH",IF(IF($I63=9,ROUND(B63*B65,0),IF($I63=12,ROUND((B63*B65*$N$41)+(C63*B65*$N$42),0),0))&lt;IF($I63=9,ROUND($M$13*B65,0),IF($I63=12,ROUND(($M$14*B65*$N$41)+($M$14*B65*$N$42),0),0)),IF($I63=9,ROUND(B63*B65,0),IF($I63=12,ROUND((B63*B65*$N$41)+(C63*B65*$N$42),0),0)),IF($I63=9,ROUND($M$13*B65,0),IF($I63=12,ROUND(($M$14*B65*$N$41)+($M$14*B65*$N$42),0),0))),IF($I63=9,ROUND(B63*B65,0),IF($I63=12,ROUND((B63*B65*$N$41)+(C63*B65*$N$42),0),0)))</f>
        <v>0</v>
      </c>
      <c r="C67" s="485">
        <f t="shared" si="31"/>
        <v>3229</v>
      </c>
      <c r="D67" s="485">
        <f t="shared" si="31"/>
        <v>3325</v>
      </c>
      <c r="E67" s="485">
        <f t="shared" si="31"/>
        <v>0</v>
      </c>
      <c r="F67" s="485">
        <f t="shared" si="31"/>
        <v>0</v>
      </c>
      <c r="G67" s="485">
        <f t="shared" si="31"/>
        <v>0</v>
      </c>
      <c r="H67" s="485">
        <f t="shared" si="31"/>
        <v>0</v>
      </c>
      <c r="I67" s="100"/>
      <c r="J67" s="100"/>
      <c r="K67" s="100"/>
      <c r="N67" s="47"/>
    </row>
    <row r="68" spans="1:19" x14ac:dyDescent="0.25">
      <c r="A68" s="719" t="str">
        <f>IF($B$3="NIH",IF(I63=9,CONCATENATE("NIH ",I63," Month Salary Cap = ",TEXT($M$13,"$0,000")),IF(I63=12,CONCATENATE("NIH ",I63," Month Salary Cap = ",TEXT($M$14,"$0,000")),"N/A"))," ")</f>
        <v xml:space="preserve"> </v>
      </c>
      <c r="I68" s="100"/>
      <c r="J68" s="100"/>
      <c r="K68" s="100"/>
      <c r="L68" s="50"/>
      <c r="M68" s="47"/>
      <c r="N68" s="47"/>
      <c r="O68" s="47"/>
      <c r="P68" s="47"/>
      <c r="Q68" s="47"/>
      <c r="R68" s="47"/>
      <c r="S68" s="47"/>
    </row>
    <row r="69" spans="1:19" x14ac:dyDescent="0.25">
      <c r="A69" s="265" t="s">
        <v>189</v>
      </c>
      <c r="B69" s="86">
        <v>0</v>
      </c>
      <c r="C69" s="86">
        <v>0</v>
      </c>
      <c r="D69" s="86">
        <v>0</v>
      </c>
      <c r="E69" s="86">
        <v>0</v>
      </c>
      <c r="F69" s="86">
        <v>0</v>
      </c>
      <c r="G69" s="86">
        <v>0</v>
      </c>
      <c r="H69" s="86">
        <v>0</v>
      </c>
      <c r="I69" s="100"/>
      <c r="J69" s="100"/>
      <c r="K69" s="100"/>
      <c r="L69" s="50"/>
      <c r="M69" s="47"/>
      <c r="N69" s="47"/>
      <c r="O69" s="47"/>
      <c r="P69" s="47"/>
      <c r="Q69" s="47"/>
      <c r="R69" s="47"/>
      <c r="S69" s="47"/>
    </row>
    <row r="70" spans="1:19" x14ac:dyDescent="0.25">
      <c r="A70" s="265" t="str">
        <f>CONCATENATE("FTE for ",I63," Months")</f>
        <v>FTE for 9 Months</v>
      </c>
      <c r="B70" s="85">
        <f t="shared" ref="B70" si="32">+B69/$I63</f>
        <v>0</v>
      </c>
      <c r="C70" s="85">
        <f t="shared" ref="C70" si="33">+C69/$I63</f>
        <v>0</v>
      </c>
      <c r="D70" s="85">
        <f t="shared" ref="D70" si="34">+D69/$I63</f>
        <v>0</v>
      </c>
      <c r="E70" s="85">
        <f t="shared" ref="E70" si="35">+E69/$I63</f>
        <v>0</v>
      </c>
      <c r="F70" s="85">
        <f t="shared" ref="F70" si="36">+F69/$I63</f>
        <v>0</v>
      </c>
      <c r="G70" s="85">
        <f t="shared" ref="G70" si="37">+G69/$I63</f>
        <v>0</v>
      </c>
      <c r="H70" s="85">
        <f t="shared" ref="H70" si="38">+H69/$I63</f>
        <v>0</v>
      </c>
      <c r="I70" s="100"/>
      <c r="J70" s="100"/>
      <c r="K70" s="100"/>
      <c r="L70" s="50"/>
      <c r="M70" s="47"/>
      <c r="N70" s="47"/>
      <c r="O70" s="47"/>
      <c r="P70" s="47"/>
      <c r="Q70" s="47"/>
      <c r="R70" s="47"/>
      <c r="S70" s="47"/>
    </row>
    <row r="71" spans="1:19" x14ac:dyDescent="0.25">
      <c r="A71" s="265" t="s">
        <v>60</v>
      </c>
      <c r="B71" s="124">
        <f t="shared" ref="B71:H71" si="39">+B69/12</f>
        <v>0</v>
      </c>
      <c r="C71" s="125">
        <f t="shared" si="39"/>
        <v>0</v>
      </c>
      <c r="D71" s="124">
        <f t="shared" si="39"/>
        <v>0</v>
      </c>
      <c r="E71" s="124">
        <f t="shared" si="39"/>
        <v>0</v>
      </c>
      <c r="F71" s="124">
        <f t="shared" si="39"/>
        <v>0</v>
      </c>
      <c r="G71" s="124">
        <f t="shared" si="39"/>
        <v>0</v>
      </c>
      <c r="H71" s="124">
        <f t="shared" si="39"/>
        <v>0</v>
      </c>
      <c r="I71" s="100"/>
      <c r="J71" s="100"/>
      <c r="K71" s="100"/>
      <c r="L71" s="50"/>
      <c r="M71" s="47"/>
      <c r="N71" s="47"/>
      <c r="O71" s="47"/>
      <c r="P71" s="47"/>
      <c r="Q71" s="47"/>
      <c r="R71" s="47"/>
      <c r="S71" s="47"/>
    </row>
    <row r="72" spans="1:19" x14ac:dyDescent="0.25">
      <c r="A72" s="265" t="s">
        <v>204</v>
      </c>
      <c r="B72" s="119">
        <f t="shared" ref="B72:H72" si="40">IF($I63=9,ROUND(B63*B70,0),IF($I63=12,ROUND((B63*B70*$N$41)+(C63*B70*$N$42),0),0))</f>
        <v>0</v>
      </c>
      <c r="C72" s="119">
        <f t="shared" si="40"/>
        <v>0</v>
      </c>
      <c r="D72" s="119">
        <f t="shared" si="40"/>
        <v>0</v>
      </c>
      <c r="E72" s="119">
        <f t="shared" si="40"/>
        <v>0</v>
      </c>
      <c r="F72" s="119">
        <f t="shared" si="40"/>
        <v>0</v>
      </c>
      <c r="G72" s="119">
        <f t="shared" si="40"/>
        <v>0</v>
      </c>
      <c r="H72" s="119">
        <f t="shared" si="40"/>
        <v>0</v>
      </c>
      <c r="I72" s="100"/>
      <c r="J72" s="100"/>
      <c r="K72" s="100"/>
      <c r="L72" s="50"/>
      <c r="M72" s="47"/>
      <c r="N72" s="47"/>
      <c r="O72" s="47"/>
      <c r="P72" s="47"/>
      <c r="Q72" s="47"/>
      <c r="R72" s="47"/>
      <c r="S72" s="47"/>
    </row>
    <row r="73" spans="1:19" x14ac:dyDescent="0.25">
      <c r="A73" s="264" t="str">
        <f>IF($B$3="NIH", "Over the Salary Limit", " ")</f>
        <v xml:space="preserve"> </v>
      </c>
      <c r="B73" s="486">
        <f>IF($B$3="NIH",IF(AND($I63=9,B63&lt;$M$13),0,IF(AND($I63=9,B63&gt;=$M$13),ROUND((B63*B65)-($M$13*B65),0),IF(AND($I63=12,B63&lt;$M$14),0,IF(AND($I63=12,B63&gt;=$M$14),ROUND(((B63*B65*$N$41)+(C63*B65*$N$42))-($M$14*B65),0))))),0)</f>
        <v>0</v>
      </c>
      <c r="C73" s="486">
        <f t="shared" ref="C73:H73" si="41">IF($B$3="NIH",IF(AND($I63=9,C63&lt;$M$13),0,IF(AND($I63=9,C63&gt;=$M$13),ROUND((C63*C65)-($M$13*C65),0),IF(AND($I63=12,C63&lt;$M$14),0,IF(AND($I63=12,C63&gt;=$M$14),ROUND(((C63*C65*$N$41)+(D63*C65*$N$42))-($M$14*C65),0))))),0)</f>
        <v>0</v>
      </c>
      <c r="D73" s="486">
        <f t="shared" si="41"/>
        <v>0</v>
      </c>
      <c r="E73" s="486">
        <f t="shared" si="41"/>
        <v>0</v>
      </c>
      <c r="F73" s="486">
        <f t="shared" si="41"/>
        <v>0</v>
      </c>
      <c r="G73" s="486">
        <f t="shared" si="41"/>
        <v>0</v>
      </c>
      <c r="H73" s="486">
        <f t="shared" si="41"/>
        <v>0</v>
      </c>
      <c r="I73" s="100"/>
      <c r="J73" s="100"/>
      <c r="K73" s="100"/>
      <c r="L73" s="50"/>
      <c r="M73" s="47"/>
      <c r="N73" s="47"/>
      <c r="O73" s="47"/>
      <c r="P73" s="47"/>
      <c r="Q73" s="47"/>
      <c r="R73" s="47"/>
      <c r="S73" s="47"/>
    </row>
    <row r="74" spans="1:19" x14ac:dyDescent="0.25">
      <c r="A74" s="264"/>
      <c r="B74" s="49"/>
      <c r="C74" s="49"/>
      <c r="D74" s="49"/>
      <c r="E74" s="49"/>
      <c r="F74" s="49"/>
      <c r="G74" s="49"/>
      <c r="H74" s="49"/>
      <c r="I74" s="100"/>
      <c r="J74" s="100"/>
      <c r="K74" s="100"/>
      <c r="L74" s="50"/>
      <c r="M74" s="47"/>
      <c r="N74" s="47"/>
      <c r="O74" s="47"/>
      <c r="P74" s="47"/>
      <c r="Q74" s="47"/>
      <c r="R74" s="47"/>
      <c r="S74" s="47"/>
    </row>
    <row r="75" spans="1:19" x14ac:dyDescent="0.25">
      <c r="A75" s="262" t="str">
        <f>CONCATENATE("Calculation based on ",I77," month salary")</f>
        <v>Calculation based on 9 month salary</v>
      </c>
      <c r="B75" s="113" t="str">
        <f t="shared" ref="B75:H75" si="42">IF(AND(B76=$Z$5,$I77=9),$Z$3,IF(AND(B76=$AA$5,$I77=9),$AA$3,IF(AND(B76=$AB$5,$I77=9),$AB$3,IF(AND(B76=$AC$5,$I77=9),$AC$3,IF(AND(B76=$AD$5,$I77=9),$AD$3,IF(AND(B76=$Z$4,$I77=12),$Z$3,IF(AND(B76=$AA$4,$I77=12),$AA$3,IF(AND(B76=$AB$4,$I77=12),$AB$3,IF(AND(B76=$AC$4,$I77=12),$AC$3,IF(AND(B76=$AD$4,$I77=12),$AD$3," "))))))))))</f>
        <v xml:space="preserve"> </v>
      </c>
      <c r="C75" s="113" t="str">
        <f t="shared" si="42"/>
        <v>Year 1</v>
      </c>
      <c r="D75" s="113" t="str">
        <f t="shared" si="42"/>
        <v>Year 2</v>
      </c>
      <c r="E75" s="113" t="str">
        <f t="shared" si="42"/>
        <v>Year 3</v>
      </c>
      <c r="F75" s="113" t="str">
        <f t="shared" si="42"/>
        <v>Year 4</v>
      </c>
      <c r="G75" s="113" t="str">
        <f t="shared" si="42"/>
        <v>Year 5</v>
      </c>
      <c r="H75" s="113" t="str">
        <f t="shared" si="42"/>
        <v xml:space="preserve"> </v>
      </c>
      <c r="I75" s="100"/>
      <c r="J75" s="100"/>
      <c r="K75" s="100"/>
      <c r="L75" s="50"/>
      <c r="M75" s="47"/>
      <c r="N75" s="47"/>
      <c r="O75" s="47"/>
      <c r="P75" s="47"/>
      <c r="Q75" s="47"/>
      <c r="R75" s="47"/>
      <c r="S75" s="47"/>
    </row>
    <row r="76" spans="1:19" x14ac:dyDescent="0.25">
      <c r="A76" s="263" t="str">
        <f>+B29</f>
        <v>Co-PI</v>
      </c>
      <c r="B76" s="84" t="str">
        <f>+M$2</f>
        <v>FY2023</v>
      </c>
      <c r="C76" s="84" t="str">
        <f t="shared" ref="C76:H76" si="43">+N$2</f>
        <v>FY2024</v>
      </c>
      <c r="D76" s="84" t="str">
        <f t="shared" si="43"/>
        <v>FY2025</v>
      </c>
      <c r="E76" s="84" t="str">
        <f t="shared" si="43"/>
        <v>FY2026</v>
      </c>
      <c r="F76" s="84" t="str">
        <f t="shared" si="43"/>
        <v>FY2027</v>
      </c>
      <c r="G76" s="84" t="str">
        <f t="shared" si="43"/>
        <v>FY2028</v>
      </c>
      <c r="H76" s="84" t="str">
        <f t="shared" si="43"/>
        <v>FY2029</v>
      </c>
      <c r="I76" s="56" t="s">
        <v>20</v>
      </c>
      <c r="J76" s="100" t="s">
        <v>77</v>
      </c>
      <c r="K76" s="100"/>
      <c r="L76" s="50"/>
      <c r="M76" s="47"/>
      <c r="N76" s="47"/>
      <c r="O76" s="47"/>
      <c r="P76" s="47"/>
      <c r="Q76" s="47"/>
      <c r="R76" s="47"/>
      <c r="S76" s="47"/>
    </row>
    <row r="77" spans="1:19" x14ac:dyDescent="0.25">
      <c r="A77" s="264" t="str">
        <f>CONCATENATE("Base Salary: ",I77," month term")</f>
        <v>Base Salary: 9 month term</v>
      </c>
      <c r="B77" s="93">
        <v>0</v>
      </c>
      <c r="C77" s="118">
        <f>ROUND(+B77*(1+J77),0)</f>
        <v>0</v>
      </c>
      <c r="D77" s="118">
        <f>ROUND(+C77*(1+J77),0)</f>
        <v>0</v>
      </c>
      <c r="E77" s="118">
        <f>ROUND(+D77*(1+J77),0)</f>
        <v>0</v>
      </c>
      <c r="F77" s="118">
        <f>ROUND(+E77*(1+J77),0)</f>
        <v>0</v>
      </c>
      <c r="G77" s="118">
        <f>ROUND(+F77*(1+J77),0)</f>
        <v>0</v>
      </c>
      <c r="H77" s="118">
        <f>ROUND(+G77*(1+J77),0)</f>
        <v>0</v>
      </c>
      <c r="I77" s="74">
        <v>9</v>
      </c>
      <c r="J77" s="81">
        <v>0.03</v>
      </c>
      <c r="K77" s="100"/>
      <c r="L77" s="50"/>
      <c r="M77" s="47"/>
      <c r="N77" s="47"/>
      <c r="O77" s="47"/>
      <c r="P77" s="47"/>
      <c r="Q77" s="47"/>
      <c r="R77" s="47"/>
      <c r="S77" s="47"/>
    </row>
    <row r="78" spans="1:19" x14ac:dyDescent="0.25">
      <c r="A78" s="264" t="s">
        <v>49</v>
      </c>
      <c r="B78" s="86">
        <v>0</v>
      </c>
      <c r="C78" s="86">
        <v>0</v>
      </c>
      <c r="D78" s="86">
        <v>0</v>
      </c>
      <c r="E78" s="86">
        <v>0</v>
      </c>
      <c r="F78" s="86">
        <v>0</v>
      </c>
      <c r="G78" s="86">
        <v>0</v>
      </c>
      <c r="H78" s="86">
        <v>0</v>
      </c>
      <c r="I78" s="49"/>
      <c r="J78" s="49"/>
      <c r="K78" s="100"/>
      <c r="L78" s="50"/>
      <c r="M78" s="47"/>
      <c r="N78" s="47"/>
      <c r="O78" s="47"/>
      <c r="P78" s="47"/>
      <c r="Q78" s="47"/>
      <c r="R78" s="47"/>
      <c r="S78" s="47"/>
    </row>
    <row r="79" spans="1:19" x14ac:dyDescent="0.25">
      <c r="A79" s="264" t="str">
        <f>CONCATENATE("FTE for ",I77," Months")</f>
        <v>FTE for 9 Months</v>
      </c>
      <c r="B79" s="85">
        <f t="shared" ref="B79:H79" si="44">+B78/$I77</f>
        <v>0</v>
      </c>
      <c r="C79" s="85">
        <f t="shared" si="44"/>
        <v>0</v>
      </c>
      <c r="D79" s="85">
        <f t="shared" si="44"/>
        <v>0</v>
      </c>
      <c r="E79" s="85">
        <f t="shared" si="44"/>
        <v>0</v>
      </c>
      <c r="F79" s="85">
        <f t="shared" si="44"/>
        <v>0</v>
      </c>
      <c r="G79" s="85">
        <f t="shared" si="44"/>
        <v>0</v>
      </c>
      <c r="H79" s="85">
        <f t="shared" si="44"/>
        <v>0</v>
      </c>
      <c r="I79" s="100"/>
      <c r="J79" s="100"/>
      <c r="K79" s="100"/>
      <c r="L79" s="50"/>
      <c r="M79" s="47"/>
      <c r="N79" s="47"/>
      <c r="O79" s="47"/>
      <c r="P79" s="47"/>
      <c r="Q79" s="47"/>
      <c r="R79" s="47"/>
      <c r="S79" s="47"/>
    </row>
    <row r="80" spans="1:19" x14ac:dyDescent="0.25">
      <c r="A80" s="265" t="s">
        <v>60</v>
      </c>
      <c r="B80" s="124">
        <f>+B78/12</f>
        <v>0</v>
      </c>
      <c r="C80" s="125">
        <f>+C78/12</f>
        <v>0</v>
      </c>
      <c r="D80" s="124">
        <f t="shared" ref="D80:H80" si="45">+D78/12</f>
        <v>0</v>
      </c>
      <c r="E80" s="124">
        <f t="shared" si="45"/>
        <v>0</v>
      </c>
      <c r="F80" s="124">
        <f t="shared" si="45"/>
        <v>0</v>
      </c>
      <c r="G80" s="124">
        <f t="shared" si="45"/>
        <v>0</v>
      </c>
      <c r="H80" s="124">
        <f t="shared" si="45"/>
        <v>0</v>
      </c>
      <c r="I80" s="100"/>
      <c r="J80" s="100"/>
      <c r="K80" s="100"/>
      <c r="L80" s="50"/>
      <c r="M80" s="47"/>
      <c r="N80" s="47"/>
      <c r="O80" s="47"/>
      <c r="P80" s="47"/>
      <c r="Q80" s="47"/>
      <c r="R80" s="47"/>
      <c r="S80" s="47"/>
    </row>
    <row r="81" spans="1:20" x14ac:dyDescent="0.25">
      <c r="A81" s="264" t="s">
        <v>21</v>
      </c>
      <c r="B81" s="485">
        <f t="shared" ref="B81:H81" si="46">IF($B$3="NIH",IF(IF($I77=9,ROUND(B77*B79,0),IF($I77=12,ROUND((B77*B79*$N$41)+(C77*B79*$N$42),0),0))&lt;IF($I77=9,ROUND($M$13*B79,0),IF($I77=12,ROUND(($M$14*B79*$N$41)+($M$14*B79*$N$42),0),0)),IF($I77=9,ROUND(B77*B79,0),IF($I77=12,ROUND((B77*B79*$N$41)+(C77*B79*$N$42),0),0)),IF($I77=9,ROUND($M$13*B79,0),IF($I77=12,ROUND(($M$14*B79*$N$41)+($M$14*B79*$N$42),0),0))),IF($I77=9,ROUND(B77*B79,0),IF($I77=12,ROUND((B77*B79*$N$41)+(C77*B79*$N$42),0),0)))</f>
        <v>0</v>
      </c>
      <c r="C81" s="485">
        <f t="shared" si="46"/>
        <v>0</v>
      </c>
      <c r="D81" s="485">
        <f t="shared" si="46"/>
        <v>0</v>
      </c>
      <c r="E81" s="485">
        <f t="shared" si="46"/>
        <v>0</v>
      </c>
      <c r="F81" s="485">
        <f t="shared" si="46"/>
        <v>0</v>
      </c>
      <c r="G81" s="485">
        <f t="shared" si="46"/>
        <v>0</v>
      </c>
      <c r="H81" s="485">
        <f t="shared" si="46"/>
        <v>0</v>
      </c>
      <c r="I81" s="100"/>
      <c r="J81" s="100"/>
      <c r="K81" s="100"/>
      <c r="L81" s="50"/>
      <c r="M81" s="634"/>
      <c r="N81" s="47"/>
      <c r="O81" s="47"/>
      <c r="P81" s="47"/>
      <c r="Q81" s="47"/>
      <c r="R81" s="47"/>
      <c r="S81" s="47"/>
    </row>
    <row r="82" spans="1:20" x14ac:dyDescent="0.25">
      <c r="A82" s="719" t="str">
        <f>IF($B$3="NIH",IF(I77=9,CONCATENATE("NIH ",I77," Month Salary Cap = ",TEXT($M$13,"$0,000")),IF(I77=12,CONCATENATE("NIH ",I77," Month Salary Cap = ",TEXT($M$14,"$0,000")),"N/A"))," ")</f>
        <v xml:space="preserve"> </v>
      </c>
      <c r="K82" s="100"/>
      <c r="N82" s="129"/>
      <c r="S82" s="47"/>
    </row>
    <row r="83" spans="1:20" x14ac:dyDescent="0.25">
      <c r="A83" s="265" t="s">
        <v>189</v>
      </c>
      <c r="B83" s="86">
        <v>0</v>
      </c>
      <c r="C83" s="86">
        <v>0</v>
      </c>
      <c r="D83" s="86">
        <v>0</v>
      </c>
      <c r="E83" s="86">
        <v>0</v>
      </c>
      <c r="F83" s="86">
        <v>0</v>
      </c>
      <c r="G83" s="86">
        <v>0</v>
      </c>
      <c r="H83" s="86">
        <v>0</v>
      </c>
      <c r="K83" s="81"/>
      <c r="N83" s="129"/>
    </row>
    <row r="84" spans="1:20" x14ac:dyDescent="0.25">
      <c r="A84" s="265" t="str">
        <f>CONCATENATE("FTE for ",I77," Months")</f>
        <v>FTE for 9 Months</v>
      </c>
      <c r="B84" s="85">
        <f t="shared" ref="B84" si="47">+B83/$I77</f>
        <v>0</v>
      </c>
      <c r="C84" s="85">
        <f t="shared" ref="C84" si="48">+C83/$I77</f>
        <v>0</v>
      </c>
      <c r="D84" s="85">
        <f t="shared" ref="D84" si="49">+D83/$I77</f>
        <v>0</v>
      </c>
      <c r="E84" s="85">
        <f t="shared" ref="E84" si="50">+E83/$I77</f>
        <v>0</v>
      </c>
      <c r="F84" s="85">
        <f t="shared" ref="F84" si="51">+F83/$I77</f>
        <v>0</v>
      </c>
      <c r="G84" s="85">
        <f t="shared" ref="G84" si="52">+G83/$I77</f>
        <v>0</v>
      </c>
      <c r="H84" s="85">
        <f t="shared" ref="H84" si="53">+H83/$I77</f>
        <v>0</v>
      </c>
      <c r="K84" s="286"/>
      <c r="L84" s="66" t="str">
        <f>+L$25</f>
        <v>Graduate Student (Stipend, Tuition, Health Ins) - Contract College Rates:</v>
      </c>
    </row>
    <row r="85" spans="1:20" x14ac:dyDescent="0.25">
      <c r="A85" s="265" t="s">
        <v>60</v>
      </c>
      <c r="B85" s="124">
        <f t="shared" ref="B85:H85" si="54">+B83/12</f>
        <v>0</v>
      </c>
      <c r="C85" s="125">
        <f t="shared" si="54"/>
        <v>0</v>
      </c>
      <c r="D85" s="124">
        <f t="shared" si="54"/>
        <v>0</v>
      </c>
      <c r="E85" s="124">
        <f t="shared" si="54"/>
        <v>0</v>
      </c>
      <c r="F85" s="124">
        <f t="shared" si="54"/>
        <v>0</v>
      </c>
      <c r="G85" s="124">
        <f t="shared" si="54"/>
        <v>0</v>
      </c>
      <c r="H85" s="124">
        <f t="shared" si="54"/>
        <v>0</v>
      </c>
      <c r="K85" s="286"/>
      <c r="L85" s="49"/>
      <c r="M85" s="122" t="str">
        <f>+$M$29</f>
        <v>FY2023</v>
      </c>
      <c r="N85" s="122" t="str">
        <f>+$N$29</f>
        <v>FY2024</v>
      </c>
      <c r="O85" s="122" t="str">
        <f>+$O$29</f>
        <v>FY2025</v>
      </c>
      <c r="P85" s="122" t="str">
        <f>+$P$29</f>
        <v>FY2026</v>
      </c>
      <c r="Q85" s="122" t="str">
        <f>+$Q$29</f>
        <v>FY2027</v>
      </c>
      <c r="R85" s="122" t="str">
        <f>+$R$29</f>
        <v>FY2028</v>
      </c>
      <c r="S85" s="122" t="str">
        <f>+$S$29</f>
        <v>FY2029</v>
      </c>
      <c r="T85" s="123" t="s">
        <v>119</v>
      </c>
    </row>
    <row r="86" spans="1:20" x14ac:dyDescent="0.25">
      <c r="A86" s="265" t="s">
        <v>204</v>
      </c>
      <c r="B86" s="119">
        <f t="shared" ref="B86:H86" si="55">IF($I77=9,ROUND(B77*B84,0),IF($I77=12,ROUND((B77*B84*$N$41)+(C77*B84*$N$42),0),0))</f>
        <v>0</v>
      </c>
      <c r="C86" s="119">
        <f t="shared" si="55"/>
        <v>0</v>
      </c>
      <c r="D86" s="119">
        <f t="shared" si="55"/>
        <v>0</v>
      </c>
      <c r="E86" s="119">
        <f t="shared" si="55"/>
        <v>0</v>
      </c>
      <c r="F86" s="119">
        <f t="shared" si="55"/>
        <v>0</v>
      </c>
      <c r="G86" s="119">
        <f t="shared" si="55"/>
        <v>0</v>
      </c>
      <c r="H86" s="119">
        <f t="shared" si="55"/>
        <v>0</v>
      </c>
      <c r="K86" s="286"/>
      <c r="L86" s="54" t="s">
        <v>35</v>
      </c>
      <c r="M86" s="110">
        <f>+$M$30</f>
        <v>30088</v>
      </c>
      <c r="N86" s="110">
        <f>ROUND(M86*(1+$T86),0)+1</f>
        <v>31593</v>
      </c>
      <c r="O86" s="110">
        <f>ROUND(N86*(1+$T86),0)</f>
        <v>33173</v>
      </c>
      <c r="P86" s="110">
        <f>ROUND(O86*(1+$T86),0)</f>
        <v>34832</v>
      </c>
      <c r="Q86" s="110">
        <f t="shared" ref="O86:S87" si="56">ROUND(P86*(1+$T86),0)</f>
        <v>36574</v>
      </c>
      <c r="R86" s="110">
        <f t="shared" si="56"/>
        <v>38403</v>
      </c>
      <c r="S86" s="110">
        <f t="shared" si="56"/>
        <v>40323</v>
      </c>
      <c r="T86" s="55">
        <v>0.05</v>
      </c>
    </row>
    <row r="87" spans="1:20" x14ac:dyDescent="0.25">
      <c r="A87" s="264" t="str">
        <f>IF($B$3="NIH", "Over the Salary Limit", " ")</f>
        <v xml:space="preserve"> </v>
      </c>
      <c r="B87" s="486">
        <f>IF($B$3="NIH",IF(AND($I77=9,B77&lt;$M$13),0,IF(AND($I77=9,B77&gt;=$M$13),ROUND((B77*B79)-($M$13*B79),0),IF(AND($I77=12,B77&lt;$M$14),0,IF(AND($I77=12,B77&gt;=$M$14),ROUND(((B77*B79*$N$41)+(C77*B79*$N$42))-($M$14*B79),0))))),0)</f>
        <v>0</v>
      </c>
      <c r="C87" s="486">
        <f t="shared" ref="C87:H87" si="57">IF($B$3="NIH",IF(AND($I77=9,C77&lt;$M$13),0,IF(AND($I77=9,C77&gt;=$M$13),ROUND((C77*C79)-($M$13*C79),0),IF(AND($I77=12,C77&lt;$M$14),0,IF(AND($I77=12,C77&gt;=$M$14),ROUND(((C77*C79*$N$41)+(D77*C79*$N$42))-($M$14*C79),0))))),0)</f>
        <v>0</v>
      </c>
      <c r="D87" s="486">
        <f t="shared" si="57"/>
        <v>0</v>
      </c>
      <c r="E87" s="486">
        <f t="shared" si="57"/>
        <v>0</v>
      </c>
      <c r="F87" s="486">
        <f t="shared" si="57"/>
        <v>0</v>
      </c>
      <c r="G87" s="486">
        <f t="shared" si="57"/>
        <v>0</v>
      </c>
      <c r="H87" s="486">
        <f t="shared" si="57"/>
        <v>0</v>
      </c>
      <c r="K87" s="286"/>
      <c r="L87" s="54" t="s">
        <v>23</v>
      </c>
      <c r="M87" s="110">
        <f>+$M$31</f>
        <v>10029</v>
      </c>
      <c r="N87" s="110">
        <f>ROUND(M87*(1+$T87),0)</f>
        <v>10530</v>
      </c>
      <c r="O87" s="110">
        <f t="shared" si="56"/>
        <v>11057</v>
      </c>
      <c r="P87" s="110">
        <f t="shared" si="56"/>
        <v>11610</v>
      </c>
      <c r="Q87" s="110">
        <f t="shared" si="56"/>
        <v>12191</v>
      </c>
      <c r="R87" s="110">
        <f t="shared" si="56"/>
        <v>12801</v>
      </c>
      <c r="S87" s="110">
        <f t="shared" si="56"/>
        <v>13441</v>
      </c>
      <c r="T87" s="97">
        <v>0.05</v>
      </c>
    </row>
    <row r="88" spans="1:20" x14ac:dyDescent="0.25">
      <c r="A88" s="264"/>
      <c r="B88" s="89"/>
      <c r="C88" s="89"/>
      <c r="D88" s="89"/>
      <c r="E88" s="89"/>
      <c r="F88" s="89"/>
      <c r="G88" s="89"/>
      <c r="H88" s="89"/>
      <c r="I88" s="100"/>
      <c r="J88" s="100"/>
      <c r="K88" s="286"/>
      <c r="L88" s="54" t="s">
        <v>30</v>
      </c>
      <c r="M88" s="110">
        <f>+$M$32</f>
        <v>40117</v>
      </c>
      <c r="N88" s="110">
        <f t="shared" ref="N88:S88" si="58">+N86+N87</f>
        <v>42123</v>
      </c>
      <c r="O88" s="110">
        <f t="shared" si="58"/>
        <v>44230</v>
      </c>
      <c r="P88" s="110">
        <f t="shared" si="58"/>
        <v>46442</v>
      </c>
      <c r="Q88" s="110">
        <f t="shared" si="58"/>
        <v>48765</v>
      </c>
      <c r="R88" s="110">
        <f t="shared" si="58"/>
        <v>51204</v>
      </c>
      <c r="S88" s="110">
        <f t="shared" si="58"/>
        <v>53764</v>
      </c>
      <c r="T88" s="55"/>
    </row>
    <row r="89" spans="1:20" x14ac:dyDescent="0.25">
      <c r="A89" s="264"/>
      <c r="B89" s="113" t="str">
        <f t="shared" ref="B89:H89" si="59">IF(B90=$Z$4,$Z$3,IF(B90=$AA$4,$AA$3,IF(B90=$AB$4,$AB$3,IF(B90=$AC$4,$AC$3,IF(B90=$AD$4,$AD$3," ")))))</f>
        <v>Year 1</v>
      </c>
      <c r="C89" s="113" t="str">
        <f t="shared" si="59"/>
        <v>Year 2</v>
      </c>
      <c r="D89" s="113" t="str">
        <f t="shared" si="59"/>
        <v>Year 3</v>
      </c>
      <c r="E89" s="113" t="str">
        <f t="shared" si="59"/>
        <v>Year 4</v>
      </c>
      <c r="F89" s="113" t="str">
        <f t="shared" si="59"/>
        <v>Year 5</v>
      </c>
      <c r="G89" s="113" t="str">
        <f t="shared" si="59"/>
        <v xml:space="preserve"> </v>
      </c>
      <c r="H89" s="113" t="str">
        <f t="shared" si="59"/>
        <v xml:space="preserve"> </v>
      </c>
      <c r="I89" s="100"/>
      <c r="J89" s="100"/>
      <c r="K89" s="286"/>
      <c r="L89" s="54" t="s">
        <v>8</v>
      </c>
      <c r="M89" s="110">
        <f>IF(B30="Contract College",$M$33,$M$34)</f>
        <v>10400</v>
      </c>
      <c r="N89" s="110">
        <f>ROUND(M89*(1+$T89),0)</f>
        <v>10400</v>
      </c>
      <c r="O89" s="110">
        <f t="shared" ref="O89" si="60">ROUND(N89*(1+$T89),0)</f>
        <v>10400</v>
      </c>
      <c r="P89" s="110">
        <f t="shared" ref="P89" si="61">ROUND(O89*(1+$T89),0)</f>
        <v>10400</v>
      </c>
      <c r="Q89" s="110">
        <f t="shared" ref="Q89" si="62">ROUND(P89*(1+$T89),0)</f>
        <v>10400</v>
      </c>
      <c r="R89" s="110">
        <f t="shared" ref="R89" si="63">ROUND(Q89*(1+$T89),0)</f>
        <v>10400</v>
      </c>
      <c r="S89" s="110">
        <f t="shared" ref="S89" si="64">ROUND(R89*(1+$T89),0)</f>
        <v>10400</v>
      </c>
      <c r="T89" s="55">
        <v>0</v>
      </c>
    </row>
    <row r="90" spans="1:20" x14ac:dyDescent="0.25">
      <c r="A90" s="263" t="s">
        <v>120</v>
      </c>
      <c r="B90" s="84" t="str">
        <f>+M$2</f>
        <v>FY2023</v>
      </c>
      <c r="C90" s="84" t="str">
        <f t="shared" ref="C90:H90" si="65">+N$2</f>
        <v>FY2024</v>
      </c>
      <c r="D90" s="84" t="str">
        <f t="shared" si="65"/>
        <v>FY2025</v>
      </c>
      <c r="E90" s="84" t="str">
        <f t="shared" si="65"/>
        <v>FY2026</v>
      </c>
      <c r="F90" s="84" t="str">
        <f t="shared" si="65"/>
        <v>FY2027</v>
      </c>
      <c r="G90" s="84" t="str">
        <f t="shared" si="65"/>
        <v>FY2028</v>
      </c>
      <c r="H90" s="84" t="str">
        <f t="shared" si="65"/>
        <v>FY2029</v>
      </c>
      <c r="I90" s="56" t="s">
        <v>20</v>
      </c>
      <c r="J90" s="100" t="s">
        <v>77</v>
      </c>
      <c r="K90" s="286"/>
      <c r="L90" s="54" t="s">
        <v>24</v>
      </c>
      <c r="M90" s="110">
        <f>+$M$35</f>
        <v>4046</v>
      </c>
      <c r="N90" s="110">
        <f>IF(ROUND(M90*(1+$T90),0)=$N$35,ROUND(M90*(1+$T90),0),$N$35)</f>
        <v>4451</v>
      </c>
      <c r="O90" s="110">
        <f t="shared" ref="O90:S90" si="66">ROUND(N90*(1+$T90),0)</f>
        <v>4896</v>
      </c>
      <c r="P90" s="110">
        <f t="shared" si="66"/>
        <v>5386</v>
      </c>
      <c r="Q90" s="110">
        <f t="shared" si="66"/>
        <v>5925</v>
      </c>
      <c r="R90" s="110">
        <f t="shared" si="66"/>
        <v>6518</v>
      </c>
      <c r="S90" s="110">
        <f t="shared" si="66"/>
        <v>7170</v>
      </c>
      <c r="T90" s="55">
        <v>0.1</v>
      </c>
    </row>
    <row r="91" spans="1:20" x14ac:dyDescent="0.25">
      <c r="A91" s="264" t="str">
        <f>CONCATENATE("Base Salary: ",I91," month term")</f>
        <v>Base Salary: 12 month term</v>
      </c>
      <c r="B91" s="93">
        <f>+$M$15</f>
        <v>54840</v>
      </c>
      <c r="C91" s="118">
        <f>ROUND(+B91*(1+J91),0)</f>
        <v>56759</v>
      </c>
      <c r="D91" s="118">
        <f>ROUND(+C91*(1+J91),0)</f>
        <v>58746</v>
      </c>
      <c r="E91" s="118">
        <f>ROUND(+D91*(1+J91),0)</f>
        <v>60802</v>
      </c>
      <c r="F91" s="118">
        <f>ROUND(+E91*(1+J91),0)</f>
        <v>62930</v>
      </c>
      <c r="G91" s="118">
        <f>ROUND(+F91*(1+J91),0)</f>
        <v>65133</v>
      </c>
      <c r="H91" s="118">
        <f>ROUND(+G91*(1+J91),0)</f>
        <v>67413</v>
      </c>
      <c r="I91" s="126">
        <v>12</v>
      </c>
      <c r="J91" s="97">
        <v>3.5000000000000003E-2</v>
      </c>
      <c r="K91" s="286"/>
      <c r="S91" s="47"/>
    </row>
    <row r="92" spans="1:20" x14ac:dyDescent="0.25">
      <c r="A92" s="264" t="s">
        <v>49</v>
      </c>
      <c r="B92" s="86">
        <v>5</v>
      </c>
      <c r="C92" s="86">
        <v>5</v>
      </c>
      <c r="D92" s="86">
        <v>0</v>
      </c>
      <c r="E92" s="86">
        <v>0</v>
      </c>
      <c r="F92" s="86">
        <v>0</v>
      </c>
      <c r="G92" s="86">
        <v>0</v>
      </c>
      <c r="H92" s="86">
        <v>0</v>
      </c>
      <c r="I92" s="49"/>
      <c r="J92" s="49"/>
      <c r="K92" s="286"/>
      <c r="S92" s="47"/>
    </row>
    <row r="93" spans="1:20" x14ac:dyDescent="0.25">
      <c r="A93" s="264" t="str">
        <f>CONCATENATE("FTE for ",I91," Months")</f>
        <v>FTE for 12 Months</v>
      </c>
      <c r="B93" s="85">
        <f t="shared" ref="B93:H93" si="67">+B92/$I91</f>
        <v>0.41666666666666669</v>
      </c>
      <c r="C93" s="85">
        <f t="shared" si="67"/>
        <v>0.41666666666666669</v>
      </c>
      <c r="D93" s="85">
        <f t="shared" si="67"/>
        <v>0</v>
      </c>
      <c r="E93" s="85">
        <f t="shared" si="67"/>
        <v>0</v>
      </c>
      <c r="F93" s="85">
        <f t="shared" si="67"/>
        <v>0</v>
      </c>
      <c r="G93" s="85">
        <f t="shared" si="67"/>
        <v>0</v>
      </c>
      <c r="H93" s="85">
        <f t="shared" si="67"/>
        <v>0</v>
      </c>
      <c r="I93" s="100"/>
      <c r="J93" s="100"/>
      <c r="K93" s="286"/>
      <c r="M93" s="82" t="str">
        <f>IF(AND(Y2&gt;=7,Y2&lt;=9),CONCATENATE("Fall ",$Y$3-1),IF(AND(Y2&gt;=7,Y2&lt;=10),CONCATENATE("Spring ",$Y$3),IF(OR(Y2&gt;=10,Y2&lt;=2),CONCATENATE("Spring ",$Y$3),IF(AND(Y2&gt;=7,Y2&lt;=10),CONCATENATE("Summer ",$Y$3),IF(OR(Y2&gt;=10,Y2&lt;=2),CONCATENATE("Summer ",$Y$3),IF(AND(Y2&gt;=3,Y2&lt;=6),CONCATENATE("Summer ",$Y$3),"N/A"))))))</f>
        <v>Spring 2023</v>
      </c>
      <c r="N93" s="82" t="str">
        <f>IF(AND(Y2&gt;=7,Y2&lt;=9),CONCATENATE("Fall ",$Y$3),IF(AND(Y2&gt;=7,Y2&lt;=10),CONCATENATE("Spring ",$Y$3+1),IF(OR(Y2&gt;=10,Y2&lt;=2),CONCATENATE("Spring ",$Y$3+1),IF(AND(Y2&gt;=7,Y2&lt;=10),CONCATENATE("Summer ",$Y$3+1),IF(OR(Y2&gt;=10,Y2&lt;=2),CONCATENATE("Summer ",$Y$3+1),IF(AND(Y2&gt;=3,Y2&lt;=6),CONCATENATE("Summer ",$Y$3+1),"N/A"))))))</f>
        <v>Spring 2024</v>
      </c>
      <c r="O93" s="82" t="str">
        <f>IF(AND(Y2&gt;=7,Y2&lt;=9),CONCATENATE("Fall ",$Y$3+1),IF(AND(Y2&gt;=7,Y2&lt;=10),CONCATENATE("Spring ",$Y$3+2),IF(OR(Y2&gt;=10,Y2&lt;=2),CONCATENATE("Spring ",$Y$3+2),IF(AND(Y2&gt;=7,Y2&lt;=10),CONCATENATE("Summer ",$Y$3+2),IF(OR(Y2&gt;=10,Y2&lt;=2),CONCATENATE("Summer ",$Y$3+2),IF(AND(Y2&gt;=3,Y2&lt;=6),CONCATENATE("Summer ",$Y$3+2),"N/A"))))))</f>
        <v>Spring 2025</v>
      </c>
      <c r="P93" s="82" t="str">
        <f>IF(AND(Y2&gt;=7,Y2&lt;=9),CONCATENATE("Fall ",$Y$3+2),IF(AND(Y2&gt;=7,Y2&lt;=10),CONCATENATE("Spring ",$Y$3+3),IF(OR(Y2&gt;=10,Y2&lt;=2),CONCATENATE("Spring ",$Y$3+3),IF(AND(Y2&gt;=7,Y2&lt;=10),CONCATENATE("Summer ",$Y$3+3),IF(OR(Y2&gt;=10,Y2&lt;=2),CONCATENATE("Summer ",$Y$3+3),IF(AND(Y2&gt;=3,Y2&lt;=6),CONCATENATE("Summer ",$Y$3+3),"N/A"))))))</f>
        <v>Spring 2026</v>
      </c>
      <c r="Q93" s="82" t="str">
        <f>IF(AND(Y2&gt;=7,Y2&lt;=9),CONCATENATE("Fall ",$Y$3+3),IF(AND(Y2&gt;=7,Y2&lt;=10),CONCATENATE("Spring ",$Y$3+4),IF(OR(Y2&gt;=10,Y2&lt;=2),CONCATENATE("Spring ",$Y$3+4),IF(AND(Y2&gt;=7,Y2&lt;=10),CONCATENATE("Summer ",$Y$3+4),IF(OR(Y2&gt;=10,Y2&lt;=2),CONCATENATE("Summer ",$Y$3+4),IF(AND(Y2&gt;=3,Y2&lt;=6),CONCATENATE("Summer ",$Y$3+4),"N/A"))))))</f>
        <v>Spring 2027</v>
      </c>
      <c r="S93" s="47"/>
    </row>
    <row r="94" spans="1:20" x14ac:dyDescent="0.25">
      <c r="A94" s="264" t="s">
        <v>21</v>
      </c>
      <c r="B94" s="119">
        <f t="shared" ref="B94:H94" si="68">ROUND((B91*B93*$N$41)+(C91*B93*$N$42),0)</f>
        <v>23250</v>
      </c>
      <c r="C94" s="119">
        <f t="shared" si="68"/>
        <v>24064</v>
      </c>
      <c r="D94" s="119">
        <f t="shared" si="68"/>
        <v>0</v>
      </c>
      <c r="E94" s="119">
        <f t="shared" si="68"/>
        <v>0</v>
      </c>
      <c r="F94" s="119">
        <f t="shared" si="68"/>
        <v>0</v>
      </c>
      <c r="G94" s="119">
        <f t="shared" si="68"/>
        <v>0</v>
      </c>
      <c r="H94" s="119">
        <f t="shared" si="68"/>
        <v>0</v>
      </c>
      <c r="I94" s="100"/>
      <c r="J94" s="100"/>
      <c r="K94" s="286"/>
      <c r="M94" s="82" t="str">
        <f>IF(AND(Y2&gt;=7,Y2&lt;=9),CONCATENATE("Spring ",$Y$3),IF(AND(Y2&gt;=7,Y2&lt;=10),CONCATENATE("Summer ",$Y$3),IF(OR(Y2&gt;=10,Y2&lt;=2),CONCATENATE("Summer ",$Y$3),IF(AND(Y2&gt;=7,Y2&lt;=10),CONCATENATE("Fall ",$Y$3),IF(OR(Y2&gt;=10,Y2&lt;=2),CONCATENATE("Fall ",$Y$3),IF(AND(Y2&gt;=3,Y2&lt;=6),CONCATENATE("Fall ",$Y$3),"N/A"))))))</f>
        <v>Summer 2023</v>
      </c>
      <c r="N94" s="82" t="str">
        <f>IF(AND(Y2&gt;=7,Y2&lt;=9),CONCATENATE("Spring ",$Y$3+1),IF(AND(Y2&gt;=7,Y2&lt;=10),CONCATENATE("Summer ",$Y$3+1),IF(OR(Y2&gt;=10,Y2&lt;=2),CONCATENATE("Summer ",$Y$3+1),IF(AND(Y2&gt;=7,Y2&lt;=10),CONCATENATE("Fall ",$Y$3+1),IF(OR(Y2&gt;=10,Y2&lt;=2),CONCATENATE("Fall ",$Y$3+1),IF(AND(Y2&gt;=3,Y2&lt;=6),CONCATENATE("Fall ",$Y$3+1),"N/A"))))))</f>
        <v>Summer 2024</v>
      </c>
      <c r="O94" s="82" t="str">
        <f>IF(AND(Y2&gt;=7,Y2&lt;=9),CONCATENATE("Spring ",$Y$3+2),IF(AND(Y2&gt;=7,Y2&lt;=10),CONCATENATE("Summer ",$Y$3+2),IF(OR(Y2&gt;=10,Y2&lt;=2),CONCATENATE("Summer ",$Y$3+2),IF(AND(Y2&gt;=7,Y2&lt;=10),CONCATENATE("Fall ",$Y$3+2),IF(OR(Y2&gt;=10,Y2&lt;=2),CONCATENATE("Fall ",$Y$3+2),IF(AND(Y2&gt;=3,Y2&lt;=6),CONCATENATE("Fall ",$Y$3+2),"N/A"))))))</f>
        <v>Summer 2025</v>
      </c>
      <c r="P94" s="82" t="str">
        <f>IF(AND(Y2&gt;=7,Y2&lt;=9),CONCATENATE("Spring ",$Y$3+3),IF(AND(Y2&gt;=7,Y2&lt;=10),CONCATENATE("Summer ",$Y$3+3),IF(OR(Y2&gt;=10,Y2&lt;=2),CONCATENATE("Summer ",$Y$3+3),IF(AND(Y2&gt;=7,Y2&lt;=10),CONCATENATE("Fall ",$Y$3+3),IF(OR(Y2&gt;=10,Y2&lt;=2),CONCATENATE("Fall ",$Y$3+3),IF(AND(Y2&gt;=3,Y2&lt;=6),CONCATENATE("Fall ",$Y$3+3),"N/A"))))))</f>
        <v>Summer 2026</v>
      </c>
      <c r="Q94" s="82" t="str">
        <f>IF(AND(Y2&gt;=7,Y2&lt;=9),CONCATENATE("Spring ",$Y$3+4),IF(AND(Y2&gt;=7,Y2&lt;=10),CONCATENATE("Summer ",$Y$3+4),IF(OR(Y2&gt;=10,Y2&lt;=2),CONCATENATE("Summer ",$Y$3+4),IF(AND(Y2&gt;=7,Y2&lt;=10),CONCATENATE("Fall ",$Y$3+4),IF(OR(Y2&gt;=10,Y2&lt;=2),CONCATENATE("Fall ",$Y$3+4),IF(AND(Y2&gt;=3,Y2&lt;=6),CONCATENATE("Fall ",$Y$3+4),"N/A"))))))</f>
        <v>Summer 2027</v>
      </c>
      <c r="S94" s="47"/>
    </row>
    <row r="95" spans="1:20" x14ac:dyDescent="0.25">
      <c r="A95" s="264"/>
      <c r="B95" s="49"/>
      <c r="C95" s="49"/>
      <c r="D95" s="49"/>
      <c r="E95" s="49"/>
      <c r="F95" s="49"/>
      <c r="G95" s="49"/>
      <c r="H95" s="49"/>
      <c r="I95" s="50"/>
      <c r="J95" s="50"/>
      <c r="K95" s="287"/>
      <c r="M95" s="82" t="str">
        <f>IF(AND(Y2&gt;=7,Y2&lt;=9),CONCATENATE("Summer ",$Y$3),IF(AND(Y2&gt;=7,Y2&lt;=10),CONCATENATE("Fall ",$Y$3),IF(OR(Y2&gt;=10,Y2&lt;=2),CONCATENATE("Fall ",$Y$3),IF(AND(Y2&gt;=7,Y2&lt;=10),CONCATENATE("Spring",$Y$3+1),IF(OR(Y2&gt;=10,Y2&lt;=2),CONCATENATE("Spring ",$Y$3+1),IF(AND(Y2&gt;=3,Y2&lt;=6),CONCATENATE("Spring ",$Y$3+1),"N/A"))))))</f>
        <v>Fall 2023</v>
      </c>
      <c r="N95" s="82" t="str">
        <f>IF(AND(Y2&gt;=7,Y2&lt;=9),CONCATENATE("Summer ",$Y$3+1),IF(AND(Y2&gt;=7,Y2&lt;=10),CONCATENATE("Fall ",$Y$3+1),IF(OR(Y2&gt;=10,Y2&lt;=2),CONCATENATE("Fall ",$Y$3+1),IF(AND(Y2&gt;=7,Y2&lt;=10),CONCATENATE("Spring",$Y$3+2),IF(OR(Y2&gt;=10,Y2&lt;=2),CONCATENATE("Spring ",$Y$3+2),IF(AND(Y2&gt;=3,Y2&lt;=6),CONCATENATE("Spring ",$Y$3+2),"N/A"))))))</f>
        <v>Fall 2024</v>
      </c>
      <c r="O95" s="82" t="str">
        <f>IF(AND(Y2&gt;=7,Y2&lt;=9),CONCATENATE("Summer ",$Y$3+2),IF(AND(Y2&gt;=7,Y2&lt;=10),CONCATENATE("Fall ",$Y$3+2),IF(OR(Y2&gt;=10,Y2&lt;=2),CONCATENATE("Fall ",$Y$3+2),IF(AND(Y2&gt;=7,Y2&lt;=10),CONCATENATE("Spring",$Y$3+3),IF(OR(Y2&gt;=10,Y2&lt;=2),CONCATENATE("Spring ",$Y$3+3),IF(AND(Y2&gt;=3,Y2&lt;=6),CONCATENATE("Spring ",$Y$3+3),"N/A"))))))</f>
        <v>Fall 2025</v>
      </c>
      <c r="P95" s="82" t="str">
        <f>IF(AND(Y2&gt;=7,Y2&lt;=9),CONCATENATE("Summer ",$Y$3+3),IF(AND(Y2&gt;=7,Y2&lt;=10),CONCATENATE("Fall ",$Y$3+3),IF(OR(Y2&gt;=10,Y2&lt;=2),CONCATENATE("Fall ",$Y$3+3),IF(AND(Y2&gt;=7,Y2&lt;=10),CONCATENATE("Spring",$Y$3+4),IF(OR(Y2&gt;=10,Y2&lt;=2),CONCATENATE("Spring ",$Y$3+4),IF(AND(Y2&gt;=3,Y2&lt;=6),CONCATENATE("Spring ",$Y$3+4),"N/A"))))))</f>
        <v>Fall 2026</v>
      </c>
      <c r="Q95" s="82" t="str">
        <f>IF(AND(Y2&gt;=7,Y2&lt;=9),CONCATENATE("Summer ",$Y$3+4),IF(AND(Y2&gt;=7,Y2&lt;=10),CONCATENATE("Fall ",$Y$3+4),IF(OR(Y2&gt;=10,Y2&lt;=2),CONCATENATE("Fall ",$Y$3+4),IF(AND(Y2&gt;=7,Y2&lt;=10),CONCATENATE("Spring",$Y$3+5),IF(OR(Y2&gt;=10,Y2&lt;=2),CONCATENATE("Spring ",$Y$3+5),IF(AND(Y2&gt;=3,Y2&lt;=6),CONCATENATE("Spring ",$Y$3+5),"N/A"))))))</f>
        <v>Fall 2027</v>
      </c>
      <c r="S95" s="47"/>
    </row>
    <row r="96" spans="1:20" x14ac:dyDescent="0.25">
      <c r="A96" s="264"/>
      <c r="B96" s="113" t="str">
        <f t="shared" ref="B96:H96" si="69">IF(B97=$Z$4,$Z$3,IF(B97=$AA$4,$AA$3,IF(B97=$AB$4,$AB$3,IF(B97=$AC$4,$AC$3,IF(B97=$AD$4,$AD$3," ")))))</f>
        <v>Year 1</v>
      </c>
      <c r="C96" s="113" t="str">
        <f t="shared" si="69"/>
        <v>Year 2</v>
      </c>
      <c r="D96" s="113" t="str">
        <f t="shared" si="69"/>
        <v>Year 3</v>
      </c>
      <c r="E96" s="113" t="str">
        <f t="shared" si="69"/>
        <v>Year 4</v>
      </c>
      <c r="F96" s="113" t="str">
        <f t="shared" si="69"/>
        <v>Year 5</v>
      </c>
      <c r="G96" s="113" t="str">
        <f t="shared" si="69"/>
        <v xml:space="preserve"> </v>
      </c>
      <c r="H96" s="113" t="str">
        <f t="shared" si="69"/>
        <v xml:space="preserve"> </v>
      </c>
      <c r="I96" s="50"/>
      <c r="J96" s="50"/>
      <c r="K96" s="287"/>
      <c r="M96" s="58" t="str">
        <f>IF(AND($Y$2&gt;=1,$Y$2&lt;=6),CONCATENATE("FY",RIGHT(Z4,4),"&amp;",RIGHT(AA4,2)),IF(AND($Y$2&gt;=7,$Y$2&lt;=9),CONCATENATE("FY",RIGHT(Z4,4)),IF(AND($Y$2&gt;=10,$Y$2&lt;=12),CONCATENATE("FY",RIGHT(Z4,4),"&amp;",RIGHT(AA4,2)),"N/A")))</f>
        <v>FY2023&amp;24</v>
      </c>
      <c r="N96" s="58" t="str">
        <f>IF(AND($Y$2&gt;=1,$Y$2&lt;=6),CONCATENATE("FY",RIGHT(AA4,4),"&amp;",RIGHT(AB4,2)),IF(AND($Y$2&gt;=7,$Y$2&lt;=9),CONCATENATE("FY",RIGHT(AA4,4)),IF(AND($Y$2&gt;=10,$Y$2&lt;=12),CONCATENATE("FY",RIGHT(AA4,4),"&amp;",RIGHT(AB4,2)),"N/A")))</f>
        <v>FY2024&amp;25</v>
      </c>
      <c r="O96" s="58" t="str">
        <f>IF(AND($Y$2&gt;=1,$Y$2&lt;=6),CONCATENATE("FY",RIGHT(AB4,4),"&amp;",RIGHT(AC4,2)),IF(AND($Y$2&gt;=7,$Y$2&lt;=9),CONCATENATE("FY",RIGHT(AB4,4)),IF(AND($Y$2&gt;=10,$Y$2&lt;=12),CONCATENATE("FY",RIGHT(AB4,4),"&amp;",RIGHT(AC4,2)),"N/A")))</f>
        <v>FY2025&amp;26</v>
      </c>
      <c r="P96" s="58" t="str">
        <f>IF(AND($Y$2&gt;=1,$Y$2&lt;=6),CONCATENATE("FY",RIGHT(AC4,4),"&amp;",RIGHT(AD4,2)),IF(AND($Y$2&gt;=7,$Y$2&lt;=9),CONCATENATE("FY",RIGHT(AC4,4)),IF(AND($Y$2&gt;=10,$Y$2&lt;=12),CONCATENATE("FY",RIGHT(AC4,4),"&amp;",RIGHT(AD4,2)),"N/A")))</f>
        <v>FY2026&amp;27</v>
      </c>
      <c r="Q96" s="58" t="str">
        <f>IF(AND($Y$2&gt;=1,$Y$2&lt;=6),CONCATENATE("FY",RIGHT(AD4,4),"&amp;",RIGHT(AE4,2)),IF(AND($Y$2&gt;=7,$Y$2&lt;=9),CONCATENATE("FY",RIGHT(AD4,4)),IF(AND($Y$2&gt;=10,$Y$2&lt;=12),CONCATENATE("FY",RIGHT(AD4,4),"&amp;",RIGHT(AE4,2)),"N/A")))</f>
        <v>FY2027&amp;28</v>
      </c>
      <c r="S96" s="47"/>
    </row>
    <row r="97" spans="1:19" ht="15.75" thickBot="1" x14ac:dyDescent="0.3">
      <c r="A97" s="263" t="s">
        <v>495</v>
      </c>
      <c r="B97" s="84" t="str">
        <f>+M$2</f>
        <v>FY2023</v>
      </c>
      <c r="C97" s="84" t="str">
        <f t="shared" ref="C97:H97" si="70">+N$2</f>
        <v>FY2024</v>
      </c>
      <c r="D97" s="84" t="str">
        <f t="shared" si="70"/>
        <v>FY2025</v>
      </c>
      <c r="E97" s="84" t="str">
        <f t="shared" si="70"/>
        <v>FY2026</v>
      </c>
      <c r="F97" s="84" t="str">
        <f t="shared" si="70"/>
        <v>FY2027</v>
      </c>
      <c r="G97" s="84" t="str">
        <f t="shared" si="70"/>
        <v>FY2028</v>
      </c>
      <c r="H97" s="84" t="str">
        <f t="shared" si="70"/>
        <v>FY2029</v>
      </c>
      <c r="I97" s="56" t="s">
        <v>20</v>
      </c>
      <c r="J97" s="100" t="s">
        <v>77</v>
      </c>
      <c r="K97" s="286"/>
      <c r="L97" s="59" t="s">
        <v>86</v>
      </c>
      <c r="M97" s="75" t="s">
        <v>1</v>
      </c>
      <c r="N97" s="76" t="s">
        <v>2</v>
      </c>
      <c r="O97" s="76" t="s">
        <v>3</v>
      </c>
      <c r="P97" s="76" t="s">
        <v>44</v>
      </c>
      <c r="Q97" s="76" t="s">
        <v>50</v>
      </c>
      <c r="S97" s="47"/>
    </row>
    <row r="98" spans="1:19" x14ac:dyDescent="0.25">
      <c r="A98" s="264" t="str">
        <f>CONCATENATE("Base Salary: ",I98," month term")</f>
        <v>Base Salary: 12 month term</v>
      </c>
      <c r="B98" s="93">
        <f>+$M$16</f>
        <v>51480</v>
      </c>
      <c r="C98" s="118">
        <f>ROUND(+B98*(1+J98),0)</f>
        <v>53024</v>
      </c>
      <c r="D98" s="118">
        <f>ROUND(+C98*(1+J98),0)</f>
        <v>54615</v>
      </c>
      <c r="E98" s="118">
        <f>ROUND(+D98*(1+J98),0)</f>
        <v>56253</v>
      </c>
      <c r="F98" s="118">
        <f>ROUND(+E98*(1+J98),0)</f>
        <v>57941</v>
      </c>
      <c r="G98" s="118">
        <f>ROUND(+F98*(1+J98),0)</f>
        <v>59679</v>
      </c>
      <c r="H98" s="118">
        <f>ROUND(+G98*(1+J98),0)</f>
        <v>61469</v>
      </c>
      <c r="I98" s="126">
        <v>12</v>
      </c>
      <c r="J98" s="81">
        <v>0.03</v>
      </c>
      <c r="K98" s="288"/>
      <c r="L98" s="92" t="str">
        <f>CONCATENATE("Number of Students ",IF(AND($Y$2&gt;=7,$Y$2&lt;=9),CONCATENATE("(Fall)"),IF(AND($Y$2&gt;=7,$Y$2&lt;=10),CONCATENATE("(Spring)"),IF(OR($Y$2&gt;=10,$Y$2&lt;=2),CONCATENATE("(Spring)"),IF(AND($Y$2&gt;=7,$Y$2&lt;=10),CONCATENATE("(Summer)"),IF(OR($Y$2&gt;=10,$Y$2&lt;=2),CONCATENATE("(Summer)"),IF(AND($Y$2&gt;=3,$Y$2&lt;=6),CONCATENATE("(Summer)"),"N/A")))))))</f>
        <v>Number of Students (Spring)</v>
      </c>
      <c r="M98" s="91">
        <f t="shared" ref="M98:Q100" si="71">+B104</f>
        <v>0</v>
      </c>
      <c r="N98" s="91">
        <f t="shared" si="71"/>
        <v>0</v>
      </c>
      <c r="O98" s="91">
        <f t="shared" si="71"/>
        <v>0</v>
      </c>
      <c r="P98" s="91">
        <f t="shared" si="71"/>
        <v>0</v>
      </c>
      <c r="Q98" s="91">
        <f t="shared" si="71"/>
        <v>0</v>
      </c>
      <c r="S98" s="47"/>
    </row>
    <row r="99" spans="1:19" x14ac:dyDescent="0.25">
      <c r="A99" s="264" t="s">
        <v>49</v>
      </c>
      <c r="B99" s="86">
        <v>0</v>
      </c>
      <c r="C99" s="86">
        <v>0</v>
      </c>
      <c r="D99" s="86">
        <v>0</v>
      </c>
      <c r="E99" s="86">
        <v>0</v>
      </c>
      <c r="F99" s="86">
        <v>0</v>
      </c>
      <c r="G99" s="86">
        <v>0</v>
      </c>
      <c r="H99" s="86">
        <v>0</v>
      </c>
      <c r="I99" s="49"/>
      <c r="J99" s="49"/>
      <c r="K99" s="264"/>
      <c r="L99" s="128" t="str">
        <f>CONCATENATE("Number of Students ",IF(AND($Y$2&gt;=7,$Y$2&lt;=9),CONCATENATE("(Spring)"),IF(AND($Y$2&gt;=7,$Y$2&lt;=10),CONCATENATE("(Summer)"),IF(OR($Y$2&gt;=10,$Y$2&lt;=2),CONCATENATE("(Summer)"),IF(AND($Y$2&gt;=7,$Y$2&lt;=10),CONCATENATE("(Fall)"),IF(OR($Y$2&gt;=10,$Y$2&lt;=2),CONCATENATE("(Fall) "),IF(AND($Y$2&gt;=3,$Y$2&lt;=6),CONCATENATE("(Fall)"),"N/A")))))))</f>
        <v>Number of Students (Summer)</v>
      </c>
      <c r="M99" s="91">
        <f t="shared" si="71"/>
        <v>0</v>
      </c>
      <c r="N99" s="91">
        <f t="shared" si="71"/>
        <v>0</v>
      </c>
      <c r="O99" s="91">
        <f t="shared" si="71"/>
        <v>0</v>
      </c>
      <c r="P99" s="91">
        <f t="shared" si="71"/>
        <v>0</v>
      </c>
      <c r="Q99" s="91">
        <f t="shared" si="71"/>
        <v>0</v>
      </c>
      <c r="S99" s="47"/>
    </row>
    <row r="100" spans="1:19" x14ac:dyDescent="0.25">
      <c r="A100" s="264" t="str">
        <f>CONCATENATE("FTE for ",I98," Months")</f>
        <v>FTE for 12 Months</v>
      </c>
      <c r="B100" s="85">
        <f t="shared" ref="B100:H100" si="72">+B99/$I98</f>
        <v>0</v>
      </c>
      <c r="C100" s="85">
        <f t="shared" si="72"/>
        <v>0</v>
      </c>
      <c r="D100" s="85">
        <f t="shared" si="72"/>
        <v>0</v>
      </c>
      <c r="E100" s="85">
        <f t="shared" si="72"/>
        <v>0</v>
      </c>
      <c r="F100" s="85">
        <f t="shared" si="72"/>
        <v>0</v>
      </c>
      <c r="G100" s="85">
        <f t="shared" si="72"/>
        <v>0</v>
      </c>
      <c r="H100" s="85">
        <f t="shared" si="72"/>
        <v>0</v>
      </c>
      <c r="I100" s="100"/>
      <c r="J100" s="100"/>
      <c r="K100" s="286"/>
      <c r="L100" s="128" t="str">
        <f>CONCATENATE("Number of Students ",IF(AND($Y$2&gt;=7,$Y$2&lt;=9),CONCATENATE("(Summer)"),IF(AND($Y$2&gt;=7,$Y$2&lt;=10),CONCATENATE("(Fall)"),IF(OR($Y$2&gt;=10,$Y$2&lt;=2),CONCATENATE("(Fall)"),IF(AND($Y$2&gt;=7,$Y$2&lt;=10),CONCATENATE("(Spring)"),IF(OR($Y$2&gt;=10,$Y$2&lt;=2),CONCATENATE("(Spring)"),IF(AND($Y$2&gt;=3,$Y$2&lt;=6),CONCATENATE("(Spring)"),"N/A")))))))</f>
        <v>Number of Students (Fall)</v>
      </c>
      <c r="M100" s="91">
        <f t="shared" si="71"/>
        <v>0</v>
      </c>
      <c r="N100" s="91">
        <f t="shared" si="71"/>
        <v>0</v>
      </c>
      <c r="O100" s="91">
        <f t="shared" si="71"/>
        <v>0</v>
      </c>
      <c r="P100" s="91">
        <f t="shared" si="71"/>
        <v>0</v>
      </c>
      <c r="Q100" s="91">
        <f t="shared" si="71"/>
        <v>0</v>
      </c>
      <c r="S100" s="47"/>
    </row>
    <row r="101" spans="1:19" x14ac:dyDescent="0.25">
      <c r="A101" s="264" t="s">
        <v>21</v>
      </c>
      <c r="B101" s="119">
        <f t="shared" ref="B101:H101" si="73">ROUND((B98*B100*$N$41)+(C98*B100*$N$42),0)</f>
        <v>0</v>
      </c>
      <c r="C101" s="119">
        <f t="shared" si="73"/>
        <v>0</v>
      </c>
      <c r="D101" s="119">
        <f t="shared" si="73"/>
        <v>0</v>
      </c>
      <c r="E101" s="119">
        <f t="shared" si="73"/>
        <v>0</v>
      </c>
      <c r="F101" s="119">
        <f t="shared" si="73"/>
        <v>0</v>
      </c>
      <c r="G101" s="119">
        <f t="shared" si="73"/>
        <v>0</v>
      </c>
      <c r="H101" s="119">
        <f t="shared" si="73"/>
        <v>0</v>
      </c>
      <c r="I101" s="100"/>
      <c r="J101" s="100"/>
      <c r="K101" s="286"/>
      <c r="L101" s="49"/>
      <c r="M101" s="57"/>
      <c r="N101" s="57"/>
      <c r="O101" s="57"/>
      <c r="P101" s="57"/>
      <c r="Q101" s="57"/>
      <c r="S101" s="47"/>
    </row>
    <row r="102" spans="1:19" x14ac:dyDescent="0.25">
      <c r="A102" s="264"/>
      <c r="B102" s="47"/>
      <c r="C102" s="47"/>
      <c r="D102" s="47"/>
      <c r="E102" s="47"/>
      <c r="F102" s="47"/>
      <c r="G102" s="47"/>
      <c r="H102" s="47"/>
      <c r="I102" s="100"/>
      <c r="J102" s="100"/>
      <c r="K102" s="286"/>
      <c r="L102" s="49"/>
      <c r="M102" s="57"/>
      <c r="N102" s="57"/>
      <c r="O102" s="57"/>
      <c r="P102" s="57"/>
      <c r="Q102" s="57"/>
      <c r="S102" s="47"/>
    </row>
    <row r="103" spans="1:19" ht="15.75" thickBot="1" x14ac:dyDescent="0.3">
      <c r="A103" s="263" t="s">
        <v>85</v>
      </c>
      <c r="B103" s="48" t="s">
        <v>1</v>
      </c>
      <c r="C103" s="48" t="s">
        <v>2</v>
      </c>
      <c r="D103" s="48" t="s">
        <v>3</v>
      </c>
      <c r="E103" s="48" t="s">
        <v>44</v>
      </c>
      <c r="F103" s="48" t="s">
        <v>50</v>
      </c>
      <c r="G103" s="47"/>
      <c r="H103" s="47"/>
      <c r="I103" s="100"/>
      <c r="J103" s="100"/>
      <c r="K103" s="286"/>
      <c r="L103" s="59" t="s">
        <v>123</v>
      </c>
      <c r="M103" s="75" t="s">
        <v>1</v>
      </c>
      <c r="N103" s="76" t="s">
        <v>2</v>
      </c>
      <c r="O103" s="76" t="s">
        <v>3</v>
      </c>
      <c r="P103" s="76" t="s">
        <v>44</v>
      </c>
      <c r="Q103" s="76" t="s">
        <v>50</v>
      </c>
      <c r="S103" s="47"/>
    </row>
    <row r="104" spans="1:19" x14ac:dyDescent="0.25">
      <c r="A104" s="264" t="str">
        <f>+L98</f>
        <v>Number of Students (Spring)</v>
      </c>
      <c r="B104" s="127">
        <v>0</v>
      </c>
      <c r="C104" s="127">
        <v>0</v>
      </c>
      <c r="D104" s="127">
        <v>0</v>
      </c>
      <c r="E104" s="127">
        <v>0</v>
      </c>
      <c r="F104" s="127">
        <v>0</v>
      </c>
      <c r="G104" s="47"/>
      <c r="H104" s="47"/>
      <c r="I104" s="100"/>
      <c r="J104" s="100"/>
      <c r="K104" s="286"/>
      <c r="L104" s="60" t="s">
        <v>22</v>
      </c>
      <c r="M104" s="61">
        <f>SUM(M114:M116)</f>
        <v>0</v>
      </c>
      <c r="N104" s="61">
        <f>SUM(N114:N116)</f>
        <v>0</v>
      </c>
      <c r="O104" s="61">
        <f>SUM(O114:O116)</f>
        <v>0</v>
      </c>
      <c r="P104" s="61">
        <f>SUM(P114:P116)</f>
        <v>0</v>
      </c>
      <c r="Q104" s="61">
        <f>SUM(Q114:Q116)</f>
        <v>0</v>
      </c>
      <c r="S104" s="47"/>
    </row>
    <row r="105" spans="1:19" x14ac:dyDescent="0.25">
      <c r="A105" s="264" t="str">
        <f>+L99</f>
        <v>Number of Students (Summer)</v>
      </c>
      <c r="B105" s="94">
        <f>+B104</f>
        <v>0</v>
      </c>
      <c r="C105" s="94">
        <f>+C104</f>
        <v>0</v>
      </c>
      <c r="D105" s="94">
        <f>+D104</f>
        <v>0</v>
      </c>
      <c r="E105" s="94">
        <f>+E104</f>
        <v>0</v>
      </c>
      <c r="F105" s="94">
        <f>+F104</f>
        <v>0</v>
      </c>
      <c r="G105" s="47"/>
      <c r="H105" s="47"/>
      <c r="I105" s="100"/>
      <c r="J105" s="100"/>
      <c r="K105" s="286"/>
      <c r="L105" s="60" t="s">
        <v>8</v>
      </c>
      <c r="M105" s="61">
        <f>SUM(M117:M119)</f>
        <v>0</v>
      </c>
      <c r="N105" s="61">
        <f>SUM(N117:N119)</f>
        <v>0</v>
      </c>
      <c r="O105" s="61">
        <f>SUM(O117:O119)</f>
        <v>0</v>
      </c>
      <c r="P105" s="61">
        <f>SUM(P117:P119)</f>
        <v>0</v>
      </c>
      <c r="Q105" s="61">
        <f>SUM(Q117:Q119)</f>
        <v>0</v>
      </c>
      <c r="S105" s="47"/>
    </row>
    <row r="106" spans="1:19" x14ac:dyDescent="0.25">
      <c r="A106" s="264" t="str">
        <f>+L100</f>
        <v>Number of Students (Fall)</v>
      </c>
      <c r="B106" s="94">
        <f>+B104</f>
        <v>0</v>
      </c>
      <c r="C106" s="94">
        <f>+C104</f>
        <v>0</v>
      </c>
      <c r="D106" s="94">
        <f>+D104</f>
        <v>0</v>
      </c>
      <c r="E106" s="94">
        <f>+E104</f>
        <v>0</v>
      </c>
      <c r="F106" s="94">
        <f>+F104</f>
        <v>0</v>
      </c>
      <c r="G106" s="47"/>
      <c r="H106" s="47"/>
      <c r="I106" s="100"/>
      <c r="J106" s="100"/>
      <c r="K106" s="286"/>
      <c r="L106" s="60" t="s">
        <v>9</v>
      </c>
      <c r="M106" s="61">
        <f>SUM(M120:M122)</f>
        <v>0</v>
      </c>
      <c r="N106" s="61">
        <f>SUM(N120:N122)</f>
        <v>0</v>
      </c>
      <c r="O106" s="61">
        <f>SUM(O120:O122)</f>
        <v>0</v>
      </c>
      <c r="P106" s="61">
        <f>SUM(P120:P122)</f>
        <v>0</v>
      </c>
      <c r="Q106" s="61">
        <f>SUM(Q120:Q122)</f>
        <v>0</v>
      </c>
      <c r="S106" s="47"/>
    </row>
    <row r="107" spans="1:19" ht="15.75" thickBot="1" x14ac:dyDescent="0.3">
      <c r="A107" s="264"/>
      <c r="B107" s="94"/>
      <c r="C107" s="94"/>
      <c r="D107" s="94"/>
      <c r="E107" s="94"/>
      <c r="F107" s="94"/>
      <c r="G107" s="47"/>
      <c r="H107" s="47"/>
      <c r="I107" s="100"/>
      <c r="J107" s="100"/>
      <c r="K107" s="286"/>
      <c r="L107" s="62" t="s">
        <v>31</v>
      </c>
      <c r="M107" s="63">
        <f>SUM(M104:M106)</f>
        <v>0</v>
      </c>
      <c r="N107" s="63">
        <f>SUM(N104:N106)</f>
        <v>0</v>
      </c>
      <c r="O107" s="63">
        <f>SUM(O104:O106)</f>
        <v>0</v>
      </c>
      <c r="P107" s="63">
        <f>SUM(P104:P106)</f>
        <v>0</v>
      </c>
      <c r="Q107" s="63">
        <f>SUM(Q104:Q106)</f>
        <v>0</v>
      </c>
      <c r="S107" s="47"/>
    </row>
    <row r="108" spans="1:19" x14ac:dyDescent="0.25">
      <c r="A108" s="263" t="s">
        <v>89</v>
      </c>
      <c r="B108" s="48" t="s">
        <v>1</v>
      </c>
      <c r="C108" s="48" t="s">
        <v>2</v>
      </c>
      <c r="D108" s="48" t="s">
        <v>3</v>
      </c>
      <c r="E108" s="48" t="s">
        <v>44</v>
      </c>
      <c r="F108" s="48" t="s">
        <v>50</v>
      </c>
      <c r="J108" s="100" t="s">
        <v>77</v>
      </c>
      <c r="K108" s="266"/>
      <c r="M108" s="129"/>
      <c r="S108" s="47"/>
    </row>
    <row r="109" spans="1:19" x14ac:dyDescent="0.25">
      <c r="A109" s="264" t="s">
        <v>84</v>
      </c>
      <c r="B109" s="86">
        <f>+$M$18</f>
        <v>13.2</v>
      </c>
      <c r="C109" s="86">
        <f>ROUND(+B109*(1+J109),2)</f>
        <v>13.2</v>
      </c>
      <c r="D109" s="86">
        <f>ROUND(+C109*(1+J109),2)</f>
        <v>13.2</v>
      </c>
      <c r="E109" s="86">
        <f>ROUND(+D109*(1+J109),2)</f>
        <v>13.2</v>
      </c>
      <c r="F109" s="86">
        <f>ROUND(+E109*(1+J109),2)</f>
        <v>13.2</v>
      </c>
      <c r="J109" s="81">
        <v>0</v>
      </c>
      <c r="K109" s="266"/>
      <c r="S109" s="47"/>
    </row>
    <row r="110" spans="1:19" x14ac:dyDescent="0.25">
      <c r="A110" s="264" t="s">
        <v>64</v>
      </c>
      <c r="B110" s="83">
        <v>0</v>
      </c>
      <c r="C110" s="83">
        <v>0</v>
      </c>
      <c r="D110" s="83">
        <v>0</v>
      </c>
      <c r="E110" s="83">
        <v>0</v>
      </c>
      <c r="F110" s="83">
        <v>0</v>
      </c>
      <c r="K110" s="266"/>
      <c r="L110" s="130"/>
      <c r="M110" s="82" t="str">
        <f>CONCATENATE("FY",$Y$3)</f>
        <v>FY2023</v>
      </c>
      <c r="N110" s="82" t="str">
        <f>CONCATENATE("FY",$Y$3+1)</f>
        <v>FY2024</v>
      </c>
      <c r="O110" s="82" t="str">
        <f>CONCATENATE("FY",$Y$3+2)</f>
        <v>FY2025</v>
      </c>
      <c r="P110" s="82" t="str">
        <f>CONCATENATE("FY",$Y$3+3)</f>
        <v>FY2026</v>
      </c>
      <c r="Q110" s="82" t="str">
        <f>CONCATENATE("FY",$Y$3+4)</f>
        <v>FY2027</v>
      </c>
      <c r="S110" s="47"/>
    </row>
    <row r="111" spans="1:19" x14ac:dyDescent="0.25">
      <c r="A111" s="264" t="s">
        <v>65</v>
      </c>
      <c r="B111" s="83">
        <v>0</v>
      </c>
      <c r="C111" s="83">
        <v>0</v>
      </c>
      <c r="D111" s="83">
        <v>0</v>
      </c>
      <c r="E111" s="83">
        <v>0</v>
      </c>
      <c r="F111" s="83">
        <v>0</v>
      </c>
      <c r="K111" s="266"/>
      <c r="L111" s="131"/>
      <c r="M111" s="82" t="str">
        <f>IF(OR($Y$2&gt;=7,$Y$2&lt;=2),CONCATENATE("FY",$Y$3),IF(AND($Y$2&gt;=3,$Y$2&lt;=6),CONCATENATE("FY",$Y$3+1),"N/A"))</f>
        <v>FY2023</v>
      </c>
      <c r="N111" s="82" t="str">
        <f>IF(OR($Y$2&gt;=7,$Y$2&lt;=2),CONCATENATE("FY",$Y$3+1),IF(AND($Y$2&gt;=3,$Y$2&lt;=6),CONCATENATE("FY",$Y$3+2),"N/A"))</f>
        <v>FY2024</v>
      </c>
      <c r="O111" s="82" t="str">
        <f>IF(OR($Y$2&gt;=7,$Y$2&lt;=2),CONCATENATE("FY",$Y$3+2),IF(AND($Y$2&gt;=3,$Y$2&lt;=6),CONCATENATE("FY",$Y$3+3),"N/A"))</f>
        <v>FY2025</v>
      </c>
      <c r="P111" s="82" t="str">
        <f>IF(OR($Y$2&gt;=7,$Y$2&lt;=2),CONCATENATE("FY",$Y$3+3),IF(AND($Y$2&gt;=3,$Y$2&lt;=6),CONCATENATE("FY",$Y$3+4),"N/A"))</f>
        <v>FY2026</v>
      </c>
      <c r="Q111" s="82" t="str">
        <f>IF(OR($Y$2&gt;=7,$Y$2&lt;=2),CONCATENATE("FY",$Y$3+4),IF(AND($Y$2&gt;=3,$Y$2&lt;=6),CONCATENATE("FY",$Y$3+5),"N/A"))</f>
        <v>FY2027</v>
      </c>
      <c r="S111" s="47"/>
    </row>
    <row r="112" spans="1:19" x14ac:dyDescent="0.25">
      <c r="A112" s="264" t="s">
        <v>79</v>
      </c>
      <c r="B112" s="714">
        <f>+B109*(B110*B111)</f>
        <v>0</v>
      </c>
      <c r="C112" s="714">
        <f t="shared" ref="C112:F112" si="74">+C109*(C110*C111)</f>
        <v>0</v>
      </c>
      <c r="D112" s="714">
        <f t="shared" si="74"/>
        <v>0</v>
      </c>
      <c r="E112" s="714">
        <f t="shared" si="74"/>
        <v>0</v>
      </c>
      <c r="F112" s="714">
        <f t="shared" si="74"/>
        <v>0</v>
      </c>
      <c r="K112" s="266"/>
      <c r="L112" s="82"/>
      <c r="M112" s="82" t="str">
        <f>IF(AND($Y$2&gt;=1,$Y$2&lt;=6),CONCATENATE("FY",$Y$3+1),IF(AND($Y$2&gt;=7,$Y$2&lt;=9),CONCATENATE("FY",$Y$3),IF(AND($Y$2&gt;=10,$Y$2&lt;=126),CONCATENATE("FY",$Y$3+1),"N/A")))</f>
        <v>FY2024</v>
      </c>
      <c r="N112" s="82" t="str">
        <f>IF(AND($Y$2&gt;=1,$Y$2&lt;=6),CONCATENATE("FY",$Y$3+2),IF(AND($Y$2&gt;=7,$Y$2&lt;=9),CONCATENATE("FY",$Y$3+1),IF(AND($Y$2&gt;=10,$Y$2&lt;=126),CONCATENATE("FY",$Y$3+2),"N/A")))</f>
        <v>FY2025</v>
      </c>
      <c r="O112" s="82" t="str">
        <f>IF(AND($Y$2&gt;=1,$Y$2&lt;=6),CONCATENATE("FY",$Y$3+3),IF(AND($Y$2&gt;=7,$Y$2&lt;=9),CONCATENATE("FY",$Y$3+2),IF(AND($Y$2&gt;=10,$Y$2&lt;=126),CONCATENATE("FY",$Y$3+3),"N/A")))</f>
        <v>FY2026</v>
      </c>
      <c r="P112" s="82" t="str">
        <f>IF(AND($Y$2&gt;=1,$Y$2&lt;=6),CONCATENATE("FY",$Y$3+4),IF(AND($Y$2&gt;=7,$Y$2&lt;=9),CONCATENATE("FY",$Y$3+3),IF(AND($Y$2&gt;=10,$Y$2&lt;=126),CONCATENATE("FY",$Y$3+4),"N/A")))</f>
        <v>FY2027</v>
      </c>
      <c r="Q112" s="82" t="str">
        <f>IF(AND($Y$2&gt;=1,$Y$2&lt;=6),CONCATENATE("FY",$Y$3+5),IF(AND($Y$2&gt;=7,$Y$2&lt;=9),CONCATENATE("FY",$Y$3+4),IF(AND($Y$2&gt;=10,$Y$2&lt;=126),CONCATENATE("FY",$Y$3+5),"N/A")))</f>
        <v>FY2028</v>
      </c>
      <c r="S112" s="47"/>
    </row>
    <row r="113" spans="1:17" ht="15.75" thickBot="1" x14ac:dyDescent="0.3">
      <c r="A113" s="264" t="s">
        <v>62</v>
      </c>
      <c r="B113" s="83">
        <v>0</v>
      </c>
      <c r="C113" s="83">
        <v>0</v>
      </c>
      <c r="D113" s="83">
        <v>0</v>
      </c>
      <c r="E113" s="83">
        <v>0</v>
      </c>
      <c r="F113" s="83">
        <v>0</v>
      </c>
      <c r="K113" s="266"/>
      <c r="L113" s="59" t="s">
        <v>124</v>
      </c>
      <c r="M113" s="75" t="s">
        <v>1</v>
      </c>
      <c r="N113" s="76" t="s">
        <v>2</v>
      </c>
      <c r="O113" s="76" t="s">
        <v>3</v>
      </c>
      <c r="P113" s="76" t="s">
        <v>44</v>
      </c>
      <c r="Q113" s="76" t="s">
        <v>50</v>
      </c>
    </row>
    <row r="114" spans="1:17" x14ac:dyDescent="0.25">
      <c r="A114" s="264" t="s">
        <v>63</v>
      </c>
      <c r="B114" s="83">
        <v>0</v>
      </c>
      <c r="C114" s="83">
        <v>0</v>
      </c>
      <c r="D114" s="83">
        <v>0</v>
      </c>
      <c r="E114" s="83">
        <v>0</v>
      </c>
      <c r="F114" s="83">
        <v>0</v>
      </c>
      <c r="K114" s="266"/>
      <c r="L114" s="132" t="str">
        <f>CONCATENATE("Stipend ",IF(AND(Y2&gt;=7,Y2&lt;=9),CONCATENATE("(Fall)"),IF(AND(Y2&gt;=7,Y2&lt;=10),CONCATENATE("(Spring)"),IF(OR(Y2&gt;=10,Y2&lt;=2),CONCATENATE("(Spring)"),IF(AND(Y2&gt;=7,Y2&lt;=10),CONCATENATE("(Summer)"),IF(OR(Y2&gt;=10,Y2&lt;=2),CONCATENATE("(Summer)"),IF(AND(Y2&gt;=3,Y2&lt;=6),CONCATENATE("(Summer)"),"N/A")))))))</f>
        <v>Stipend (Spring)</v>
      </c>
      <c r="M114" s="133">
        <f>IF(RIGHT($L114,8)="(Summer)",ROUND(M98*HLOOKUP(M110,M85:S90,3,FALSE),0))+IF(RIGHT($L114,8)&lt;&gt;"(Summer)",ROUND(M98*HLOOKUP(M110,M85:S90,2,FALSE)/2,0))</f>
        <v>0</v>
      </c>
      <c r="N114" s="133">
        <f>IF(RIGHT($L114,8)="(Summer)",ROUND(N98*HLOOKUP(N110,N85:T90,3,FALSE),0))+IF(RIGHT($L114,8)&lt;&gt;"(Summer)",ROUND(N98*HLOOKUP(N110,N85:T90,2,FALSE)/2,0))</f>
        <v>0</v>
      </c>
      <c r="O114" s="133">
        <f>IF(RIGHT($L114,8)="(Summer)",ROUND(O98*HLOOKUP(O110,O85:U90,3,FALSE),0))+IF(RIGHT($L114,8)&lt;&gt;"(Summer)",ROUND(O98*HLOOKUP(O110,O85:U90,2,FALSE)/2,0))</f>
        <v>0</v>
      </c>
      <c r="P114" s="133">
        <f>IF(RIGHT($L114,8)="(Summer)",ROUND(P98*HLOOKUP(P110,P85:V90,3,FALSE),0))+IF(RIGHT($L114,8)&lt;&gt;"(Summer)",ROUND(P98*HLOOKUP(P110,P85:V90,2,FALSE)/2,0))</f>
        <v>0</v>
      </c>
      <c r="Q114" s="133">
        <f>IF(RIGHT($L114,8)="(Summer)",ROUND(Q98*HLOOKUP(Q110,Q85:W90,3,FALSE),0))+IF(RIGHT($L114,8)&lt;&gt;"(Summer)",ROUND(Q98*HLOOKUP(Q110,Q85:W90,2,FALSE)/2,0))</f>
        <v>0</v>
      </c>
    </row>
    <row r="115" spans="1:17" x14ac:dyDescent="0.25">
      <c r="A115" s="264" t="s">
        <v>80</v>
      </c>
      <c r="B115" s="714">
        <f>+B109*(B113*B114)</f>
        <v>0</v>
      </c>
      <c r="C115" s="714">
        <f t="shared" ref="C115:F115" si="75">+C109*(C113*C114)</f>
        <v>0</v>
      </c>
      <c r="D115" s="714">
        <f t="shared" si="75"/>
        <v>0</v>
      </c>
      <c r="E115" s="714">
        <f t="shared" si="75"/>
        <v>0</v>
      </c>
      <c r="F115" s="714">
        <f t="shared" si="75"/>
        <v>0</v>
      </c>
      <c r="K115" s="266"/>
      <c r="L115" s="134" t="str">
        <f>CONCATENATE("Stipend ",IF(AND(Y2&gt;=7,Y2&lt;=9),CONCATENATE("(Spring)"),IF(AND(Y2&gt;=7,Y2&lt;=10),CONCATENATE("(Summer)"),IF(OR(Y2&gt;=10,Y2&lt;=2),CONCATENATE("(Summer)"),IF(AND(Y2&gt;=7,Y2&lt;=10),CONCATENATE("(Fall)"),IF(OR(Y2&gt;=10,Y2&lt;=2),CONCATENATE("(Fall) "),IF(AND(Y2&gt;=3,Y2&lt;=6),CONCATENATE("(Fall)"),"N/A")))))))</f>
        <v>Stipend (Summer)</v>
      </c>
      <c r="M115" s="133">
        <f>IF(RIGHT($L115,8)="(Summer)",ROUND(M99*HLOOKUP(M111,M85:S90,3,FALSE),0))+IF(RIGHT($L115,8)&lt;&gt;"(Summer)",ROUND(M99*HLOOKUP(M111,M85:S90,2,FALSE)/2,0))</f>
        <v>0</v>
      </c>
      <c r="N115" s="133">
        <f>IF(RIGHT($L115,8)="(Summer)",ROUND(N99*HLOOKUP(N111,N85:T90,3,FALSE),0))+IF(RIGHT($L115,8)&lt;&gt;"(Summer)",ROUND(N99*HLOOKUP(N111,N85:T90,2,FALSE)/2,0))</f>
        <v>0</v>
      </c>
      <c r="O115" s="133">
        <f>IF(RIGHT($L115,8)="(Summer)",ROUND(O99*HLOOKUP(O111,O85:U90,3,FALSE),0))+IF(RIGHT($L115,8)&lt;&gt;"(Summer)",ROUND(O99*HLOOKUP(O111,O85:U90,2,FALSE)/2,0))</f>
        <v>0</v>
      </c>
      <c r="P115" s="133">
        <f>IF(RIGHT($L115,8)="(Summer)",ROUND(P99*HLOOKUP(P111,P85:V90,3,FALSE),0))+IF(RIGHT($L115,8)&lt;&gt;"(Summer)",ROUND(P99*HLOOKUP(P111,P85:V90,2,FALSE)/2,0))</f>
        <v>0</v>
      </c>
      <c r="Q115" s="133">
        <f>IF(RIGHT($L115,8)="(Summer)",ROUND(Q99*HLOOKUP(Q111,Q85:W90,3,FALSE),0))+IF(RIGHT($L115,8)&lt;&gt;"(Summer)",ROUND(Q99*HLOOKUP(Q111,Q85:W90,2,FALSE)/2,0))</f>
        <v>0</v>
      </c>
    </row>
    <row r="116" spans="1:17" x14ac:dyDescent="0.25">
      <c r="A116" s="264" t="s">
        <v>21</v>
      </c>
      <c r="B116" s="716">
        <f>ROUND(+B112+B115,0)</f>
        <v>0</v>
      </c>
      <c r="C116" s="716">
        <f t="shared" ref="C116:F116" si="76">ROUND(+C112+C115,0)</f>
        <v>0</v>
      </c>
      <c r="D116" s="716">
        <f t="shared" si="76"/>
        <v>0</v>
      </c>
      <c r="E116" s="716">
        <f t="shared" si="76"/>
        <v>0</v>
      </c>
      <c r="F116" s="716">
        <f t="shared" si="76"/>
        <v>0</v>
      </c>
      <c r="K116" s="266"/>
      <c r="L116" s="134" t="str">
        <f>CONCATENATE("Stipend ",IF(AND(Y2&gt;=7,Y2&lt;=9),CONCATENATE("(Summer)"),IF(AND(Y2&gt;=7,Y2&lt;=10),CONCATENATE("(Fall)"),IF(OR(Y2&gt;=10,Y2&lt;=2),CONCATENATE("(Fall)"),IF(AND(Y2&gt;=7,Y2&lt;=10),CONCATENATE("(Spring)"),IF(OR(Y2&gt;=10,Y2&lt;=2),CONCATENATE("(Spring)"),IF(AND(Y2&gt;=3,Y2&lt;=6),CONCATENATE("(Spring)"),"N/A")))))))</f>
        <v>Stipend (Fall)</v>
      </c>
      <c r="M116" s="133">
        <f>IF(RIGHT($L116,8)="(Summer)",ROUND(M100*HLOOKUP(M112,M85:S90,3,FALSE),0))+IF(RIGHT($L116,8)&lt;&gt;"(Summer)",ROUND(M100*HLOOKUP(M112,M85:S90,2,FALSE)/2,0))</f>
        <v>0</v>
      </c>
      <c r="N116" s="133">
        <f>IF(RIGHT($L116,8)="(Summer)",ROUND(N100*HLOOKUP(N112,N85:T90,3,FALSE),0))+IF(RIGHT($L116,8)&lt;&gt;"(Summer)",ROUND(N100*HLOOKUP(N112,N85:T90,2,FALSE)/2,0))</f>
        <v>0</v>
      </c>
      <c r="O116" s="133">
        <f>IF(RIGHT($L116,8)="(Summer)",ROUND(O100*HLOOKUP(O112,O85:U90,3,FALSE),0))+IF(RIGHT($L116,8)&lt;&gt;"(Summer)",ROUND(O100*HLOOKUP(O112,O85:U90,2,FALSE)/2,0))</f>
        <v>0</v>
      </c>
      <c r="P116" s="133">
        <f>IF(RIGHT($L116,8)="(Summer)",ROUND(P100*HLOOKUP(P112,P85:V90,3,FALSE),0))+IF(RIGHT($L116,8)&lt;&gt;"(Summer)",ROUND(P100*HLOOKUP(P112,P85:V90,2,FALSE)/2,0))</f>
        <v>0</v>
      </c>
      <c r="Q116" s="133">
        <f>IF(RIGHT($L116,8)="(Summer)",ROUND(Q100*HLOOKUP(Q112,Q85:W90,3,FALSE),0))+IF(RIGHT($L116,8)&lt;&gt;"(Summer)",ROUND(Q100*HLOOKUP(Q112,Q85:W90,2,FALSE)/2,0))</f>
        <v>0</v>
      </c>
    </row>
    <row r="117" spans="1:17" x14ac:dyDescent="0.25">
      <c r="A117" s="266"/>
      <c r="B117" s="715"/>
      <c r="H117" s="47"/>
      <c r="K117" s="266"/>
      <c r="L117" s="134" t="str">
        <f>CONCATENATE("Tuition ",IF(AND(Y2&gt;=7,Y2&lt;=9),CONCATENATE("(Fall)"),IF(AND(Y2&gt;=7,Y2&lt;=10),CONCATENATE("(Spring)"),IF(OR(Y2&gt;=10,Y2&lt;=2),CONCATENATE("(Spring)"),IF(AND(Y2&gt;=7,Y2&lt;=10),CONCATENATE("(Summer)"),IF(OR(Y2&gt;=10,Y2&lt;=2),CONCATENATE("(Summer)"),IF(AND(Y2&gt;=3,Y2&lt;=6),CONCATENATE("(Summer)"),"N/A")))))))</f>
        <v>Tuition (Spring)</v>
      </c>
      <c r="M117" s="133">
        <f>IF(RIGHT($L117,8)="(Summer)",0,ROUND(M98*HLOOKUP(M110,M85:S90,5,FALSE)/2,0))</f>
        <v>0</v>
      </c>
      <c r="N117" s="133">
        <f>IF(RIGHT($L117,8)="(Summer)",0,ROUND(N98*HLOOKUP(N110,N85:T90,5,FALSE)/2,0))</f>
        <v>0</v>
      </c>
      <c r="O117" s="133">
        <f>IF(RIGHT($L117,8)="(Summer)",0,ROUND(O98*HLOOKUP(O110,O85:U90,5,FALSE)/2,0))</f>
        <v>0</v>
      </c>
      <c r="P117" s="133">
        <f>IF(RIGHT($L117,8)="(Summer)",0,ROUND(P98*HLOOKUP(P110,P85:V90,5,FALSE)/2,0))</f>
        <v>0</v>
      </c>
      <c r="Q117" s="133">
        <f>IF(RIGHT($L117,8)="(Summer)",0,ROUND(Q98*HLOOKUP(Q110,Q85:W90,5,FALSE)/2,0))</f>
        <v>0</v>
      </c>
    </row>
    <row r="118" spans="1:17" x14ac:dyDescent="0.25">
      <c r="A118" s="267"/>
      <c r="B118" s="113" t="str">
        <f t="shared" ref="B118:H118" si="77">IF(AND(B119=$Z$5,$I120=9),$Z$3,IF(AND(B119=$AA$5,$I120=9),$AA$3,IF(AND(B119=$AB$5,$I120=9),$AB$3,IF(AND(B119=$AC$5,$I120=9),$AC$3,IF(AND(B119=$AD$5,$I120=9),$AD$3,IF(AND(B119=$Z$4,$I120=12),$Z$3,IF(AND(B119=$AA$4,$I120=12),$AA$3,IF(AND(B119=$AB$4,$I120=12),$AB$3,IF(AND(B119=$AC$4,$I120=12),$AC$3,IF(AND(B119=$AD$4,$I120=12),$AD$3," "))))))))))</f>
        <v>Year 1</v>
      </c>
      <c r="C118" s="113" t="str">
        <f t="shared" si="77"/>
        <v>Year 2</v>
      </c>
      <c r="D118" s="113" t="str">
        <f t="shared" si="77"/>
        <v>Year 3</v>
      </c>
      <c r="E118" s="113" t="str">
        <f t="shared" si="77"/>
        <v>Year 4</v>
      </c>
      <c r="F118" s="113" t="str">
        <f t="shared" si="77"/>
        <v>Year 5</v>
      </c>
      <c r="G118" s="113" t="str">
        <f t="shared" si="77"/>
        <v xml:space="preserve"> </v>
      </c>
      <c r="H118" s="113" t="str">
        <f t="shared" si="77"/>
        <v xml:space="preserve"> </v>
      </c>
      <c r="K118" s="266"/>
      <c r="L118" s="134" t="str">
        <f>CONCATENATE("Tuition ",IF(AND(Y2&gt;=7,Y2&lt;=9),CONCATENATE("(Spring)"),IF(AND(Y2&gt;=7,Y2&lt;=10),CONCATENATE("(Summer)"),IF(OR(Y2&gt;=10,Y2&lt;=2),CONCATENATE("(Summer)"),IF(AND(Y2&gt;=7,Y2&lt;=10),CONCATENATE("(Fall)"),IF(OR(Y2&gt;=10,Y2&lt;=2),CONCATENATE("(Fall) "),IF(AND(Y2&gt;=3,Y2&lt;=6),CONCATENATE("(Fall)"),"N/A")))))))</f>
        <v>Tuition (Summer)</v>
      </c>
      <c r="M118" s="133">
        <f>IF(RIGHT($L118,8)="(Summer)",0,ROUND(M99*HLOOKUP(M111,M85:S90,5,FALSE)/2,0))</f>
        <v>0</v>
      </c>
      <c r="N118" s="133">
        <f>IF(RIGHT($L118,8)="(Summer)",0,ROUND(N99*HLOOKUP(N111,N85:T90,5,FALSE)/2,0))</f>
        <v>0</v>
      </c>
      <c r="O118" s="133">
        <f>IF(RIGHT($L118,8)="(Summer)",0,ROUND(O99*HLOOKUP(O111,O85:U90,5,FALSE)/2,0))</f>
        <v>0</v>
      </c>
      <c r="P118" s="133">
        <f>IF(RIGHT($L118,8)="(Summer)",0,ROUND(P99*HLOOKUP(P111,P85:V90,5,FALSE)/2,0))</f>
        <v>0</v>
      </c>
      <c r="Q118" s="133">
        <f>IF(RIGHT($L118,8)="(Summer)",0,ROUND(Q99*HLOOKUP(Q111,Q85:W90,5,FALSE)/2,0))</f>
        <v>0</v>
      </c>
    </row>
    <row r="119" spans="1:17" x14ac:dyDescent="0.25">
      <c r="A119" s="263" t="s">
        <v>494</v>
      </c>
      <c r="B119" s="84" t="str">
        <f>+M$2</f>
        <v>FY2023</v>
      </c>
      <c r="C119" s="84" t="str">
        <f t="shared" ref="C119:H119" si="78">+N$2</f>
        <v>FY2024</v>
      </c>
      <c r="D119" s="84" t="str">
        <f t="shared" si="78"/>
        <v>FY2025</v>
      </c>
      <c r="E119" s="84" t="str">
        <f t="shared" si="78"/>
        <v>FY2026</v>
      </c>
      <c r="F119" s="84" t="str">
        <f t="shared" si="78"/>
        <v>FY2027</v>
      </c>
      <c r="G119" s="84" t="str">
        <f t="shared" si="78"/>
        <v>FY2028</v>
      </c>
      <c r="H119" s="84" t="str">
        <f t="shared" si="78"/>
        <v>FY2029</v>
      </c>
      <c r="I119" s="56" t="s">
        <v>20</v>
      </c>
      <c r="J119" s="100" t="s">
        <v>77</v>
      </c>
      <c r="K119" s="286"/>
      <c r="L119" s="134" t="str">
        <f>CONCATENATE("Tuition ",IF(AND(Y2&gt;=7,Y2&lt;=9),CONCATENATE("(Summer)"),IF(AND(Y2&gt;=7,Y2&lt;=10),CONCATENATE("(Fall)"),IF(OR(Y2&gt;=10,Y2&lt;=2),CONCATENATE("(Fall)"),IF(AND(Y2&gt;=7,Y2&lt;=10),CONCATENATE("(Spring)"),IF(OR(Y2&gt;=10,Y2&lt;=2),CONCATENATE("(Spring)"),IF(AND(Y2&gt;=3,Y2&lt;=6),CONCATENATE("(Spring)"),"N/A")))))))</f>
        <v>Tuition (Fall)</v>
      </c>
      <c r="M119" s="133">
        <f>IF(RIGHT($L119,8)="(Summer)",0,ROUND(M100*HLOOKUP(M112,M85:S90,5,FALSE)/2,0))</f>
        <v>0</v>
      </c>
      <c r="N119" s="133">
        <f>IF(RIGHT($L119,8)="(Summer)",0,ROUND(N100*HLOOKUP(N112,N85:T90,5,FALSE)/2,0))</f>
        <v>0</v>
      </c>
      <c r="O119" s="133">
        <f>IF(RIGHT($L119,8)="(Summer)",0,ROUND(O100*HLOOKUP(O112,O85:U90,5,FALSE)/2,0))</f>
        <v>0</v>
      </c>
      <c r="P119" s="133">
        <f>IF(RIGHT($L119,8)="(Summer)",0,ROUND(P100*HLOOKUP(P112,P85:V90,5,FALSE)/2,0))</f>
        <v>0</v>
      </c>
      <c r="Q119" s="133">
        <f>IF(RIGHT($L119,8)="(Summer)",0,ROUND(Q100*HLOOKUP(Q112,Q85:W90,5,FALSE)/2,0))</f>
        <v>0</v>
      </c>
    </row>
    <row r="120" spans="1:17" x14ac:dyDescent="0.25">
      <c r="A120" s="264" t="str">
        <f>CONCATENATE("Base Salary: ",I120," month term")</f>
        <v>Base Salary: 12 month term</v>
      </c>
      <c r="B120" s="93">
        <v>72800</v>
      </c>
      <c r="C120" s="118">
        <f>ROUND(+B120*(1+J120),0)</f>
        <v>74984</v>
      </c>
      <c r="D120" s="118">
        <f>ROUND(+C120*(1+J120),0)</f>
        <v>77234</v>
      </c>
      <c r="E120" s="118">
        <f>ROUND(+D120*(1+J120),0)</f>
        <v>79551</v>
      </c>
      <c r="F120" s="118">
        <f>ROUND(+E120*(1+J120),0)</f>
        <v>81938</v>
      </c>
      <c r="G120" s="118">
        <f>ROUND(+F120*(1+J120),0)</f>
        <v>84396</v>
      </c>
      <c r="H120" s="118">
        <f>ROUND(+G120*(1+J120),0)</f>
        <v>86928</v>
      </c>
      <c r="I120" s="74">
        <v>12</v>
      </c>
      <c r="J120" s="81">
        <v>0.03</v>
      </c>
      <c r="K120" s="288"/>
      <c r="L120" s="134" t="str">
        <f>CONCATENATE("Health Insurance ",IF(AND(Y2&gt;=7,Y2&lt;=9),CONCATENATE("(Fall)"),IF(AND(Y2&gt;=7,Y2&lt;=10),CONCATENATE("(Spring)"),IF(OR(Y2&gt;=10,Y2&lt;=2),CONCATENATE("(Spring)"),IF(AND(Y2&gt;=7,Y2&lt;=10),CONCATENATE("(Summer)"),IF(OR(Y2&gt;=10,Y2&lt;=2),CONCATENATE("(Summer)"),IF(AND(Y2&gt;=3,Y2&lt;=6),CONCATENATE("(Summer)"),"N/A")))))))</f>
        <v>Health Insurance (Spring)</v>
      </c>
      <c r="M120" s="133">
        <f>IF(RIGHT($L120,8)="(Summer)",0,ROUND(M98*HLOOKUP(M110,M85:S90,6,FALSE)/2,0))</f>
        <v>0</v>
      </c>
      <c r="N120" s="133">
        <f>IF(RIGHT($L120,8)="(Summer)",0,ROUND(N98*HLOOKUP(N110,N85:T90,6,FALSE)/2,0))</f>
        <v>0</v>
      </c>
      <c r="O120" s="133">
        <f>IF(RIGHT($L120,8)="(Summer)",0,ROUND(O98*HLOOKUP(O110,O85:U90,6,FALSE)/2,0))</f>
        <v>0</v>
      </c>
      <c r="P120" s="133">
        <f>IF(RIGHT($L120,8)="(Summer)",0,ROUND(P98*HLOOKUP(P110,P85:V90,6,FALSE)/2,0))</f>
        <v>0</v>
      </c>
      <c r="Q120" s="133">
        <f>IF(RIGHT($L120,8)="(Summer)",0,ROUND(Q98*HLOOKUP(Q110,Q85:W90,6,FALSE)/2,0))</f>
        <v>0</v>
      </c>
    </row>
    <row r="121" spans="1:17" x14ac:dyDescent="0.25">
      <c r="A121" s="264" t="s">
        <v>49</v>
      </c>
      <c r="B121" s="86">
        <v>1</v>
      </c>
      <c r="C121" s="86">
        <v>0</v>
      </c>
      <c r="D121" s="86">
        <v>0</v>
      </c>
      <c r="E121" s="86">
        <v>0</v>
      </c>
      <c r="F121" s="86">
        <v>0</v>
      </c>
      <c r="G121" s="86">
        <v>0</v>
      </c>
      <c r="H121" s="86">
        <v>0</v>
      </c>
      <c r="I121" s="49"/>
      <c r="J121" s="49"/>
      <c r="K121" s="264"/>
      <c r="L121" s="134" t="str">
        <f>CONCATENATE("Health Insurance ",IF(AND(Y2&gt;=7,Y2&lt;=9),CONCATENATE("(Spring)"),IF(AND(Y2&gt;=7,Y2&lt;=10),CONCATENATE("(Summer)"),IF(OR(Y2&gt;=10,Y2&lt;=2),CONCATENATE("(Summer)"),IF(AND(Y2&gt;=7,Y2&lt;=10),CONCATENATE("(Fall)"),IF(OR(Y2&gt;=10,Y2&lt;=2),CONCATENATE("(Fall) "),IF(AND(Y2&gt;=3,Y2&lt;=6),CONCATENATE("(Fall)"),"N/A")))))))</f>
        <v>Health Insurance (Summer)</v>
      </c>
      <c r="M121" s="133">
        <f>IF(RIGHT($L121,8)="(Summer)",0,ROUND(M99*HLOOKUP(M111,M85:S90,6,FALSE)/2,0))</f>
        <v>0</v>
      </c>
      <c r="N121" s="133">
        <f>IF(RIGHT($L121,8)="(Summer)",0,ROUND(N99*HLOOKUP(N111,N85:T90,6,FALSE)/2,0))</f>
        <v>0</v>
      </c>
      <c r="O121" s="133">
        <f>IF(RIGHT($L121,8)="(Summer)",0,ROUND(O99*HLOOKUP(O111,O85:U90,6,FALSE)/2,0))</f>
        <v>0</v>
      </c>
      <c r="P121" s="133">
        <f>IF(RIGHT($L121,8)="(Summer)",0,ROUND(P99*HLOOKUP(P111,P85:V90,6,FALSE)/2,0))</f>
        <v>0</v>
      </c>
      <c r="Q121" s="133">
        <f>IF(RIGHT($L121,8)="(Summer)",0,ROUND(Q99*HLOOKUP(Q111,Q85:W90,6,FALSE)/2,0))</f>
        <v>0</v>
      </c>
    </row>
    <row r="122" spans="1:17" x14ac:dyDescent="0.25">
      <c r="A122" s="264" t="str">
        <f>CONCATENATE("FTE for ",I120," Months")</f>
        <v>FTE for 12 Months</v>
      </c>
      <c r="B122" s="85">
        <f t="shared" ref="B122:H122" si="79">+B121/$I120</f>
        <v>8.3333333333333329E-2</v>
      </c>
      <c r="C122" s="85">
        <f t="shared" si="79"/>
        <v>0</v>
      </c>
      <c r="D122" s="85">
        <f t="shared" si="79"/>
        <v>0</v>
      </c>
      <c r="E122" s="85">
        <f t="shared" si="79"/>
        <v>0</v>
      </c>
      <c r="F122" s="85">
        <f t="shared" si="79"/>
        <v>0</v>
      </c>
      <c r="G122" s="85">
        <f t="shared" si="79"/>
        <v>0</v>
      </c>
      <c r="H122" s="85">
        <f t="shared" si="79"/>
        <v>0</v>
      </c>
      <c r="I122" s="100"/>
      <c r="J122" s="100"/>
      <c r="K122" s="286"/>
      <c r="L122" s="134" t="str">
        <f>CONCATENATE("Health Insurance ",IF(AND(Y2&gt;=7,Y2&lt;=9),CONCATENATE("(Summer)"),IF(AND(Y2&gt;=7,Y2&lt;=10),CONCATENATE("(Fall)"),IF(OR(Y2&gt;=10,Y2&lt;=2),CONCATENATE("(Fall)"),IF(AND(Y2&gt;=7,Y2&lt;=10),CONCATENATE("(Spring)"),IF(OR(Y2&gt;=10,Y2&lt;=2),CONCATENATE("(Spring)"),IF(AND(Y2&gt;=3,Y2&lt;=6),CONCATENATE("(Spring)"),"N/A")))))))</f>
        <v>Health Insurance (Fall)</v>
      </c>
      <c r="M122" s="133">
        <f>IF(RIGHT($L122,8)="(Summer)",0,ROUND(M100*HLOOKUP(M112,M85:S90,6,FALSE)/2,0))</f>
        <v>0</v>
      </c>
      <c r="N122" s="133">
        <f>IF(RIGHT($L122,8)="(Summer)",0,ROUND(N100*HLOOKUP(N112,N85:T90,6,FALSE)/2,0))</f>
        <v>0</v>
      </c>
      <c r="O122" s="133">
        <f>IF(RIGHT($L122,8)="(Summer)",0,ROUND(O100*HLOOKUP(O112,O85:U90,6,FALSE)/2,0))</f>
        <v>0</v>
      </c>
      <c r="P122" s="133">
        <f>IF(RIGHT($L122,8)="(Summer)",0,ROUND(P100*HLOOKUP(P112,P85:V90,6,FALSE)/2,0))</f>
        <v>0</v>
      </c>
      <c r="Q122" s="133">
        <f>IF(RIGHT($L122,8)="(Summer)",0,ROUND(Q100*HLOOKUP(Q112,Q85:W90,6,FALSE)/2,0))</f>
        <v>0</v>
      </c>
    </row>
    <row r="123" spans="1:17" ht="15.75" thickBot="1" x14ac:dyDescent="0.3">
      <c r="A123" s="264" t="s">
        <v>21</v>
      </c>
      <c r="B123" s="119">
        <f t="shared" ref="B123:H123" si="80">ROUND((B120*B122*$N$41)+(C120*B122*$N$42),0)</f>
        <v>6158</v>
      </c>
      <c r="C123" s="119">
        <f t="shared" si="80"/>
        <v>0</v>
      </c>
      <c r="D123" s="119">
        <f t="shared" si="80"/>
        <v>0</v>
      </c>
      <c r="E123" s="119">
        <f t="shared" si="80"/>
        <v>0</v>
      </c>
      <c r="F123" s="119">
        <f t="shared" si="80"/>
        <v>0</v>
      </c>
      <c r="G123" s="119">
        <f t="shared" si="80"/>
        <v>0</v>
      </c>
      <c r="H123" s="119">
        <f t="shared" si="80"/>
        <v>0</v>
      </c>
      <c r="I123" s="100"/>
      <c r="J123" s="100"/>
      <c r="K123" s="286"/>
      <c r="L123" s="62" t="s">
        <v>31</v>
      </c>
      <c r="M123" s="63">
        <f>SUM(M114:M122)</f>
        <v>0</v>
      </c>
      <c r="N123" s="63">
        <f>SUM(N114:N122)</f>
        <v>0</v>
      </c>
      <c r="O123" s="63">
        <f>SUM(O114:O122)</f>
        <v>0</v>
      </c>
      <c r="P123" s="63">
        <f>SUM(P114:P122)</f>
        <v>0</v>
      </c>
      <c r="Q123" s="63">
        <f>SUM(Q114:Q122)</f>
        <v>0</v>
      </c>
    </row>
    <row r="124" spans="1:17" x14ac:dyDescent="0.25">
      <c r="A124" s="266"/>
      <c r="H124" s="47"/>
    </row>
    <row r="125" spans="1:17" x14ac:dyDescent="0.25">
      <c r="A125" s="267" t="s">
        <v>106</v>
      </c>
      <c r="B125" s="48"/>
      <c r="C125" s="48"/>
      <c r="D125" s="48"/>
      <c r="E125" s="48"/>
      <c r="F125" s="48"/>
      <c r="G125" s="113" t="str">
        <f t="shared" ref="G125:H125" si="81">IF(AND(G126=$Z$5,$I127=9),$Z$3,IF(AND(G126=$AA$5,$I127=9),$AA$3,IF(AND(G126=$AB$5,$I127=9),$AB$3,IF(AND(G126=$AC$5,$I127=9),$AC$3,IF(AND(G126=$AD$5,$I127=9),$AD$3,IF(AND(G126=$Z$4,$I127=12),$Z$3,IF(AND(G126=$AA$4,$I127=12),$AA$3,IF(AND(G126=$AB$4,$I127=12),$AB$3,IF(AND(G126=$AC$4,$I127=12),$AC$3,IF(AND(G126=$AD$4,$I127=12),$AD$3," "))))))))))</f>
        <v xml:space="preserve"> </v>
      </c>
      <c r="H125" s="113" t="str">
        <f t="shared" si="81"/>
        <v xml:space="preserve"> </v>
      </c>
    </row>
    <row r="126" spans="1:17" x14ac:dyDescent="0.25">
      <c r="A126" s="263" t="s">
        <v>444</v>
      </c>
      <c r="B126" s="48" t="s">
        <v>1</v>
      </c>
      <c r="C126" s="48" t="s">
        <v>2</v>
      </c>
      <c r="D126" s="48" t="s">
        <v>3</v>
      </c>
      <c r="E126" s="48" t="s">
        <v>44</v>
      </c>
      <c r="F126" s="48" t="s">
        <v>50</v>
      </c>
      <c r="G126" s="84"/>
      <c r="H126" s="84"/>
      <c r="I126" s="56"/>
      <c r="J126" s="100" t="s">
        <v>77</v>
      </c>
    </row>
    <row r="127" spans="1:17" x14ac:dyDescent="0.25">
      <c r="A127" s="264" t="s">
        <v>318</v>
      </c>
      <c r="B127" s="86">
        <v>15</v>
      </c>
      <c r="C127" s="86">
        <f>ROUND(+B127*(1+J127),2)</f>
        <v>15</v>
      </c>
      <c r="D127" s="86">
        <f>ROUND(+C127*(1+J127),2)</f>
        <v>15</v>
      </c>
      <c r="E127" s="86">
        <f>ROUND(+D127*(1+J127),2)</f>
        <v>15</v>
      </c>
      <c r="F127" s="86">
        <f>ROUND(+E127*(1+J127),2)</f>
        <v>15</v>
      </c>
      <c r="G127" s="84"/>
      <c r="H127" s="84"/>
      <c r="I127" s="74"/>
      <c r="J127" s="81">
        <v>0</v>
      </c>
    </row>
    <row r="128" spans="1:17" x14ac:dyDescent="0.25">
      <c r="A128" s="264" t="s">
        <v>319</v>
      </c>
      <c r="B128" s="127">
        <v>0</v>
      </c>
      <c r="C128" s="127">
        <v>0</v>
      </c>
      <c r="D128" s="127">
        <v>0</v>
      </c>
      <c r="E128" s="127">
        <v>0</v>
      </c>
      <c r="F128" s="127">
        <v>0</v>
      </c>
      <c r="G128" s="84"/>
      <c r="H128" s="84"/>
      <c r="I128" s="49"/>
      <c r="J128" s="49"/>
    </row>
    <row r="129" spans="1:11" x14ac:dyDescent="0.25">
      <c r="A129" s="264" t="s">
        <v>21</v>
      </c>
      <c r="B129" s="119">
        <f>ROUND(B127*B128,0)</f>
        <v>0</v>
      </c>
      <c r="C129" s="119">
        <f t="shared" ref="C129:F129" si="82">ROUND(C127*C128,0)</f>
        <v>0</v>
      </c>
      <c r="D129" s="119">
        <f t="shared" si="82"/>
        <v>0</v>
      </c>
      <c r="E129" s="119">
        <f t="shared" si="82"/>
        <v>0</v>
      </c>
      <c r="F129" s="119">
        <f t="shared" si="82"/>
        <v>0</v>
      </c>
      <c r="G129" s="84"/>
      <c r="H129" s="84"/>
      <c r="I129" s="100"/>
      <c r="J129" s="100"/>
    </row>
    <row r="130" spans="1:11" x14ac:dyDescent="0.25">
      <c r="G130" s="84"/>
      <c r="H130" s="84"/>
      <c r="I130" s="100"/>
      <c r="J130" s="100"/>
    </row>
    <row r="131" spans="1:11" x14ac:dyDescent="0.25">
      <c r="C131" s="129"/>
    </row>
    <row r="132" spans="1:11" x14ac:dyDescent="0.25">
      <c r="A132" s="318" t="str">
        <f ca="1">+A19</f>
        <v>Stedman</v>
      </c>
      <c r="C132" s="129"/>
    </row>
    <row r="133" spans="1:11" x14ac:dyDescent="0.25">
      <c r="A133" s="259" t="s">
        <v>54</v>
      </c>
      <c r="B133" s="340" t="str">
        <f>+B19</f>
        <v>R Stedman</v>
      </c>
      <c r="C133" s="272"/>
      <c r="D133" s="272"/>
      <c r="E133" s="272"/>
      <c r="F133" s="272"/>
      <c r="G133" s="272"/>
      <c r="H133" s="272"/>
      <c r="I133" s="272"/>
      <c r="J133" s="272"/>
    </row>
    <row r="134" spans="1:11" x14ac:dyDescent="0.25">
      <c r="A134" s="259" t="s">
        <v>57</v>
      </c>
      <c r="B134" s="274" t="s">
        <v>491</v>
      </c>
      <c r="C134" s="272"/>
      <c r="D134" s="272"/>
      <c r="E134" s="272"/>
      <c r="F134" s="272"/>
      <c r="G134" s="272"/>
      <c r="H134" s="272"/>
      <c r="I134" s="272"/>
      <c r="J134" s="272"/>
    </row>
    <row r="135" spans="1:11" x14ac:dyDescent="0.25">
      <c r="A135" s="259" t="s">
        <v>57</v>
      </c>
      <c r="B135" s="274" t="s">
        <v>61</v>
      </c>
      <c r="C135" s="272"/>
      <c r="D135" s="272"/>
      <c r="E135" s="272"/>
      <c r="F135" s="272"/>
      <c r="G135" s="272"/>
      <c r="H135" s="272"/>
      <c r="I135" s="272"/>
      <c r="J135" s="272"/>
    </row>
    <row r="136" spans="1:11" x14ac:dyDescent="0.25">
      <c r="A136" s="259" t="s">
        <v>138</v>
      </c>
      <c r="B136" s="364" t="s">
        <v>110</v>
      </c>
      <c r="C136" s="272"/>
      <c r="D136" s="272"/>
      <c r="E136" s="272"/>
      <c r="F136" s="272"/>
      <c r="G136" s="272"/>
      <c r="H136" s="272"/>
      <c r="I136" s="272"/>
      <c r="J136" s="272"/>
    </row>
    <row r="137" spans="1:11" x14ac:dyDescent="0.25">
      <c r="A137" s="259" t="s">
        <v>180</v>
      </c>
      <c r="B137" s="364" t="s">
        <v>178</v>
      </c>
      <c r="C137" s="272"/>
      <c r="D137" s="272"/>
      <c r="E137" s="272"/>
      <c r="F137" s="272"/>
      <c r="G137" s="272"/>
      <c r="H137" s="272"/>
      <c r="I137" s="272"/>
      <c r="J137" s="272"/>
    </row>
    <row r="138" spans="1:11" x14ac:dyDescent="0.25">
      <c r="A138" s="272"/>
      <c r="B138" s="272"/>
      <c r="C138" s="272"/>
      <c r="D138" s="272"/>
      <c r="E138" s="272"/>
      <c r="F138" s="272"/>
      <c r="G138" s="272"/>
      <c r="H138" s="272"/>
      <c r="I138" s="272"/>
      <c r="J138" s="272"/>
    </row>
    <row r="139" spans="1:11" x14ac:dyDescent="0.25">
      <c r="A139" s="259" t="s">
        <v>115</v>
      </c>
      <c r="B139" s="275" t="str">
        <f>IF(B136="Contract College","Contract College","Endowed College")</f>
        <v>Contract College</v>
      </c>
      <c r="C139" s="272"/>
      <c r="D139" s="272"/>
      <c r="E139" s="272"/>
      <c r="F139" s="272"/>
      <c r="G139" s="272"/>
      <c r="H139" s="272"/>
      <c r="I139" s="272"/>
      <c r="J139" s="272"/>
    </row>
    <row r="140" spans="1:11" x14ac:dyDescent="0.25">
      <c r="A140" s="259" t="s">
        <v>116</v>
      </c>
      <c r="B140" s="275" t="str">
        <f>IF(B136="Contract College","Contract College","Endowed College")</f>
        <v>Contract College</v>
      </c>
      <c r="C140" s="272"/>
      <c r="D140" s="272"/>
      <c r="E140" s="272"/>
      <c r="F140" s="272"/>
      <c r="G140" s="272"/>
      <c r="H140" s="272"/>
      <c r="I140" s="272"/>
      <c r="J140" s="272"/>
    </row>
    <row r="141" spans="1:11" x14ac:dyDescent="0.25">
      <c r="A141" s="272"/>
      <c r="B141" s="276"/>
      <c r="C141" s="272"/>
      <c r="D141" s="272"/>
      <c r="E141" s="272"/>
      <c r="F141" s="272"/>
      <c r="G141" s="272"/>
      <c r="H141" s="277"/>
      <c r="I141" s="277"/>
      <c r="J141" s="277"/>
      <c r="K141" s="111"/>
    </row>
    <row r="142" spans="1:11" x14ac:dyDescent="0.25">
      <c r="A142" s="259" t="s">
        <v>118</v>
      </c>
      <c r="B142" s="278" t="str">
        <f>+$B$36</f>
        <v>FY2023</v>
      </c>
      <c r="C142" s="278" t="str">
        <f>+$C$36</f>
        <v>FY2024</v>
      </c>
      <c r="D142" s="278" t="str">
        <f>+$D$36</f>
        <v>FY2025</v>
      </c>
      <c r="E142" s="278" t="str">
        <f>+$E$36</f>
        <v>FY2026</v>
      </c>
      <c r="F142" s="278" t="str">
        <f>+$F$36</f>
        <v>FY2027</v>
      </c>
      <c r="G142" s="278" t="str">
        <f>+$G$36</f>
        <v>FY2028</v>
      </c>
      <c r="H142" s="277"/>
      <c r="I142" s="277"/>
      <c r="J142" s="277"/>
      <c r="K142" s="111"/>
    </row>
    <row r="143" spans="1:11" x14ac:dyDescent="0.25">
      <c r="A143" s="259" t="str">
        <f>IF(AND(B136="Contract College",B$6="Federal"),"   Contract (Federal) - Senior Personnel",IF(AND(B136="Contract College",B$6="Non-federal"),"   Contract (Non-federal) - Senior Personnel","   Endowed - Senior Personnel"))</f>
        <v xml:space="preserve">   Contract (Federal) - Senior Personnel</v>
      </c>
      <c r="B143" s="259">
        <f t="shared" ref="B143:G143" si="83">IF(AND($B136="Contract College",$B$6="Federal"),HLOOKUP(B142,$M$2:$S$11,2,FALSE),IF(AND($B136="Contract College",$B$6="Non-Federal"),HLOOKUP(B142,$M$2:$S$11,3,FALSE),HLOOKUP(B142,$M$2:$S$11,4,FALSE)))</f>
        <v>0.68300000000000005</v>
      </c>
      <c r="C143" s="259">
        <f t="shared" si="83"/>
        <v>0.68300000000000005</v>
      </c>
      <c r="D143" s="259">
        <f t="shared" si="83"/>
        <v>0.68300000000000005</v>
      </c>
      <c r="E143" s="259">
        <f t="shared" si="83"/>
        <v>0.68300000000000005</v>
      </c>
      <c r="F143" s="259">
        <f t="shared" si="83"/>
        <v>0.68300000000000005</v>
      </c>
      <c r="G143" s="259">
        <f t="shared" si="83"/>
        <v>0.68300000000000005</v>
      </c>
      <c r="H143" s="277"/>
      <c r="I143" s="277"/>
      <c r="J143" s="277"/>
      <c r="K143" s="111"/>
    </row>
    <row r="144" spans="1:11" x14ac:dyDescent="0.25">
      <c r="A144" s="259" t="str">
        <f>IF(AND(B$6="Federal",B139="Contract College"),"   Contract (Federal) - Post Doc",IF(AND(B$6="Non-federal",B139="Contract College"),"   Contract (Non-federal) - Post Doc","   Endowed - Post Doc"))</f>
        <v xml:space="preserve">   Contract (Federal) - Post Doc</v>
      </c>
      <c r="B144" s="259">
        <f t="shared" ref="B144:G145" si="84">IF($B139="Endowed College",HLOOKUP(B$36,$M$2:$S$11,4,FALSE),IF($B$6="Federal",HLOOKUP(B$36,$M$2:$S$11,2,FALSE),IF($B$6="Non-Federal",HLOOKUP(B$36,$M$2:$S$11,3,FALSE))))</f>
        <v>0.68300000000000005</v>
      </c>
      <c r="C144" s="259">
        <f t="shared" si="84"/>
        <v>0.68300000000000005</v>
      </c>
      <c r="D144" s="259">
        <f t="shared" si="84"/>
        <v>0.68300000000000005</v>
      </c>
      <c r="E144" s="259">
        <f t="shared" si="84"/>
        <v>0.68300000000000005</v>
      </c>
      <c r="F144" s="259">
        <f t="shared" si="84"/>
        <v>0.68300000000000005</v>
      </c>
      <c r="G144" s="259">
        <f t="shared" si="84"/>
        <v>0.68300000000000005</v>
      </c>
      <c r="H144" s="277"/>
      <c r="I144" s="277"/>
      <c r="J144" s="277"/>
      <c r="K144" s="111"/>
    </row>
    <row r="145" spans="1:11" x14ac:dyDescent="0.25">
      <c r="A145" s="259" t="str">
        <f>IF(AND(B$6="Federal",B140="Contract College"),"   Contract (Federal) - Other Employee",IF(AND(B$6="Non-federal",B140="Contract College"),"   Contract (Non-federal) - Other Empolyee","   Endowed - Other Employee"))</f>
        <v xml:space="preserve">   Contract (Federal) - Other Employee</v>
      </c>
      <c r="B145" s="259">
        <f t="shared" si="84"/>
        <v>0.68300000000000005</v>
      </c>
      <c r="C145" s="259">
        <f t="shared" si="84"/>
        <v>0.68300000000000005</v>
      </c>
      <c r="D145" s="259">
        <f t="shared" si="84"/>
        <v>0.68300000000000005</v>
      </c>
      <c r="E145" s="259">
        <f t="shared" si="84"/>
        <v>0.68300000000000005</v>
      </c>
      <c r="F145" s="259">
        <f t="shared" si="84"/>
        <v>0.68300000000000005</v>
      </c>
      <c r="G145" s="259">
        <f t="shared" si="84"/>
        <v>0.68300000000000005</v>
      </c>
      <c r="H145" s="277"/>
      <c r="I145" s="277"/>
      <c r="J145" s="277"/>
      <c r="K145" s="111"/>
    </row>
    <row r="146" spans="1:11" x14ac:dyDescent="0.25">
      <c r="A146" s="259" t="s">
        <v>320</v>
      </c>
      <c r="B146" s="259">
        <f t="shared" ref="B146:G146" si="85">HLOOKUP(B$36,$M$2:$S$11,5,FALSE)</f>
        <v>0.1</v>
      </c>
      <c r="C146" s="259">
        <f t="shared" si="85"/>
        <v>0.1</v>
      </c>
      <c r="D146" s="259">
        <f t="shared" si="85"/>
        <v>0.1</v>
      </c>
      <c r="E146" s="259">
        <f t="shared" si="85"/>
        <v>0.1</v>
      </c>
      <c r="F146" s="259">
        <f t="shared" si="85"/>
        <v>0.1</v>
      </c>
      <c r="G146" s="259">
        <f t="shared" si="85"/>
        <v>0.1</v>
      </c>
      <c r="H146" s="277"/>
      <c r="I146" s="277"/>
      <c r="J146" s="277"/>
      <c r="K146" s="111"/>
    </row>
    <row r="147" spans="1:11" x14ac:dyDescent="0.25">
      <c r="A147" s="259" t="str">
        <f>CONCATENATE("Cornell IDC Rate - ",B136)</f>
        <v>Cornell IDC Rate - Contract College</v>
      </c>
      <c r="B147" s="259">
        <f>IF($B137="Off",(HLOOKUP(B$36,$M$2:$S$11,9,FALSE)),IF(AND($B$7="Other",$B137="On"),(HLOOKUP(B$36,$M$2:$S$11,8,FALSE)),IF(AND($B137="On",$B136="Contract College",$B$7="Research"),(HLOOKUP(B$36,$M$2:$S$11,6,FALSE)),(HLOOKUP(B$36,$M$2:$S$11,7,FALSE)))))</f>
        <v>0.56999999999999995</v>
      </c>
      <c r="C147" s="259">
        <f t="shared" ref="C147:G147" si="86">IF($B137="Off",(HLOOKUP(C$36,$M$2:$S$11,9,FALSE)),IF(AND($B$7="Other",$B137="On"),(HLOOKUP(C$36,$M$2:$S$11,8,FALSE)),IF(AND($B137="On",$B136="Contract College",$B$7="Research"),(HLOOKUP(C$36,$M$2:$S$11,6,FALSE)),(HLOOKUP(C$36,$M$2:$S$11,7,FALSE)))))</f>
        <v>0.56999999999999995</v>
      </c>
      <c r="D147" s="259">
        <f t="shared" si="86"/>
        <v>0.56999999999999995</v>
      </c>
      <c r="E147" s="259">
        <f t="shared" si="86"/>
        <v>0.56999999999999995</v>
      </c>
      <c r="F147" s="259">
        <f t="shared" si="86"/>
        <v>0.56999999999999995</v>
      </c>
      <c r="G147" s="259">
        <f t="shared" si="86"/>
        <v>0.56999999999999995</v>
      </c>
      <c r="H147" s="277"/>
      <c r="I147" s="277"/>
      <c r="J147" s="277"/>
      <c r="K147" s="111"/>
    </row>
    <row r="148" spans="1:11" x14ac:dyDescent="0.25">
      <c r="A148" s="259" t="str">
        <f>IF($B$11="Yes","","Rate Allowed by Sponsor:")</f>
        <v>Rate Allowed by Sponsor:</v>
      </c>
      <c r="B148" s="278">
        <f t="shared" ref="B148:G148" si="87">IF($B$11="Yes","",IF($B$11="No",HLOOKUP(B$36,$M$2:$S$11,10,FALSE),(HLOOKUP(B$36,$M$2:$S$11,10,FALSE))))</f>
        <v>0.2</v>
      </c>
      <c r="C148" s="278">
        <f t="shared" si="87"/>
        <v>0.2</v>
      </c>
      <c r="D148" s="278">
        <f t="shared" si="87"/>
        <v>0.2</v>
      </c>
      <c r="E148" s="278">
        <f t="shared" si="87"/>
        <v>0.2</v>
      </c>
      <c r="F148" s="278">
        <f t="shared" si="87"/>
        <v>0.2</v>
      </c>
      <c r="G148" s="278">
        <f t="shared" si="87"/>
        <v>0.2</v>
      </c>
      <c r="H148" s="413"/>
      <c r="I148" s="413"/>
      <c r="J148" s="413"/>
      <c r="K148" s="111"/>
    </row>
    <row r="149" spans="1:11" x14ac:dyDescent="0.25">
      <c r="B149" s="82"/>
      <c r="C149" s="82"/>
      <c r="D149" s="82"/>
      <c r="E149" s="82"/>
      <c r="F149" s="82"/>
      <c r="G149" s="82"/>
    </row>
    <row r="150" spans="1:11" ht="20.25" x14ac:dyDescent="0.3">
      <c r="A150" s="64" t="s">
        <v>59</v>
      </c>
      <c r="B150" s="113"/>
      <c r="C150" s="113"/>
      <c r="D150" s="113"/>
      <c r="E150" s="113"/>
      <c r="F150" s="113"/>
      <c r="G150" s="113"/>
      <c r="H150" s="113"/>
    </row>
    <row r="151" spans="1:11" ht="15.75" x14ac:dyDescent="0.25">
      <c r="A151" s="114" t="s">
        <v>102</v>
      </c>
      <c r="B151" s="115" t="str">
        <f t="shared" ref="B151:H151" si="88">IF(B154=$Z$5,$Z$9,IF(B154=$AA$5,$AA$9,IF(B154=$AB$5,$AB$9,IF(B154=$AC$5,$AC$9,IF(B154=$AD$5,$AD$9," ")))))</f>
        <v xml:space="preserve"> </v>
      </c>
      <c r="C151" s="115" t="str">
        <f t="shared" si="88"/>
        <v>2023-2023</v>
      </c>
      <c r="D151" s="115" t="str">
        <f t="shared" si="88"/>
        <v>2024-2024</v>
      </c>
      <c r="E151" s="115" t="str">
        <f t="shared" si="88"/>
        <v>2025-2025</v>
      </c>
      <c r="F151" s="115" t="str">
        <f t="shared" si="88"/>
        <v>2026-2026</v>
      </c>
      <c r="G151" s="115" t="str">
        <f t="shared" si="88"/>
        <v>2027-2027</v>
      </c>
      <c r="H151" s="115" t="str">
        <f t="shared" si="88"/>
        <v xml:space="preserve"> </v>
      </c>
    </row>
    <row r="153" spans="1:11" x14ac:dyDescent="0.25">
      <c r="A153" s="268" t="str">
        <f>CONCATENATE("Calculation based on ",I155," month salary")</f>
        <v>Calculation based on 9 month salary</v>
      </c>
      <c r="B153" s="113" t="str">
        <f t="shared" ref="B153:H153" si="89">IF(AND(B154=$Z$5,$I155=9),$Z$3,IF(AND(B154=$AA$5,$I155=9),$AA$3,IF(AND(B154=$AB$5,$I155=9),$AB$3,IF(AND(B154=$AC$5,$I155=9),$AC$3,IF(AND(B154=$AD$5,$I155=9),$AD$3,IF(AND(B154=$Z$4,$I155=12),$Z$3,IF(AND(B154=$AA$4,$I155=12),$AA$3,IF(AND(B154=$AB$4,$I155=12),$AB$3,IF(AND(B154=$AC$4,$I155=12),$AC$3,IF(AND(B154=$AD$4,$I155=12),$AD$3," "))))))))))</f>
        <v xml:space="preserve"> </v>
      </c>
      <c r="C153" s="113" t="str">
        <f t="shared" si="89"/>
        <v>Year 1</v>
      </c>
      <c r="D153" s="113" t="str">
        <f t="shared" si="89"/>
        <v>Year 2</v>
      </c>
      <c r="E153" s="113" t="str">
        <f t="shared" si="89"/>
        <v>Year 3</v>
      </c>
      <c r="F153" s="113" t="str">
        <f t="shared" si="89"/>
        <v>Year 4</v>
      </c>
      <c r="G153" s="113" t="str">
        <f t="shared" si="89"/>
        <v>Year 5</v>
      </c>
      <c r="H153" s="113" t="str">
        <f t="shared" si="89"/>
        <v xml:space="preserve"> </v>
      </c>
    </row>
    <row r="154" spans="1:11" x14ac:dyDescent="0.25">
      <c r="A154" s="269" t="str">
        <f>+B133</f>
        <v>R Stedman</v>
      </c>
      <c r="B154" s="84" t="str">
        <f>+M$2</f>
        <v>FY2023</v>
      </c>
      <c r="C154" s="84" t="str">
        <f t="shared" ref="C154" si="90">+N$2</f>
        <v>FY2024</v>
      </c>
      <c r="D154" s="84" t="str">
        <f t="shared" ref="D154" si="91">+O$2</f>
        <v>FY2025</v>
      </c>
      <c r="E154" s="84" t="str">
        <f t="shared" ref="E154" si="92">+P$2</f>
        <v>FY2026</v>
      </c>
      <c r="F154" s="84" t="str">
        <f t="shared" ref="F154" si="93">+Q$2</f>
        <v>FY2027</v>
      </c>
      <c r="G154" s="84" t="str">
        <f t="shared" ref="G154" si="94">+R$2</f>
        <v>FY2028</v>
      </c>
      <c r="H154" s="84" t="str">
        <f t="shared" ref="H154" si="95">+S$2</f>
        <v>FY2029</v>
      </c>
      <c r="I154" s="56" t="s">
        <v>20</v>
      </c>
      <c r="J154" s="100" t="s">
        <v>77</v>
      </c>
      <c r="K154" s="100"/>
    </row>
    <row r="155" spans="1:11" x14ac:dyDescent="0.25">
      <c r="A155" s="270" t="str">
        <f>CONCATENATE("Base Salary: ",I155," month term")</f>
        <v>Base Salary: 9 month term</v>
      </c>
      <c r="B155" s="93">
        <v>166400</v>
      </c>
      <c r="C155" s="118">
        <f>ROUND(+B155*(1+J155),0)</f>
        <v>171392</v>
      </c>
      <c r="D155" s="118">
        <f>ROUND(+C155*(1+J155),0)</f>
        <v>176534</v>
      </c>
      <c r="E155" s="118">
        <f>ROUND(+D155*(1+J155),0)</f>
        <v>181830</v>
      </c>
      <c r="F155" s="118">
        <f>ROUND(+E155*(1+J155),0)</f>
        <v>187285</v>
      </c>
      <c r="G155" s="118">
        <f>ROUND(+F155*(1+J155),0)</f>
        <v>192904</v>
      </c>
      <c r="H155" s="118">
        <f>ROUND(+G155*(1+J155),0)</f>
        <v>198691</v>
      </c>
      <c r="I155" s="74">
        <v>9</v>
      </c>
      <c r="J155" s="81">
        <v>0.03</v>
      </c>
      <c r="K155" s="81"/>
    </row>
    <row r="156" spans="1:11" x14ac:dyDescent="0.25">
      <c r="A156" s="270" t="s">
        <v>49</v>
      </c>
      <c r="B156" s="86">
        <v>0</v>
      </c>
      <c r="C156" s="86">
        <v>0.18</v>
      </c>
      <c r="D156" s="86">
        <v>0.315</v>
      </c>
      <c r="E156" s="86">
        <v>0</v>
      </c>
      <c r="F156" s="86">
        <v>0</v>
      </c>
      <c r="G156" s="86">
        <v>0</v>
      </c>
      <c r="H156" s="86">
        <v>0</v>
      </c>
      <c r="I156" s="49"/>
      <c r="J156" s="49"/>
      <c r="K156" s="49"/>
    </row>
    <row r="157" spans="1:11" x14ac:dyDescent="0.25">
      <c r="A157" s="270" t="str">
        <f>CONCATENATE("FTE for ",I155," Months")</f>
        <v>FTE for 9 Months</v>
      </c>
      <c r="B157" s="85">
        <f t="shared" ref="B157:H157" si="96">+B156/$I155</f>
        <v>0</v>
      </c>
      <c r="C157" s="85">
        <f t="shared" si="96"/>
        <v>0.02</v>
      </c>
      <c r="D157" s="85">
        <f t="shared" si="96"/>
        <v>3.5000000000000003E-2</v>
      </c>
      <c r="E157" s="85">
        <f t="shared" si="96"/>
        <v>0</v>
      </c>
      <c r="F157" s="85">
        <f t="shared" si="96"/>
        <v>0</v>
      </c>
      <c r="G157" s="85">
        <f t="shared" si="96"/>
        <v>0</v>
      </c>
      <c r="H157" s="85">
        <f t="shared" si="96"/>
        <v>0</v>
      </c>
      <c r="I157" s="100"/>
      <c r="J157" s="100"/>
      <c r="K157" s="100"/>
    </row>
    <row r="158" spans="1:11" x14ac:dyDescent="0.25">
      <c r="A158" s="271" t="s">
        <v>60</v>
      </c>
      <c r="B158" s="124">
        <f t="shared" ref="B158:H158" si="97">+B156/12</f>
        <v>0</v>
      </c>
      <c r="C158" s="125">
        <f t="shared" si="97"/>
        <v>1.4999999999999999E-2</v>
      </c>
      <c r="D158" s="124">
        <f t="shared" si="97"/>
        <v>2.6249999999999999E-2</v>
      </c>
      <c r="E158" s="124">
        <f t="shared" si="97"/>
        <v>0</v>
      </c>
      <c r="F158" s="124">
        <f t="shared" si="97"/>
        <v>0</v>
      </c>
      <c r="G158" s="124">
        <f t="shared" si="97"/>
        <v>0</v>
      </c>
      <c r="H158" s="124">
        <f t="shared" si="97"/>
        <v>0</v>
      </c>
      <c r="I158" s="100"/>
      <c r="J158" s="100"/>
      <c r="K158" s="100"/>
    </row>
    <row r="159" spans="1:11" x14ac:dyDescent="0.25">
      <c r="A159" s="270" t="s">
        <v>21</v>
      </c>
      <c r="B159" s="485">
        <f t="shared" ref="B159:H159" si="98">IF($B$3="NIH",IF(IF($I155=9,ROUND(B155*B157,0),IF($I155=12,ROUND((B155*B157*$N$41)+(C155*B157*$N$42),0),0))&lt;IF($I155=9,ROUND($M$13*B157,0),IF($I155=12,ROUND(($M$14*B157*$N$41)+($M$14*B157*$N$42),0),0)),IF($I155=9,ROUND(B155*B157,0),IF($I155=12,ROUND((B155*B157*$N$41)+(C155*B157*$N$42),0),0)),IF($I155=9,ROUND($M$13*B157,0),IF($I155=12,ROUND(($M$14*B157*$N$41)+($M$14*B157*$N$42),0),0))),IF($I155=9,ROUND(B155*B157,0),IF($I155=12,ROUND((B155*B157*$N$41)+(C155*B157*$N$42),0),0)))</f>
        <v>0</v>
      </c>
      <c r="C159" s="485">
        <f t="shared" si="98"/>
        <v>3428</v>
      </c>
      <c r="D159" s="485">
        <f t="shared" si="98"/>
        <v>6179</v>
      </c>
      <c r="E159" s="485">
        <f t="shared" si="98"/>
        <v>0</v>
      </c>
      <c r="F159" s="485">
        <f t="shared" si="98"/>
        <v>0</v>
      </c>
      <c r="G159" s="485">
        <f t="shared" si="98"/>
        <v>0</v>
      </c>
      <c r="H159" s="485">
        <f t="shared" si="98"/>
        <v>0</v>
      </c>
      <c r="I159" s="100"/>
      <c r="J159" s="100"/>
      <c r="K159" s="100"/>
    </row>
    <row r="160" spans="1:11" x14ac:dyDescent="0.25">
      <c r="A160" s="720" t="str">
        <f>IF($B$3="NIH",IF(I155=9,CONCATENATE("NIH ",I155," Month Salary Cap = ",TEXT($M$13,"$0,000")),IF(I155=12,CONCATENATE("NIH ",I155," Month Salary Cap = ",TEXT($M$14,"$0,000")),"N/A"))," ")</f>
        <v xml:space="preserve"> </v>
      </c>
      <c r="I160" s="100"/>
      <c r="J160" s="100"/>
      <c r="K160" s="100"/>
    </row>
    <row r="161" spans="1:16" x14ac:dyDescent="0.25">
      <c r="A161" s="271" t="s">
        <v>189</v>
      </c>
      <c r="B161" s="86">
        <v>0</v>
      </c>
      <c r="C161" s="86">
        <v>0</v>
      </c>
      <c r="D161" s="86">
        <v>0</v>
      </c>
      <c r="E161" s="86">
        <v>0</v>
      </c>
      <c r="F161" s="86">
        <v>0</v>
      </c>
      <c r="G161" s="86">
        <v>0</v>
      </c>
      <c r="H161" s="86">
        <v>0</v>
      </c>
      <c r="I161" s="100"/>
      <c r="J161" s="100"/>
      <c r="K161" s="100"/>
    </row>
    <row r="162" spans="1:16" x14ac:dyDescent="0.25">
      <c r="A162" s="271" t="str">
        <f>CONCATENATE("FTE for ",I155," Months")</f>
        <v>FTE for 9 Months</v>
      </c>
      <c r="B162" s="85">
        <f t="shared" ref="B162" si="99">+B161/$I155</f>
        <v>0</v>
      </c>
      <c r="C162" s="85">
        <f t="shared" ref="C162" si="100">+C161/$I155</f>
        <v>0</v>
      </c>
      <c r="D162" s="85">
        <f t="shared" ref="D162" si="101">+D161/$I155</f>
        <v>0</v>
      </c>
      <c r="E162" s="85">
        <f t="shared" ref="E162" si="102">+E161/$I155</f>
        <v>0</v>
      </c>
      <c r="F162" s="85">
        <f t="shared" ref="F162" si="103">+F161/$I155</f>
        <v>0</v>
      </c>
      <c r="G162" s="85">
        <f t="shared" ref="G162" si="104">+G161/$I155</f>
        <v>0</v>
      </c>
      <c r="H162" s="85">
        <f t="shared" ref="H162" si="105">+H161/$I155</f>
        <v>0</v>
      </c>
      <c r="I162" s="100"/>
      <c r="J162" s="100"/>
      <c r="K162" s="100"/>
    </row>
    <row r="163" spans="1:16" x14ac:dyDescent="0.25">
      <c r="A163" s="271" t="s">
        <v>60</v>
      </c>
      <c r="B163" s="124">
        <f t="shared" ref="B163:H163" si="106">+B161/12</f>
        <v>0</v>
      </c>
      <c r="C163" s="125">
        <f t="shared" si="106"/>
        <v>0</v>
      </c>
      <c r="D163" s="124">
        <f t="shared" si="106"/>
        <v>0</v>
      </c>
      <c r="E163" s="124">
        <f t="shared" si="106"/>
        <v>0</v>
      </c>
      <c r="F163" s="124">
        <f t="shared" si="106"/>
        <v>0</v>
      </c>
      <c r="G163" s="124">
        <f t="shared" si="106"/>
        <v>0</v>
      </c>
      <c r="H163" s="124">
        <f t="shared" si="106"/>
        <v>0</v>
      </c>
      <c r="I163" s="100"/>
      <c r="J163" s="100"/>
      <c r="K163" s="100"/>
    </row>
    <row r="164" spans="1:16" x14ac:dyDescent="0.25">
      <c r="A164" s="271" t="s">
        <v>204</v>
      </c>
      <c r="B164" s="119">
        <f t="shared" ref="B164:H164" si="107">IF($I155=9,ROUND(B155*B162,0),IF($I155=12,ROUND((B155*B162*$N$41)+(C155*B162*$N$42),0),0))</f>
        <v>0</v>
      </c>
      <c r="C164" s="119">
        <f t="shared" si="107"/>
        <v>0</v>
      </c>
      <c r="D164" s="119">
        <f t="shared" si="107"/>
        <v>0</v>
      </c>
      <c r="E164" s="119">
        <f t="shared" si="107"/>
        <v>0</v>
      </c>
      <c r="F164" s="119">
        <f t="shared" si="107"/>
        <v>0</v>
      </c>
      <c r="G164" s="119">
        <f t="shared" si="107"/>
        <v>0</v>
      </c>
      <c r="H164" s="119">
        <f t="shared" si="107"/>
        <v>0</v>
      </c>
      <c r="I164" s="100"/>
      <c r="J164" s="100"/>
      <c r="K164" s="100"/>
    </row>
    <row r="165" spans="1:16" x14ac:dyDescent="0.25">
      <c r="A165" s="270" t="str">
        <f>IF($B$3="NIH", "Over the Salary Limit", " ")</f>
        <v xml:space="preserve"> </v>
      </c>
      <c r="B165" s="486">
        <f>IF($B$3="NIH",IF(AND($I155=9,B155&lt;$M$13),0,IF(AND($I155=9,B155&gt;=$M$13),ROUND((B155*B157)-($M$13*B157),0),IF(AND($I155=12,B155&lt;$M$14),0,IF(AND($I155=12,B155&gt;=$M$14),ROUND(((B155*B157*$N$41)+(C155*B157*$N$42))-($M$14*B157),0))))),0)</f>
        <v>0</v>
      </c>
      <c r="C165" s="486">
        <f t="shared" ref="C165:H165" si="108">IF($B$3="NIH",IF(AND($I155=9,C155&lt;$M$13),0,IF(AND($I155=9,C155&gt;=$M$13),ROUND((C155*C157)-($M$13*C157),0),IF(AND($I155=12,C155&lt;$M$14),0,IF(AND($I155=12,C155&gt;=$M$14),ROUND(((C155*C157*$N$41)+(D155*C157*$N$42))-($M$14*C157),0))))),0)</f>
        <v>0</v>
      </c>
      <c r="D165" s="486">
        <f t="shared" si="108"/>
        <v>0</v>
      </c>
      <c r="E165" s="486">
        <f t="shared" si="108"/>
        <v>0</v>
      </c>
      <c r="F165" s="486">
        <f t="shared" si="108"/>
        <v>0</v>
      </c>
      <c r="G165" s="486">
        <f t="shared" si="108"/>
        <v>0</v>
      </c>
      <c r="H165" s="486">
        <f t="shared" si="108"/>
        <v>0</v>
      </c>
      <c r="I165" s="100"/>
      <c r="J165" s="100"/>
      <c r="K165" s="100"/>
    </row>
    <row r="166" spans="1:16" x14ac:dyDescent="0.25">
      <c r="A166" s="272"/>
      <c r="I166" s="100"/>
      <c r="J166" s="100"/>
      <c r="K166" s="100"/>
    </row>
    <row r="167" spans="1:16" x14ac:dyDescent="0.25">
      <c r="A167" s="268" t="str">
        <f>CONCATENATE("Calculation based on ",I169," month salary")</f>
        <v>Calculation based on 12 month salary</v>
      </c>
      <c r="B167" s="113" t="str">
        <f t="shared" ref="B167:H167" si="109">IF(AND(B168=$Z$5,$I169=9),$Z$3,IF(AND(B168=$AA$5,$I169=9),$AA$3,IF(AND(B168=$AB$5,$I169=9),$AB$3,IF(AND(B168=$AC$5,$I169=9),$AC$3,IF(AND(B168=$AD$5,$I169=9),$AD$3,IF(AND(B168=$Z$4,$I169=12),$Z$3,IF(AND(B168=$AA$4,$I169=12),$AA$3,IF(AND(B168=$AB$4,$I169=12),$AB$3,IF(AND(B168=$AC$4,$I169=12),$AC$3,IF(AND(B168=$AD$4,$I169=12),$AD$3," "))))))))))</f>
        <v>Year 1</v>
      </c>
      <c r="C167" s="113" t="str">
        <f t="shared" si="109"/>
        <v>Year 2</v>
      </c>
      <c r="D167" s="113" t="str">
        <f t="shared" si="109"/>
        <v>Year 3</v>
      </c>
      <c r="E167" s="113" t="str">
        <f t="shared" si="109"/>
        <v>Year 4</v>
      </c>
      <c r="F167" s="113" t="str">
        <f t="shared" si="109"/>
        <v>Year 5</v>
      </c>
      <c r="G167" s="113" t="str">
        <f t="shared" si="109"/>
        <v xml:space="preserve"> </v>
      </c>
      <c r="H167" s="113" t="str">
        <f t="shared" si="109"/>
        <v xml:space="preserve"> </v>
      </c>
      <c r="I167" s="100"/>
      <c r="J167" s="100"/>
      <c r="K167" s="100"/>
      <c r="P167" s="47"/>
    </row>
    <row r="168" spans="1:16" x14ac:dyDescent="0.25">
      <c r="A168" s="269" t="str">
        <f>+B134</f>
        <v>T. B. Lauber</v>
      </c>
      <c r="B168" s="84" t="str">
        <f>+M$2</f>
        <v>FY2023</v>
      </c>
      <c r="C168" s="84" t="str">
        <f t="shared" ref="C168" si="110">+N$2</f>
        <v>FY2024</v>
      </c>
      <c r="D168" s="84" t="str">
        <f t="shared" ref="D168" si="111">+O$2</f>
        <v>FY2025</v>
      </c>
      <c r="E168" s="84" t="str">
        <f t="shared" ref="E168" si="112">+P$2</f>
        <v>FY2026</v>
      </c>
      <c r="F168" s="84" t="str">
        <f t="shared" ref="F168" si="113">+Q$2</f>
        <v>FY2027</v>
      </c>
      <c r="G168" s="84" t="str">
        <f t="shared" ref="G168" si="114">+R$2</f>
        <v>FY2028</v>
      </c>
      <c r="H168" s="84" t="str">
        <f t="shared" ref="H168" si="115">+S$2</f>
        <v>FY2029</v>
      </c>
      <c r="I168" s="56" t="s">
        <v>20</v>
      </c>
      <c r="J168" s="100" t="s">
        <v>77</v>
      </c>
      <c r="K168" s="100"/>
      <c r="P168" s="47"/>
    </row>
    <row r="169" spans="1:16" x14ac:dyDescent="0.25">
      <c r="A169" s="270" t="str">
        <f>CONCATENATE("Base Salary: ",I169," month term")</f>
        <v>Base Salary: 12 month term</v>
      </c>
      <c r="B169" s="93">
        <v>103734</v>
      </c>
      <c r="C169" s="118">
        <f>ROUND(+B169*(1+J169),0)</f>
        <v>106846</v>
      </c>
      <c r="D169" s="118">
        <f>ROUND(+C169*(1+J169),0)</f>
        <v>110051</v>
      </c>
      <c r="E169" s="118">
        <f>ROUND(+D169*(1+J169),0)</f>
        <v>113353</v>
      </c>
      <c r="F169" s="118">
        <f>ROUND(+E169*(1+J169),0)</f>
        <v>116754</v>
      </c>
      <c r="G169" s="118">
        <f>ROUND(+F169*(1+J169),0)</f>
        <v>120257</v>
      </c>
      <c r="H169" s="118">
        <f>ROUND(+G169*(1+J169),0)</f>
        <v>123865</v>
      </c>
      <c r="I169" s="74">
        <v>12</v>
      </c>
      <c r="J169" s="81">
        <v>0.03</v>
      </c>
      <c r="K169" s="81"/>
      <c r="P169" s="47"/>
    </row>
    <row r="170" spans="1:16" x14ac:dyDescent="0.25">
      <c r="A170" s="270" t="s">
        <v>49</v>
      </c>
      <c r="B170" s="86">
        <v>0.39</v>
      </c>
      <c r="C170" s="86">
        <v>0.67</v>
      </c>
      <c r="D170" s="86">
        <v>0</v>
      </c>
      <c r="E170" s="86">
        <v>0</v>
      </c>
      <c r="F170" s="86">
        <v>0</v>
      </c>
      <c r="G170" s="86">
        <v>0</v>
      </c>
      <c r="H170" s="86">
        <v>0</v>
      </c>
      <c r="I170" s="49"/>
      <c r="J170" s="49"/>
      <c r="K170" s="49"/>
    </row>
    <row r="171" spans="1:16" x14ac:dyDescent="0.25">
      <c r="A171" s="270" t="str">
        <f>CONCATENATE("FTE for ",I169," Months")</f>
        <v>FTE for 12 Months</v>
      </c>
      <c r="B171" s="85">
        <f t="shared" ref="B171:H171" si="116">+B170/$I169</f>
        <v>3.2500000000000001E-2</v>
      </c>
      <c r="C171" s="85">
        <f t="shared" si="116"/>
        <v>5.5833333333333339E-2</v>
      </c>
      <c r="D171" s="85">
        <f t="shared" si="116"/>
        <v>0</v>
      </c>
      <c r="E171" s="85">
        <f t="shared" si="116"/>
        <v>0</v>
      </c>
      <c r="F171" s="85">
        <f t="shared" si="116"/>
        <v>0</v>
      </c>
      <c r="G171" s="85">
        <f t="shared" si="116"/>
        <v>0</v>
      </c>
      <c r="H171" s="85">
        <f t="shared" si="116"/>
        <v>0</v>
      </c>
      <c r="I171" s="100"/>
      <c r="J171" s="100"/>
      <c r="K171" s="100"/>
    </row>
    <row r="172" spans="1:16" x14ac:dyDescent="0.25">
      <c r="A172" s="271" t="s">
        <v>60</v>
      </c>
      <c r="B172" s="124">
        <f>+B170/12</f>
        <v>3.2500000000000001E-2</v>
      </c>
      <c r="C172" s="125">
        <f>+C170/12</f>
        <v>5.5833333333333339E-2</v>
      </c>
      <c r="D172" s="124">
        <f t="shared" ref="D172:H172" si="117">+D170/12</f>
        <v>0</v>
      </c>
      <c r="E172" s="124">
        <f t="shared" si="117"/>
        <v>0</v>
      </c>
      <c r="F172" s="124">
        <f t="shared" si="117"/>
        <v>0</v>
      </c>
      <c r="G172" s="124">
        <f t="shared" si="117"/>
        <v>0</v>
      </c>
      <c r="H172" s="124">
        <f t="shared" si="117"/>
        <v>0</v>
      </c>
      <c r="I172" s="100"/>
      <c r="J172" s="100"/>
      <c r="K172" s="100"/>
    </row>
    <row r="173" spans="1:16" x14ac:dyDescent="0.25">
      <c r="A173" s="270" t="s">
        <v>21</v>
      </c>
      <c r="B173" s="485">
        <f t="shared" ref="B173:H173" si="118">IF($B$3="NIH",IF(IF($I169=9,ROUND(B169*B171,0),IF($I169=12,ROUND((B169*B171*$N$41)+(C169*B171*$N$42),0),0))&lt;IF($I169=9,ROUND($M$13*B171,0),IF($I169=12,ROUND(($M$14*B171*$N$41)+($M$14*B171*$N$42),0),0)),IF($I169=9,ROUND(B169*B171,0),IF($I169=12,ROUND((B169*B171*$N$41)+(C169*B171*$N$42),0),0)),IF($I169=9,ROUND($M$13*B171,0),IF($I169=12,ROUND(($M$14*B171*$N$41)+($M$14*B171*$N$42),0),0))),IF($I169=9,ROUND(B169*B171,0),IF($I169=12,ROUND((B169*B171*$N$41)+(C169*B171*$N$42),0),0)))</f>
        <v>3422</v>
      </c>
      <c r="C173" s="485">
        <f t="shared" si="118"/>
        <v>6055</v>
      </c>
      <c r="D173" s="485">
        <f t="shared" si="118"/>
        <v>0</v>
      </c>
      <c r="E173" s="485">
        <f t="shared" si="118"/>
        <v>0</v>
      </c>
      <c r="F173" s="485">
        <f t="shared" si="118"/>
        <v>0</v>
      </c>
      <c r="G173" s="485">
        <f t="shared" si="118"/>
        <v>0</v>
      </c>
      <c r="H173" s="485">
        <f t="shared" si="118"/>
        <v>0</v>
      </c>
      <c r="I173" s="100"/>
      <c r="J173" s="100"/>
      <c r="K173" s="100"/>
    </row>
    <row r="174" spans="1:16" x14ac:dyDescent="0.25">
      <c r="A174" s="720" t="str">
        <f>IF($B$3="NIH",IF(I169=9,CONCATENATE("NIH ",I169," Month Salary Cap = ",TEXT($M$13,"$0,000")),IF(I169=12,CONCATENATE("NIH ",I169," Month Salary Cap = ",TEXT($M$14,"$0,000")),"N/A"))," ")</f>
        <v xml:space="preserve"> </v>
      </c>
      <c r="I174" s="100"/>
      <c r="J174" s="100"/>
      <c r="K174" s="100"/>
    </row>
    <row r="175" spans="1:16" x14ac:dyDescent="0.25">
      <c r="A175" s="271" t="s">
        <v>189</v>
      </c>
      <c r="B175" s="86">
        <v>0</v>
      </c>
      <c r="C175" s="86">
        <v>0</v>
      </c>
      <c r="D175" s="86">
        <v>0</v>
      </c>
      <c r="E175" s="86">
        <v>0</v>
      </c>
      <c r="F175" s="86">
        <v>0</v>
      </c>
      <c r="G175" s="86">
        <v>0</v>
      </c>
      <c r="H175" s="86">
        <v>0</v>
      </c>
      <c r="I175" s="100"/>
      <c r="J175" s="100"/>
      <c r="K175" s="100"/>
    </row>
    <row r="176" spans="1:16" x14ac:dyDescent="0.25">
      <c r="A176" s="271" t="str">
        <f>CONCATENATE("FTE for ",I169," Months")</f>
        <v>FTE for 12 Months</v>
      </c>
      <c r="B176" s="85">
        <f t="shared" ref="B176" si="119">+B175/$I169</f>
        <v>0</v>
      </c>
      <c r="C176" s="85">
        <f t="shared" ref="C176" si="120">+C175/$I169</f>
        <v>0</v>
      </c>
      <c r="D176" s="85">
        <f t="shared" ref="D176" si="121">+D175/$I169</f>
        <v>0</v>
      </c>
      <c r="E176" s="85">
        <f t="shared" ref="E176" si="122">+E175/$I169</f>
        <v>0</v>
      </c>
      <c r="F176" s="85">
        <f t="shared" ref="F176" si="123">+F175/$I169</f>
        <v>0</v>
      </c>
      <c r="G176" s="85">
        <f t="shared" ref="G176" si="124">+G175/$I169</f>
        <v>0</v>
      </c>
      <c r="H176" s="85">
        <f t="shared" ref="H176" si="125">+H175/$I169</f>
        <v>0</v>
      </c>
      <c r="I176" s="100"/>
      <c r="J176" s="100"/>
      <c r="K176" s="100"/>
    </row>
    <row r="177" spans="1:20" x14ac:dyDescent="0.25">
      <c r="A177" s="271" t="s">
        <v>60</v>
      </c>
      <c r="B177" s="124">
        <f t="shared" ref="B177:H177" si="126">+B175/12</f>
        <v>0</v>
      </c>
      <c r="C177" s="125">
        <f t="shared" si="126"/>
        <v>0</v>
      </c>
      <c r="D177" s="124">
        <f t="shared" si="126"/>
        <v>0</v>
      </c>
      <c r="E177" s="124">
        <f t="shared" si="126"/>
        <v>0</v>
      </c>
      <c r="F177" s="124">
        <f t="shared" si="126"/>
        <v>0</v>
      </c>
      <c r="G177" s="124">
        <f t="shared" si="126"/>
        <v>0</v>
      </c>
      <c r="H177" s="124">
        <f t="shared" si="126"/>
        <v>0</v>
      </c>
      <c r="I177" s="100"/>
      <c r="J177" s="100"/>
      <c r="K177" s="100"/>
    </row>
    <row r="178" spans="1:20" x14ac:dyDescent="0.25">
      <c r="A178" s="271" t="s">
        <v>204</v>
      </c>
      <c r="B178" s="119">
        <f t="shared" ref="B178:H178" si="127">IF($I169=9,ROUND(B169*B176,0),IF($I169=12,ROUND((B169*B176*$N$41)+(C169*B176*$N$42),0),0))</f>
        <v>0</v>
      </c>
      <c r="C178" s="119">
        <f t="shared" si="127"/>
        <v>0</v>
      </c>
      <c r="D178" s="119">
        <f t="shared" si="127"/>
        <v>0</v>
      </c>
      <c r="E178" s="119">
        <f t="shared" si="127"/>
        <v>0</v>
      </c>
      <c r="F178" s="119">
        <f t="shared" si="127"/>
        <v>0</v>
      </c>
      <c r="G178" s="119">
        <f t="shared" si="127"/>
        <v>0</v>
      </c>
      <c r="H178" s="119">
        <f t="shared" si="127"/>
        <v>0</v>
      </c>
      <c r="I178" s="100"/>
      <c r="J178" s="100"/>
      <c r="K178" s="100"/>
    </row>
    <row r="179" spans="1:20" x14ac:dyDescent="0.25">
      <c r="A179" s="270" t="str">
        <f>IF($B$3="NIH", "Over the Salary Limit", " ")</f>
        <v xml:space="preserve"> </v>
      </c>
      <c r="B179" s="486">
        <f>IF($B$3="NIH",IF(AND($I169=9,B169&lt;$M$13),0,IF(AND($I169=9,B169&gt;=$M$13),ROUND((B169*B171)-($M$13*B171),0),IF(AND($I169=12,B169&lt;$M$14),0,IF(AND($I169=12,B169&gt;=$M$14),ROUND(((B169*B171*$N$41)+(C169*B171*$N$42))-($M$14*B171),0))))),0)</f>
        <v>0</v>
      </c>
      <c r="C179" s="486">
        <f t="shared" ref="C179:H179" si="128">IF($B$3="NIH",IF(AND($I169=9,C169&lt;$M$13),0,IF(AND($I169=9,C169&gt;=$M$13),ROUND((C169*C171)-($M$13*C171),0),IF(AND($I169=12,C169&lt;$M$14),0,IF(AND($I169=12,C169&gt;=$M$14),ROUND(((C169*C171*$N$41)+(D169*C171*$N$42))-($M$14*C171),0))))),0)</f>
        <v>0</v>
      </c>
      <c r="D179" s="486">
        <f t="shared" si="128"/>
        <v>0</v>
      </c>
      <c r="E179" s="486">
        <f t="shared" si="128"/>
        <v>0</v>
      </c>
      <c r="F179" s="486">
        <f t="shared" si="128"/>
        <v>0</v>
      </c>
      <c r="G179" s="486">
        <f t="shared" si="128"/>
        <v>0</v>
      </c>
      <c r="H179" s="486">
        <f t="shared" si="128"/>
        <v>0</v>
      </c>
      <c r="I179" s="100"/>
      <c r="J179" s="100"/>
      <c r="K179" s="100"/>
    </row>
    <row r="180" spans="1:20" x14ac:dyDescent="0.25">
      <c r="A180" s="270"/>
      <c r="B180" s="49"/>
      <c r="C180" s="49"/>
      <c r="D180" s="49"/>
      <c r="E180" s="49"/>
      <c r="F180" s="49"/>
      <c r="G180" s="49"/>
      <c r="H180" s="49"/>
      <c r="I180" s="100"/>
      <c r="J180" s="100"/>
      <c r="K180" s="100"/>
      <c r="L180" s="50"/>
      <c r="M180" s="47"/>
      <c r="N180" s="47"/>
      <c r="O180" s="47"/>
      <c r="P180" s="47"/>
      <c r="Q180" s="47"/>
    </row>
    <row r="181" spans="1:20" x14ac:dyDescent="0.25">
      <c r="A181" s="268" t="str">
        <f>CONCATENATE("Calculation based on ",I183," month salary")</f>
        <v>Calculation based on 9 month salary</v>
      </c>
      <c r="B181" s="113" t="str">
        <f t="shared" ref="B181:H181" si="129">IF(AND(B182=$Z$5,$I183=9),$Z$3,IF(AND(B182=$AA$5,$I183=9),$AA$3,IF(AND(B182=$AB$5,$I183=9),$AB$3,IF(AND(B182=$AC$5,$I183=9),$AC$3,IF(AND(B182=$AD$5,$I183=9),$AD$3,IF(AND(B182=$Z$4,$I183=12),$Z$3,IF(AND(B182=$AA$4,$I183=12),$AA$3,IF(AND(B182=$AB$4,$I183=12),$AB$3,IF(AND(B182=$AC$4,$I183=12),$AC$3,IF(AND(B182=$AD$4,$I183=12),$AD$3," "))))))))))</f>
        <v xml:space="preserve"> </v>
      </c>
      <c r="C181" s="113" t="str">
        <f t="shared" si="129"/>
        <v>Year 1</v>
      </c>
      <c r="D181" s="113" t="str">
        <f t="shared" si="129"/>
        <v>Year 2</v>
      </c>
      <c r="E181" s="113" t="str">
        <f t="shared" si="129"/>
        <v>Year 3</v>
      </c>
      <c r="F181" s="113" t="str">
        <f t="shared" si="129"/>
        <v>Year 4</v>
      </c>
      <c r="G181" s="113" t="str">
        <f t="shared" si="129"/>
        <v>Year 5</v>
      </c>
      <c r="H181" s="113" t="str">
        <f t="shared" si="129"/>
        <v xml:space="preserve"> </v>
      </c>
      <c r="I181" s="100"/>
      <c r="J181" s="100"/>
      <c r="K181" s="100"/>
      <c r="L181" s="50"/>
      <c r="M181" s="47"/>
      <c r="N181" s="47"/>
      <c r="O181" s="47"/>
      <c r="P181" s="47"/>
      <c r="Q181" s="47"/>
    </row>
    <row r="182" spans="1:20" x14ac:dyDescent="0.25">
      <c r="A182" s="269" t="str">
        <f>+B135</f>
        <v>Co-PI</v>
      </c>
      <c r="B182" s="84" t="str">
        <f>+M$2</f>
        <v>FY2023</v>
      </c>
      <c r="C182" s="84" t="str">
        <f t="shared" ref="C182" si="130">+N$2</f>
        <v>FY2024</v>
      </c>
      <c r="D182" s="84" t="str">
        <f t="shared" ref="D182" si="131">+O$2</f>
        <v>FY2025</v>
      </c>
      <c r="E182" s="84" t="str">
        <f t="shared" ref="E182" si="132">+P$2</f>
        <v>FY2026</v>
      </c>
      <c r="F182" s="84" t="str">
        <f t="shared" ref="F182" si="133">+Q$2</f>
        <v>FY2027</v>
      </c>
      <c r="G182" s="84" t="str">
        <f t="shared" ref="G182" si="134">+R$2</f>
        <v>FY2028</v>
      </c>
      <c r="H182" s="84" t="str">
        <f t="shared" ref="H182" si="135">+S$2</f>
        <v>FY2029</v>
      </c>
      <c r="I182" s="56" t="s">
        <v>20</v>
      </c>
      <c r="J182" s="100" t="s">
        <v>77</v>
      </c>
      <c r="K182" s="100"/>
      <c r="L182" s="50"/>
      <c r="M182" s="47"/>
      <c r="N182" s="47"/>
      <c r="O182" s="47"/>
      <c r="P182" s="47"/>
      <c r="Q182" s="47"/>
    </row>
    <row r="183" spans="1:20" x14ac:dyDescent="0.25">
      <c r="A183" s="270" t="str">
        <f>CONCATENATE("Base Salary: ",I183," month term")</f>
        <v>Base Salary: 9 month term</v>
      </c>
      <c r="B183" s="93">
        <v>0</v>
      </c>
      <c r="C183" s="118">
        <f>ROUND(+B183*(1+J183),0)</f>
        <v>0</v>
      </c>
      <c r="D183" s="118">
        <f>ROUND(+C183*(1+J183),0)</f>
        <v>0</v>
      </c>
      <c r="E183" s="118">
        <f>ROUND(+D183*(1+J183),0)</f>
        <v>0</v>
      </c>
      <c r="F183" s="118">
        <f>ROUND(+E183*(1+J183),0)</f>
        <v>0</v>
      </c>
      <c r="G183" s="118">
        <f>ROUND(+F183*(1+J183),0)</f>
        <v>0</v>
      </c>
      <c r="H183" s="118">
        <f>ROUND(+G183*(1+J183),0)</f>
        <v>0</v>
      </c>
      <c r="I183" s="74">
        <v>9</v>
      </c>
      <c r="J183" s="81">
        <v>0.03</v>
      </c>
      <c r="K183" s="100"/>
      <c r="L183" s="50"/>
      <c r="M183" s="47"/>
      <c r="N183" s="47"/>
      <c r="O183" s="47"/>
      <c r="P183" s="47"/>
      <c r="Q183" s="47"/>
    </row>
    <row r="184" spans="1:20" x14ac:dyDescent="0.25">
      <c r="A184" s="270" t="s">
        <v>49</v>
      </c>
      <c r="B184" s="86">
        <v>0</v>
      </c>
      <c r="C184" s="86">
        <v>0</v>
      </c>
      <c r="D184" s="86">
        <v>0</v>
      </c>
      <c r="E184" s="86">
        <v>0</v>
      </c>
      <c r="F184" s="86">
        <v>0</v>
      </c>
      <c r="G184" s="86">
        <v>0</v>
      </c>
      <c r="H184" s="86">
        <v>0</v>
      </c>
      <c r="I184" s="49"/>
      <c r="J184" s="49"/>
      <c r="K184" s="100"/>
      <c r="L184" s="50"/>
      <c r="M184" s="47"/>
      <c r="N184" s="47"/>
      <c r="O184" s="47"/>
      <c r="P184" s="47"/>
      <c r="Q184" s="47"/>
    </row>
    <row r="185" spans="1:20" x14ac:dyDescent="0.25">
      <c r="A185" s="270" t="str">
        <f>CONCATENATE("FTE for ",I183," Months")</f>
        <v>FTE for 9 Months</v>
      </c>
      <c r="B185" s="85">
        <f t="shared" ref="B185:H185" si="136">+B184/$I183</f>
        <v>0</v>
      </c>
      <c r="C185" s="85">
        <f t="shared" si="136"/>
        <v>0</v>
      </c>
      <c r="D185" s="85">
        <f t="shared" si="136"/>
        <v>0</v>
      </c>
      <c r="E185" s="85">
        <f t="shared" si="136"/>
        <v>0</v>
      </c>
      <c r="F185" s="85">
        <f t="shared" si="136"/>
        <v>0</v>
      </c>
      <c r="G185" s="85">
        <f t="shared" si="136"/>
        <v>0</v>
      </c>
      <c r="H185" s="85">
        <f t="shared" si="136"/>
        <v>0</v>
      </c>
      <c r="I185" s="100"/>
      <c r="J185" s="100"/>
      <c r="K185" s="100"/>
      <c r="L185" s="50"/>
      <c r="M185" s="47"/>
      <c r="N185" s="47"/>
      <c r="O185" s="47"/>
      <c r="P185" s="47"/>
      <c r="Q185" s="47"/>
    </row>
    <row r="186" spans="1:20" x14ac:dyDescent="0.25">
      <c r="A186" s="271" t="s">
        <v>60</v>
      </c>
      <c r="B186" s="124">
        <f>+B184/12</f>
        <v>0</v>
      </c>
      <c r="C186" s="125">
        <f>+C184/12</f>
        <v>0</v>
      </c>
      <c r="D186" s="124">
        <f t="shared" ref="D186:H186" si="137">+D184/12</f>
        <v>0</v>
      </c>
      <c r="E186" s="124">
        <f t="shared" si="137"/>
        <v>0</v>
      </c>
      <c r="F186" s="124">
        <f t="shared" si="137"/>
        <v>0</v>
      </c>
      <c r="G186" s="124">
        <f t="shared" si="137"/>
        <v>0</v>
      </c>
      <c r="H186" s="124">
        <f t="shared" si="137"/>
        <v>0</v>
      </c>
      <c r="I186" s="100"/>
      <c r="J186" s="100"/>
      <c r="K186" s="100"/>
      <c r="L186" s="50"/>
      <c r="M186" s="47"/>
      <c r="N186" s="47"/>
      <c r="O186" s="47"/>
      <c r="P186" s="47"/>
      <c r="Q186" s="47"/>
    </row>
    <row r="187" spans="1:20" x14ac:dyDescent="0.25">
      <c r="A187" s="270" t="s">
        <v>21</v>
      </c>
      <c r="B187" s="485">
        <f t="shared" ref="B187:H187" si="138">IF($B$3="NIH",IF(IF($I183=9,ROUND(B183*B185,0),IF($I183=12,ROUND((B183*B185*$N$41)+(C183*B185*$N$42),0),0))&lt;IF($I183=9,ROUND($M$13*B185,0),IF($I183=12,ROUND(($M$14*B185*$N$41)+($M$14*B185*$N$42),0),0)),IF($I183=9,ROUND(B183*B185,0),IF($I183=12,ROUND((B183*B185*$N$41)+(C183*B185*$N$42),0),0)),IF($I183=9,ROUND($M$13*B185,0),IF($I183=12,ROUND(($M$14*B185*$N$41)+($M$14*B185*$N$42),0),0))),IF($I183=9,ROUND(B183*B185,0),IF($I183=12,ROUND((B183*B185*$N$41)+(C183*B185*$N$42),0),0)))</f>
        <v>0</v>
      </c>
      <c r="C187" s="485">
        <f t="shared" si="138"/>
        <v>0</v>
      </c>
      <c r="D187" s="485">
        <f t="shared" si="138"/>
        <v>0</v>
      </c>
      <c r="E187" s="485">
        <f t="shared" si="138"/>
        <v>0</v>
      </c>
      <c r="F187" s="485">
        <f t="shared" si="138"/>
        <v>0</v>
      </c>
      <c r="G187" s="485">
        <f t="shared" si="138"/>
        <v>0</v>
      </c>
      <c r="H187" s="485">
        <f t="shared" si="138"/>
        <v>0</v>
      </c>
      <c r="I187" s="100"/>
      <c r="J187" s="100"/>
      <c r="K187" s="100"/>
    </row>
    <row r="188" spans="1:20" x14ac:dyDescent="0.25">
      <c r="A188" s="720" t="str">
        <f>IF($B$3="NIH",IF(I183=9,CONCATENATE("NIH ",I183," Month Salary Cap = ",TEXT($M$13,"$0,000")),IF(I183=12,CONCATENATE("NIH ",I183," Month Salary Cap = ",TEXT($M$14,"$0,000")),"N/A"))," ")</f>
        <v xml:space="preserve"> </v>
      </c>
      <c r="K188" s="100"/>
    </row>
    <row r="189" spans="1:20" x14ac:dyDescent="0.25">
      <c r="A189" s="271" t="s">
        <v>189</v>
      </c>
      <c r="B189" s="86">
        <v>0</v>
      </c>
      <c r="C189" s="86">
        <v>0</v>
      </c>
      <c r="D189" s="86">
        <v>0</v>
      </c>
      <c r="E189" s="86">
        <v>0</v>
      </c>
      <c r="F189" s="86">
        <v>0</v>
      </c>
      <c r="G189" s="86">
        <v>0</v>
      </c>
      <c r="H189" s="86">
        <v>0</v>
      </c>
      <c r="K189" s="81"/>
    </row>
    <row r="190" spans="1:20" x14ac:dyDescent="0.25">
      <c r="A190" s="271" t="str">
        <f>CONCATENATE("FTE for ",I183," Months")</f>
        <v>FTE for 9 Months</v>
      </c>
      <c r="B190" s="85">
        <f t="shared" ref="B190" si="139">+B189/$I183</f>
        <v>0</v>
      </c>
      <c r="C190" s="85">
        <f t="shared" ref="C190" si="140">+C189/$I183</f>
        <v>0</v>
      </c>
      <c r="D190" s="85">
        <f t="shared" ref="D190" si="141">+D189/$I183</f>
        <v>0</v>
      </c>
      <c r="E190" s="85">
        <f t="shared" ref="E190" si="142">+E189/$I183</f>
        <v>0</v>
      </c>
      <c r="F190" s="85">
        <f t="shared" ref="F190" si="143">+F189/$I183</f>
        <v>0</v>
      </c>
      <c r="G190" s="85">
        <f t="shared" ref="G190" si="144">+G189/$I183</f>
        <v>0</v>
      </c>
      <c r="H190" s="85">
        <f t="shared" ref="H190" si="145">+H189/$I183</f>
        <v>0</v>
      </c>
      <c r="K190" s="279"/>
      <c r="L190" s="66" t="str">
        <f>+L$25</f>
        <v>Graduate Student (Stipend, Tuition, Health Ins) - Contract College Rates:</v>
      </c>
    </row>
    <row r="191" spans="1:20" x14ac:dyDescent="0.25">
      <c r="A191" s="271" t="s">
        <v>60</v>
      </c>
      <c r="B191" s="124">
        <f t="shared" ref="B191:H191" si="146">+B189/12</f>
        <v>0</v>
      </c>
      <c r="C191" s="125">
        <f t="shared" si="146"/>
        <v>0</v>
      </c>
      <c r="D191" s="124">
        <f t="shared" si="146"/>
        <v>0</v>
      </c>
      <c r="E191" s="124">
        <f t="shared" si="146"/>
        <v>0</v>
      </c>
      <c r="F191" s="124">
        <f t="shared" si="146"/>
        <v>0</v>
      </c>
      <c r="G191" s="124">
        <f t="shared" si="146"/>
        <v>0</v>
      </c>
      <c r="H191" s="124">
        <f t="shared" si="146"/>
        <v>0</v>
      </c>
      <c r="K191" s="279"/>
      <c r="L191" s="49"/>
      <c r="M191" s="122" t="str">
        <f>+$M$29</f>
        <v>FY2023</v>
      </c>
      <c r="N191" s="122" t="str">
        <f>+$N$29</f>
        <v>FY2024</v>
      </c>
      <c r="O191" s="122" t="str">
        <f>+$O$29</f>
        <v>FY2025</v>
      </c>
      <c r="P191" s="122" t="str">
        <f>+$P$29</f>
        <v>FY2026</v>
      </c>
      <c r="Q191" s="122" t="str">
        <f>+$Q$29</f>
        <v>FY2027</v>
      </c>
      <c r="R191" s="122" t="str">
        <f>+$R$29</f>
        <v>FY2028</v>
      </c>
      <c r="S191" s="122" t="str">
        <f>+$S$29</f>
        <v>FY2029</v>
      </c>
      <c r="T191" s="123" t="s">
        <v>119</v>
      </c>
    </row>
    <row r="192" spans="1:20" x14ac:dyDescent="0.25">
      <c r="A192" s="271" t="s">
        <v>204</v>
      </c>
      <c r="B192" s="119">
        <f t="shared" ref="B192:H192" si="147">IF($I183=9,ROUND(B183*B190,0),IF($I183=12,ROUND((B183*B190*$N$41)+(C183*B190*$N$42),0),0))</f>
        <v>0</v>
      </c>
      <c r="C192" s="119">
        <f t="shared" si="147"/>
        <v>0</v>
      </c>
      <c r="D192" s="119">
        <f t="shared" si="147"/>
        <v>0</v>
      </c>
      <c r="E192" s="119">
        <f t="shared" si="147"/>
        <v>0</v>
      </c>
      <c r="F192" s="119">
        <f t="shared" si="147"/>
        <v>0</v>
      </c>
      <c r="G192" s="119">
        <f t="shared" si="147"/>
        <v>0</v>
      </c>
      <c r="H192" s="119">
        <f t="shared" si="147"/>
        <v>0</v>
      </c>
      <c r="K192" s="279"/>
      <c r="L192" s="54" t="s">
        <v>35</v>
      </c>
      <c r="M192" s="110">
        <f>+$M$30</f>
        <v>30088</v>
      </c>
      <c r="N192" s="110">
        <f>ROUND(M192*(1+$T192),0)+1</f>
        <v>31593</v>
      </c>
      <c r="O192" s="110">
        <f t="shared" ref="O192:S192" si="148">ROUND(N192*(1+$T192),0)</f>
        <v>33173</v>
      </c>
      <c r="P192" s="110">
        <f t="shared" si="148"/>
        <v>34832</v>
      </c>
      <c r="Q192" s="110">
        <f t="shared" si="148"/>
        <v>36574</v>
      </c>
      <c r="R192" s="110">
        <f t="shared" si="148"/>
        <v>38403</v>
      </c>
      <c r="S192" s="110">
        <f t="shared" si="148"/>
        <v>40323</v>
      </c>
      <c r="T192" s="55">
        <v>0.05</v>
      </c>
    </row>
    <row r="193" spans="1:20" x14ac:dyDescent="0.25">
      <c r="A193" s="270" t="str">
        <f>IF($B$3="NIH", "Over the Salary Limit", " ")</f>
        <v xml:space="preserve"> </v>
      </c>
      <c r="B193" s="486">
        <f>IF($B$3="NIH",IF(AND($I183=9,B183&lt;$M$13),0,IF(AND($I183=9,B183&gt;=$M$13),ROUND((B183*B185)-($M$13*B185),0),IF(AND($I183=12,B183&lt;$M$14),0,IF(AND($I183=12,B183&gt;=$M$14),ROUND(((B183*B185*$N$41)+(C183*B185*$N$42))-($M$14*B185),0))))),0)</f>
        <v>0</v>
      </c>
      <c r="C193" s="486">
        <f t="shared" ref="C193:H193" si="149">IF($B$3="NIH",IF(AND($I183=9,C183&lt;$M$13),0,IF(AND($I183=9,C183&gt;=$M$13),ROUND((C183*C185)-($M$13*C185),0),IF(AND($I183=12,C183&lt;$M$14),0,IF(AND($I183=12,C183&gt;=$M$14),ROUND(((C183*C185*$N$41)+(D183*C185*$N$42))-($M$14*C185),0))))),0)</f>
        <v>0</v>
      </c>
      <c r="D193" s="486">
        <f t="shared" si="149"/>
        <v>0</v>
      </c>
      <c r="E193" s="486">
        <f t="shared" si="149"/>
        <v>0</v>
      </c>
      <c r="F193" s="486">
        <f t="shared" si="149"/>
        <v>0</v>
      </c>
      <c r="G193" s="486">
        <f t="shared" si="149"/>
        <v>0</v>
      </c>
      <c r="H193" s="486">
        <f t="shared" si="149"/>
        <v>0</v>
      </c>
      <c r="K193" s="279"/>
      <c r="L193" s="54" t="s">
        <v>23</v>
      </c>
      <c r="M193" s="110">
        <f>+$M$31</f>
        <v>10029</v>
      </c>
      <c r="N193" s="110">
        <f t="shared" ref="N193:S193" si="150">ROUND(M193*(1+$T193),0)</f>
        <v>10530</v>
      </c>
      <c r="O193" s="110">
        <f t="shared" si="150"/>
        <v>11057</v>
      </c>
      <c r="P193" s="110">
        <f t="shared" si="150"/>
        <v>11610</v>
      </c>
      <c r="Q193" s="110">
        <f t="shared" si="150"/>
        <v>12191</v>
      </c>
      <c r="R193" s="110">
        <f t="shared" si="150"/>
        <v>12801</v>
      </c>
      <c r="S193" s="110">
        <f t="shared" si="150"/>
        <v>13441</v>
      </c>
      <c r="T193" s="97">
        <v>0.05</v>
      </c>
    </row>
    <row r="194" spans="1:20" x14ac:dyDescent="0.25">
      <c r="A194" s="270"/>
      <c r="B194" s="89"/>
      <c r="C194" s="89"/>
      <c r="D194" s="89"/>
      <c r="E194" s="89"/>
      <c r="F194" s="89"/>
      <c r="G194" s="89"/>
      <c r="H194" s="89"/>
      <c r="I194" s="100"/>
      <c r="J194" s="100"/>
      <c r="K194" s="279"/>
      <c r="L194" s="54" t="s">
        <v>30</v>
      </c>
      <c r="M194" s="110">
        <f>+$M$32</f>
        <v>40117</v>
      </c>
      <c r="N194" s="110">
        <f>+N192+N193</f>
        <v>42123</v>
      </c>
      <c r="O194" s="110">
        <f t="shared" ref="O194" si="151">+O192+O193</f>
        <v>44230</v>
      </c>
      <c r="P194" s="110">
        <f t="shared" ref="P194" si="152">+P192+P193</f>
        <v>46442</v>
      </c>
      <c r="Q194" s="110">
        <f t="shared" ref="Q194" si="153">+Q192+Q193</f>
        <v>48765</v>
      </c>
      <c r="R194" s="110">
        <f t="shared" ref="R194" si="154">+R192+R193</f>
        <v>51204</v>
      </c>
      <c r="S194" s="110">
        <f t="shared" ref="S194" si="155">+S192+S193</f>
        <v>53764</v>
      </c>
      <c r="T194" s="55"/>
    </row>
    <row r="195" spans="1:20" x14ac:dyDescent="0.25">
      <c r="A195" s="270"/>
      <c r="B195" s="113" t="str">
        <f t="shared" ref="B195:H195" si="156">IF(B196=$Z$4,$Z$3,IF(B196=$AA$4,$AA$3,IF(B196=$AB$4,$AB$3,IF(B196=$AC$4,$AC$3,IF(B196=$AD$4,$AD$3," ")))))</f>
        <v>Year 1</v>
      </c>
      <c r="C195" s="113" t="str">
        <f t="shared" si="156"/>
        <v>Year 2</v>
      </c>
      <c r="D195" s="113" t="str">
        <f t="shared" si="156"/>
        <v>Year 3</v>
      </c>
      <c r="E195" s="113" t="str">
        <f t="shared" si="156"/>
        <v>Year 4</v>
      </c>
      <c r="F195" s="113" t="str">
        <f t="shared" si="156"/>
        <v>Year 5</v>
      </c>
      <c r="G195" s="113" t="str">
        <f t="shared" si="156"/>
        <v xml:space="preserve"> </v>
      </c>
      <c r="H195" s="113" t="str">
        <f t="shared" si="156"/>
        <v xml:space="preserve"> </v>
      </c>
      <c r="I195" s="100"/>
      <c r="J195" s="100"/>
      <c r="K195" s="279"/>
      <c r="L195" s="54" t="s">
        <v>8</v>
      </c>
      <c r="M195" s="110">
        <f>IF(B136="Contract College",$M$33,$M$34)</f>
        <v>10400</v>
      </c>
      <c r="N195" s="110">
        <f>ROUND(M195*(1+$T195),0)</f>
        <v>10400</v>
      </c>
      <c r="O195" s="110">
        <f t="shared" ref="O195" si="157">ROUND(N195*(1+$T195),0)</f>
        <v>10400</v>
      </c>
      <c r="P195" s="110">
        <f t="shared" ref="P195" si="158">ROUND(O195*(1+$T195),0)</f>
        <v>10400</v>
      </c>
      <c r="Q195" s="110">
        <f t="shared" ref="Q195" si="159">ROUND(P195*(1+$T195),0)</f>
        <v>10400</v>
      </c>
      <c r="R195" s="110">
        <f t="shared" ref="R195" si="160">ROUND(Q195*(1+$T195),0)</f>
        <v>10400</v>
      </c>
      <c r="S195" s="110">
        <f t="shared" ref="S195" si="161">ROUND(R195*(1+$T195),0)</f>
        <v>10400</v>
      </c>
      <c r="T195" s="55">
        <v>0</v>
      </c>
    </row>
    <row r="196" spans="1:20" x14ac:dyDescent="0.25">
      <c r="A196" s="269" t="s">
        <v>120</v>
      </c>
      <c r="B196" s="84" t="str">
        <f>+M$2</f>
        <v>FY2023</v>
      </c>
      <c r="C196" s="84" t="str">
        <f t="shared" ref="C196" si="162">+N$2</f>
        <v>FY2024</v>
      </c>
      <c r="D196" s="84" t="str">
        <f t="shared" ref="D196" si="163">+O$2</f>
        <v>FY2025</v>
      </c>
      <c r="E196" s="84" t="str">
        <f t="shared" ref="E196" si="164">+P$2</f>
        <v>FY2026</v>
      </c>
      <c r="F196" s="84" t="str">
        <f t="shared" ref="F196" si="165">+Q$2</f>
        <v>FY2027</v>
      </c>
      <c r="G196" s="84" t="str">
        <f t="shared" ref="G196" si="166">+R$2</f>
        <v>FY2028</v>
      </c>
      <c r="H196" s="84" t="str">
        <f t="shared" ref="H196" si="167">+S$2</f>
        <v>FY2029</v>
      </c>
      <c r="I196" s="56" t="s">
        <v>20</v>
      </c>
      <c r="J196" s="100" t="s">
        <v>77</v>
      </c>
      <c r="K196" s="279"/>
      <c r="L196" s="54" t="s">
        <v>24</v>
      </c>
      <c r="M196" s="110">
        <f>+$M$35</f>
        <v>4046</v>
      </c>
      <c r="N196" s="110">
        <f>IF(ROUND(M196*(1+$T196),0)=$N$35,ROUND(M196*(1+$T196),0),$N$35)</f>
        <v>4451</v>
      </c>
      <c r="O196" s="110">
        <f t="shared" ref="O196:S196" si="168">ROUND(N196*(1+$T196),0)</f>
        <v>4896</v>
      </c>
      <c r="P196" s="110">
        <f t="shared" si="168"/>
        <v>5386</v>
      </c>
      <c r="Q196" s="110">
        <f t="shared" si="168"/>
        <v>5925</v>
      </c>
      <c r="R196" s="110">
        <f t="shared" si="168"/>
        <v>6518</v>
      </c>
      <c r="S196" s="110">
        <f t="shared" si="168"/>
        <v>7170</v>
      </c>
      <c r="T196" s="55">
        <v>0.1</v>
      </c>
    </row>
    <row r="197" spans="1:20" x14ac:dyDescent="0.25">
      <c r="A197" s="270" t="str">
        <f>CONCATENATE("Base Salary: ",I197," month term")</f>
        <v>Base Salary: 12 month term</v>
      </c>
      <c r="B197" s="93">
        <f>+$M$15</f>
        <v>54840</v>
      </c>
      <c r="C197" s="118">
        <f>ROUND(+B197*(1+J197),0)</f>
        <v>56759</v>
      </c>
      <c r="D197" s="118">
        <f>ROUND(+C197*(1+J197),0)</f>
        <v>58746</v>
      </c>
      <c r="E197" s="118">
        <f>ROUND(+D197*(1+J197),0)</f>
        <v>60802</v>
      </c>
      <c r="F197" s="118">
        <f>ROUND(+E197*(1+J197),0)</f>
        <v>62930</v>
      </c>
      <c r="G197" s="118">
        <f>ROUND(+F197*(1+J197),0)</f>
        <v>65133</v>
      </c>
      <c r="H197" s="118">
        <f>ROUND(+G197*(1+J197),0)</f>
        <v>67413</v>
      </c>
      <c r="I197" s="126">
        <v>12</v>
      </c>
      <c r="J197" s="97">
        <v>3.5000000000000003E-2</v>
      </c>
      <c r="K197" s="279"/>
      <c r="S197" s="47"/>
    </row>
    <row r="198" spans="1:20" x14ac:dyDescent="0.25">
      <c r="A198" s="270" t="s">
        <v>49</v>
      </c>
      <c r="B198" s="86">
        <v>0</v>
      </c>
      <c r="C198" s="86">
        <v>0</v>
      </c>
      <c r="D198" s="86">
        <v>0</v>
      </c>
      <c r="E198" s="86">
        <v>0</v>
      </c>
      <c r="F198" s="86">
        <v>0</v>
      </c>
      <c r="G198" s="86">
        <v>0</v>
      </c>
      <c r="H198" s="86">
        <v>0</v>
      </c>
      <c r="I198" s="49"/>
      <c r="J198" s="49"/>
      <c r="K198" s="279"/>
      <c r="S198" s="47"/>
    </row>
    <row r="199" spans="1:20" x14ac:dyDescent="0.25">
      <c r="A199" s="270" t="str">
        <f>CONCATENATE("FTE for ",I197," Months")</f>
        <v>FTE for 12 Months</v>
      </c>
      <c r="B199" s="85">
        <f t="shared" ref="B199:H199" si="169">+B198/$I197</f>
        <v>0</v>
      </c>
      <c r="C199" s="85">
        <f t="shared" si="169"/>
        <v>0</v>
      </c>
      <c r="D199" s="85">
        <f t="shared" si="169"/>
        <v>0</v>
      </c>
      <c r="E199" s="85">
        <f t="shared" si="169"/>
        <v>0</v>
      </c>
      <c r="F199" s="85">
        <f t="shared" si="169"/>
        <v>0</v>
      </c>
      <c r="G199" s="85">
        <f t="shared" si="169"/>
        <v>0</v>
      </c>
      <c r="H199" s="85">
        <f t="shared" si="169"/>
        <v>0</v>
      </c>
      <c r="I199" s="100"/>
      <c r="J199" s="100"/>
      <c r="K199" s="279"/>
      <c r="M199" s="82" t="str">
        <f t="shared" ref="M199:Q202" si="170">+M93</f>
        <v>Spring 2023</v>
      </c>
      <c r="N199" s="82" t="str">
        <f t="shared" si="170"/>
        <v>Spring 2024</v>
      </c>
      <c r="O199" s="82" t="str">
        <f t="shared" si="170"/>
        <v>Spring 2025</v>
      </c>
      <c r="P199" s="82" t="str">
        <f t="shared" si="170"/>
        <v>Spring 2026</v>
      </c>
      <c r="Q199" s="82" t="str">
        <f t="shared" si="170"/>
        <v>Spring 2027</v>
      </c>
      <c r="S199" s="47"/>
    </row>
    <row r="200" spans="1:20" x14ac:dyDescent="0.25">
      <c r="A200" s="270" t="s">
        <v>21</v>
      </c>
      <c r="B200" s="119">
        <f t="shared" ref="B200:H200" si="171">ROUND((B197*B199*$N$41)+(C197*B199*$N$42),0)</f>
        <v>0</v>
      </c>
      <c r="C200" s="119">
        <f t="shared" si="171"/>
        <v>0</v>
      </c>
      <c r="D200" s="119">
        <f t="shared" si="171"/>
        <v>0</v>
      </c>
      <c r="E200" s="119">
        <f t="shared" si="171"/>
        <v>0</v>
      </c>
      <c r="F200" s="119">
        <f t="shared" si="171"/>
        <v>0</v>
      </c>
      <c r="G200" s="119">
        <f t="shared" si="171"/>
        <v>0</v>
      </c>
      <c r="H200" s="119">
        <f t="shared" si="171"/>
        <v>0</v>
      </c>
      <c r="I200" s="100"/>
      <c r="J200" s="100"/>
      <c r="K200" s="279"/>
      <c r="M200" s="82" t="str">
        <f t="shared" si="170"/>
        <v>Summer 2023</v>
      </c>
      <c r="N200" s="82" t="str">
        <f t="shared" si="170"/>
        <v>Summer 2024</v>
      </c>
      <c r="O200" s="82" t="str">
        <f t="shared" si="170"/>
        <v>Summer 2025</v>
      </c>
      <c r="P200" s="82" t="str">
        <f t="shared" si="170"/>
        <v>Summer 2026</v>
      </c>
      <c r="Q200" s="82" t="str">
        <f t="shared" si="170"/>
        <v>Summer 2027</v>
      </c>
      <c r="S200" s="47"/>
    </row>
    <row r="201" spans="1:20" x14ac:dyDescent="0.25">
      <c r="A201" s="270"/>
      <c r="B201" s="49"/>
      <c r="C201" s="49"/>
      <c r="D201" s="49"/>
      <c r="E201" s="49"/>
      <c r="F201" s="49"/>
      <c r="G201" s="49"/>
      <c r="H201" s="49"/>
      <c r="I201" s="50"/>
      <c r="J201" s="50"/>
      <c r="K201" s="280"/>
      <c r="M201" s="82" t="str">
        <f t="shared" si="170"/>
        <v>Fall 2023</v>
      </c>
      <c r="N201" s="82" t="str">
        <f t="shared" si="170"/>
        <v>Fall 2024</v>
      </c>
      <c r="O201" s="82" t="str">
        <f t="shared" si="170"/>
        <v>Fall 2025</v>
      </c>
      <c r="P201" s="82" t="str">
        <f t="shared" si="170"/>
        <v>Fall 2026</v>
      </c>
      <c r="Q201" s="82" t="str">
        <f t="shared" si="170"/>
        <v>Fall 2027</v>
      </c>
      <c r="S201" s="47"/>
    </row>
    <row r="202" spans="1:20" x14ac:dyDescent="0.25">
      <c r="A202" s="270"/>
      <c r="B202" s="113" t="str">
        <f t="shared" ref="B202:H202" si="172">IF(B203=$Z$4,$Z$3,IF(B203=$AA$4,$AA$3,IF(B203=$AB$4,$AB$3,IF(B203=$AC$4,$AC$3,IF(B203=$AD$4,$AD$3," ")))))</f>
        <v>Year 1</v>
      </c>
      <c r="C202" s="113" t="str">
        <f t="shared" si="172"/>
        <v>Year 2</v>
      </c>
      <c r="D202" s="113" t="str">
        <f t="shared" si="172"/>
        <v>Year 3</v>
      </c>
      <c r="E202" s="113" t="str">
        <f t="shared" si="172"/>
        <v>Year 4</v>
      </c>
      <c r="F202" s="113" t="str">
        <f t="shared" si="172"/>
        <v>Year 5</v>
      </c>
      <c r="G202" s="113" t="str">
        <f t="shared" si="172"/>
        <v xml:space="preserve"> </v>
      </c>
      <c r="H202" s="113" t="str">
        <f t="shared" si="172"/>
        <v xml:space="preserve"> </v>
      </c>
      <c r="I202" s="50"/>
      <c r="J202" s="50"/>
      <c r="K202" s="280"/>
      <c r="M202" s="58" t="str">
        <f t="shared" si="170"/>
        <v>FY2023&amp;24</v>
      </c>
      <c r="N202" s="58" t="str">
        <f t="shared" si="170"/>
        <v>FY2024&amp;25</v>
      </c>
      <c r="O202" s="58" t="str">
        <f t="shared" si="170"/>
        <v>FY2025&amp;26</v>
      </c>
      <c r="P202" s="58" t="str">
        <f t="shared" si="170"/>
        <v>FY2026&amp;27</v>
      </c>
      <c r="Q202" s="58" t="str">
        <f t="shared" si="170"/>
        <v>FY2027&amp;28</v>
      </c>
      <c r="S202" s="47"/>
    </row>
    <row r="203" spans="1:20" ht="15.75" thickBot="1" x14ac:dyDescent="0.3">
      <c r="A203" s="269" t="s">
        <v>492</v>
      </c>
      <c r="B203" s="84" t="str">
        <f>+M$2</f>
        <v>FY2023</v>
      </c>
      <c r="C203" s="84" t="str">
        <f t="shared" ref="C203" si="173">+N$2</f>
        <v>FY2024</v>
      </c>
      <c r="D203" s="84" t="str">
        <f t="shared" ref="D203" si="174">+O$2</f>
        <v>FY2025</v>
      </c>
      <c r="E203" s="84" t="str">
        <f t="shared" ref="E203" si="175">+P$2</f>
        <v>FY2026</v>
      </c>
      <c r="F203" s="84" t="str">
        <f t="shared" ref="F203" si="176">+Q$2</f>
        <v>FY2027</v>
      </c>
      <c r="G203" s="84" t="str">
        <f t="shared" ref="G203" si="177">+R$2</f>
        <v>FY2028</v>
      </c>
      <c r="H203" s="84" t="str">
        <f t="shared" ref="H203" si="178">+S$2</f>
        <v>FY2029</v>
      </c>
      <c r="I203" s="56" t="s">
        <v>20</v>
      </c>
      <c r="J203" s="100" t="s">
        <v>77</v>
      </c>
      <c r="K203" s="279"/>
      <c r="L203" s="59" t="s">
        <v>86</v>
      </c>
      <c r="M203" s="75" t="s">
        <v>1</v>
      </c>
      <c r="N203" s="76" t="s">
        <v>2</v>
      </c>
      <c r="O203" s="76" t="s">
        <v>3</v>
      </c>
      <c r="P203" s="76" t="s">
        <v>44</v>
      </c>
      <c r="Q203" s="76" t="s">
        <v>50</v>
      </c>
      <c r="S203" s="47"/>
    </row>
    <row r="204" spans="1:20" x14ac:dyDescent="0.25">
      <c r="A204" s="270" t="str">
        <f>CONCATENATE("Base Salary: ",I204," month term")</f>
        <v>Base Salary: 12 month term</v>
      </c>
      <c r="B204" s="93">
        <v>66500</v>
      </c>
      <c r="C204" s="118">
        <f>ROUND(+B204*(1+J204),0)</f>
        <v>68495</v>
      </c>
      <c r="D204" s="118">
        <f>ROUND(+C204*(1+J204),0)</f>
        <v>70550</v>
      </c>
      <c r="E204" s="118">
        <f>ROUND(+D204*(1+J204),0)</f>
        <v>72667</v>
      </c>
      <c r="F204" s="118">
        <f>ROUND(+E204*(1+J204),0)</f>
        <v>74847</v>
      </c>
      <c r="G204" s="118">
        <f>ROUND(+F204*(1+J204),0)</f>
        <v>77092</v>
      </c>
      <c r="H204" s="118">
        <f>ROUND(+G204*(1+J204),0)</f>
        <v>79405</v>
      </c>
      <c r="I204" s="126">
        <v>12</v>
      </c>
      <c r="J204" s="81">
        <v>0.03</v>
      </c>
      <c r="K204" s="281"/>
      <c r="L204" s="92" t="str">
        <f>CONCATENATE("Number of Students ",IF(AND($Y$2&gt;=7,$Y$2&lt;=9),CONCATENATE("(Fall)"),IF(AND($Y$2&gt;=7,$Y$2&lt;=10),CONCATENATE("(Spring)"),IF(OR($Y$2&gt;=10,$Y$2&lt;=2),CONCATENATE("(Spring)"),IF(AND($Y$2&gt;=7,$Y$2&lt;=10),CONCATENATE("(Summer)"),IF(OR($Y$2&gt;=10,$Y$2&lt;=2),CONCATENATE("(Summer)"),IF(AND($Y$2&gt;=3,$Y$2&lt;=6),CONCATENATE("(Summer)"),"N/A")))))))</f>
        <v>Number of Students (Spring)</v>
      </c>
      <c r="M204" s="91">
        <f t="shared" ref="M204:M206" si="179">+B210</f>
        <v>0</v>
      </c>
      <c r="N204" s="91">
        <f t="shared" ref="N204:N206" si="180">+C210</f>
        <v>0</v>
      </c>
      <c r="O204" s="91">
        <f t="shared" ref="O204:O206" si="181">+D210</f>
        <v>0</v>
      </c>
      <c r="P204" s="91">
        <f t="shared" ref="P204:P206" si="182">+E210</f>
        <v>0</v>
      </c>
      <c r="Q204" s="91">
        <f t="shared" ref="Q204:Q206" si="183">+F210</f>
        <v>0</v>
      </c>
      <c r="S204" s="47"/>
    </row>
    <row r="205" spans="1:20" x14ac:dyDescent="0.25">
      <c r="A205" s="270" t="s">
        <v>49</v>
      </c>
      <c r="B205" s="86">
        <v>1.79</v>
      </c>
      <c r="C205" s="86">
        <v>2.2400000000000002</v>
      </c>
      <c r="D205" s="86">
        <v>0</v>
      </c>
      <c r="E205" s="86">
        <v>0</v>
      </c>
      <c r="F205" s="86">
        <v>0</v>
      </c>
      <c r="G205" s="86">
        <v>0</v>
      </c>
      <c r="H205" s="86">
        <v>0</v>
      </c>
      <c r="I205" s="49"/>
      <c r="J205" s="49"/>
      <c r="K205" s="270"/>
      <c r="L205" s="128" t="str">
        <f>CONCATENATE("Number of Students ",IF(AND($Y$2&gt;=7,$Y$2&lt;=9),CONCATENATE("(Spring)"),IF(AND($Y$2&gt;=7,$Y$2&lt;=10),CONCATENATE("(Summer)"),IF(OR($Y$2&gt;=10,$Y$2&lt;=2),CONCATENATE("(Summer)"),IF(AND($Y$2&gt;=7,$Y$2&lt;=10),CONCATENATE("(Fall)"),IF(OR($Y$2&gt;=10,$Y$2&lt;=2),CONCATENATE("(Fall) "),IF(AND($Y$2&gt;=3,$Y$2&lt;=6),CONCATENATE("(Fall)"),"N/A")))))))</f>
        <v>Number of Students (Summer)</v>
      </c>
      <c r="M205" s="91">
        <f t="shared" si="179"/>
        <v>0</v>
      </c>
      <c r="N205" s="91">
        <f t="shared" si="180"/>
        <v>0</v>
      </c>
      <c r="O205" s="91">
        <f t="shared" si="181"/>
        <v>0</v>
      </c>
      <c r="P205" s="91">
        <f t="shared" si="182"/>
        <v>0</v>
      </c>
      <c r="Q205" s="91">
        <f t="shared" si="183"/>
        <v>0</v>
      </c>
      <c r="S205" s="47"/>
    </row>
    <row r="206" spans="1:20" x14ac:dyDescent="0.25">
      <c r="A206" s="270" t="str">
        <f>CONCATENATE("FTE for ",I204," Months")</f>
        <v>FTE for 12 Months</v>
      </c>
      <c r="B206" s="85">
        <f t="shared" ref="B206:H206" si="184">+B205/$I204</f>
        <v>0.14916666666666667</v>
      </c>
      <c r="C206" s="85">
        <f t="shared" si="184"/>
        <v>0.18666666666666668</v>
      </c>
      <c r="D206" s="85">
        <f t="shared" si="184"/>
        <v>0</v>
      </c>
      <c r="E206" s="85">
        <f t="shared" si="184"/>
        <v>0</v>
      </c>
      <c r="F206" s="85">
        <f t="shared" si="184"/>
        <v>0</v>
      </c>
      <c r="G206" s="85">
        <f t="shared" si="184"/>
        <v>0</v>
      </c>
      <c r="H206" s="85">
        <f t="shared" si="184"/>
        <v>0</v>
      </c>
      <c r="I206" s="100"/>
      <c r="J206" s="100"/>
      <c r="K206" s="279"/>
      <c r="L206" s="128" t="str">
        <f>CONCATENATE("Number of Students ",IF(AND($Y$2&gt;=7,$Y$2&lt;=9),CONCATENATE("(Summer)"),IF(AND($Y$2&gt;=7,$Y$2&lt;=10),CONCATENATE("(Fall)"),IF(OR($Y$2&gt;=10,$Y$2&lt;=2),CONCATENATE("(Fall)"),IF(AND($Y$2&gt;=7,$Y$2&lt;=10),CONCATENATE("(Spring)"),IF(OR($Y$2&gt;=10,$Y$2&lt;=2),CONCATENATE("(Spring)"),IF(AND($Y$2&gt;=3,$Y$2&lt;=6),CONCATENATE("(Spring)"),"N/A")))))))</f>
        <v>Number of Students (Fall)</v>
      </c>
      <c r="M206" s="91">
        <f t="shared" si="179"/>
        <v>0</v>
      </c>
      <c r="N206" s="91">
        <f t="shared" si="180"/>
        <v>0</v>
      </c>
      <c r="O206" s="91">
        <f t="shared" si="181"/>
        <v>0</v>
      </c>
      <c r="P206" s="91">
        <f t="shared" si="182"/>
        <v>0</v>
      </c>
      <c r="Q206" s="91">
        <f t="shared" si="183"/>
        <v>0</v>
      </c>
      <c r="S206" s="47"/>
    </row>
    <row r="207" spans="1:20" x14ac:dyDescent="0.25">
      <c r="A207" s="270" t="s">
        <v>21</v>
      </c>
      <c r="B207" s="119">
        <f t="shared" ref="B207:H207" si="185">ROUND((B204*B206*$N$41)+(C204*B206*$N$42),0)</f>
        <v>10068</v>
      </c>
      <c r="C207" s="119">
        <f t="shared" si="185"/>
        <v>12978</v>
      </c>
      <c r="D207" s="119">
        <f t="shared" si="185"/>
        <v>0</v>
      </c>
      <c r="E207" s="119">
        <f t="shared" si="185"/>
        <v>0</v>
      </c>
      <c r="F207" s="119">
        <f t="shared" si="185"/>
        <v>0</v>
      </c>
      <c r="G207" s="119">
        <f t="shared" si="185"/>
        <v>0</v>
      </c>
      <c r="H207" s="119">
        <f t="shared" si="185"/>
        <v>0</v>
      </c>
      <c r="I207" s="100"/>
      <c r="J207" s="100"/>
      <c r="K207" s="279"/>
      <c r="L207" s="49"/>
      <c r="M207" s="57"/>
      <c r="N207" s="57"/>
      <c r="O207" s="57"/>
      <c r="P207" s="57"/>
      <c r="Q207" s="57"/>
      <c r="S207" s="47"/>
    </row>
    <row r="208" spans="1:20" x14ac:dyDescent="0.25">
      <c r="A208" s="270"/>
      <c r="B208" s="47"/>
      <c r="C208" s="47"/>
      <c r="D208" s="47"/>
      <c r="E208" s="47"/>
      <c r="F208" s="47"/>
      <c r="G208" s="47"/>
      <c r="H208" s="47"/>
      <c r="I208" s="100"/>
      <c r="J208" s="100"/>
      <c r="K208" s="279"/>
      <c r="L208" s="49"/>
      <c r="M208" s="57"/>
      <c r="N208" s="57"/>
      <c r="O208" s="57"/>
      <c r="P208" s="57"/>
      <c r="Q208" s="57"/>
      <c r="S208" s="47"/>
    </row>
    <row r="209" spans="1:19" ht="15.75" thickBot="1" x14ac:dyDescent="0.3">
      <c r="A209" s="269" t="s">
        <v>85</v>
      </c>
      <c r="B209" s="48" t="s">
        <v>1</v>
      </c>
      <c r="C209" s="48" t="s">
        <v>2</v>
      </c>
      <c r="D209" s="48" t="s">
        <v>3</v>
      </c>
      <c r="E209" s="48" t="s">
        <v>44</v>
      </c>
      <c r="F209" s="48" t="s">
        <v>50</v>
      </c>
      <c r="G209" s="47"/>
      <c r="H209" s="47"/>
      <c r="I209" s="100"/>
      <c r="J209" s="100"/>
      <c r="K209" s="279"/>
      <c r="L209" s="59" t="s">
        <v>123</v>
      </c>
      <c r="M209" s="75" t="s">
        <v>1</v>
      </c>
      <c r="N209" s="76" t="s">
        <v>2</v>
      </c>
      <c r="O209" s="76" t="s">
        <v>3</v>
      </c>
      <c r="P209" s="76" t="s">
        <v>44</v>
      </c>
      <c r="Q209" s="76" t="s">
        <v>50</v>
      </c>
      <c r="S209" s="47"/>
    </row>
    <row r="210" spans="1:19" x14ac:dyDescent="0.25">
      <c r="A210" s="270" t="str">
        <f>+L204</f>
        <v>Number of Students (Spring)</v>
      </c>
      <c r="B210" s="127">
        <v>0</v>
      </c>
      <c r="C210" s="127">
        <v>0</v>
      </c>
      <c r="D210" s="127">
        <v>0</v>
      </c>
      <c r="E210" s="127">
        <v>0</v>
      </c>
      <c r="F210" s="127">
        <v>0</v>
      </c>
      <c r="G210" s="47"/>
      <c r="H210" s="47"/>
      <c r="I210" s="100"/>
      <c r="J210" s="100"/>
      <c r="K210" s="279"/>
      <c r="L210" s="60" t="s">
        <v>22</v>
      </c>
      <c r="M210" s="61">
        <f>SUM(M220:M222)</f>
        <v>0</v>
      </c>
      <c r="N210" s="61">
        <f>SUM(N220:N222)</f>
        <v>0</v>
      </c>
      <c r="O210" s="61">
        <f>SUM(O220:O222)</f>
        <v>0</v>
      </c>
      <c r="P210" s="61">
        <f>SUM(P220:P222)</f>
        <v>0</v>
      </c>
      <c r="Q210" s="61">
        <f>SUM(Q220:Q222)</f>
        <v>0</v>
      </c>
      <c r="S210" s="47"/>
    </row>
    <row r="211" spans="1:19" x14ac:dyDescent="0.25">
      <c r="A211" s="270" t="str">
        <f>+L205</f>
        <v>Number of Students (Summer)</v>
      </c>
      <c r="B211" s="94">
        <f>+B210</f>
        <v>0</v>
      </c>
      <c r="C211" s="94">
        <f>+C210</f>
        <v>0</v>
      </c>
      <c r="D211" s="94">
        <f>+D210</f>
        <v>0</v>
      </c>
      <c r="E211" s="94">
        <f>+E210</f>
        <v>0</v>
      </c>
      <c r="F211" s="94">
        <f>+F210</f>
        <v>0</v>
      </c>
      <c r="G211" s="47"/>
      <c r="H211" s="47"/>
      <c r="I211" s="100"/>
      <c r="J211" s="100"/>
      <c r="K211" s="279"/>
      <c r="L211" s="60" t="s">
        <v>8</v>
      </c>
      <c r="M211" s="61">
        <f>SUM(M223:M225)</f>
        <v>0</v>
      </c>
      <c r="N211" s="61">
        <f>SUM(N223:N225)</f>
        <v>0</v>
      </c>
      <c r="O211" s="61">
        <f>SUM(O223:O225)</f>
        <v>0</v>
      </c>
      <c r="P211" s="61">
        <f>SUM(P223:P225)</f>
        <v>0</v>
      </c>
      <c r="Q211" s="61">
        <f>SUM(Q223:Q225)</f>
        <v>0</v>
      </c>
      <c r="S211" s="47"/>
    </row>
    <row r="212" spans="1:19" x14ac:dyDescent="0.25">
      <c r="A212" s="270" t="str">
        <f>+L206</f>
        <v>Number of Students (Fall)</v>
      </c>
      <c r="B212" s="94">
        <f>+B210</f>
        <v>0</v>
      </c>
      <c r="C212" s="94">
        <f>+C210</f>
        <v>0</v>
      </c>
      <c r="D212" s="94">
        <f>+D210</f>
        <v>0</v>
      </c>
      <c r="E212" s="94">
        <f>+E210</f>
        <v>0</v>
      </c>
      <c r="F212" s="94">
        <f>+F210</f>
        <v>0</v>
      </c>
      <c r="G212" s="47"/>
      <c r="H212" s="47"/>
      <c r="I212" s="100"/>
      <c r="J212" s="100"/>
      <c r="K212" s="279"/>
      <c r="L212" s="60" t="s">
        <v>9</v>
      </c>
      <c r="M212" s="61">
        <f>SUM(M226:M228)</f>
        <v>0</v>
      </c>
      <c r="N212" s="61">
        <f>SUM(N226:N228)</f>
        <v>0</v>
      </c>
      <c r="O212" s="61">
        <f>SUM(O226:O228)</f>
        <v>0</v>
      </c>
      <c r="P212" s="61">
        <f>SUM(P226:P228)</f>
        <v>0</v>
      </c>
      <c r="Q212" s="61">
        <f>SUM(Q226:Q228)</f>
        <v>0</v>
      </c>
      <c r="S212" s="47"/>
    </row>
    <row r="213" spans="1:19" ht="15.75" thickBot="1" x14ac:dyDescent="0.3">
      <c r="A213" s="270"/>
      <c r="B213" s="94"/>
      <c r="C213" s="94"/>
      <c r="D213" s="94"/>
      <c r="E213" s="94"/>
      <c r="F213" s="94"/>
      <c r="G213" s="47"/>
      <c r="H213" s="47"/>
      <c r="I213" s="100"/>
      <c r="J213" s="100"/>
      <c r="K213" s="279"/>
      <c r="L213" s="62" t="s">
        <v>31</v>
      </c>
      <c r="M213" s="63">
        <f>SUM(M210:M212)</f>
        <v>0</v>
      </c>
      <c r="N213" s="63">
        <f>SUM(N210:N212)</f>
        <v>0</v>
      </c>
      <c r="O213" s="63">
        <f>SUM(O210:O212)</f>
        <v>0</v>
      </c>
      <c r="P213" s="63">
        <f>SUM(P210:P212)</f>
        <v>0</v>
      </c>
      <c r="Q213" s="63">
        <f>SUM(Q210:Q212)</f>
        <v>0</v>
      </c>
      <c r="S213" s="47"/>
    </row>
    <row r="214" spans="1:19" x14ac:dyDescent="0.25">
      <c r="A214" s="269" t="s">
        <v>89</v>
      </c>
      <c r="B214" s="48" t="s">
        <v>1</v>
      </c>
      <c r="C214" s="48" t="s">
        <v>2</v>
      </c>
      <c r="D214" s="48" t="s">
        <v>3</v>
      </c>
      <c r="E214" s="48" t="s">
        <v>44</v>
      </c>
      <c r="F214" s="48" t="s">
        <v>50</v>
      </c>
      <c r="J214" s="100" t="s">
        <v>77</v>
      </c>
      <c r="K214" s="272"/>
      <c r="M214" s="129"/>
      <c r="S214" s="47"/>
    </row>
    <row r="215" spans="1:19" x14ac:dyDescent="0.25">
      <c r="A215" s="270" t="s">
        <v>84</v>
      </c>
      <c r="B215" s="86">
        <f>+$M$18</f>
        <v>13.2</v>
      </c>
      <c r="C215" s="86">
        <f>ROUND(+B215*(1+J215),2)</f>
        <v>13.2</v>
      </c>
      <c r="D215" s="86">
        <f>ROUND(+C215*(1+J215),2)</f>
        <v>13.2</v>
      </c>
      <c r="E215" s="86">
        <f>ROUND(+D215*(1+J215),2)</f>
        <v>13.2</v>
      </c>
      <c r="F215" s="86">
        <f>ROUND(+E215*(1+J215),2)</f>
        <v>13.2</v>
      </c>
      <c r="J215" s="81">
        <v>0</v>
      </c>
      <c r="K215" s="272"/>
      <c r="S215" s="47"/>
    </row>
    <row r="216" spans="1:19" x14ac:dyDescent="0.25">
      <c r="A216" s="270" t="s">
        <v>64</v>
      </c>
      <c r="B216" s="83">
        <v>0</v>
      </c>
      <c r="C216" s="83">
        <v>0</v>
      </c>
      <c r="D216" s="83">
        <v>0</v>
      </c>
      <c r="E216" s="83">
        <v>0</v>
      </c>
      <c r="F216" s="83">
        <v>0</v>
      </c>
      <c r="K216" s="272"/>
      <c r="L216" s="130"/>
      <c r="M216" s="82" t="str">
        <f>CONCATENATE("FY",$Y$3)</f>
        <v>FY2023</v>
      </c>
      <c r="N216" s="82" t="str">
        <f>CONCATENATE("FY",$Y$3+1)</f>
        <v>FY2024</v>
      </c>
      <c r="O216" s="82" t="str">
        <f>CONCATENATE("FY",$Y$3+2)</f>
        <v>FY2025</v>
      </c>
      <c r="P216" s="82" t="str">
        <f>CONCATENATE("FY",$Y$3+3)</f>
        <v>FY2026</v>
      </c>
      <c r="Q216" s="82" t="str">
        <f>CONCATENATE("FY",$Y$3+4)</f>
        <v>FY2027</v>
      </c>
      <c r="S216" s="47"/>
    </row>
    <row r="217" spans="1:19" x14ac:dyDescent="0.25">
      <c r="A217" s="270" t="s">
        <v>65</v>
      </c>
      <c r="B217" s="83">
        <v>0</v>
      </c>
      <c r="C217" s="83">
        <v>0</v>
      </c>
      <c r="D217" s="83">
        <v>0</v>
      </c>
      <c r="E217" s="83">
        <v>0</v>
      </c>
      <c r="F217" s="83">
        <v>0</v>
      </c>
      <c r="K217" s="272"/>
      <c r="L217" s="131"/>
      <c r="M217" s="82" t="str">
        <f>IF(OR($Y$2&gt;=7,$Y$2&lt;=2),CONCATENATE("FY",$Y$3),IF(AND($Y$2&gt;=3,$Y$2&lt;=6),CONCATENATE("FY",$Y$3+1),"N/A"))</f>
        <v>FY2023</v>
      </c>
      <c r="N217" s="82" t="str">
        <f>IF(OR($Y$2&gt;=7,$Y$2&lt;=2),CONCATENATE("FY",$Y$3+1),IF(AND($Y$2&gt;=3,$Y$2&lt;=6),CONCATENATE("FY",$Y$3+2),"N/A"))</f>
        <v>FY2024</v>
      </c>
      <c r="O217" s="82" t="str">
        <f>IF(OR($Y$2&gt;=7,$Y$2&lt;=2),CONCATENATE("FY",$Y$3+2),IF(AND($Y$2&gt;=3,$Y$2&lt;=6),CONCATENATE("FY",$Y$3+3),"N/A"))</f>
        <v>FY2025</v>
      </c>
      <c r="P217" s="82" t="str">
        <f>IF(OR($Y$2&gt;=7,$Y$2&lt;=2),CONCATENATE("FY",$Y$3+3),IF(AND($Y$2&gt;=3,$Y$2&lt;=6),CONCATENATE("FY",$Y$3+4),"N/A"))</f>
        <v>FY2026</v>
      </c>
      <c r="Q217" s="82" t="str">
        <f>IF(OR($Y$2&gt;=7,$Y$2&lt;=2),CONCATENATE("FY",$Y$3+4),IF(AND($Y$2&gt;=3,$Y$2&lt;=6),CONCATENATE("FY",$Y$3+5),"N/A"))</f>
        <v>FY2027</v>
      </c>
      <c r="S217" s="47"/>
    </row>
    <row r="218" spans="1:19" x14ac:dyDescent="0.25">
      <c r="A218" s="270" t="s">
        <v>79</v>
      </c>
      <c r="B218" s="714">
        <f>+B215*(B216*B217)</f>
        <v>0</v>
      </c>
      <c r="C218" s="714">
        <f t="shared" ref="C218" si="186">+C215*(C216*C217)</f>
        <v>0</v>
      </c>
      <c r="D218" s="714">
        <f t="shared" ref="D218" si="187">+D215*(D216*D217)</f>
        <v>0</v>
      </c>
      <c r="E218" s="714">
        <f t="shared" ref="E218" si="188">+E215*(E216*E217)</f>
        <v>0</v>
      </c>
      <c r="F218" s="714">
        <f t="shared" ref="F218" si="189">+F215*(F216*F217)</f>
        <v>0</v>
      </c>
      <c r="K218" s="272"/>
      <c r="L218" s="82"/>
      <c r="M218" s="82" t="str">
        <f>IF(AND($Y$2&gt;=1,$Y$2&lt;=6),CONCATENATE("FY",$Y$3+1),IF(AND($Y$2&gt;=7,$Y$2&lt;=9),CONCATENATE("FY",$Y$3),IF(AND($Y$2&gt;=10,$Y$2&lt;=126),CONCATENATE("FY",$Y$3+1),"N/A")))</f>
        <v>FY2024</v>
      </c>
      <c r="N218" s="82" t="str">
        <f>IF(AND($Y$2&gt;=1,$Y$2&lt;=6),CONCATENATE("FY",$Y$3+2),IF(AND($Y$2&gt;=7,$Y$2&lt;=9),CONCATENATE("FY",$Y$3+1),IF(AND($Y$2&gt;=10,$Y$2&lt;=126),CONCATENATE("FY",$Y$3+2),"N/A")))</f>
        <v>FY2025</v>
      </c>
      <c r="O218" s="82" t="str">
        <f>IF(AND($Y$2&gt;=1,$Y$2&lt;=6),CONCATENATE("FY",$Y$3+3),IF(AND($Y$2&gt;=7,$Y$2&lt;=9),CONCATENATE("FY",$Y$3+2),IF(AND($Y$2&gt;=10,$Y$2&lt;=126),CONCATENATE("FY",$Y$3+3),"N/A")))</f>
        <v>FY2026</v>
      </c>
      <c r="P218" s="82" t="str">
        <f>IF(AND($Y$2&gt;=1,$Y$2&lt;=6),CONCATENATE("FY",$Y$3+4),IF(AND($Y$2&gt;=7,$Y$2&lt;=9),CONCATENATE("FY",$Y$3+3),IF(AND($Y$2&gt;=10,$Y$2&lt;=126),CONCATENATE("FY",$Y$3+4),"N/A")))</f>
        <v>FY2027</v>
      </c>
      <c r="Q218" s="82" t="str">
        <f>IF(AND($Y$2&gt;=1,$Y$2&lt;=6),CONCATENATE("FY",$Y$3+5),IF(AND($Y$2&gt;=7,$Y$2&lt;=9),CONCATENATE("FY",$Y$3+4),IF(AND($Y$2&gt;=10,$Y$2&lt;=126),CONCATENATE("FY",$Y$3+5),"N/A")))</f>
        <v>FY2028</v>
      </c>
      <c r="S218" s="47"/>
    </row>
    <row r="219" spans="1:19" ht="15.75" thickBot="1" x14ac:dyDescent="0.3">
      <c r="A219" s="270" t="s">
        <v>62</v>
      </c>
      <c r="B219" s="83">
        <v>0</v>
      </c>
      <c r="C219" s="83">
        <v>0</v>
      </c>
      <c r="D219" s="83">
        <v>0</v>
      </c>
      <c r="E219" s="83">
        <v>0</v>
      </c>
      <c r="F219" s="83">
        <v>0</v>
      </c>
      <c r="K219" s="272"/>
      <c r="L219" s="59" t="s">
        <v>124</v>
      </c>
      <c r="M219" s="75" t="s">
        <v>1</v>
      </c>
      <c r="N219" s="76" t="s">
        <v>2</v>
      </c>
      <c r="O219" s="76" t="s">
        <v>3</v>
      </c>
      <c r="P219" s="76" t="s">
        <v>44</v>
      </c>
      <c r="Q219" s="76" t="s">
        <v>50</v>
      </c>
    </row>
    <row r="220" spans="1:19" x14ac:dyDescent="0.25">
      <c r="A220" s="270" t="s">
        <v>63</v>
      </c>
      <c r="B220" s="83">
        <v>0</v>
      </c>
      <c r="C220" s="83">
        <v>0</v>
      </c>
      <c r="D220" s="83">
        <v>0</v>
      </c>
      <c r="E220" s="83">
        <v>0</v>
      </c>
      <c r="F220" s="83">
        <v>0</v>
      </c>
      <c r="K220" s="272"/>
      <c r="L220" s="132" t="str">
        <f t="shared" ref="L220:L228" si="190">+L114</f>
        <v>Stipend (Spring)</v>
      </c>
      <c r="M220" s="133">
        <f>IF(RIGHT($L220,8)="(Summer)",ROUND(M204*HLOOKUP(M216,M191:S196,3,FALSE),0))+IF(RIGHT($L220,8)&lt;&gt;"(Summer)",ROUND(M204*HLOOKUP(M216,M191:S196,2,FALSE)/2,0))</f>
        <v>0</v>
      </c>
      <c r="N220" s="133">
        <f t="shared" ref="N220" si="191">IF(RIGHT($L220,8)="(Summer)",ROUND(N204*HLOOKUP(N216,N191:T196,3,FALSE),0))+IF(RIGHT($L220,8)&lt;&gt;"(Summer)",ROUND(N204*HLOOKUP(N216,N191:T196,2,FALSE)/2,0))</f>
        <v>0</v>
      </c>
      <c r="O220" s="133">
        <f t="shared" ref="O220" si="192">IF(RIGHT($L220,8)="(Summer)",ROUND(O204*HLOOKUP(O216,O191:U196,3,FALSE),0))+IF(RIGHT($L220,8)&lt;&gt;"(Summer)",ROUND(O204*HLOOKUP(O216,O191:U196,2,FALSE)/2,0))</f>
        <v>0</v>
      </c>
      <c r="P220" s="133">
        <f t="shared" ref="P220" si="193">IF(RIGHT($L220,8)="(Summer)",ROUND(P204*HLOOKUP(P216,P191:V196,3,FALSE),0))+IF(RIGHT($L220,8)&lt;&gt;"(Summer)",ROUND(P204*HLOOKUP(P216,P191:V196,2,FALSE)/2,0))</f>
        <v>0</v>
      </c>
      <c r="Q220" s="133">
        <f t="shared" ref="Q220" si="194">IF(RIGHT($L220,8)="(Summer)",ROUND(Q204*HLOOKUP(Q216,Q191:W196,3,FALSE),0))+IF(RIGHT($L220,8)&lt;&gt;"(Summer)",ROUND(Q204*HLOOKUP(Q216,Q191:W196,2,FALSE)/2,0))</f>
        <v>0</v>
      </c>
    </row>
    <row r="221" spans="1:19" x14ac:dyDescent="0.25">
      <c r="A221" s="270" t="s">
        <v>80</v>
      </c>
      <c r="B221" s="714">
        <f>+B215*(B219*B220)</f>
        <v>0</v>
      </c>
      <c r="C221" s="714">
        <f t="shared" ref="C221" si="195">+C215*(C219*C220)</f>
        <v>0</v>
      </c>
      <c r="D221" s="714">
        <f t="shared" ref="D221" si="196">+D215*(D219*D220)</f>
        <v>0</v>
      </c>
      <c r="E221" s="714">
        <f t="shared" ref="E221" si="197">+E215*(E219*E220)</f>
        <v>0</v>
      </c>
      <c r="F221" s="714">
        <f t="shared" ref="F221" si="198">+F215*(F219*F220)</f>
        <v>0</v>
      </c>
      <c r="K221" s="272"/>
      <c r="L221" s="134" t="str">
        <f t="shared" si="190"/>
        <v>Stipend (Summer)</v>
      </c>
      <c r="M221" s="133">
        <f>IF(RIGHT($L221,8)="(Summer)",ROUND(M205*HLOOKUP(M217,M191:S196,3,FALSE),0))+IF(RIGHT($L221,8)&lt;&gt;"(Summer)",ROUND(M205*HLOOKUP(M217,M191:S196,2,FALSE)/2,0))</f>
        <v>0</v>
      </c>
      <c r="N221" s="133">
        <f t="shared" ref="N221" si="199">IF(RIGHT($L221,8)="(Summer)",ROUND(N205*HLOOKUP(N217,N191:T196,3,FALSE),0))+IF(RIGHT($L221,8)&lt;&gt;"(Summer)",ROUND(N205*HLOOKUP(N217,N191:T196,2,FALSE)/2,0))</f>
        <v>0</v>
      </c>
      <c r="O221" s="133">
        <f t="shared" ref="O221" si="200">IF(RIGHT($L221,8)="(Summer)",ROUND(O205*HLOOKUP(O217,O191:U196,3,FALSE),0))+IF(RIGHT($L221,8)&lt;&gt;"(Summer)",ROUND(O205*HLOOKUP(O217,O191:U196,2,FALSE)/2,0))</f>
        <v>0</v>
      </c>
      <c r="P221" s="133">
        <f t="shared" ref="P221" si="201">IF(RIGHT($L221,8)="(Summer)",ROUND(P205*HLOOKUP(P217,P191:V196,3,FALSE),0))+IF(RIGHT($L221,8)&lt;&gt;"(Summer)",ROUND(P205*HLOOKUP(P217,P191:V196,2,FALSE)/2,0))</f>
        <v>0</v>
      </c>
      <c r="Q221" s="133">
        <f t="shared" ref="Q221" si="202">IF(RIGHT($L221,8)="(Summer)",ROUND(Q205*HLOOKUP(Q217,Q191:W196,3,FALSE),0))+IF(RIGHT($L221,8)&lt;&gt;"(Summer)",ROUND(Q205*HLOOKUP(Q217,Q191:W196,2,FALSE)/2,0))</f>
        <v>0</v>
      </c>
    </row>
    <row r="222" spans="1:19" x14ac:dyDescent="0.25">
      <c r="A222" s="270" t="s">
        <v>21</v>
      </c>
      <c r="B222" s="716">
        <f>ROUND(+B218+B221,0)</f>
        <v>0</v>
      </c>
      <c r="C222" s="716">
        <f t="shared" ref="C222" si="203">ROUND(+C218+C221,0)</f>
        <v>0</v>
      </c>
      <c r="D222" s="716">
        <f t="shared" ref="D222" si="204">ROUND(+D218+D221,0)</f>
        <v>0</v>
      </c>
      <c r="E222" s="716">
        <f t="shared" ref="E222" si="205">ROUND(+E218+E221,0)</f>
        <v>0</v>
      </c>
      <c r="F222" s="716">
        <f t="shared" ref="F222" si="206">ROUND(+F218+F221,0)</f>
        <v>0</v>
      </c>
      <c r="K222" s="272"/>
      <c r="L222" s="134" t="str">
        <f t="shared" si="190"/>
        <v>Stipend (Fall)</v>
      </c>
      <c r="M222" s="133">
        <f>IF(RIGHT($L222,8)="(Summer)",ROUND(M206*HLOOKUP(M218,M191:S196,3,FALSE),0))+IF(RIGHT($L222,8)&lt;&gt;"(Summer)",ROUND(M206*HLOOKUP(M218,M191:S196,2,FALSE)/2,0))</f>
        <v>0</v>
      </c>
      <c r="N222" s="133">
        <f t="shared" ref="N222" si="207">IF(RIGHT($L222,8)="(Summer)",ROUND(N206*HLOOKUP(N218,N191:T196,3,FALSE),0))+IF(RIGHT($L222,8)&lt;&gt;"(Summer)",ROUND(N206*HLOOKUP(N218,N191:T196,2,FALSE)/2,0))</f>
        <v>0</v>
      </c>
      <c r="O222" s="133">
        <f t="shared" ref="O222" si="208">IF(RIGHT($L222,8)="(Summer)",ROUND(O206*HLOOKUP(O218,O191:U196,3,FALSE),0))+IF(RIGHT($L222,8)&lt;&gt;"(Summer)",ROUND(O206*HLOOKUP(O218,O191:U196,2,FALSE)/2,0))</f>
        <v>0</v>
      </c>
      <c r="P222" s="133">
        <f t="shared" ref="P222" si="209">IF(RIGHT($L222,8)="(Summer)",ROUND(P206*HLOOKUP(P218,P191:V196,3,FALSE),0))+IF(RIGHT($L222,8)&lt;&gt;"(Summer)",ROUND(P206*HLOOKUP(P218,P191:V196,2,FALSE)/2,0))</f>
        <v>0</v>
      </c>
      <c r="Q222" s="133">
        <f t="shared" ref="Q222" si="210">IF(RIGHT($L222,8)="(Summer)",ROUND(Q206*HLOOKUP(Q218,Q191:W196,3,FALSE),0))+IF(RIGHT($L222,8)&lt;&gt;"(Summer)",ROUND(Q206*HLOOKUP(Q218,Q191:W196,2,FALSE)/2,0))</f>
        <v>0</v>
      </c>
    </row>
    <row r="223" spans="1:19" x14ac:dyDescent="0.25">
      <c r="A223" s="272"/>
      <c r="H223" s="47"/>
      <c r="K223" s="272"/>
      <c r="L223" s="134" t="str">
        <f t="shared" si="190"/>
        <v>Tuition (Spring)</v>
      </c>
      <c r="M223" s="133">
        <f>IF(RIGHT($L223,8)="(Summer)",0,ROUND(M204*HLOOKUP(M216,M191:S196,5,FALSE)/2,0))</f>
        <v>0</v>
      </c>
      <c r="N223" s="133">
        <f t="shared" ref="N223" si="211">IF(RIGHT($L223,8)="(Summer)",0,ROUND(N204*HLOOKUP(N216,N191:T196,5,FALSE)/2,0))</f>
        <v>0</v>
      </c>
      <c r="O223" s="133">
        <f t="shared" ref="O223" si="212">IF(RIGHT($L223,8)="(Summer)",0,ROUND(O204*HLOOKUP(O216,O191:U196,5,FALSE)/2,0))</f>
        <v>0</v>
      </c>
      <c r="P223" s="133">
        <f t="shared" ref="P223" si="213">IF(RIGHT($L223,8)="(Summer)",0,ROUND(P204*HLOOKUP(P216,P191:V196,5,FALSE)/2,0))</f>
        <v>0</v>
      </c>
      <c r="Q223" s="133">
        <f t="shared" ref="Q223" si="214">IF(RIGHT($L223,8)="(Summer)",0,ROUND(Q204*HLOOKUP(Q216,Q191:W196,5,FALSE)/2,0))</f>
        <v>0</v>
      </c>
    </row>
    <row r="224" spans="1:19" x14ac:dyDescent="0.25">
      <c r="A224" s="273"/>
      <c r="B224" s="113" t="str">
        <f t="shared" ref="B224:H224" si="215">IF(AND(B225=$Z$5,$I226=9),$Z$3,IF(AND(B225=$AA$5,$I226=9),$AA$3,IF(AND(B225=$AB$5,$I226=9),$AB$3,IF(AND(B225=$AC$5,$I226=9),$AC$3,IF(AND(B225=$AD$5,$I226=9),$AD$3,IF(AND(B225=$Z$4,$I226=12),$Z$3,IF(AND(B225=$AA$4,$I226=12),$AA$3,IF(AND(B225=$AB$4,$I226=12),$AB$3,IF(AND(B225=$AC$4,$I226=12),$AC$3,IF(AND(B225=$AD$4,$I226=12),$AD$3," "))))))))))</f>
        <v>Year 1</v>
      </c>
      <c r="C224" s="113" t="str">
        <f t="shared" si="215"/>
        <v>Year 2</v>
      </c>
      <c r="D224" s="113" t="str">
        <f t="shared" si="215"/>
        <v>Year 3</v>
      </c>
      <c r="E224" s="113" t="str">
        <f t="shared" si="215"/>
        <v>Year 4</v>
      </c>
      <c r="F224" s="113" t="str">
        <f t="shared" si="215"/>
        <v>Year 5</v>
      </c>
      <c r="G224" s="113" t="str">
        <f t="shared" si="215"/>
        <v xml:space="preserve"> </v>
      </c>
      <c r="H224" s="113" t="str">
        <f t="shared" si="215"/>
        <v xml:space="preserve"> </v>
      </c>
      <c r="K224" s="272"/>
      <c r="L224" s="134" t="str">
        <f t="shared" si="190"/>
        <v>Tuition (Summer)</v>
      </c>
      <c r="M224" s="133">
        <f>IF(RIGHT($L224,8)="(Summer)",0,ROUND(M205*HLOOKUP(M217,M191:S196,5,FALSE)/2,0))</f>
        <v>0</v>
      </c>
      <c r="N224" s="133">
        <f t="shared" ref="N224" si="216">IF(RIGHT($L224,8)="(Summer)",0,ROUND(N205*HLOOKUP(N217,N191:T196,5,FALSE)/2,0))</f>
        <v>0</v>
      </c>
      <c r="O224" s="133">
        <f t="shared" ref="O224" si="217">IF(RIGHT($L224,8)="(Summer)",0,ROUND(O205*HLOOKUP(O217,O191:U196,5,FALSE)/2,0))</f>
        <v>0</v>
      </c>
      <c r="P224" s="133">
        <f t="shared" ref="P224" si="218">IF(RIGHT($L224,8)="(Summer)",0,ROUND(P205*HLOOKUP(P217,P191:V196,5,FALSE)/2,0))</f>
        <v>0</v>
      </c>
      <c r="Q224" s="133">
        <f t="shared" ref="Q224" si="219">IF(RIGHT($L224,8)="(Summer)",0,ROUND(Q205*HLOOKUP(Q217,Q191:W196,5,FALSE)/2,0))</f>
        <v>0</v>
      </c>
    </row>
    <row r="225" spans="1:17" x14ac:dyDescent="0.25">
      <c r="A225" s="269" t="s">
        <v>490</v>
      </c>
      <c r="B225" s="84" t="str">
        <f>+M$2</f>
        <v>FY2023</v>
      </c>
      <c r="C225" s="84" t="str">
        <f t="shared" ref="C225" si="220">+N$2</f>
        <v>FY2024</v>
      </c>
      <c r="D225" s="84" t="str">
        <f t="shared" ref="D225" si="221">+O$2</f>
        <v>FY2025</v>
      </c>
      <c r="E225" s="84" t="str">
        <f t="shared" ref="E225" si="222">+P$2</f>
        <v>FY2026</v>
      </c>
      <c r="F225" s="84" t="str">
        <f t="shared" ref="F225" si="223">+Q$2</f>
        <v>FY2027</v>
      </c>
      <c r="G225" s="84" t="str">
        <f t="shared" ref="G225" si="224">+R$2</f>
        <v>FY2028</v>
      </c>
      <c r="H225" s="84" t="str">
        <f t="shared" ref="H225" si="225">+S$2</f>
        <v>FY2029</v>
      </c>
      <c r="I225" s="56" t="s">
        <v>20</v>
      </c>
      <c r="J225" s="100" t="s">
        <v>77</v>
      </c>
      <c r="K225" s="279"/>
      <c r="L225" s="134" t="str">
        <f t="shared" si="190"/>
        <v>Tuition (Fall)</v>
      </c>
      <c r="M225" s="133">
        <f>IF(RIGHT($L225,8)="(Summer)",0,ROUND(M206*HLOOKUP(M218,M191:S196,5,FALSE)/2,0))</f>
        <v>0</v>
      </c>
      <c r="N225" s="133">
        <f t="shared" ref="N225" si="226">IF(RIGHT($L225,8)="(Summer)",0,ROUND(N206*HLOOKUP(N218,N191:T196,5,FALSE)/2,0))</f>
        <v>0</v>
      </c>
      <c r="O225" s="133">
        <f t="shared" ref="O225" si="227">IF(RIGHT($L225,8)="(Summer)",0,ROUND(O206*HLOOKUP(O218,O191:U196,5,FALSE)/2,0))</f>
        <v>0</v>
      </c>
      <c r="P225" s="133">
        <f t="shared" ref="P225" si="228">IF(RIGHT($L225,8)="(Summer)",0,ROUND(P206*HLOOKUP(P218,P191:V196,5,FALSE)/2,0))</f>
        <v>0</v>
      </c>
      <c r="Q225" s="133">
        <f t="shared" ref="Q225" si="229">IF(RIGHT($L225,8)="(Summer)",0,ROUND(Q206*HLOOKUP(Q218,Q191:W196,5,FALSE)/2,0))</f>
        <v>0</v>
      </c>
    </row>
    <row r="226" spans="1:17" x14ac:dyDescent="0.25">
      <c r="A226" s="270" t="str">
        <f>CONCATENATE("Base Salary: ",I226," month term")</f>
        <v>Base Salary: 12 month term</v>
      </c>
      <c r="B226" s="93">
        <v>51480</v>
      </c>
      <c r="C226" s="118">
        <f>ROUND(+B226*(1+J226),0)</f>
        <v>53024</v>
      </c>
      <c r="D226" s="118">
        <f>ROUND(+C226*(1+J226),0)</f>
        <v>54615</v>
      </c>
      <c r="E226" s="118">
        <f>ROUND(+D226*(1+J226),0)</f>
        <v>56253</v>
      </c>
      <c r="F226" s="118">
        <f>ROUND(+E226*(1+J226),0)</f>
        <v>57941</v>
      </c>
      <c r="G226" s="118">
        <f>ROUND(+F226*(1+J226),0)</f>
        <v>59679</v>
      </c>
      <c r="H226" s="118">
        <f>ROUND(+G226*(1+J226),0)</f>
        <v>61469</v>
      </c>
      <c r="I226" s="74">
        <v>12</v>
      </c>
      <c r="J226" s="81">
        <v>0.03</v>
      </c>
      <c r="K226" s="281"/>
      <c r="L226" s="134" t="str">
        <f t="shared" si="190"/>
        <v>Health Insurance (Spring)</v>
      </c>
      <c r="M226" s="133">
        <f>IF(RIGHT($L226,8)="(Summer)",0,ROUND(M204*HLOOKUP(M216,M191:S196,6,FALSE)/2,0))</f>
        <v>0</v>
      </c>
      <c r="N226" s="133">
        <f t="shared" ref="N226" si="230">IF(RIGHT($L226,8)="(Summer)",0,ROUND(N204*HLOOKUP(N216,N191:T196,6,FALSE)/2,0))</f>
        <v>0</v>
      </c>
      <c r="O226" s="133">
        <f t="shared" ref="O226" si="231">IF(RIGHT($L226,8)="(Summer)",0,ROUND(O204*HLOOKUP(O216,O191:U196,6,FALSE)/2,0))</f>
        <v>0</v>
      </c>
      <c r="P226" s="133">
        <f t="shared" ref="P226" si="232">IF(RIGHT($L226,8)="(Summer)",0,ROUND(P204*HLOOKUP(P216,P191:V196,6,FALSE)/2,0))</f>
        <v>0</v>
      </c>
      <c r="Q226" s="133">
        <f t="shared" ref="Q226" si="233">IF(RIGHT($L226,8)="(Summer)",0,ROUND(Q204*HLOOKUP(Q216,Q191:W196,6,FALSE)/2,0))</f>
        <v>0</v>
      </c>
    </row>
    <row r="227" spans="1:17" x14ac:dyDescent="0.25">
      <c r="A227" s="270" t="s">
        <v>49</v>
      </c>
      <c r="B227" s="86">
        <v>0.97</v>
      </c>
      <c r="C227" s="86">
        <v>0</v>
      </c>
      <c r="D227" s="86">
        <v>0</v>
      </c>
      <c r="E227" s="86">
        <v>0</v>
      </c>
      <c r="F227" s="86">
        <v>0</v>
      </c>
      <c r="G227" s="86">
        <v>0</v>
      </c>
      <c r="H227" s="86">
        <v>0</v>
      </c>
      <c r="I227" s="49"/>
      <c r="J227" s="49"/>
      <c r="K227" s="270"/>
      <c r="L227" s="134" t="str">
        <f t="shared" si="190"/>
        <v>Health Insurance (Summer)</v>
      </c>
      <c r="M227" s="133">
        <f>IF(RIGHT($L227,8)="(Summer)",0,ROUND(M205*HLOOKUP(M217,M191:S196,6,FALSE)/2,0))</f>
        <v>0</v>
      </c>
      <c r="N227" s="133">
        <f t="shared" ref="N227" si="234">IF(RIGHT($L227,8)="(Summer)",0,ROUND(N205*HLOOKUP(N217,N191:T196,6,FALSE)/2,0))</f>
        <v>0</v>
      </c>
      <c r="O227" s="133">
        <f t="shared" ref="O227" si="235">IF(RIGHT($L227,8)="(Summer)",0,ROUND(O205*HLOOKUP(O217,O191:U196,6,FALSE)/2,0))</f>
        <v>0</v>
      </c>
      <c r="P227" s="133">
        <f t="shared" ref="P227" si="236">IF(RIGHT($L227,8)="(Summer)",0,ROUND(P205*HLOOKUP(P217,P191:V196,6,FALSE)/2,0))</f>
        <v>0</v>
      </c>
      <c r="Q227" s="133">
        <f t="shared" ref="Q227" si="237">IF(RIGHT($L227,8)="(Summer)",0,ROUND(Q205*HLOOKUP(Q217,Q191:W196,6,FALSE)/2,0))</f>
        <v>0</v>
      </c>
    </row>
    <row r="228" spans="1:17" x14ac:dyDescent="0.25">
      <c r="A228" s="270" t="str">
        <f>CONCATENATE("FTE for ",I226," Months")</f>
        <v>FTE for 12 Months</v>
      </c>
      <c r="B228" s="85">
        <f t="shared" ref="B228:H228" si="238">+B227/$I226</f>
        <v>8.0833333333333326E-2</v>
      </c>
      <c r="C228" s="85">
        <f t="shared" si="238"/>
        <v>0</v>
      </c>
      <c r="D228" s="85">
        <f t="shared" si="238"/>
        <v>0</v>
      </c>
      <c r="E228" s="85">
        <f t="shared" si="238"/>
        <v>0</v>
      </c>
      <c r="F228" s="85">
        <f t="shared" si="238"/>
        <v>0</v>
      </c>
      <c r="G228" s="85">
        <f t="shared" si="238"/>
        <v>0</v>
      </c>
      <c r="H228" s="85">
        <f t="shared" si="238"/>
        <v>0</v>
      </c>
      <c r="I228" s="100"/>
      <c r="J228" s="100"/>
      <c r="K228" s="279"/>
      <c r="L228" s="134" t="str">
        <f t="shared" si="190"/>
        <v>Health Insurance (Fall)</v>
      </c>
      <c r="M228" s="133">
        <f>IF(RIGHT($L228,8)="(Summer)",0,ROUND(M206*HLOOKUP(M218,M191:S196,6,FALSE)/2,0))</f>
        <v>0</v>
      </c>
      <c r="N228" s="133">
        <f t="shared" ref="N228" si="239">IF(RIGHT($L228,8)="(Summer)",0,ROUND(N206*HLOOKUP(N218,N191:T196,6,FALSE)/2,0))</f>
        <v>0</v>
      </c>
      <c r="O228" s="133">
        <f t="shared" ref="O228" si="240">IF(RIGHT($L228,8)="(Summer)",0,ROUND(O206*HLOOKUP(O218,O191:U196,6,FALSE)/2,0))</f>
        <v>0</v>
      </c>
      <c r="P228" s="133">
        <f t="shared" ref="P228" si="241">IF(RIGHT($L228,8)="(Summer)",0,ROUND(P206*HLOOKUP(P218,P191:V196,6,FALSE)/2,0))</f>
        <v>0</v>
      </c>
      <c r="Q228" s="133">
        <f t="shared" ref="Q228" si="242">IF(RIGHT($L228,8)="(Summer)",0,ROUND(Q206*HLOOKUP(Q218,Q191:W196,6,FALSE)/2,0))</f>
        <v>0</v>
      </c>
    </row>
    <row r="229" spans="1:17" ht="15.75" thickBot="1" x14ac:dyDescent="0.3">
      <c r="A229" s="270" t="s">
        <v>21</v>
      </c>
      <c r="B229" s="119">
        <f t="shared" ref="B229:H229" si="243">ROUND((B226*B228*$N$41)+(C226*B228*$N$42),0)</f>
        <v>4224</v>
      </c>
      <c r="C229" s="119">
        <f t="shared" si="243"/>
        <v>0</v>
      </c>
      <c r="D229" s="119">
        <f t="shared" si="243"/>
        <v>0</v>
      </c>
      <c r="E229" s="119">
        <f t="shared" si="243"/>
        <v>0</v>
      </c>
      <c r="F229" s="119">
        <f t="shared" si="243"/>
        <v>0</v>
      </c>
      <c r="G229" s="119">
        <f t="shared" si="243"/>
        <v>0</v>
      </c>
      <c r="H229" s="119">
        <f t="shared" si="243"/>
        <v>0</v>
      </c>
      <c r="I229" s="100"/>
      <c r="J229" s="100"/>
      <c r="K229" s="279"/>
      <c r="L229" s="62" t="s">
        <v>31</v>
      </c>
      <c r="M229" s="63">
        <f>SUM(M220:M228)</f>
        <v>0</v>
      </c>
      <c r="N229" s="63">
        <f>SUM(N220:N228)</f>
        <v>0</v>
      </c>
      <c r="O229" s="63">
        <f>SUM(O220:O228)</f>
        <v>0</v>
      </c>
      <c r="P229" s="63">
        <f>SUM(P220:P228)</f>
        <v>0</v>
      </c>
      <c r="Q229" s="63">
        <f>SUM(Q220:Q228)</f>
        <v>0</v>
      </c>
    </row>
    <row r="230" spans="1:17" x14ac:dyDescent="0.25">
      <c r="A230" s="272"/>
      <c r="H230" s="47"/>
    </row>
    <row r="231" spans="1:17" x14ac:dyDescent="0.25">
      <c r="A231" s="273" t="s">
        <v>106</v>
      </c>
      <c r="B231" s="48"/>
      <c r="C231" s="48"/>
      <c r="D231" s="48"/>
      <c r="E231" s="48"/>
      <c r="F231" s="48"/>
    </row>
    <row r="232" spans="1:17" x14ac:dyDescent="0.25">
      <c r="A232" s="269" t="s">
        <v>444</v>
      </c>
      <c r="B232" s="48" t="s">
        <v>1</v>
      </c>
      <c r="C232" s="48" t="s">
        <v>2</v>
      </c>
      <c r="D232" s="48" t="s">
        <v>3</v>
      </c>
      <c r="E232" s="48" t="s">
        <v>44</v>
      </c>
      <c r="F232" s="48" t="s">
        <v>50</v>
      </c>
      <c r="G232" s="84"/>
      <c r="H232" s="84"/>
      <c r="I232" s="56"/>
      <c r="J232" s="100" t="s">
        <v>77</v>
      </c>
    </row>
    <row r="233" spans="1:17" x14ac:dyDescent="0.25">
      <c r="A233" s="270" t="s">
        <v>318</v>
      </c>
      <c r="B233" s="86">
        <v>15</v>
      </c>
      <c r="C233" s="86">
        <f>ROUND(+B233*(1+J233),2)</f>
        <v>15</v>
      </c>
      <c r="D233" s="86">
        <f>ROUND(+C233*(1+J233),2)</f>
        <v>15</v>
      </c>
      <c r="E233" s="86">
        <f>ROUND(+D233*(1+J233),2)</f>
        <v>15</v>
      </c>
      <c r="F233" s="86">
        <f>ROUND(+E233*(1+J233),2)</f>
        <v>15</v>
      </c>
      <c r="G233" s="84"/>
      <c r="H233" s="84"/>
      <c r="I233" s="74"/>
      <c r="J233" s="81">
        <v>0</v>
      </c>
    </row>
    <row r="234" spans="1:17" x14ac:dyDescent="0.25">
      <c r="A234" s="270" t="s">
        <v>319</v>
      </c>
      <c r="B234" s="127">
        <v>0</v>
      </c>
      <c r="C234" s="127">
        <v>0</v>
      </c>
      <c r="D234" s="127">
        <v>0</v>
      </c>
      <c r="E234" s="127">
        <v>0</v>
      </c>
      <c r="F234" s="127">
        <v>0</v>
      </c>
      <c r="G234" s="84"/>
      <c r="H234" s="84"/>
      <c r="I234" s="49"/>
      <c r="J234" s="49"/>
    </row>
    <row r="235" spans="1:17" x14ac:dyDescent="0.25">
      <c r="A235" s="270" t="s">
        <v>21</v>
      </c>
      <c r="B235" s="119">
        <f>ROUND(B233*B234,0)</f>
        <v>0</v>
      </c>
      <c r="C235" s="119">
        <f t="shared" ref="C235:F235" si="244">ROUND(C233*C234,0)</f>
        <v>0</v>
      </c>
      <c r="D235" s="119">
        <f t="shared" si="244"/>
        <v>0</v>
      </c>
      <c r="E235" s="119">
        <f t="shared" si="244"/>
        <v>0</v>
      </c>
      <c r="F235" s="119">
        <f t="shared" si="244"/>
        <v>0</v>
      </c>
      <c r="G235" s="84"/>
      <c r="H235" s="84"/>
      <c r="I235" s="100"/>
      <c r="J235" s="100"/>
    </row>
    <row r="238" spans="1:17" x14ac:dyDescent="0.25">
      <c r="A238" s="319" t="str">
        <f ca="1">+A20</f>
        <v>Co PI 2</v>
      </c>
    </row>
    <row r="239" spans="1:17" x14ac:dyDescent="0.25">
      <c r="A239" s="258" t="s">
        <v>54</v>
      </c>
      <c r="B239" s="341" t="str">
        <f>+B20</f>
        <v>Co-PI</v>
      </c>
      <c r="C239" s="299"/>
      <c r="D239" s="299"/>
      <c r="E239" s="299"/>
      <c r="F239" s="299"/>
      <c r="G239" s="299"/>
      <c r="H239" s="299"/>
      <c r="I239" s="299"/>
      <c r="J239" s="299"/>
    </row>
    <row r="240" spans="1:17" x14ac:dyDescent="0.25">
      <c r="A240" s="258" t="s">
        <v>57</v>
      </c>
      <c r="B240" s="310" t="s">
        <v>61</v>
      </c>
      <c r="C240" s="299"/>
      <c r="D240" s="299"/>
      <c r="E240" s="299"/>
      <c r="F240" s="299"/>
      <c r="G240" s="299"/>
      <c r="H240" s="299"/>
      <c r="I240" s="299"/>
      <c r="J240" s="299"/>
    </row>
    <row r="241" spans="1:11" x14ac:dyDescent="0.25">
      <c r="A241" s="258" t="s">
        <v>57</v>
      </c>
      <c r="B241" s="310" t="s">
        <v>61</v>
      </c>
      <c r="C241" s="299"/>
      <c r="D241" s="299"/>
      <c r="E241" s="299"/>
      <c r="F241" s="299"/>
      <c r="G241" s="299"/>
      <c r="H241" s="299"/>
      <c r="I241" s="299"/>
      <c r="J241" s="299"/>
    </row>
    <row r="242" spans="1:11" x14ac:dyDescent="0.25">
      <c r="A242" s="258" t="s">
        <v>138</v>
      </c>
      <c r="B242" s="366" t="s">
        <v>110</v>
      </c>
      <c r="C242" s="299"/>
      <c r="D242" s="299"/>
      <c r="E242" s="299"/>
      <c r="F242" s="299"/>
      <c r="G242" s="299"/>
      <c r="H242" s="299"/>
      <c r="I242" s="299"/>
      <c r="J242" s="299"/>
    </row>
    <row r="243" spans="1:11" x14ac:dyDescent="0.25">
      <c r="A243" s="258" t="s">
        <v>180</v>
      </c>
      <c r="B243" s="366" t="s">
        <v>178</v>
      </c>
      <c r="C243" s="299"/>
      <c r="D243" s="299"/>
      <c r="E243" s="299"/>
      <c r="F243" s="299"/>
      <c r="G243" s="299"/>
      <c r="H243" s="299"/>
      <c r="I243" s="299"/>
      <c r="J243" s="299"/>
    </row>
    <row r="244" spans="1:11" x14ac:dyDescent="0.25">
      <c r="A244" s="299"/>
      <c r="B244" s="299"/>
      <c r="C244" s="299"/>
      <c r="D244" s="299"/>
      <c r="E244" s="299"/>
      <c r="F244" s="299"/>
      <c r="G244" s="299"/>
      <c r="H244" s="299"/>
      <c r="I244" s="299"/>
      <c r="J244" s="299"/>
    </row>
    <row r="245" spans="1:11" x14ac:dyDescent="0.25">
      <c r="A245" s="258" t="s">
        <v>115</v>
      </c>
      <c r="B245" s="311" t="str">
        <f>IF(B242="Contract College","Contract College","Endowed College")</f>
        <v>Contract College</v>
      </c>
      <c r="C245" s="299"/>
      <c r="D245" s="299"/>
      <c r="E245" s="299"/>
      <c r="F245" s="299"/>
      <c r="G245" s="299"/>
      <c r="H245" s="299"/>
      <c r="I245" s="299"/>
      <c r="J245" s="299"/>
    </row>
    <row r="246" spans="1:11" x14ac:dyDescent="0.25">
      <c r="A246" s="258" t="s">
        <v>116</v>
      </c>
      <c r="B246" s="311" t="str">
        <f>IF(B242="Contract College","Contract College","Endowed College")</f>
        <v>Contract College</v>
      </c>
      <c r="C246" s="299"/>
      <c r="D246" s="299"/>
      <c r="E246" s="299"/>
      <c r="F246" s="299"/>
      <c r="G246" s="299"/>
      <c r="H246" s="299"/>
      <c r="I246" s="299"/>
      <c r="J246" s="299"/>
    </row>
    <row r="247" spans="1:11" x14ac:dyDescent="0.25">
      <c r="A247" s="299"/>
      <c r="B247" s="312"/>
      <c r="C247" s="299"/>
      <c r="D247" s="299"/>
      <c r="E247" s="299"/>
      <c r="F247" s="299"/>
      <c r="G247" s="299"/>
      <c r="H247" s="313"/>
      <c r="I247" s="313"/>
      <c r="J247" s="313"/>
      <c r="K247" s="111"/>
    </row>
    <row r="248" spans="1:11" x14ac:dyDescent="0.25">
      <c r="A248" s="258" t="s">
        <v>118</v>
      </c>
      <c r="B248" s="314" t="str">
        <f>+$B$36</f>
        <v>FY2023</v>
      </c>
      <c r="C248" s="314" t="str">
        <f>+$C$36</f>
        <v>FY2024</v>
      </c>
      <c r="D248" s="314" t="str">
        <f>+$D$36</f>
        <v>FY2025</v>
      </c>
      <c r="E248" s="314" t="str">
        <f>+$E$36</f>
        <v>FY2026</v>
      </c>
      <c r="F248" s="314" t="str">
        <f>+$F$36</f>
        <v>FY2027</v>
      </c>
      <c r="G248" s="314" t="str">
        <f>+$G$36</f>
        <v>FY2028</v>
      </c>
      <c r="H248" s="313"/>
      <c r="I248" s="313"/>
      <c r="J248" s="313"/>
      <c r="K248" s="111"/>
    </row>
    <row r="249" spans="1:11" x14ac:dyDescent="0.25">
      <c r="A249" s="258" t="str">
        <f>IF(AND(B242="Contract College",B$6="Federal"),"   Contract (Federal) - Senior Personnel",IF(AND(B242="Contract College",B$6="Non-federal"),"   Contract (Non-federal) - Senior Personnel","   Endowed - Senior Personnel"))</f>
        <v xml:space="preserve">   Contract (Federal) - Senior Personnel</v>
      </c>
      <c r="B249" s="258">
        <f t="shared" ref="B249:G249" si="245">IF(AND($B242="Contract College",$B$6="Federal"),HLOOKUP(B248,$M$2:$S$11,2,FALSE),IF(AND($B242="Contract College",$B$6="Non-Federal"),HLOOKUP(B248,$M$2:$S$11,3,FALSE),HLOOKUP(B248,$M$2:$S$11,4,FALSE)))</f>
        <v>0.68300000000000005</v>
      </c>
      <c r="C249" s="258">
        <f t="shared" si="245"/>
        <v>0.68300000000000005</v>
      </c>
      <c r="D249" s="258">
        <f t="shared" si="245"/>
        <v>0.68300000000000005</v>
      </c>
      <c r="E249" s="258">
        <f t="shared" si="245"/>
        <v>0.68300000000000005</v>
      </c>
      <c r="F249" s="258">
        <f t="shared" si="245"/>
        <v>0.68300000000000005</v>
      </c>
      <c r="G249" s="258">
        <f t="shared" si="245"/>
        <v>0.68300000000000005</v>
      </c>
      <c r="H249" s="313"/>
      <c r="I249" s="313"/>
      <c r="J249" s="313"/>
      <c r="K249" s="111"/>
    </row>
    <row r="250" spans="1:11" x14ac:dyDescent="0.25">
      <c r="A250" s="258" t="str">
        <f>IF(AND(B$6="Federal",B245="Contract College"),"   Contract (Federal) - Post Doc",IF(AND(B$6="Non-federal",B245="Contract College"),"   Contract (Non-federal) - Post Doc","   Endowed - Post Doc"))</f>
        <v xml:space="preserve">   Contract (Federal) - Post Doc</v>
      </c>
      <c r="B250" s="258">
        <f t="shared" ref="B250:G251" si="246">IF($B245="Endowed College",HLOOKUP(B$36,$M$2:$S$11,4,FALSE),IF($B$6="Federal",HLOOKUP(B$36,$M$2:$S$11,2,FALSE),IF($B$6="Non-Federal",HLOOKUP(B$36,$M$2:$S$11,3,FALSE))))</f>
        <v>0.68300000000000005</v>
      </c>
      <c r="C250" s="258">
        <f t="shared" si="246"/>
        <v>0.68300000000000005</v>
      </c>
      <c r="D250" s="258">
        <f t="shared" si="246"/>
        <v>0.68300000000000005</v>
      </c>
      <c r="E250" s="258">
        <f t="shared" si="246"/>
        <v>0.68300000000000005</v>
      </c>
      <c r="F250" s="258">
        <f t="shared" si="246"/>
        <v>0.68300000000000005</v>
      </c>
      <c r="G250" s="258">
        <f t="shared" si="246"/>
        <v>0.68300000000000005</v>
      </c>
      <c r="H250" s="313"/>
      <c r="I250" s="313"/>
      <c r="J250" s="313"/>
      <c r="K250" s="111"/>
    </row>
    <row r="251" spans="1:11" x14ac:dyDescent="0.25">
      <c r="A251" s="258" t="str">
        <f>IF(AND(B$6="Federal",B246="Contract College"),"   Contract (Federal) - Other Employee",IF(AND(B$6="Non-federal",B246="Contract College"),"   Contract (Non-federal) - Other Empolyee","   Endowed - Other Employee"))</f>
        <v xml:space="preserve">   Contract (Federal) - Other Employee</v>
      </c>
      <c r="B251" s="258">
        <f t="shared" si="246"/>
        <v>0.68300000000000005</v>
      </c>
      <c r="C251" s="258">
        <f t="shared" si="246"/>
        <v>0.68300000000000005</v>
      </c>
      <c r="D251" s="258">
        <f t="shared" si="246"/>
        <v>0.68300000000000005</v>
      </c>
      <c r="E251" s="258">
        <f t="shared" si="246"/>
        <v>0.68300000000000005</v>
      </c>
      <c r="F251" s="258">
        <f t="shared" si="246"/>
        <v>0.68300000000000005</v>
      </c>
      <c r="G251" s="258">
        <f t="shared" si="246"/>
        <v>0.68300000000000005</v>
      </c>
      <c r="H251" s="313"/>
      <c r="I251" s="313"/>
      <c r="J251" s="313"/>
      <c r="K251" s="111"/>
    </row>
    <row r="252" spans="1:11" x14ac:dyDescent="0.25">
      <c r="A252" s="258" t="s">
        <v>320</v>
      </c>
      <c r="B252" s="258">
        <f t="shared" ref="B252:G252" si="247">HLOOKUP(B$36,$M$2:$S$11,5,FALSE)</f>
        <v>0.1</v>
      </c>
      <c r="C252" s="258">
        <f t="shared" si="247"/>
        <v>0.1</v>
      </c>
      <c r="D252" s="258">
        <f t="shared" si="247"/>
        <v>0.1</v>
      </c>
      <c r="E252" s="258">
        <f t="shared" si="247"/>
        <v>0.1</v>
      </c>
      <c r="F252" s="258">
        <f t="shared" si="247"/>
        <v>0.1</v>
      </c>
      <c r="G252" s="258">
        <f t="shared" si="247"/>
        <v>0.1</v>
      </c>
      <c r="H252" s="313"/>
      <c r="I252" s="313"/>
      <c r="J252" s="313"/>
      <c r="K252" s="111"/>
    </row>
    <row r="253" spans="1:11" x14ac:dyDescent="0.25">
      <c r="A253" s="258" t="str">
        <f>CONCATENATE("Cornell IDC Rate - ",B242)</f>
        <v>Cornell IDC Rate - Contract College</v>
      </c>
      <c r="B253" s="258">
        <f>IF($B243="Off",(HLOOKUP(B$36,$M$2:$S$11,9,FALSE)),IF(AND($B$7="Other",$B243="On"),(HLOOKUP(B$36,$M$2:$S$11,8,FALSE)),IF(AND($B243="On",$B242="Contract College",$B$7="Research"),(HLOOKUP(B$36,$M$2:$S$11,6,FALSE)),(HLOOKUP(B$36,$M$2:$S$11,7,FALSE)))))</f>
        <v>0.56999999999999995</v>
      </c>
      <c r="C253" s="258">
        <f t="shared" ref="C253:G253" si="248">IF($B243="Off",(HLOOKUP(C$36,$M$2:$S$11,9,FALSE)),IF(AND($B$7="Other",$B243="On"),(HLOOKUP(C$36,$M$2:$S$11,8,FALSE)),IF(AND($B243="On",$B242="Contract College",$B$7="Research"),(HLOOKUP(C$36,$M$2:$S$11,6,FALSE)),(HLOOKUP(C$36,$M$2:$S$11,7,FALSE)))))</f>
        <v>0.56999999999999995</v>
      </c>
      <c r="D253" s="258">
        <f t="shared" si="248"/>
        <v>0.56999999999999995</v>
      </c>
      <c r="E253" s="258">
        <f t="shared" si="248"/>
        <v>0.56999999999999995</v>
      </c>
      <c r="F253" s="258">
        <f t="shared" si="248"/>
        <v>0.56999999999999995</v>
      </c>
      <c r="G253" s="258">
        <f t="shared" si="248"/>
        <v>0.56999999999999995</v>
      </c>
      <c r="H253" s="313"/>
      <c r="I253" s="313"/>
      <c r="J253" s="313"/>
      <c r="K253" s="111"/>
    </row>
    <row r="254" spans="1:11" x14ac:dyDescent="0.25">
      <c r="A254" s="258" t="str">
        <f>IF($B$11="Yes","","Rate Allowed by Sponsor:")</f>
        <v>Rate Allowed by Sponsor:</v>
      </c>
      <c r="B254" s="314">
        <f t="shared" ref="B254:G254" si="249">IF($B$11="Yes","",IF($B$11="No",HLOOKUP(B$36,$M$2:$S$11,10,FALSE),(HLOOKUP(B$36,$M$2:$S$11,10,FALSE))))</f>
        <v>0.2</v>
      </c>
      <c r="C254" s="314">
        <f t="shared" si="249"/>
        <v>0.2</v>
      </c>
      <c r="D254" s="314">
        <f t="shared" si="249"/>
        <v>0.2</v>
      </c>
      <c r="E254" s="314">
        <f t="shared" si="249"/>
        <v>0.2</v>
      </c>
      <c r="F254" s="314">
        <f t="shared" si="249"/>
        <v>0.2</v>
      </c>
      <c r="G254" s="314">
        <f t="shared" si="249"/>
        <v>0.2</v>
      </c>
      <c r="H254" s="410"/>
      <c r="I254" s="410"/>
      <c r="J254" s="410"/>
      <c r="K254" s="111"/>
    </row>
    <row r="255" spans="1:11" x14ac:dyDescent="0.25">
      <c r="B255" s="82"/>
      <c r="C255" s="82"/>
      <c r="D255" s="82"/>
      <c r="E255" s="82"/>
      <c r="F255" s="82"/>
      <c r="G255" s="82"/>
    </row>
    <row r="256" spans="1:11" ht="20.25" x14ac:dyDescent="0.3">
      <c r="A256" s="64" t="s">
        <v>59</v>
      </c>
      <c r="B256" s="113"/>
      <c r="C256" s="113"/>
      <c r="D256" s="113"/>
      <c r="E256" s="113"/>
      <c r="F256" s="113"/>
      <c r="G256" s="113"/>
      <c r="H256" s="113"/>
    </row>
    <row r="257" spans="1:11" ht="15.75" x14ac:dyDescent="0.25">
      <c r="A257" s="114" t="s">
        <v>102</v>
      </c>
      <c r="B257" s="115" t="str">
        <f t="shared" ref="B257:H257" si="250">IF(B260=$Z$5,$Z$9,IF(B260=$AA$5,$AA$9,IF(B260=$AB$5,$AB$9,IF(B260=$AC$5,$AC$9,IF(B260=$AD$5,$AD$9," ")))))</f>
        <v xml:space="preserve"> </v>
      </c>
      <c r="C257" s="115" t="str">
        <f t="shared" si="250"/>
        <v>2023-2023</v>
      </c>
      <c r="D257" s="115" t="str">
        <f t="shared" si="250"/>
        <v>2024-2024</v>
      </c>
      <c r="E257" s="115" t="str">
        <f t="shared" si="250"/>
        <v>2025-2025</v>
      </c>
      <c r="F257" s="115" t="str">
        <f t="shared" si="250"/>
        <v>2026-2026</v>
      </c>
      <c r="G257" s="115" t="str">
        <f t="shared" si="250"/>
        <v>2027-2027</v>
      </c>
      <c r="H257" s="115" t="str">
        <f t="shared" si="250"/>
        <v xml:space="preserve"> </v>
      </c>
    </row>
    <row r="259" spans="1:11" x14ac:dyDescent="0.25">
      <c r="A259" s="295" t="str">
        <f>CONCATENATE("Calculation based on ",I261," month salary")</f>
        <v>Calculation based on 9 month salary</v>
      </c>
      <c r="B259" s="113" t="str">
        <f t="shared" ref="B259:H259" si="251">IF(AND(B260=$Z$5,$I261=9),$Z$3,IF(AND(B260=$AA$5,$I261=9),$AA$3,IF(AND(B260=$AB$5,$I261=9),$AB$3,IF(AND(B260=$AC$5,$I261=9),$AC$3,IF(AND(B260=$AD$5,$I261=9),$AD$3,IF(AND(B260=$Z$4,$I261=12),$Z$3,IF(AND(B260=$AA$4,$I261=12),$AA$3,IF(AND(B260=$AB$4,$I261=12),$AB$3,IF(AND(B260=$AC$4,$I261=12),$AC$3,IF(AND(B260=$AD$4,$I261=12),$AD$3," "))))))))))</f>
        <v xml:space="preserve"> </v>
      </c>
      <c r="C259" s="113" t="str">
        <f t="shared" si="251"/>
        <v>Year 1</v>
      </c>
      <c r="D259" s="113" t="str">
        <f t="shared" si="251"/>
        <v>Year 2</v>
      </c>
      <c r="E259" s="113" t="str">
        <f t="shared" si="251"/>
        <v>Year 3</v>
      </c>
      <c r="F259" s="113" t="str">
        <f t="shared" si="251"/>
        <v>Year 4</v>
      </c>
      <c r="G259" s="113" t="str">
        <f t="shared" si="251"/>
        <v>Year 5</v>
      </c>
      <c r="H259" s="113" t="str">
        <f t="shared" si="251"/>
        <v xml:space="preserve"> </v>
      </c>
    </row>
    <row r="260" spans="1:11" x14ac:dyDescent="0.25">
      <c r="A260" s="296" t="str">
        <f>+B239</f>
        <v>Co-PI</v>
      </c>
      <c r="B260" s="84" t="str">
        <f>+M$2</f>
        <v>FY2023</v>
      </c>
      <c r="C260" s="84" t="str">
        <f t="shared" ref="C260" si="252">+N$2</f>
        <v>FY2024</v>
      </c>
      <c r="D260" s="84" t="str">
        <f t="shared" ref="D260" si="253">+O$2</f>
        <v>FY2025</v>
      </c>
      <c r="E260" s="84" t="str">
        <f t="shared" ref="E260" si="254">+P$2</f>
        <v>FY2026</v>
      </c>
      <c r="F260" s="84" t="str">
        <f t="shared" ref="F260" si="255">+Q$2</f>
        <v>FY2027</v>
      </c>
      <c r="G260" s="84" t="str">
        <f t="shared" ref="G260" si="256">+R$2</f>
        <v>FY2028</v>
      </c>
      <c r="H260" s="84" t="str">
        <f t="shared" ref="H260" si="257">+S$2</f>
        <v>FY2029</v>
      </c>
      <c r="I260" s="56" t="s">
        <v>20</v>
      </c>
      <c r="J260" s="100" t="s">
        <v>77</v>
      </c>
      <c r="K260" s="100"/>
    </row>
    <row r="261" spans="1:11" x14ac:dyDescent="0.25">
      <c r="A261" s="297" t="str">
        <f>CONCATENATE("Base Salary: ",I261," month term")</f>
        <v>Base Salary: 9 month term</v>
      </c>
      <c r="B261" s="93">
        <v>0</v>
      </c>
      <c r="C261" s="118">
        <f>ROUND(+B261*(1+J261),0)</f>
        <v>0</v>
      </c>
      <c r="D261" s="118">
        <f>ROUND(+C261*(1+J261),0)</f>
        <v>0</v>
      </c>
      <c r="E261" s="118">
        <f>ROUND(+D261*(1+J261),0)</f>
        <v>0</v>
      </c>
      <c r="F261" s="118">
        <f>ROUND(+E261*(1+J261),0)</f>
        <v>0</v>
      </c>
      <c r="G261" s="118">
        <f>ROUND(+F261*(1+J261),0)</f>
        <v>0</v>
      </c>
      <c r="H261" s="118">
        <f>ROUND(+G261*(1+J261),0)</f>
        <v>0</v>
      </c>
      <c r="I261" s="74">
        <v>9</v>
      </c>
      <c r="J261" s="81">
        <v>0.03</v>
      </c>
      <c r="K261" s="81"/>
    </row>
    <row r="262" spans="1:11" x14ac:dyDescent="0.25">
      <c r="A262" s="297" t="s">
        <v>49</v>
      </c>
      <c r="B262" s="86">
        <v>0</v>
      </c>
      <c r="C262" s="86">
        <v>0</v>
      </c>
      <c r="D262" s="86">
        <v>0</v>
      </c>
      <c r="E262" s="86">
        <v>0</v>
      </c>
      <c r="F262" s="86">
        <v>0</v>
      </c>
      <c r="G262" s="86">
        <v>0</v>
      </c>
      <c r="H262" s="86">
        <v>0</v>
      </c>
      <c r="I262" s="49"/>
      <c r="J262" s="49"/>
      <c r="K262" s="49"/>
    </row>
    <row r="263" spans="1:11" x14ac:dyDescent="0.25">
      <c r="A263" s="297" t="str">
        <f>CONCATENATE("FTE for ",I261," Months")</f>
        <v>FTE for 9 Months</v>
      </c>
      <c r="B263" s="85">
        <f t="shared" ref="B263:H263" si="258">+B262/$I261</f>
        <v>0</v>
      </c>
      <c r="C263" s="85">
        <f t="shared" si="258"/>
        <v>0</v>
      </c>
      <c r="D263" s="85">
        <f t="shared" si="258"/>
        <v>0</v>
      </c>
      <c r="E263" s="85">
        <f t="shared" si="258"/>
        <v>0</v>
      </c>
      <c r="F263" s="85">
        <f t="shared" si="258"/>
        <v>0</v>
      </c>
      <c r="G263" s="85">
        <f t="shared" si="258"/>
        <v>0</v>
      </c>
      <c r="H263" s="85">
        <f t="shared" si="258"/>
        <v>0</v>
      </c>
      <c r="I263" s="100"/>
      <c r="J263" s="100"/>
      <c r="K263" s="100"/>
    </row>
    <row r="264" spans="1:11" x14ac:dyDescent="0.25">
      <c r="A264" s="298" t="s">
        <v>60</v>
      </c>
      <c r="B264" s="124">
        <f t="shared" ref="B264:H264" si="259">+B262/12</f>
        <v>0</v>
      </c>
      <c r="C264" s="125">
        <f t="shared" si="259"/>
        <v>0</v>
      </c>
      <c r="D264" s="124">
        <f t="shared" si="259"/>
        <v>0</v>
      </c>
      <c r="E264" s="124">
        <f t="shared" si="259"/>
        <v>0</v>
      </c>
      <c r="F264" s="124">
        <f t="shared" si="259"/>
        <v>0</v>
      </c>
      <c r="G264" s="124">
        <f t="shared" si="259"/>
        <v>0</v>
      </c>
      <c r="H264" s="124">
        <f t="shared" si="259"/>
        <v>0</v>
      </c>
      <c r="I264" s="100"/>
      <c r="J264" s="100"/>
      <c r="K264" s="100"/>
    </row>
    <row r="265" spans="1:11" x14ac:dyDescent="0.25">
      <c r="A265" s="297" t="s">
        <v>21</v>
      </c>
      <c r="B265" s="485">
        <f t="shared" ref="B265:H265" si="260">IF($B$3="NIH",IF(IF($I261=9,ROUND(B261*B263,0),IF($I261=12,ROUND((B261*B263*$N$41)+(C261*B263*$N$42),0),0))&lt;IF($I261=9,ROUND($M$13*B263,0),IF($I261=12,ROUND(($M$14*B263*$N$41)+($M$14*B263*$N$42),0),0)),IF($I261=9,ROUND(B261*B263,0),IF($I261=12,ROUND((B261*B263*$N$41)+(C261*B263*$N$42),0),0)),IF($I261=9,ROUND($M$13*B263,0),IF($I261=12,ROUND(($M$14*B263*$N$41)+($M$14*B263*$N$42),0),0))),IF($I261=9,ROUND(B261*B263,0),IF($I261=12,ROUND((B261*B263*$N$41)+(C261*B263*$N$42),0),0)))</f>
        <v>0</v>
      </c>
      <c r="C265" s="485">
        <f t="shared" si="260"/>
        <v>0</v>
      </c>
      <c r="D265" s="485">
        <f t="shared" si="260"/>
        <v>0</v>
      </c>
      <c r="E265" s="485">
        <f t="shared" si="260"/>
        <v>0</v>
      </c>
      <c r="F265" s="485">
        <f t="shared" si="260"/>
        <v>0</v>
      </c>
      <c r="G265" s="485">
        <f t="shared" si="260"/>
        <v>0</v>
      </c>
      <c r="H265" s="485">
        <f t="shared" si="260"/>
        <v>0</v>
      </c>
      <c r="I265" s="100"/>
      <c r="J265" s="100"/>
      <c r="K265" s="100"/>
    </row>
    <row r="266" spans="1:11" x14ac:dyDescent="0.25">
      <c r="A266" s="721" t="str">
        <f>IF($B$3="NIH",IF(I261=9,CONCATENATE("NIH ",I261," Month Salary Cap = ",TEXT($M$13,"$0,000")),IF(I261=12,CONCATENATE("NIH ",I261," Month Salary Cap = ",TEXT($M$14,"$0,000")),"N/A"))," ")</f>
        <v xml:space="preserve"> </v>
      </c>
      <c r="I266" s="100"/>
      <c r="J266" s="100"/>
      <c r="K266" s="100"/>
    </row>
    <row r="267" spans="1:11" x14ac:dyDescent="0.25">
      <c r="A267" s="298" t="s">
        <v>189</v>
      </c>
      <c r="B267" s="86">
        <v>0</v>
      </c>
      <c r="C267" s="86">
        <v>0</v>
      </c>
      <c r="D267" s="86">
        <v>0</v>
      </c>
      <c r="E267" s="86">
        <v>0</v>
      </c>
      <c r="F267" s="86">
        <v>0</v>
      </c>
      <c r="G267" s="86">
        <v>0</v>
      </c>
      <c r="H267" s="86">
        <v>0</v>
      </c>
      <c r="I267" s="100"/>
      <c r="J267" s="100"/>
      <c r="K267" s="100"/>
    </row>
    <row r="268" spans="1:11" x14ac:dyDescent="0.25">
      <c r="A268" s="298" t="str">
        <f>CONCATENATE("FTE for ",I261," Months")</f>
        <v>FTE for 9 Months</v>
      </c>
      <c r="B268" s="85">
        <f t="shared" ref="B268" si="261">+B267/$I261</f>
        <v>0</v>
      </c>
      <c r="C268" s="85">
        <f t="shared" ref="C268" si="262">+C267/$I261</f>
        <v>0</v>
      </c>
      <c r="D268" s="85">
        <f t="shared" ref="D268" si="263">+D267/$I261</f>
        <v>0</v>
      </c>
      <c r="E268" s="85">
        <f t="shared" ref="E268" si="264">+E267/$I261</f>
        <v>0</v>
      </c>
      <c r="F268" s="85">
        <f t="shared" ref="F268" si="265">+F267/$I261</f>
        <v>0</v>
      </c>
      <c r="G268" s="85">
        <f t="shared" ref="G268" si="266">+G267/$I261</f>
        <v>0</v>
      </c>
      <c r="H268" s="85">
        <f t="shared" ref="H268" si="267">+H267/$I261</f>
        <v>0</v>
      </c>
      <c r="I268" s="100"/>
      <c r="J268" s="100"/>
      <c r="K268" s="100"/>
    </row>
    <row r="269" spans="1:11" x14ac:dyDescent="0.25">
      <c r="A269" s="298" t="s">
        <v>60</v>
      </c>
      <c r="B269" s="124">
        <f t="shared" ref="B269:H269" si="268">+B267/12</f>
        <v>0</v>
      </c>
      <c r="C269" s="125">
        <f t="shared" si="268"/>
        <v>0</v>
      </c>
      <c r="D269" s="124">
        <f t="shared" si="268"/>
        <v>0</v>
      </c>
      <c r="E269" s="124">
        <f t="shared" si="268"/>
        <v>0</v>
      </c>
      <c r="F269" s="124">
        <f t="shared" si="268"/>
        <v>0</v>
      </c>
      <c r="G269" s="124">
        <f t="shared" si="268"/>
        <v>0</v>
      </c>
      <c r="H269" s="124">
        <f t="shared" si="268"/>
        <v>0</v>
      </c>
      <c r="I269" s="100"/>
      <c r="J269" s="100"/>
      <c r="K269" s="100"/>
    </row>
    <row r="270" spans="1:11" x14ac:dyDescent="0.25">
      <c r="A270" s="298" t="s">
        <v>204</v>
      </c>
      <c r="B270" s="119">
        <f t="shared" ref="B270:H270" si="269">IF($I261=9,ROUND(B261*B268,0),IF($I261=12,ROUND((B261*B268*$N$41)+(C261*B268*$N$42),0),0))</f>
        <v>0</v>
      </c>
      <c r="C270" s="119">
        <f t="shared" si="269"/>
        <v>0</v>
      </c>
      <c r="D270" s="119">
        <f t="shared" si="269"/>
        <v>0</v>
      </c>
      <c r="E270" s="119">
        <f t="shared" si="269"/>
        <v>0</v>
      </c>
      <c r="F270" s="119">
        <f t="shared" si="269"/>
        <v>0</v>
      </c>
      <c r="G270" s="119">
        <f t="shared" si="269"/>
        <v>0</v>
      </c>
      <c r="H270" s="119">
        <f t="shared" si="269"/>
        <v>0</v>
      </c>
      <c r="I270" s="100"/>
      <c r="J270" s="100"/>
      <c r="K270" s="100"/>
    </row>
    <row r="271" spans="1:11" x14ac:dyDescent="0.25">
      <c r="A271" s="298" t="str">
        <f>IF($B$3="NIH", "Over the Salary Limit", " ")</f>
        <v xml:space="preserve"> </v>
      </c>
      <c r="B271" s="486">
        <f>IF($B$3="NIH",IF(AND($I261=9,B261&lt;$M$13),0,IF(AND($I261=9,B261&gt;=$M$13),ROUND((B261*B263)-($M$13*B263),0),IF(AND($I261=12,B261&lt;$M$14),0,IF(AND($I261=12,B261&gt;=$M$14),ROUND(((B261*B263*$N$41)+(C261*B263*$N$42))-($M$14*B263),0))))),0)</f>
        <v>0</v>
      </c>
      <c r="C271" s="486">
        <f t="shared" ref="C271:H271" si="270">IF($B$3="NIH",IF(AND($I261=9,C261&lt;$M$13),0,IF(AND($I261=9,C261&gt;=$M$13),ROUND((C261*C263)-($M$13*C263),0),IF(AND($I261=12,C261&lt;$M$14),0,IF(AND($I261=12,C261&gt;=$M$14),ROUND(((C261*C263*$N$41)+(D261*C263*$N$42))-($M$14*C263),0))))),0)</f>
        <v>0</v>
      </c>
      <c r="D271" s="486">
        <f t="shared" si="270"/>
        <v>0</v>
      </c>
      <c r="E271" s="486">
        <f t="shared" si="270"/>
        <v>0</v>
      </c>
      <c r="F271" s="486">
        <f t="shared" si="270"/>
        <v>0</v>
      </c>
      <c r="G271" s="486">
        <f t="shared" si="270"/>
        <v>0</v>
      </c>
      <c r="H271" s="486">
        <f t="shared" si="270"/>
        <v>0</v>
      </c>
      <c r="I271" s="100"/>
      <c r="J271" s="100"/>
      <c r="K271" s="100"/>
    </row>
    <row r="272" spans="1:11" x14ac:dyDescent="0.25">
      <c r="A272" s="299"/>
      <c r="I272" s="100"/>
      <c r="J272" s="100"/>
      <c r="K272" s="100"/>
    </row>
    <row r="273" spans="1:17" x14ac:dyDescent="0.25">
      <c r="A273" s="295" t="str">
        <f>CONCATENATE("Calculation based on ",I275," month salary")</f>
        <v>Calculation based on 9 month salary</v>
      </c>
      <c r="B273" s="113" t="str">
        <f t="shared" ref="B273:H273" si="271">IF(AND(B274=$Z$5,$I275=9),$Z$3,IF(AND(B274=$AA$5,$I275=9),$AA$3,IF(AND(B274=$AB$5,$I275=9),$AB$3,IF(AND(B274=$AC$5,$I275=9),$AC$3,IF(AND(B274=$AD$5,$I275=9),$AD$3,IF(AND(B274=$Z$4,$I275=12),$Z$3,IF(AND(B274=$AA$4,$I275=12),$AA$3,IF(AND(B274=$AB$4,$I275=12),$AB$3,IF(AND(B274=$AC$4,$I275=12),$AC$3,IF(AND(B274=$AD$4,$I275=12),$AD$3," "))))))))))</f>
        <v xml:space="preserve"> </v>
      </c>
      <c r="C273" s="113" t="str">
        <f t="shared" si="271"/>
        <v>Year 1</v>
      </c>
      <c r="D273" s="113" t="str">
        <f t="shared" si="271"/>
        <v>Year 2</v>
      </c>
      <c r="E273" s="113" t="str">
        <f t="shared" si="271"/>
        <v>Year 3</v>
      </c>
      <c r="F273" s="113" t="str">
        <f t="shared" si="271"/>
        <v>Year 4</v>
      </c>
      <c r="G273" s="113" t="str">
        <f t="shared" si="271"/>
        <v>Year 5</v>
      </c>
      <c r="H273" s="113" t="str">
        <f t="shared" si="271"/>
        <v xml:space="preserve"> </v>
      </c>
      <c r="I273" s="100"/>
      <c r="J273" s="100"/>
      <c r="K273" s="100"/>
      <c r="P273" s="47"/>
    </row>
    <row r="274" spans="1:17" x14ac:dyDescent="0.25">
      <c r="A274" s="296" t="str">
        <f>+B240</f>
        <v>Co-PI</v>
      </c>
      <c r="B274" s="84" t="str">
        <f>+M$2</f>
        <v>FY2023</v>
      </c>
      <c r="C274" s="84" t="str">
        <f t="shared" ref="C274" si="272">+N$2</f>
        <v>FY2024</v>
      </c>
      <c r="D274" s="84" t="str">
        <f t="shared" ref="D274" si="273">+O$2</f>
        <v>FY2025</v>
      </c>
      <c r="E274" s="84" t="str">
        <f t="shared" ref="E274" si="274">+P$2</f>
        <v>FY2026</v>
      </c>
      <c r="F274" s="84" t="str">
        <f t="shared" ref="F274" si="275">+Q$2</f>
        <v>FY2027</v>
      </c>
      <c r="G274" s="84" t="str">
        <f t="shared" ref="G274" si="276">+R$2</f>
        <v>FY2028</v>
      </c>
      <c r="H274" s="84" t="str">
        <f t="shared" ref="H274" si="277">+S$2</f>
        <v>FY2029</v>
      </c>
      <c r="I274" s="56" t="s">
        <v>20</v>
      </c>
      <c r="J274" s="100" t="s">
        <v>77</v>
      </c>
      <c r="K274" s="100"/>
      <c r="P274" s="47"/>
    </row>
    <row r="275" spans="1:17" x14ac:dyDescent="0.25">
      <c r="A275" s="297" t="str">
        <f>CONCATENATE("Base Salary: ",I275," month term")</f>
        <v>Base Salary: 9 month term</v>
      </c>
      <c r="B275" s="93">
        <v>0</v>
      </c>
      <c r="C275" s="118">
        <f>ROUND(+B275*(1+J275),0)</f>
        <v>0</v>
      </c>
      <c r="D275" s="118">
        <f>ROUND(+C275*(1+J275),0)</f>
        <v>0</v>
      </c>
      <c r="E275" s="118">
        <f>ROUND(+D275*(1+J275),0)</f>
        <v>0</v>
      </c>
      <c r="F275" s="118">
        <f>ROUND(+E275*(1+J275),0)</f>
        <v>0</v>
      </c>
      <c r="G275" s="118">
        <f>ROUND(+F275*(1+J275),0)</f>
        <v>0</v>
      </c>
      <c r="H275" s="118">
        <f>ROUND(+G275*(1+J275),0)</f>
        <v>0</v>
      </c>
      <c r="I275" s="74">
        <v>9</v>
      </c>
      <c r="J275" s="81">
        <v>0.03</v>
      </c>
      <c r="K275" s="81"/>
      <c r="P275" s="47"/>
    </row>
    <row r="276" spans="1:17" x14ac:dyDescent="0.25">
      <c r="A276" s="297" t="s">
        <v>49</v>
      </c>
      <c r="B276" s="86">
        <v>0</v>
      </c>
      <c r="C276" s="86">
        <v>0</v>
      </c>
      <c r="D276" s="86">
        <v>0</v>
      </c>
      <c r="E276" s="86">
        <v>0</v>
      </c>
      <c r="F276" s="86">
        <v>0</v>
      </c>
      <c r="G276" s="86">
        <v>0</v>
      </c>
      <c r="H276" s="86">
        <v>0</v>
      </c>
      <c r="I276" s="49"/>
      <c r="J276" s="49"/>
      <c r="K276" s="49"/>
    </row>
    <row r="277" spans="1:17" x14ac:dyDescent="0.25">
      <c r="A277" s="297" t="str">
        <f>CONCATENATE("FTE for ",I275," Months")</f>
        <v>FTE for 9 Months</v>
      </c>
      <c r="B277" s="85">
        <f t="shared" ref="B277:H277" si="278">+B276/$I275</f>
        <v>0</v>
      </c>
      <c r="C277" s="85">
        <f t="shared" si="278"/>
        <v>0</v>
      </c>
      <c r="D277" s="85">
        <f t="shared" si="278"/>
        <v>0</v>
      </c>
      <c r="E277" s="85">
        <f t="shared" si="278"/>
        <v>0</v>
      </c>
      <c r="F277" s="85">
        <f t="shared" si="278"/>
        <v>0</v>
      </c>
      <c r="G277" s="85">
        <f t="shared" si="278"/>
        <v>0</v>
      </c>
      <c r="H277" s="85">
        <f t="shared" si="278"/>
        <v>0</v>
      </c>
      <c r="I277" s="100"/>
      <c r="J277" s="100"/>
      <c r="K277" s="100"/>
    </row>
    <row r="278" spans="1:17" x14ac:dyDescent="0.25">
      <c r="A278" s="298" t="s">
        <v>60</v>
      </c>
      <c r="B278" s="124">
        <f>+B276/12</f>
        <v>0</v>
      </c>
      <c r="C278" s="125">
        <f>+C276/12</f>
        <v>0</v>
      </c>
      <c r="D278" s="124">
        <f t="shared" ref="D278:H278" si="279">+D276/12</f>
        <v>0</v>
      </c>
      <c r="E278" s="124">
        <f t="shared" si="279"/>
        <v>0</v>
      </c>
      <c r="F278" s="124">
        <f t="shared" si="279"/>
        <v>0</v>
      </c>
      <c r="G278" s="124">
        <f t="shared" si="279"/>
        <v>0</v>
      </c>
      <c r="H278" s="124">
        <f t="shared" si="279"/>
        <v>0</v>
      </c>
      <c r="I278" s="100"/>
      <c r="J278" s="100"/>
      <c r="K278" s="100"/>
    </row>
    <row r="279" spans="1:17" x14ac:dyDescent="0.25">
      <c r="A279" s="297" t="s">
        <v>21</v>
      </c>
      <c r="B279" s="485">
        <f t="shared" ref="B279:H279" si="280">IF($B$3="NIH",IF(IF($I275=9,ROUND(B275*B277,0),IF($I275=12,ROUND((B275*B277*$N$41)+(C275*B277*$N$42),0),0))&lt;IF($I275=9,ROUND($M$13*B277,0),IF($I275=12,ROUND(($M$14*B277*$N$41)+($M$14*B277*$N$42),0),0)),IF($I275=9,ROUND(B275*B277,0),IF($I275=12,ROUND((B275*B277*$N$41)+(C275*B277*$N$42),0),0)),IF($I275=9,ROUND($M$13*B277,0),IF($I275=12,ROUND(($M$14*B277*$N$41)+($M$14*B277*$N$42),0),0))),IF($I275=9,ROUND(B275*B277,0),IF($I275=12,ROUND((B275*B277*$N$41)+(C275*B277*$N$42),0),0)))</f>
        <v>0</v>
      </c>
      <c r="C279" s="485">
        <f t="shared" si="280"/>
        <v>0</v>
      </c>
      <c r="D279" s="485">
        <f t="shared" si="280"/>
        <v>0</v>
      </c>
      <c r="E279" s="485">
        <f t="shared" si="280"/>
        <v>0</v>
      </c>
      <c r="F279" s="485">
        <f t="shared" si="280"/>
        <v>0</v>
      </c>
      <c r="G279" s="485">
        <f t="shared" si="280"/>
        <v>0</v>
      </c>
      <c r="H279" s="485">
        <f t="shared" si="280"/>
        <v>0</v>
      </c>
      <c r="I279" s="100"/>
      <c r="J279" s="100"/>
      <c r="K279" s="100"/>
    </row>
    <row r="280" spans="1:17" x14ac:dyDescent="0.25">
      <c r="A280" s="721" t="str">
        <f>IF($B$3="NIH",IF(I275=9,CONCATENATE("NIH ",I275," Month Salary Cap = ",TEXT($M$13,"$0,000")),IF(I275=12,CONCATENATE("NIH ",I275," Month Salary Cap = ",TEXT($M$14,"$0,000")),"N/A"))," ")</f>
        <v xml:space="preserve"> </v>
      </c>
      <c r="I280" s="100"/>
      <c r="J280" s="100"/>
      <c r="K280" s="100"/>
    </row>
    <row r="281" spans="1:17" x14ac:dyDescent="0.25">
      <c r="A281" s="298" t="s">
        <v>189</v>
      </c>
      <c r="B281" s="86">
        <v>0</v>
      </c>
      <c r="C281" s="86">
        <v>0</v>
      </c>
      <c r="D281" s="86">
        <v>0</v>
      </c>
      <c r="E281" s="86">
        <v>0</v>
      </c>
      <c r="F281" s="86">
        <v>0</v>
      </c>
      <c r="G281" s="86">
        <v>0</v>
      </c>
      <c r="H281" s="86">
        <v>0</v>
      </c>
      <c r="I281" s="100"/>
      <c r="J281" s="100"/>
      <c r="K281" s="100"/>
    </row>
    <row r="282" spans="1:17" x14ac:dyDescent="0.25">
      <c r="A282" s="298" t="str">
        <f>CONCATENATE("FTE for ",I275," Months")</f>
        <v>FTE for 9 Months</v>
      </c>
      <c r="B282" s="85">
        <f t="shared" ref="B282" si="281">+B281/$I275</f>
        <v>0</v>
      </c>
      <c r="C282" s="85">
        <f t="shared" ref="C282" si="282">+C281/$I275</f>
        <v>0</v>
      </c>
      <c r="D282" s="85">
        <f t="shared" ref="D282" si="283">+D281/$I275</f>
        <v>0</v>
      </c>
      <c r="E282" s="85">
        <f t="shared" ref="E282" si="284">+E281/$I275</f>
        <v>0</v>
      </c>
      <c r="F282" s="85">
        <f t="shared" ref="F282" si="285">+F281/$I275</f>
        <v>0</v>
      </c>
      <c r="G282" s="85">
        <f t="shared" ref="G282" si="286">+G281/$I275</f>
        <v>0</v>
      </c>
      <c r="H282" s="85">
        <f t="shared" ref="H282" si="287">+H281/$I275</f>
        <v>0</v>
      </c>
      <c r="I282" s="100"/>
      <c r="J282" s="100"/>
      <c r="K282" s="100"/>
    </row>
    <row r="283" spans="1:17" x14ac:dyDescent="0.25">
      <c r="A283" s="298" t="s">
        <v>60</v>
      </c>
      <c r="B283" s="124">
        <f t="shared" ref="B283:H283" si="288">+B281/12</f>
        <v>0</v>
      </c>
      <c r="C283" s="125">
        <f t="shared" si="288"/>
        <v>0</v>
      </c>
      <c r="D283" s="124">
        <f t="shared" si="288"/>
        <v>0</v>
      </c>
      <c r="E283" s="124">
        <f t="shared" si="288"/>
        <v>0</v>
      </c>
      <c r="F283" s="124">
        <f t="shared" si="288"/>
        <v>0</v>
      </c>
      <c r="G283" s="124">
        <f t="shared" si="288"/>
        <v>0</v>
      </c>
      <c r="H283" s="124">
        <f t="shared" si="288"/>
        <v>0</v>
      </c>
      <c r="I283" s="100"/>
      <c r="J283" s="100"/>
      <c r="K283" s="100"/>
    </row>
    <row r="284" spans="1:17" x14ac:dyDescent="0.25">
      <c r="A284" s="298" t="s">
        <v>204</v>
      </c>
      <c r="B284" s="119">
        <f t="shared" ref="B284:H284" si="289">IF($I275=9,ROUND(B275*B282,0),IF($I275=12,ROUND((B275*B282*$N$41)+(C275*B282*$N$42),0),0))</f>
        <v>0</v>
      </c>
      <c r="C284" s="119">
        <f t="shared" si="289"/>
        <v>0</v>
      </c>
      <c r="D284" s="119">
        <f t="shared" si="289"/>
        <v>0</v>
      </c>
      <c r="E284" s="119">
        <f t="shared" si="289"/>
        <v>0</v>
      </c>
      <c r="F284" s="119">
        <f t="shared" si="289"/>
        <v>0</v>
      </c>
      <c r="G284" s="119">
        <f t="shared" si="289"/>
        <v>0</v>
      </c>
      <c r="H284" s="119">
        <f t="shared" si="289"/>
        <v>0</v>
      </c>
      <c r="I284" s="100"/>
      <c r="J284" s="100"/>
      <c r="K284" s="100"/>
    </row>
    <row r="285" spans="1:17" x14ac:dyDescent="0.25">
      <c r="A285" s="298" t="str">
        <f>IF($B$3="NIH", "Over the Salary Limit", " ")</f>
        <v xml:space="preserve"> </v>
      </c>
      <c r="B285" s="486">
        <f>IF($B$3="NIH",IF(AND($I275=9,B275&lt;$M$13),0,IF(AND($I275=9,B275&gt;=$M$13),ROUND((B275*B277)-($M$13*B277),0),IF(AND($I275=12,B275&lt;$M$14),0,IF(AND($I275=12,B275&gt;=$M$14),ROUND(((B275*B277*$N$41)+(C275*B277*$N$42))-($M$14*B277),0))))),0)</f>
        <v>0</v>
      </c>
      <c r="C285" s="486">
        <f t="shared" ref="C285:H285" si="290">IF($B$3="NIH",IF(AND($I275=9,C275&lt;$M$13),0,IF(AND($I275=9,C275&gt;=$M$13),ROUND((C275*C277)-($M$13*C277),0),IF(AND($I275=12,C275&lt;$M$14),0,IF(AND($I275=12,C275&gt;=$M$14),ROUND(((C275*C277*$N$41)+(D275*C277*$N$42))-($M$14*C277),0))))),0)</f>
        <v>0</v>
      </c>
      <c r="D285" s="486">
        <f t="shared" si="290"/>
        <v>0</v>
      </c>
      <c r="E285" s="486">
        <f t="shared" si="290"/>
        <v>0</v>
      </c>
      <c r="F285" s="486">
        <f t="shared" si="290"/>
        <v>0</v>
      </c>
      <c r="G285" s="486">
        <f t="shared" si="290"/>
        <v>0</v>
      </c>
      <c r="H285" s="486">
        <f t="shared" si="290"/>
        <v>0</v>
      </c>
      <c r="I285" s="100"/>
      <c r="J285" s="100"/>
      <c r="K285" s="100"/>
    </row>
    <row r="286" spans="1:17" x14ac:dyDescent="0.25">
      <c r="A286" s="297"/>
      <c r="B286" s="49"/>
      <c r="C286" s="49"/>
      <c r="D286" s="49"/>
      <c r="E286" s="49"/>
      <c r="F286" s="49"/>
      <c r="G286" s="49"/>
      <c r="H286" s="49"/>
      <c r="I286" s="100"/>
      <c r="J286" s="100"/>
      <c r="K286" s="100"/>
      <c r="L286" s="50"/>
      <c r="M286" s="47"/>
      <c r="N286" s="47"/>
      <c r="O286" s="47"/>
      <c r="P286" s="47"/>
      <c r="Q286" s="47"/>
    </row>
    <row r="287" spans="1:17" x14ac:dyDescent="0.25">
      <c r="A287" s="295" t="str">
        <f>CONCATENATE("Calculation based on ",I289," month salary")</f>
        <v>Calculation based on 9 month salary</v>
      </c>
      <c r="B287" s="113" t="str">
        <f t="shared" ref="B287:H287" si="291">IF(AND(B288=$Z$5,$I289=9),$Z$3,IF(AND(B288=$AA$5,$I289=9),$AA$3,IF(AND(B288=$AB$5,$I289=9),$AB$3,IF(AND(B288=$AC$5,$I289=9),$AC$3,IF(AND(B288=$AD$5,$I289=9),$AD$3,IF(AND(B288=$Z$4,$I289=12),$Z$3,IF(AND(B288=$AA$4,$I289=12),$AA$3,IF(AND(B288=$AB$4,$I289=12),$AB$3,IF(AND(B288=$AC$4,$I289=12),$AC$3,IF(AND(B288=$AD$4,$I289=12),$AD$3," "))))))))))</f>
        <v xml:space="preserve"> </v>
      </c>
      <c r="C287" s="113" t="str">
        <f t="shared" si="291"/>
        <v>Year 1</v>
      </c>
      <c r="D287" s="113" t="str">
        <f t="shared" si="291"/>
        <v>Year 2</v>
      </c>
      <c r="E287" s="113" t="str">
        <f t="shared" si="291"/>
        <v>Year 3</v>
      </c>
      <c r="F287" s="113" t="str">
        <f t="shared" si="291"/>
        <v>Year 4</v>
      </c>
      <c r="G287" s="113" t="str">
        <f t="shared" si="291"/>
        <v>Year 5</v>
      </c>
      <c r="H287" s="113" t="str">
        <f t="shared" si="291"/>
        <v xml:space="preserve"> </v>
      </c>
      <c r="I287" s="100"/>
      <c r="J287" s="100"/>
      <c r="K287" s="100"/>
      <c r="L287" s="50"/>
      <c r="M287" s="47"/>
      <c r="N287" s="47"/>
      <c r="O287" s="47"/>
      <c r="P287" s="47"/>
      <c r="Q287" s="47"/>
    </row>
    <row r="288" spans="1:17" x14ac:dyDescent="0.25">
      <c r="A288" s="296" t="str">
        <f>+B241</f>
        <v>Co-PI</v>
      </c>
      <c r="B288" s="84" t="str">
        <f>+M$2</f>
        <v>FY2023</v>
      </c>
      <c r="C288" s="84" t="str">
        <f t="shared" ref="C288" si="292">+N$2</f>
        <v>FY2024</v>
      </c>
      <c r="D288" s="84" t="str">
        <f t="shared" ref="D288" si="293">+O$2</f>
        <v>FY2025</v>
      </c>
      <c r="E288" s="84" t="str">
        <f t="shared" ref="E288" si="294">+P$2</f>
        <v>FY2026</v>
      </c>
      <c r="F288" s="84" t="str">
        <f t="shared" ref="F288" si="295">+Q$2</f>
        <v>FY2027</v>
      </c>
      <c r="G288" s="84" t="str">
        <f t="shared" ref="G288" si="296">+R$2</f>
        <v>FY2028</v>
      </c>
      <c r="H288" s="84" t="str">
        <f t="shared" ref="H288" si="297">+S$2</f>
        <v>FY2029</v>
      </c>
      <c r="I288" s="56" t="s">
        <v>20</v>
      </c>
      <c r="J288" s="100" t="s">
        <v>77</v>
      </c>
      <c r="K288" s="100"/>
      <c r="L288" s="50"/>
      <c r="M288" s="47"/>
      <c r="N288" s="47"/>
      <c r="O288" s="47"/>
      <c r="P288" s="47"/>
      <c r="Q288" s="47"/>
    </row>
    <row r="289" spans="1:20" x14ac:dyDescent="0.25">
      <c r="A289" s="297" t="str">
        <f>CONCATENATE("Base Salary: ",I289," month term")</f>
        <v>Base Salary: 9 month term</v>
      </c>
      <c r="B289" s="93">
        <v>0</v>
      </c>
      <c r="C289" s="118">
        <f>ROUND(+B289*(1+J289),0)</f>
        <v>0</v>
      </c>
      <c r="D289" s="118">
        <f>ROUND(+C289*(1+J289),0)</f>
        <v>0</v>
      </c>
      <c r="E289" s="118">
        <f>ROUND(+D289*(1+J289),0)</f>
        <v>0</v>
      </c>
      <c r="F289" s="118">
        <f>ROUND(+E289*(1+J289),0)</f>
        <v>0</v>
      </c>
      <c r="G289" s="118">
        <f>ROUND(+F289*(1+J289),0)</f>
        <v>0</v>
      </c>
      <c r="H289" s="118">
        <f>ROUND(+G289*(1+J289),0)</f>
        <v>0</v>
      </c>
      <c r="I289" s="74">
        <v>9</v>
      </c>
      <c r="J289" s="81">
        <v>0.03</v>
      </c>
      <c r="K289" s="100"/>
      <c r="L289" s="50"/>
      <c r="M289" s="47"/>
      <c r="N289" s="47"/>
      <c r="O289" s="47"/>
      <c r="P289" s="47"/>
      <c r="Q289" s="47"/>
    </row>
    <row r="290" spans="1:20" x14ac:dyDescent="0.25">
      <c r="A290" s="297" t="s">
        <v>49</v>
      </c>
      <c r="B290" s="86">
        <v>0</v>
      </c>
      <c r="C290" s="86">
        <v>0</v>
      </c>
      <c r="D290" s="86">
        <v>0</v>
      </c>
      <c r="E290" s="86">
        <v>0</v>
      </c>
      <c r="F290" s="86">
        <v>0</v>
      </c>
      <c r="G290" s="86">
        <v>0</v>
      </c>
      <c r="H290" s="86">
        <v>0</v>
      </c>
      <c r="I290" s="49"/>
      <c r="J290" s="49"/>
      <c r="K290" s="100"/>
      <c r="L290" s="50"/>
      <c r="M290" s="47"/>
      <c r="N290" s="47"/>
      <c r="O290" s="47"/>
      <c r="P290" s="47"/>
      <c r="Q290" s="47"/>
    </row>
    <row r="291" spans="1:20" x14ac:dyDescent="0.25">
      <c r="A291" s="297" t="str">
        <f>CONCATENATE("FTE for ",I289," Months")</f>
        <v>FTE for 9 Months</v>
      </c>
      <c r="B291" s="85">
        <f t="shared" ref="B291:H291" si="298">+B290/$I289</f>
        <v>0</v>
      </c>
      <c r="C291" s="85">
        <f t="shared" si="298"/>
        <v>0</v>
      </c>
      <c r="D291" s="85">
        <f t="shared" si="298"/>
        <v>0</v>
      </c>
      <c r="E291" s="85">
        <f t="shared" si="298"/>
        <v>0</v>
      </c>
      <c r="F291" s="85">
        <f t="shared" si="298"/>
        <v>0</v>
      </c>
      <c r="G291" s="85">
        <f t="shared" si="298"/>
        <v>0</v>
      </c>
      <c r="H291" s="85">
        <f t="shared" si="298"/>
        <v>0</v>
      </c>
      <c r="I291" s="100"/>
      <c r="J291" s="100"/>
      <c r="K291" s="100"/>
      <c r="L291" s="50"/>
      <c r="M291" s="47"/>
      <c r="N291" s="47"/>
      <c r="O291" s="47"/>
      <c r="P291" s="47"/>
      <c r="Q291" s="47"/>
    </row>
    <row r="292" spans="1:20" x14ac:dyDescent="0.25">
      <c r="A292" s="298" t="s">
        <v>60</v>
      </c>
      <c r="B292" s="124">
        <f>+B290/12</f>
        <v>0</v>
      </c>
      <c r="C292" s="125">
        <f>+C290/12</f>
        <v>0</v>
      </c>
      <c r="D292" s="124">
        <f t="shared" ref="D292:H292" si="299">+D290/12</f>
        <v>0</v>
      </c>
      <c r="E292" s="124">
        <f t="shared" si="299"/>
        <v>0</v>
      </c>
      <c r="F292" s="124">
        <f t="shared" si="299"/>
        <v>0</v>
      </c>
      <c r="G292" s="124">
        <f t="shared" si="299"/>
        <v>0</v>
      </c>
      <c r="H292" s="124">
        <f t="shared" si="299"/>
        <v>0</v>
      </c>
      <c r="I292" s="100"/>
      <c r="J292" s="100"/>
      <c r="K292" s="100"/>
      <c r="L292" s="50"/>
      <c r="M292" s="47"/>
      <c r="N292" s="47"/>
      <c r="O292" s="47"/>
      <c r="P292" s="47"/>
      <c r="Q292" s="47"/>
    </row>
    <row r="293" spans="1:20" x14ac:dyDescent="0.25">
      <c r="A293" s="297" t="s">
        <v>21</v>
      </c>
      <c r="B293" s="485">
        <f t="shared" ref="B293:H293" si="300">IF($B$3="NIH",IF(IF($I289=9,ROUND(B289*B291,0),IF($I289=12,ROUND((B289*B291*$N$41)+(C289*B291*$N$42),0),0))&lt;IF($I289=9,ROUND($M$13*B291,0),IF($I289=12,ROUND(($M$14*B291*$N$41)+($M$14*B291*$N$42),0),0)),IF($I289=9,ROUND(B289*B291,0),IF($I289=12,ROUND((B289*B291*$N$41)+(C289*B291*$N$42),0),0)),IF($I289=9,ROUND($M$13*B291,0),IF($I289=12,ROUND(($M$14*B291*$N$41)+($M$14*B291*$N$42),0),0))),IF($I289=9,ROUND(B289*B291,0),IF($I289=12,ROUND((B289*B291*$N$41)+(C289*B291*$N$42),0),0)))</f>
        <v>0</v>
      </c>
      <c r="C293" s="485">
        <f t="shared" si="300"/>
        <v>0</v>
      </c>
      <c r="D293" s="485">
        <f t="shared" si="300"/>
        <v>0</v>
      </c>
      <c r="E293" s="485">
        <f t="shared" si="300"/>
        <v>0</v>
      </c>
      <c r="F293" s="485">
        <f t="shared" si="300"/>
        <v>0</v>
      </c>
      <c r="G293" s="485">
        <f t="shared" si="300"/>
        <v>0</v>
      </c>
      <c r="H293" s="485">
        <f t="shared" si="300"/>
        <v>0</v>
      </c>
      <c r="I293" s="100"/>
      <c r="J293" s="100"/>
      <c r="K293" s="100"/>
    </row>
    <row r="294" spans="1:20" x14ac:dyDescent="0.25">
      <c r="A294" s="721" t="str">
        <f>IF($B$3="NIH",IF(I289=9,CONCATENATE("NIH ",I289," Month Salary Cap = ",TEXT($M$13,"$0,000")),IF(I289=12,CONCATENATE("NIH ",I289," Month Salary Cap = ",TEXT($M$14,"$0,000")),"N/A"))," ")</f>
        <v xml:space="preserve"> </v>
      </c>
      <c r="K294" s="100"/>
    </row>
    <row r="295" spans="1:20" x14ac:dyDescent="0.25">
      <c r="A295" s="298" t="s">
        <v>189</v>
      </c>
      <c r="B295" s="86">
        <v>0</v>
      </c>
      <c r="C295" s="86">
        <v>0</v>
      </c>
      <c r="D295" s="86">
        <v>0</v>
      </c>
      <c r="E295" s="86">
        <v>0</v>
      </c>
      <c r="F295" s="86">
        <v>0</v>
      </c>
      <c r="G295" s="86">
        <v>0</v>
      </c>
      <c r="H295" s="86">
        <v>0</v>
      </c>
      <c r="K295" s="81"/>
    </row>
    <row r="296" spans="1:20" x14ac:dyDescent="0.25">
      <c r="A296" s="298" t="str">
        <f>CONCATENATE("FTE for ",I289," Months")</f>
        <v>FTE for 9 Months</v>
      </c>
      <c r="B296" s="85">
        <f t="shared" ref="B296" si="301">+B295/$I289</f>
        <v>0</v>
      </c>
      <c r="C296" s="85">
        <f t="shared" ref="C296" si="302">+C295/$I289</f>
        <v>0</v>
      </c>
      <c r="D296" s="85">
        <f t="shared" ref="D296" si="303">+D295/$I289</f>
        <v>0</v>
      </c>
      <c r="E296" s="85">
        <f t="shared" ref="E296" si="304">+E295/$I289</f>
        <v>0</v>
      </c>
      <c r="F296" s="85">
        <f t="shared" ref="F296" si="305">+F295/$I289</f>
        <v>0</v>
      </c>
      <c r="G296" s="85">
        <f t="shared" ref="G296" si="306">+G295/$I289</f>
        <v>0</v>
      </c>
      <c r="H296" s="85">
        <f t="shared" ref="H296" si="307">+H295/$I289</f>
        <v>0</v>
      </c>
      <c r="K296" s="316"/>
      <c r="L296" s="66" t="str">
        <f>+L$25</f>
        <v>Graduate Student (Stipend, Tuition, Health Ins) - Contract College Rates:</v>
      </c>
    </row>
    <row r="297" spans="1:20" x14ac:dyDescent="0.25">
      <c r="A297" s="298" t="s">
        <v>60</v>
      </c>
      <c r="B297" s="124">
        <f t="shared" ref="B297:H297" si="308">+B295/12</f>
        <v>0</v>
      </c>
      <c r="C297" s="125">
        <f t="shared" si="308"/>
        <v>0</v>
      </c>
      <c r="D297" s="124">
        <f t="shared" si="308"/>
        <v>0</v>
      </c>
      <c r="E297" s="124">
        <f t="shared" si="308"/>
        <v>0</v>
      </c>
      <c r="F297" s="124">
        <f t="shared" si="308"/>
        <v>0</v>
      </c>
      <c r="G297" s="124">
        <f t="shared" si="308"/>
        <v>0</v>
      </c>
      <c r="H297" s="124">
        <f t="shared" si="308"/>
        <v>0</v>
      </c>
      <c r="K297" s="316"/>
      <c r="L297" s="49"/>
      <c r="M297" s="122" t="str">
        <f>+$M$29</f>
        <v>FY2023</v>
      </c>
      <c r="N297" s="122" t="str">
        <f>+$N$29</f>
        <v>FY2024</v>
      </c>
      <c r="O297" s="122" t="str">
        <f>+$O$29</f>
        <v>FY2025</v>
      </c>
      <c r="P297" s="122" t="str">
        <f>+$P$29</f>
        <v>FY2026</v>
      </c>
      <c r="Q297" s="122" t="str">
        <f>+$Q$29</f>
        <v>FY2027</v>
      </c>
      <c r="R297" s="122" t="str">
        <f>+$R$29</f>
        <v>FY2028</v>
      </c>
      <c r="S297" s="122" t="str">
        <f>+$S$29</f>
        <v>FY2029</v>
      </c>
      <c r="T297" s="123" t="s">
        <v>119</v>
      </c>
    </row>
    <row r="298" spans="1:20" x14ac:dyDescent="0.25">
      <c r="A298" s="298" t="s">
        <v>204</v>
      </c>
      <c r="B298" s="119">
        <f t="shared" ref="B298:H298" si="309">IF($I289=9,ROUND(B289*B296,0),IF($I289=12,ROUND((B289*B296*$N$41)+(C289*B296*$N$42),0),0))</f>
        <v>0</v>
      </c>
      <c r="C298" s="119">
        <f t="shared" si="309"/>
        <v>0</v>
      </c>
      <c r="D298" s="119">
        <f t="shared" si="309"/>
        <v>0</v>
      </c>
      <c r="E298" s="119">
        <f t="shared" si="309"/>
        <v>0</v>
      </c>
      <c r="F298" s="119">
        <f t="shared" si="309"/>
        <v>0</v>
      </c>
      <c r="G298" s="119">
        <f t="shared" si="309"/>
        <v>0</v>
      </c>
      <c r="H298" s="119">
        <f t="shared" si="309"/>
        <v>0</v>
      </c>
      <c r="K298" s="316"/>
      <c r="L298" s="54" t="s">
        <v>35</v>
      </c>
      <c r="M298" s="110">
        <f>+$M$30</f>
        <v>30088</v>
      </c>
      <c r="N298" s="110">
        <f>ROUND(M298*(1+$T298),0)+1</f>
        <v>31593</v>
      </c>
      <c r="O298" s="110">
        <f t="shared" ref="O298:S298" si="310">ROUND(N298*(1+$T298),0)</f>
        <v>33173</v>
      </c>
      <c r="P298" s="110">
        <f t="shared" si="310"/>
        <v>34832</v>
      </c>
      <c r="Q298" s="110">
        <f t="shared" si="310"/>
        <v>36574</v>
      </c>
      <c r="R298" s="110">
        <f t="shared" si="310"/>
        <v>38403</v>
      </c>
      <c r="S298" s="110">
        <f t="shared" si="310"/>
        <v>40323</v>
      </c>
      <c r="T298" s="55">
        <v>0.05</v>
      </c>
    </row>
    <row r="299" spans="1:20" x14ac:dyDescent="0.25">
      <c r="A299" s="298" t="str">
        <f>IF($B$3="NIH", "Over the Salary Limit", " ")</f>
        <v xml:space="preserve"> </v>
      </c>
      <c r="B299" s="486">
        <f>IF($B$3="NIH",IF(AND($I289=9,B289&lt;$M$13),0,IF(AND($I289=9,B289&gt;=$M$13),ROUND((B289*B291)-($M$13*B291),0),IF(AND($I289=12,B289&lt;$M$14),0,IF(AND($I289=12,B289&gt;=$M$14),ROUND(((B289*B291*$N$41)+(C289*B291*$N$42))-($M$14*B291),0))))),0)</f>
        <v>0</v>
      </c>
      <c r="C299" s="486">
        <f t="shared" ref="C299:H299" si="311">IF($B$3="NIH",IF(AND($I289=9,C289&lt;$M$13),0,IF(AND($I289=9,C289&gt;=$M$13),ROUND((C289*C291)-($M$13*C291),0),IF(AND($I289=12,C289&lt;$M$14),0,IF(AND($I289=12,C289&gt;=$M$14),ROUND(((C289*C291*$N$41)+(D289*C291*$N$42))-($M$14*C291),0))))),0)</f>
        <v>0</v>
      </c>
      <c r="D299" s="486">
        <f t="shared" si="311"/>
        <v>0</v>
      </c>
      <c r="E299" s="486">
        <f t="shared" si="311"/>
        <v>0</v>
      </c>
      <c r="F299" s="486">
        <f t="shared" si="311"/>
        <v>0</v>
      </c>
      <c r="G299" s="486">
        <f t="shared" si="311"/>
        <v>0</v>
      </c>
      <c r="H299" s="486">
        <f t="shared" si="311"/>
        <v>0</v>
      </c>
      <c r="K299" s="316"/>
      <c r="L299" s="54" t="s">
        <v>23</v>
      </c>
      <c r="M299" s="110">
        <f>+$M$31</f>
        <v>10029</v>
      </c>
      <c r="N299" s="110">
        <f t="shared" ref="N299:S299" si="312">ROUND(M299*(1+$T299),0)</f>
        <v>10530</v>
      </c>
      <c r="O299" s="110">
        <f t="shared" si="312"/>
        <v>11057</v>
      </c>
      <c r="P299" s="110">
        <f t="shared" si="312"/>
        <v>11610</v>
      </c>
      <c r="Q299" s="110">
        <f t="shared" si="312"/>
        <v>12191</v>
      </c>
      <c r="R299" s="110">
        <f t="shared" si="312"/>
        <v>12801</v>
      </c>
      <c r="S299" s="110">
        <f t="shared" si="312"/>
        <v>13441</v>
      </c>
      <c r="T299" s="97">
        <v>0.05</v>
      </c>
    </row>
    <row r="300" spans="1:20" x14ac:dyDescent="0.25">
      <c r="A300" s="297"/>
      <c r="B300" s="89"/>
      <c r="C300" s="89"/>
      <c r="D300" s="89"/>
      <c r="E300" s="89"/>
      <c r="F300" s="89"/>
      <c r="G300" s="89"/>
      <c r="H300" s="89"/>
      <c r="I300" s="100"/>
      <c r="J300" s="100"/>
      <c r="K300" s="316"/>
      <c r="L300" s="54" t="s">
        <v>30</v>
      </c>
      <c r="M300" s="110">
        <f>+$M$32</f>
        <v>40117</v>
      </c>
      <c r="N300" s="110">
        <f>+N298+N299</f>
        <v>42123</v>
      </c>
      <c r="O300" s="110">
        <f t="shared" ref="O300" si="313">+O298+O299</f>
        <v>44230</v>
      </c>
      <c r="P300" s="110">
        <f t="shared" ref="P300" si="314">+P298+P299</f>
        <v>46442</v>
      </c>
      <c r="Q300" s="110">
        <f t="shared" ref="Q300" si="315">+Q298+Q299</f>
        <v>48765</v>
      </c>
      <c r="R300" s="110">
        <f t="shared" ref="R300" si="316">+R298+R299</f>
        <v>51204</v>
      </c>
      <c r="S300" s="110">
        <f t="shared" ref="S300" si="317">+S298+S299</f>
        <v>53764</v>
      </c>
      <c r="T300" s="55"/>
    </row>
    <row r="301" spans="1:20" x14ac:dyDescent="0.25">
      <c r="A301" s="297"/>
      <c r="B301" s="113" t="str">
        <f t="shared" ref="B301:H301" si="318">IF(B302=$Z$4,$Z$3,IF(B302=$AA$4,$AA$3,IF(B302=$AB$4,$AB$3,IF(B302=$AC$4,$AC$3,IF(B302=$AD$4,$AD$3," ")))))</f>
        <v>Year 1</v>
      </c>
      <c r="C301" s="113" t="str">
        <f t="shared" si="318"/>
        <v>Year 2</v>
      </c>
      <c r="D301" s="113" t="str">
        <f t="shared" si="318"/>
        <v>Year 3</v>
      </c>
      <c r="E301" s="113" t="str">
        <f t="shared" si="318"/>
        <v>Year 4</v>
      </c>
      <c r="F301" s="113" t="str">
        <f t="shared" si="318"/>
        <v>Year 5</v>
      </c>
      <c r="G301" s="113" t="str">
        <f t="shared" si="318"/>
        <v xml:space="preserve"> </v>
      </c>
      <c r="H301" s="113" t="str">
        <f t="shared" si="318"/>
        <v xml:space="preserve"> </v>
      </c>
      <c r="I301" s="100"/>
      <c r="J301" s="100"/>
      <c r="K301" s="316"/>
      <c r="L301" s="54" t="s">
        <v>8</v>
      </c>
      <c r="M301" s="110">
        <f>IF(B242="Contract College",$M$33,$M$34)</f>
        <v>10400</v>
      </c>
      <c r="N301" s="110">
        <f>ROUND(M301*(1+$T301),0)</f>
        <v>10400</v>
      </c>
      <c r="O301" s="110">
        <f t="shared" ref="O301" si="319">ROUND(N301*(1+$T301),0)</f>
        <v>10400</v>
      </c>
      <c r="P301" s="110">
        <f t="shared" ref="P301" si="320">ROUND(O301*(1+$T301),0)</f>
        <v>10400</v>
      </c>
      <c r="Q301" s="110">
        <f t="shared" ref="Q301" si="321">ROUND(P301*(1+$T301),0)</f>
        <v>10400</v>
      </c>
      <c r="R301" s="110">
        <f t="shared" ref="R301" si="322">ROUND(Q301*(1+$T301),0)</f>
        <v>10400</v>
      </c>
      <c r="S301" s="110">
        <f t="shared" ref="S301" si="323">ROUND(R301*(1+$T301),0)</f>
        <v>10400</v>
      </c>
      <c r="T301" s="55">
        <v>0</v>
      </c>
    </row>
    <row r="302" spans="1:20" x14ac:dyDescent="0.25">
      <c r="A302" s="296" t="s">
        <v>120</v>
      </c>
      <c r="B302" s="84" t="str">
        <f>+M$2</f>
        <v>FY2023</v>
      </c>
      <c r="C302" s="84" t="str">
        <f t="shared" ref="C302" si="324">+N$2</f>
        <v>FY2024</v>
      </c>
      <c r="D302" s="84" t="str">
        <f t="shared" ref="D302" si="325">+O$2</f>
        <v>FY2025</v>
      </c>
      <c r="E302" s="84" t="str">
        <f t="shared" ref="E302" si="326">+P$2</f>
        <v>FY2026</v>
      </c>
      <c r="F302" s="84" t="str">
        <f t="shared" ref="F302" si="327">+Q$2</f>
        <v>FY2027</v>
      </c>
      <c r="G302" s="84" t="str">
        <f t="shared" ref="G302" si="328">+R$2</f>
        <v>FY2028</v>
      </c>
      <c r="H302" s="84" t="str">
        <f t="shared" ref="H302" si="329">+S$2</f>
        <v>FY2029</v>
      </c>
      <c r="I302" s="56" t="s">
        <v>20</v>
      </c>
      <c r="J302" s="100" t="s">
        <v>77</v>
      </c>
      <c r="K302" s="316"/>
      <c r="L302" s="54" t="s">
        <v>24</v>
      </c>
      <c r="M302" s="110">
        <f>+$M$35</f>
        <v>4046</v>
      </c>
      <c r="N302" s="110">
        <f>IF(ROUND(M302*(1+$T302),0)=$N$35,ROUND(M302*(1+$T302),0),$N$35)</f>
        <v>4451</v>
      </c>
      <c r="O302" s="110">
        <f t="shared" ref="O302:S302" si="330">ROUND(N302*(1+$T302),0)</f>
        <v>4896</v>
      </c>
      <c r="P302" s="110">
        <f t="shared" si="330"/>
        <v>5386</v>
      </c>
      <c r="Q302" s="110">
        <f t="shared" si="330"/>
        <v>5925</v>
      </c>
      <c r="R302" s="110">
        <f t="shared" si="330"/>
        <v>6518</v>
      </c>
      <c r="S302" s="110">
        <f t="shared" si="330"/>
        <v>7170</v>
      </c>
      <c r="T302" s="55">
        <v>0.1</v>
      </c>
    </row>
    <row r="303" spans="1:20" x14ac:dyDescent="0.25">
      <c r="A303" s="297" t="str">
        <f>CONCATENATE("Base Salary: ",I303," month term")</f>
        <v>Base Salary: 12 month term</v>
      </c>
      <c r="B303" s="93">
        <f>+$M$15</f>
        <v>54840</v>
      </c>
      <c r="C303" s="118">
        <f>ROUND(+B303*(1+J303),0)</f>
        <v>56759</v>
      </c>
      <c r="D303" s="118">
        <f>ROUND(+C303*(1+J303),0)</f>
        <v>58746</v>
      </c>
      <c r="E303" s="118">
        <f>ROUND(+D303*(1+J303),0)</f>
        <v>60802</v>
      </c>
      <c r="F303" s="118">
        <f>ROUND(+E303*(1+J303),0)</f>
        <v>62930</v>
      </c>
      <c r="G303" s="118">
        <f>ROUND(+F303*(1+J303),0)</f>
        <v>65133</v>
      </c>
      <c r="H303" s="118">
        <f>ROUND(+G303*(1+J303),0)</f>
        <v>67413</v>
      </c>
      <c r="I303" s="126">
        <v>12</v>
      </c>
      <c r="J303" s="97">
        <v>3.5000000000000003E-2</v>
      </c>
      <c r="K303" s="316"/>
      <c r="S303" s="47"/>
    </row>
    <row r="304" spans="1:20" x14ac:dyDescent="0.25">
      <c r="A304" s="297" t="s">
        <v>49</v>
      </c>
      <c r="B304" s="86">
        <v>0</v>
      </c>
      <c r="C304" s="86">
        <v>0</v>
      </c>
      <c r="D304" s="86">
        <v>0</v>
      </c>
      <c r="E304" s="86">
        <v>0</v>
      </c>
      <c r="F304" s="86">
        <v>0</v>
      </c>
      <c r="G304" s="86">
        <v>0</v>
      </c>
      <c r="H304" s="86">
        <v>0</v>
      </c>
      <c r="I304" s="49"/>
      <c r="J304" s="49"/>
      <c r="K304" s="316"/>
      <c r="S304" s="47"/>
    </row>
    <row r="305" spans="1:19" x14ac:dyDescent="0.25">
      <c r="A305" s="297" t="str">
        <f>CONCATENATE("FTE for ",I303," Months")</f>
        <v>FTE for 12 Months</v>
      </c>
      <c r="B305" s="85">
        <f t="shared" ref="B305:H305" si="331">+B304/$I303</f>
        <v>0</v>
      </c>
      <c r="C305" s="85">
        <f t="shared" si="331"/>
        <v>0</v>
      </c>
      <c r="D305" s="85">
        <f t="shared" si="331"/>
        <v>0</v>
      </c>
      <c r="E305" s="85">
        <f t="shared" si="331"/>
        <v>0</v>
      </c>
      <c r="F305" s="85">
        <f t="shared" si="331"/>
        <v>0</v>
      </c>
      <c r="G305" s="85">
        <f t="shared" si="331"/>
        <v>0</v>
      </c>
      <c r="H305" s="85">
        <f t="shared" si="331"/>
        <v>0</v>
      </c>
      <c r="I305" s="100"/>
      <c r="J305" s="100"/>
      <c r="K305" s="316"/>
      <c r="M305" s="82" t="str">
        <f t="shared" ref="M305:Q308" si="332">+M93</f>
        <v>Spring 2023</v>
      </c>
      <c r="N305" s="82" t="str">
        <f t="shared" si="332"/>
        <v>Spring 2024</v>
      </c>
      <c r="O305" s="82" t="str">
        <f t="shared" si="332"/>
        <v>Spring 2025</v>
      </c>
      <c r="P305" s="82" t="str">
        <f t="shared" si="332"/>
        <v>Spring 2026</v>
      </c>
      <c r="Q305" s="82" t="str">
        <f t="shared" si="332"/>
        <v>Spring 2027</v>
      </c>
      <c r="S305" s="47"/>
    </row>
    <row r="306" spans="1:19" x14ac:dyDescent="0.25">
      <c r="A306" s="297" t="s">
        <v>21</v>
      </c>
      <c r="B306" s="119">
        <f t="shared" ref="B306:H306" si="333">ROUND((B303*B305*$N$41)+(C303*B305*$N$42),0)</f>
        <v>0</v>
      </c>
      <c r="C306" s="119">
        <f t="shared" si="333"/>
        <v>0</v>
      </c>
      <c r="D306" s="119">
        <f t="shared" si="333"/>
        <v>0</v>
      </c>
      <c r="E306" s="119">
        <f t="shared" si="333"/>
        <v>0</v>
      </c>
      <c r="F306" s="119">
        <f t="shared" si="333"/>
        <v>0</v>
      </c>
      <c r="G306" s="119">
        <f t="shared" si="333"/>
        <v>0</v>
      </c>
      <c r="H306" s="119">
        <f t="shared" si="333"/>
        <v>0</v>
      </c>
      <c r="I306" s="100"/>
      <c r="J306" s="100"/>
      <c r="K306" s="315"/>
      <c r="M306" s="82" t="str">
        <f t="shared" si="332"/>
        <v>Summer 2023</v>
      </c>
      <c r="N306" s="82" t="str">
        <f t="shared" si="332"/>
        <v>Summer 2024</v>
      </c>
      <c r="O306" s="82" t="str">
        <f t="shared" si="332"/>
        <v>Summer 2025</v>
      </c>
      <c r="P306" s="82" t="str">
        <f t="shared" si="332"/>
        <v>Summer 2026</v>
      </c>
      <c r="Q306" s="82" t="str">
        <f t="shared" si="332"/>
        <v>Summer 2027</v>
      </c>
      <c r="S306" s="47"/>
    </row>
    <row r="307" spans="1:19" x14ac:dyDescent="0.25">
      <c r="A307" s="297"/>
      <c r="B307" s="49"/>
      <c r="C307" s="49"/>
      <c r="D307" s="49"/>
      <c r="E307" s="49"/>
      <c r="F307" s="49"/>
      <c r="G307" s="49"/>
      <c r="H307" s="49"/>
      <c r="I307" s="50"/>
      <c r="J307" s="50"/>
      <c r="K307" s="316"/>
      <c r="M307" s="82" t="str">
        <f t="shared" si="332"/>
        <v>Fall 2023</v>
      </c>
      <c r="N307" s="82" t="str">
        <f t="shared" si="332"/>
        <v>Fall 2024</v>
      </c>
      <c r="O307" s="82" t="str">
        <f t="shared" si="332"/>
        <v>Fall 2025</v>
      </c>
      <c r="P307" s="82" t="str">
        <f t="shared" si="332"/>
        <v>Fall 2026</v>
      </c>
      <c r="Q307" s="82" t="str">
        <f t="shared" si="332"/>
        <v>Fall 2027</v>
      </c>
      <c r="S307" s="47"/>
    </row>
    <row r="308" spans="1:19" x14ac:dyDescent="0.25">
      <c r="A308" s="297"/>
      <c r="B308" s="113" t="str">
        <f t="shared" ref="B308:H308" si="334">IF(B309=$Z$4,$Z$3,IF(B309=$AA$4,$AA$3,IF(B309=$AB$4,$AB$3,IF(B309=$AC$4,$AC$3,IF(B309=$AD$4,$AD$3," ")))))</f>
        <v>Year 1</v>
      </c>
      <c r="C308" s="113" t="str">
        <f t="shared" si="334"/>
        <v>Year 2</v>
      </c>
      <c r="D308" s="113" t="str">
        <f t="shared" si="334"/>
        <v>Year 3</v>
      </c>
      <c r="E308" s="113" t="str">
        <f t="shared" si="334"/>
        <v>Year 4</v>
      </c>
      <c r="F308" s="113" t="str">
        <f t="shared" si="334"/>
        <v>Year 5</v>
      </c>
      <c r="G308" s="113" t="str">
        <f t="shared" si="334"/>
        <v xml:space="preserve"> </v>
      </c>
      <c r="H308" s="113" t="str">
        <f t="shared" si="334"/>
        <v xml:space="preserve"> </v>
      </c>
      <c r="I308" s="50"/>
      <c r="J308" s="50"/>
      <c r="K308" s="316"/>
      <c r="M308" s="58" t="str">
        <f t="shared" si="332"/>
        <v>FY2023&amp;24</v>
      </c>
      <c r="N308" s="58" t="str">
        <f t="shared" si="332"/>
        <v>FY2024&amp;25</v>
      </c>
      <c r="O308" s="58" t="str">
        <f t="shared" si="332"/>
        <v>FY2025&amp;26</v>
      </c>
      <c r="P308" s="58" t="str">
        <f t="shared" si="332"/>
        <v>FY2026&amp;27</v>
      </c>
      <c r="Q308" s="58" t="str">
        <f t="shared" si="332"/>
        <v>FY2027&amp;28</v>
      </c>
      <c r="S308" s="47"/>
    </row>
    <row r="309" spans="1:19" ht="15.75" thickBot="1" x14ac:dyDescent="0.3">
      <c r="A309" s="296" t="s">
        <v>90</v>
      </c>
      <c r="B309" s="84" t="str">
        <f>+M$2</f>
        <v>FY2023</v>
      </c>
      <c r="C309" s="84" t="str">
        <f t="shared" ref="C309" si="335">+N$2</f>
        <v>FY2024</v>
      </c>
      <c r="D309" s="84" t="str">
        <f t="shared" ref="D309" si="336">+O$2</f>
        <v>FY2025</v>
      </c>
      <c r="E309" s="84" t="str">
        <f t="shared" ref="E309" si="337">+P$2</f>
        <v>FY2026</v>
      </c>
      <c r="F309" s="84" t="str">
        <f t="shared" ref="F309" si="338">+Q$2</f>
        <v>FY2027</v>
      </c>
      <c r="G309" s="84" t="str">
        <f t="shared" ref="G309" si="339">+R$2</f>
        <v>FY2028</v>
      </c>
      <c r="H309" s="84" t="str">
        <f t="shared" ref="H309" si="340">+S$2</f>
        <v>FY2029</v>
      </c>
      <c r="I309" s="56" t="s">
        <v>20</v>
      </c>
      <c r="J309" s="100" t="s">
        <v>77</v>
      </c>
      <c r="K309" s="315"/>
      <c r="L309" s="59" t="s">
        <v>86</v>
      </c>
      <c r="M309" s="75" t="s">
        <v>1</v>
      </c>
      <c r="N309" s="76" t="s">
        <v>2</v>
      </c>
      <c r="O309" s="76" t="s">
        <v>3</v>
      </c>
      <c r="P309" s="76" t="s">
        <v>44</v>
      </c>
      <c r="Q309" s="76" t="s">
        <v>50</v>
      </c>
      <c r="S309" s="47"/>
    </row>
    <row r="310" spans="1:19" x14ac:dyDescent="0.25">
      <c r="A310" s="297" t="str">
        <f>CONCATENATE("Base Salary: ",I310," month term")</f>
        <v>Base Salary: 12 month term</v>
      </c>
      <c r="B310" s="93">
        <f>+$M$16</f>
        <v>51480</v>
      </c>
      <c r="C310" s="118">
        <f>ROUND(+B310*(1+J310),0)</f>
        <v>53024</v>
      </c>
      <c r="D310" s="118">
        <f>ROUND(+C310*(1+J310),0)</f>
        <v>54615</v>
      </c>
      <c r="E310" s="118">
        <f>ROUND(+D310*(1+J310),0)</f>
        <v>56253</v>
      </c>
      <c r="F310" s="118">
        <f>ROUND(+E310*(1+J310),0)</f>
        <v>57941</v>
      </c>
      <c r="G310" s="118">
        <f>ROUND(+F310*(1+J310),0)</f>
        <v>59679</v>
      </c>
      <c r="H310" s="118">
        <f>ROUND(+G310*(1+J310),0)</f>
        <v>61469</v>
      </c>
      <c r="I310" s="126">
        <v>12</v>
      </c>
      <c r="J310" s="81">
        <v>0.03</v>
      </c>
      <c r="K310" s="317"/>
      <c r="L310" s="92" t="str">
        <f>CONCATENATE("Number of Students ",IF(AND($Y$2&gt;=7,$Y$2&lt;=9),CONCATENATE("(Fall)"),IF(AND($Y$2&gt;=7,$Y$2&lt;=10),CONCATENATE("(Spring)"),IF(OR($Y$2&gt;=10,$Y$2&lt;=2),CONCATENATE("(Spring)"),IF(AND($Y$2&gt;=7,$Y$2&lt;=10),CONCATENATE("(Summer)"),IF(OR($Y$2&gt;=10,$Y$2&lt;=2),CONCATENATE("(Summer)"),IF(AND($Y$2&gt;=3,$Y$2&lt;=6),CONCATENATE("(Summer)"),"N/A")))))))</f>
        <v>Number of Students (Spring)</v>
      </c>
      <c r="M310" s="91">
        <f t="shared" ref="M310:M312" si="341">+B316</f>
        <v>0</v>
      </c>
      <c r="N310" s="91">
        <f t="shared" ref="N310:N312" si="342">+C316</f>
        <v>0</v>
      </c>
      <c r="O310" s="91">
        <f t="shared" ref="O310:O312" si="343">+D316</f>
        <v>0</v>
      </c>
      <c r="P310" s="91">
        <f t="shared" ref="P310:P312" si="344">+E316</f>
        <v>0</v>
      </c>
      <c r="Q310" s="91">
        <f t="shared" ref="Q310:Q312" si="345">+F316</f>
        <v>0</v>
      </c>
      <c r="S310" s="47"/>
    </row>
    <row r="311" spans="1:19" x14ac:dyDescent="0.25">
      <c r="A311" s="297" t="s">
        <v>49</v>
      </c>
      <c r="B311" s="86">
        <v>0</v>
      </c>
      <c r="C311" s="86">
        <v>0</v>
      </c>
      <c r="D311" s="86">
        <v>0</v>
      </c>
      <c r="E311" s="86">
        <v>0</v>
      </c>
      <c r="F311" s="86">
        <v>0</v>
      </c>
      <c r="G311" s="86">
        <v>0</v>
      </c>
      <c r="H311" s="86">
        <v>0</v>
      </c>
      <c r="I311" s="49"/>
      <c r="J311" s="49"/>
      <c r="K311" s="297"/>
      <c r="L311" s="128" t="str">
        <f>CONCATENATE("Number of Students ",IF(AND($Y$2&gt;=7,$Y$2&lt;=9),CONCATENATE("(Spring)"),IF(AND($Y$2&gt;=7,$Y$2&lt;=10),CONCATENATE("(Summer)"),IF(OR($Y$2&gt;=10,$Y$2&lt;=2),CONCATENATE("(Summer)"),IF(AND($Y$2&gt;=7,$Y$2&lt;=10),CONCATENATE("(Fall)"),IF(OR($Y$2&gt;=10,$Y$2&lt;=2),CONCATENATE("(Fall) "),IF(AND($Y$2&gt;=3,$Y$2&lt;=6),CONCATENATE("(Fall)"),"N/A")))))))</f>
        <v>Number of Students (Summer)</v>
      </c>
      <c r="M311" s="91">
        <f t="shared" si="341"/>
        <v>0</v>
      </c>
      <c r="N311" s="91">
        <f t="shared" si="342"/>
        <v>0</v>
      </c>
      <c r="O311" s="91">
        <f t="shared" si="343"/>
        <v>0</v>
      </c>
      <c r="P311" s="91">
        <f t="shared" si="344"/>
        <v>0</v>
      </c>
      <c r="Q311" s="91">
        <f t="shared" si="345"/>
        <v>0</v>
      </c>
      <c r="S311" s="47"/>
    </row>
    <row r="312" spans="1:19" x14ac:dyDescent="0.25">
      <c r="A312" s="297" t="str">
        <f>CONCATENATE("FTE for ",I310," Months")</f>
        <v>FTE for 12 Months</v>
      </c>
      <c r="B312" s="85">
        <f t="shared" ref="B312:H312" si="346">+B311/$I310</f>
        <v>0</v>
      </c>
      <c r="C312" s="85">
        <f t="shared" si="346"/>
        <v>0</v>
      </c>
      <c r="D312" s="85">
        <f t="shared" si="346"/>
        <v>0</v>
      </c>
      <c r="E312" s="85">
        <f t="shared" si="346"/>
        <v>0</v>
      </c>
      <c r="F312" s="85">
        <f t="shared" si="346"/>
        <v>0</v>
      </c>
      <c r="G312" s="85">
        <f t="shared" si="346"/>
        <v>0</v>
      </c>
      <c r="H312" s="85">
        <f t="shared" si="346"/>
        <v>0</v>
      </c>
      <c r="I312" s="100"/>
      <c r="J312" s="100"/>
      <c r="K312" s="315"/>
      <c r="L312" s="128" t="str">
        <f>CONCATENATE("Number of Students ",IF(AND($Y$2&gt;=7,$Y$2&lt;=9),CONCATENATE("(Summer)"),IF(AND($Y$2&gt;=7,$Y$2&lt;=10),CONCATENATE("(Fall)"),IF(OR($Y$2&gt;=10,$Y$2&lt;=2),CONCATENATE("(Fall)"),IF(AND($Y$2&gt;=7,$Y$2&lt;=10),CONCATENATE("(Spring)"),IF(OR($Y$2&gt;=10,$Y$2&lt;=2),CONCATENATE("(Spring)"),IF(AND($Y$2&gt;=3,$Y$2&lt;=6),CONCATENATE("(Spring)"),"N/A")))))))</f>
        <v>Number of Students (Fall)</v>
      </c>
      <c r="M312" s="91">
        <f t="shared" si="341"/>
        <v>0</v>
      </c>
      <c r="N312" s="91">
        <f t="shared" si="342"/>
        <v>0</v>
      </c>
      <c r="O312" s="91">
        <f t="shared" si="343"/>
        <v>0</v>
      </c>
      <c r="P312" s="91">
        <f t="shared" si="344"/>
        <v>0</v>
      </c>
      <c r="Q312" s="91">
        <f t="shared" si="345"/>
        <v>0</v>
      </c>
      <c r="S312" s="47"/>
    </row>
    <row r="313" spans="1:19" x14ac:dyDescent="0.25">
      <c r="A313" s="297" t="s">
        <v>21</v>
      </c>
      <c r="B313" s="119">
        <f t="shared" ref="B313:H313" si="347">ROUND((B310*B312*$N$41)+(C310*B312*$N$42),0)</f>
        <v>0</v>
      </c>
      <c r="C313" s="119">
        <f t="shared" si="347"/>
        <v>0</v>
      </c>
      <c r="D313" s="119">
        <f t="shared" si="347"/>
        <v>0</v>
      </c>
      <c r="E313" s="119">
        <f t="shared" si="347"/>
        <v>0</v>
      </c>
      <c r="F313" s="119">
        <f t="shared" si="347"/>
        <v>0</v>
      </c>
      <c r="G313" s="119">
        <f t="shared" si="347"/>
        <v>0</v>
      </c>
      <c r="H313" s="119">
        <f t="shared" si="347"/>
        <v>0</v>
      </c>
      <c r="I313" s="100"/>
      <c r="J313" s="100"/>
      <c r="K313" s="315"/>
      <c r="L313" s="49"/>
      <c r="M313" s="57"/>
      <c r="N313" s="57"/>
      <c r="O313" s="57"/>
      <c r="P313" s="57"/>
      <c r="Q313" s="57"/>
      <c r="S313" s="47"/>
    </row>
    <row r="314" spans="1:19" x14ac:dyDescent="0.25">
      <c r="A314" s="297"/>
      <c r="B314" s="47"/>
      <c r="C314" s="47"/>
      <c r="D314" s="47"/>
      <c r="E314" s="47"/>
      <c r="F314" s="47"/>
      <c r="G314" s="47"/>
      <c r="H314" s="47"/>
      <c r="I314" s="100"/>
      <c r="J314" s="100"/>
      <c r="K314" s="315"/>
      <c r="L314" s="49"/>
      <c r="M314" s="57"/>
      <c r="N314" s="57"/>
      <c r="O314" s="57"/>
      <c r="P314" s="57"/>
      <c r="Q314" s="57"/>
      <c r="S314" s="47"/>
    </row>
    <row r="315" spans="1:19" ht="15.75" thickBot="1" x14ac:dyDescent="0.3">
      <c r="A315" s="296" t="s">
        <v>85</v>
      </c>
      <c r="B315" s="48" t="s">
        <v>1</v>
      </c>
      <c r="C315" s="48" t="s">
        <v>2</v>
      </c>
      <c r="D315" s="48" t="s">
        <v>3</v>
      </c>
      <c r="E315" s="48" t="s">
        <v>44</v>
      </c>
      <c r="F315" s="48" t="s">
        <v>50</v>
      </c>
      <c r="G315" s="47"/>
      <c r="H315" s="47"/>
      <c r="I315" s="100"/>
      <c r="J315" s="100"/>
      <c r="K315" s="315"/>
      <c r="L315" s="59" t="s">
        <v>123</v>
      </c>
      <c r="M315" s="75" t="s">
        <v>1</v>
      </c>
      <c r="N315" s="76" t="s">
        <v>2</v>
      </c>
      <c r="O315" s="76" t="s">
        <v>3</v>
      </c>
      <c r="P315" s="76" t="s">
        <v>44</v>
      </c>
      <c r="Q315" s="76" t="s">
        <v>50</v>
      </c>
      <c r="S315" s="47"/>
    </row>
    <row r="316" spans="1:19" x14ac:dyDescent="0.25">
      <c r="A316" s="297" t="str">
        <f>+L310</f>
        <v>Number of Students (Spring)</v>
      </c>
      <c r="B316" s="127">
        <v>0</v>
      </c>
      <c r="C316" s="127">
        <v>0</v>
      </c>
      <c r="D316" s="127">
        <v>0</v>
      </c>
      <c r="E316" s="127">
        <v>0</v>
      </c>
      <c r="F316" s="127">
        <v>0</v>
      </c>
      <c r="G316" s="47"/>
      <c r="H316" s="47"/>
      <c r="I316" s="100"/>
      <c r="J316" s="100"/>
      <c r="K316" s="315"/>
      <c r="L316" s="60" t="s">
        <v>22</v>
      </c>
      <c r="M316" s="61">
        <f>SUM(M326:M328)</f>
        <v>0</v>
      </c>
      <c r="N316" s="61">
        <f>SUM(N326:N328)</f>
        <v>0</v>
      </c>
      <c r="O316" s="61">
        <f>SUM(O326:O328)</f>
        <v>0</v>
      </c>
      <c r="P316" s="61">
        <f>SUM(P326:P328)</f>
        <v>0</v>
      </c>
      <c r="Q316" s="61">
        <f>SUM(Q326:Q328)</f>
        <v>0</v>
      </c>
      <c r="S316" s="47"/>
    </row>
    <row r="317" spans="1:19" x14ac:dyDescent="0.25">
      <c r="A317" s="297" t="str">
        <f>+L311</f>
        <v>Number of Students (Summer)</v>
      </c>
      <c r="B317" s="94">
        <f>+B316</f>
        <v>0</v>
      </c>
      <c r="C317" s="94">
        <f>+C316</f>
        <v>0</v>
      </c>
      <c r="D317" s="94">
        <f>+D316</f>
        <v>0</v>
      </c>
      <c r="E317" s="94">
        <f>+E316</f>
        <v>0</v>
      </c>
      <c r="F317" s="94">
        <f>+F316</f>
        <v>0</v>
      </c>
      <c r="G317" s="47"/>
      <c r="H317" s="47"/>
      <c r="I317" s="100"/>
      <c r="J317" s="100"/>
      <c r="K317" s="315"/>
      <c r="L317" s="60" t="s">
        <v>8</v>
      </c>
      <c r="M317" s="61">
        <f>SUM(M329:M331)</f>
        <v>0</v>
      </c>
      <c r="N317" s="61">
        <f>SUM(N329:N331)</f>
        <v>0</v>
      </c>
      <c r="O317" s="61">
        <f>SUM(O329:O331)</f>
        <v>0</v>
      </c>
      <c r="P317" s="61">
        <f>SUM(P329:P331)</f>
        <v>0</v>
      </c>
      <c r="Q317" s="61">
        <f>SUM(Q329:Q331)</f>
        <v>0</v>
      </c>
      <c r="S317" s="47"/>
    </row>
    <row r="318" spans="1:19" x14ac:dyDescent="0.25">
      <c r="A318" s="297" t="str">
        <f>+L312</f>
        <v>Number of Students (Fall)</v>
      </c>
      <c r="B318" s="94">
        <f>+B316</f>
        <v>0</v>
      </c>
      <c r="C318" s="94">
        <f>+C316</f>
        <v>0</v>
      </c>
      <c r="D318" s="94">
        <f>+D316</f>
        <v>0</v>
      </c>
      <c r="E318" s="94">
        <f>+E316</f>
        <v>0</v>
      </c>
      <c r="F318" s="94">
        <f>+F316</f>
        <v>0</v>
      </c>
      <c r="G318" s="47"/>
      <c r="H318" s="47"/>
      <c r="I318" s="100"/>
      <c r="J318" s="100"/>
      <c r="K318" s="315"/>
      <c r="L318" s="60" t="s">
        <v>9</v>
      </c>
      <c r="M318" s="61">
        <f>SUM(M332:M334)</f>
        <v>0</v>
      </c>
      <c r="N318" s="61">
        <f>SUM(N332:N334)</f>
        <v>0</v>
      </c>
      <c r="O318" s="61">
        <f>SUM(O332:O334)</f>
        <v>0</v>
      </c>
      <c r="P318" s="61">
        <f>SUM(P332:P334)</f>
        <v>0</v>
      </c>
      <c r="Q318" s="61">
        <f>SUM(Q332:Q334)</f>
        <v>0</v>
      </c>
      <c r="S318" s="47"/>
    </row>
    <row r="319" spans="1:19" ht="15.75" thickBot="1" x14ac:dyDescent="0.3">
      <c r="A319" s="297"/>
      <c r="B319" s="94"/>
      <c r="C319" s="94"/>
      <c r="D319" s="94"/>
      <c r="E319" s="94"/>
      <c r="F319" s="94"/>
      <c r="G319" s="47"/>
      <c r="H319" s="47"/>
      <c r="I319" s="100"/>
      <c r="J319" s="100"/>
      <c r="K319" s="315"/>
      <c r="L319" s="62" t="s">
        <v>31</v>
      </c>
      <c r="M319" s="63">
        <f>SUM(M316:M318)</f>
        <v>0</v>
      </c>
      <c r="N319" s="63">
        <f>SUM(N316:N318)</f>
        <v>0</v>
      </c>
      <c r="O319" s="63">
        <f>SUM(O316:O318)</f>
        <v>0</v>
      </c>
      <c r="P319" s="63">
        <f>SUM(P316:P318)</f>
        <v>0</v>
      </c>
      <c r="Q319" s="63">
        <f>SUM(Q316:Q318)</f>
        <v>0</v>
      </c>
      <c r="S319" s="47"/>
    </row>
    <row r="320" spans="1:19" x14ac:dyDescent="0.25">
      <c r="A320" s="296" t="s">
        <v>89</v>
      </c>
      <c r="B320" s="48" t="s">
        <v>1</v>
      </c>
      <c r="C320" s="48" t="s">
        <v>2</v>
      </c>
      <c r="D320" s="48" t="s">
        <v>3</v>
      </c>
      <c r="E320" s="48" t="s">
        <v>44</v>
      </c>
      <c r="F320" s="48" t="s">
        <v>50</v>
      </c>
      <c r="J320" s="100" t="s">
        <v>77</v>
      </c>
      <c r="K320" s="299"/>
      <c r="M320" s="129"/>
      <c r="S320" s="47"/>
    </row>
    <row r="321" spans="1:19" x14ac:dyDescent="0.25">
      <c r="A321" s="297" t="s">
        <v>84</v>
      </c>
      <c r="B321" s="86">
        <f>+$M$18</f>
        <v>13.2</v>
      </c>
      <c r="C321" s="86">
        <f>ROUND(+B321*(1+J321),2)</f>
        <v>13.2</v>
      </c>
      <c r="D321" s="86">
        <f>ROUND(+C321*(1+J321),2)</f>
        <v>13.2</v>
      </c>
      <c r="E321" s="86">
        <f>ROUND(+D321*(1+J321),2)</f>
        <v>13.2</v>
      </c>
      <c r="F321" s="86">
        <f>ROUND(+E321*(1+J321),2)</f>
        <v>13.2</v>
      </c>
      <c r="J321" s="81">
        <v>0</v>
      </c>
      <c r="K321" s="299"/>
      <c r="S321" s="47"/>
    </row>
    <row r="322" spans="1:19" x14ac:dyDescent="0.25">
      <c r="A322" s="297" t="s">
        <v>64</v>
      </c>
      <c r="B322" s="83">
        <v>0</v>
      </c>
      <c r="C322" s="83">
        <v>0</v>
      </c>
      <c r="D322" s="83">
        <v>0</v>
      </c>
      <c r="E322" s="83">
        <v>0</v>
      </c>
      <c r="F322" s="83">
        <v>0</v>
      </c>
      <c r="K322" s="299"/>
      <c r="L322" s="130"/>
      <c r="M322" s="82" t="str">
        <f>CONCATENATE("FY",$Y$3)</f>
        <v>FY2023</v>
      </c>
      <c r="N322" s="82" t="str">
        <f>CONCATENATE("FY",$Y$3+1)</f>
        <v>FY2024</v>
      </c>
      <c r="O322" s="82" t="str">
        <f>CONCATENATE("FY",$Y$3+2)</f>
        <v>FY2025</v>
      </c>
      <c r="P322" s="82" t="str">
        <f>CONCATENATE("FY",$Y$3+3)</f>
        <v>FY2026</v>
      </c>
      <c r="Q322" s="82" t="str">
        <f>CONCATENATE("FY",$Y$3+4)</f>
        <v>FY2027</v>
      </c>
      <c r="S322" s="47"/>
    </row>
    <row r="323" spans="1:19" x14ac:dyDescent="0.25">
      <c r="A323" s="297" t="s">
        <v>65</v>
      </c>
      <c r="B323" s="83">
        <v>0</v>
      </c>
      <c r="C323" s="83">
        <v>0</v>
      </c>
      <c r="D323" s="83">
        <v>0</v>
      </c>
      <c r="E323" s="83">
        <v>0</v>
      </c>
      <c r="F323" s="83">
        <v>0</v>
      </c>
      <c r="K323" s="299"/>
      <c r="L323" s="131"/>
      <c r="M323" s="82" t="str">
        <f>IF(OR($Y$2&gt;=7,$Y$2&lt;=2),CONCATENATE("FY",$Y$3),IF(AND($Y$2&gt;=3,$Y$2&lt;=6),CONCATENATE("FY",$Y$3+1),"N/A"))</f>
        <v>FY2023</v>
      </c>
      <c r="N323" s="82" t="str">
        <f>IF(OR($Y$2&gt;=7,$Y$2&lt;=2),CONCATENATE("FY",$Y$3+1),IF(AND($Y$2&gt;=3,$Y$2&lt;=6),CONCATENATE("FY",$Y$3+2),"N/A"))</f>
        <v>FY2024</v>
      </c>
      <c r="O323" s="82" t="str">
        <f>IF(OR($Y$2&gt;=7,$Y$2&lt;=2),CONCATENATE("FY",$Y$3+2),IF(AND($Y$2&gt;=3,$Y$2&lt;=6),CONCATENATE("FY",$Y$3+3),"N/A"))</f>
        <v>FY2025</v>
      </c>
      <c r="P323" s="82" t="str">
        <f>IF(OR($Y$2&gt;=7,$Y$2&lt;=2),CONCATENATE("FY",$Y$3+3),IF(AND($Y$2&gt;=3,$Y$2&lt;=6),CONCATENATE("FY",$Y$3+4),"N/A"))</f>
        <v>FY2026</v>
      </c>
      <c r="Q323" s="82" t="str">
        <f>IF(OR($Y$2&gt;=7,$Y$2&lt;=2),CONCATENATE("FY",$Y$3+4),IF(AND($Y$2&gt;=3,$Y$2&lt;=6),CONCATENATE("FY",$Y$3+5),"N/A"))</f>
        <v>FY2027</v>
      </c>
      <c r="S323" s="47"/>
    </row>
    <row r="324" spans="1:19" x14ac:dyDescent="0.25">
      <c r="A324" s="297" t="s">
        <v>79</v>
      </c>
      <c r="B324" s="714">
        <f>+B321*(B322*B323)</f>
        <v>0</v>
      </c>
      <c r="C324" s="714">
        <f t="shared" ref="C324" si="348">+C321*(C322*C323)</f>
        <v>0</v>
      </c>
      <c r="D324" s="714">
        <f t="shared" ref="D324" si="349">+D321*(D322*D323)</f>
        <v>0</v>
      </c>
      <c r="E324" s="714">
        <f t="shared" ref="E324" si="350">+E321*(E322*E323)</f>
        <v>0</v>
      </c>
      <c r="F324" s="714">
        <f t="shared" ref="F324" si="351">+F321*(F322*F323)</f>
        <v>0</v>
      </c>
      <c r="K324" s="299"/>
      <c r="L324" s="82"/>
      <c r="M324" s="82" t="str">
        <f>IF(AND($Y$2&gt;=1,$Y$2&lt;=6),CONCATENATE("FY",$Y$3+1),IF(AND($Y$2&gt;=7,$Y$2&lt;=9),CONCATENATE("FY",$Y$3),IF(AND($Y$2&gt;=10,$Y$2&lt;=126),CONCATENATE("FY",$Y$3+1),"N/A")))</f>
        <v>FY2024</v>
      </c>
      <c r="N324" s="82" t="str">
        <f>IF(AND($Y$2&gt;=1,$Y$2&lt;=6),CONCATENATE("FY",$Y$3+2),IF(AND($Y$2&gt;=7,$Y$2&lt;=9),CONCATENATE("FY",$Y$3+1),IF(AND($Y$2&gt;=10,$Y$2&lt;=126),CONCATENATE("FY",$Y$3+2),"N/A")))</f>
        <v>FY2025</v>
      </c>
      <c r="O324" s="82" t="str">
        <f>IF(AND($Y$2&gt;=1,$Y$2&lt;=6),CONCATENATE("FY",$Y$3+3),IF(AND($Y$2&gt;=7,$Y$2&lt;=9),CONCATENATE("FY",$Y$3+2),IF(AND($Y$2&gt;=10,$Y$2&lt;=126),CONCATENATE("FY",$Y$3+3),"N/A")))</f>
        <v>FY2026</v>
      </c>
      <c r="P324" s="82" t="str">
        <f>IF(AND($Y$2&gt;=1,$Y$2&lt;=6),CONCATENATE("FY",$Y$3+4),IF(AND($Y$2&gt;=7,$Y$2&lt;=9),CONCATENATE("FY",$Y$3+3),IF(AND($Y$2&gt;=10,$Y$2&lt;=126),CONCATENATE("FY",$Y$3+4),"N/A")))</f>
        <v>FY2027</v>
      </c>
      <c r="Q324" s="82" t="str">
        <f>IF(AND($Y$2&gt;=1,$Y$2&lt;=6),CONCATENATE("FY",$Y$3+5),IF(AND($Y$2&gt;=7,$Y$2&lt;=9),CONCATENATE("FY",$Y$3+4),IF(AND($Y$2&gt;=10,$Y$2&lt;=126),CONCATENATE("FY",$Y$3+5),"N/A")))</f>
        <v>FY2028</v>
      </c>
      <c r="S324" s="47"/>
    </row>
    <row r="325" spans="1:19" ht="15.75" thickBot="1" x14ac:dyDescent="0.3">
      <c r="A325" s="297" t="s">
        <v>62</v>
      </c>
      <c r="B325" s="83">
        <v>0</v>
      </c>
      <c r="C325" s="83">
        <v>0</v>
      </c>
      <c r="D325" s="83">
        <v>0</v>
      </c>
      <c r="E325" s="83">
        <v>0</v>
      </c>
      <c r="F325" s="83">
        <v>0</v>
      </c>
      <c r="K325" s="299"/>
      <c r="L325" s="59" t="s">
        <v>124</v>
      </c>
      <c r="M325" s="75" t="s">
        <v>1</v>
      </c>
      <c r="N325" s="76" t="s">
        <v>2</v>
      </c>
      <c r="O325" s="76" t="s">
        <v>3</v>
      </c>
      <c r="P325" s="76" t="s">
        <v>44</v>
      </c>
      <c r="Q325" s="76" t="s">
        <v>50</v>
      </c>
    </row>
    <row r="326" spans="1:19" x14ac:dyDescent="0.25">
      <c r="A326" s="297" t="s">
        <v>63</v>
      </c>
      <c r="B326" s="83">
        <v>0</v>
      </c>
      <c r="C326" s="83">
        <v>0</v>
      </c>
      <c r="D326" s="83">
        <v>0</v>
      </c>
      <c r="E326" s="83">
        <v>0</v>
      </c>
      <c r="F326" s="83">
        <v>0</v>
      </c>
      <c r="K326" s="299"/>
      <c r="L326" s="132" t="str">
        <f t="shared" ref="L326:L334" si="352">+L114</f>
        <v>Stipend (Spring)</v>
      </c>
      <c r="M326" s="133">
        <f>IF(RIGHT($L326,8)="(Summer)",ROUND(M310*HLOOKUP(M322,M297:S302,3,FALSE),0))+IF(RIGHT($L326,8)&lt;&gt;"(Summer)",ROUND(M310*HLOOKUP(M322,M297:S302,2,FALSE)/2,0))</f>
        <v>0</v>
      </c>
      <c r="N326" s="133">
        <f t="shared" ref="N326" si="353">IF(RIGHT($L326,8)="(Summer)",ROUND(N310*HLOOKUP(N322,N297:T302,3,FALSE),0))+IF(RIGHT($L326,8)&lt;&gt;"(Summer)",ROUND(N310*HLOOKUP(N322,N297:T302,2,FALSE)/2,0))</f>
        <v>0</v>
      </c>
      <c r="O326" s="133">
        <f t="shared" ref="O326" si="354">IF(RIGHT($L326,8)="(Summer)",ROUND(O310*HLOOKUP(O322,O297:U302,3,FALSE),0))+IF(RIGHT($L326,8)&lt;&gt;"(Summer)",ROUND(O310*HLOOKUP(O322,O297:U302,2,FALSE)/2,0))</f>
        <v>0</v>
      </c>
      <c r="P326" s="133">
        <f t="shared" ref="P326" si="355">IF(RIGHT($L326,8)="(Summer)",ROUND(P310*HLOOKUP(P322,P297:V302,3,FALSE),0))+IF(RIGHT($L326,8)&lt;&gt;"(Summer)",ROUND(P310*HLOOKUP(P322,P297:V302,2,FALSE)/2,0))</f>
        <v>0</v>
      </c>
      <c r="Q326" s="133">
        <f t="shared" ref="Q326" si="356">IF(RIGHT($L326,8)="(Summer)",ROUND(Q310*HLOOKUP(Q322,Q297:W302,3,FALSE),0))+IF(RIGHT($L326,8)&lt;&gt;"(Summer)",ROUND(Q310*HLOOKUP(Q322,Q297:W302,2,FALSE)/2,0))</f>
        <v>0</v>
      </c>
    </row>
    <row r="327" spans="1:19" x14ac:dyDescent="0.25">
      <c r="A327" s="297" t="s">
        <v>80</v>
      </c>
      <c r="B327" s="714">
        <f>+B321*(B325*B326)</f>
        <v>0</v>
      </c>
      <c r="C327" s="714">
        <f t="shared" ref="C327" si="357">+C321*(C325*C326)</f>
        <v>0</v>
      </c>
      <c r="D327" s="714">
        <f t="shared" ref="D327" si="358">+D321*(D325*D326)</f>
        <v>0</v>
      </c>
      <c r="E327" s="714">
        <f t="shared" ref="E327" si="359">+E321*(E325*E326)</f>
        <v>0</v>
      </c>
      <c r="F327" s="714">
        <f t="shared" ref="F327" si="360">+F321*(F325*F326)</f>
        <v>0</v>
      </c>
      <c r="K327" s="299"/>
      <c r="L327" s="134" t="str">
        <f t="shared" si="352"/>
        <v>Stipend (Summer)</v>
      </c>
      <c r="M327" s="133">
        <f>IF(RIGHT($L327,8)="(Summer)",ROUND(M311*HLOOKUP(M323,M297:S302,3,FALSE),0))+IF(RIGHT($L327,8)&lt;&gt;"(Summer)",ROUND(M311*HLOOKUP(M323,M297:S302,2,FALSE)/2,0))</f>
        <v>0</v>
      </c>
      <c r="N327" s="133">
        <f t="shared" ref="N327" si="361">IF(RIGHT($L327,8)="(Summer)",ROUND(N311*HLOOKUP(N323,N297:T302,3,FALSE),0))+IF(RIGHT($L327,8)&lt;&gt;"(Summer)",ROUND(N311*HLOOKUP(N323,N297:T302,2,FALSE)/2,0))</f>
        <v>0</v>
      </c>
      <c r="O327" s="133">
        <f t="shared" ref="O327" si="362">IF(RIGHT($L327,8)="(Summer)",ROUND(O311*HLOOKUP(O323,O297:U302,3,FALSE),0))+IF(RIGHT($L327,8)&lt;&gt;"(Summer)",ROUND(O311*HLOOKUP(O323,O297:U302,2,FALSE)/2,0))</f>
        <v>0</v>
      </c>
      <c r="P327" s="133">
        <f t="shared" ref="P327" si="363">IF(RIGHT($L327,8)="(Summer)",ROUND(P311*HLOOKUP(P323,P297:V302,3,FALSE),0))+IF(RIGHT($L327,8)&lt;&gt;"(Summer)",ROUND(P311*HLOOKUP(P323,P297:V302,2,FALSE)/2,0))</f>
        <v>0</v>
      </c>
      <c r="Q327" s="133">
        <f t="shared" ref="Q327" si="364">IF(RIGHT($L327,8)="(Summer)",ROUND(Q311*HLOOKUP(Q323,Q297:W302,3,FALSE),0))+IF(RIGHT($L327,8)&lt;&gt;"(Summer)",ROUND(Q311*HLOOKUP(Q323,Q297:W302,2,FALSE)/2,0))</f>
        <v>0</v>
      </c>
    </row>
    <row r="328" spans="1:19" x14ac:dyDescent="0.25">
      <c r="A328" s="297" t="s">
        <v>21</v>
      </c>
      <c r="B328" s="716">
        <f>ROUND(+B324+B327,0)</f>
        <v>0</v>
      </c>
      <c r="C328" s="716">
        <f t="shared" ref="C328" si="365">ROUND(+C324+C327,0)</f>
        <v>0</v>
      </c>
      <c r="D328" s="716">
        <f t="shared" ref="D328" si="366">ROUND(+D324+D327,0)</f>
        <v>0</v>
      </c>
      <c r="E328" s="716">
        <f t="shared" ref="E328" si="367">ROUND(+E324+E327,0)</f>
        <v>0</v>
      </c>
      <c r="F328" s="716">
        <f t="shared" ref="F328" si="368">ROUND(+F324+F327,0)</f>
        <v>0</v>
      </c>
      <c r="K328" s="299"/>
      <c r="L328" s="134" t="str">
        <f t="shared" si="352"/>
        <v>Stipend (Fall)</v>
      </c>
      <c r="M328" s="133">
        <f>IF(RIGHT($L328,8)="(Summer)",ROUND(M312*HLOOKUP(M324,M297:S302,3,FALSE),0))+IF(RIGHT($L328,8)&lt;&gt;"(Summer)",ROUND(M312*HLOOKUP(M324,M297:S302,2,FALSE)/2,0))</f>
        <v>0</v>
      </c>
      <c r="N328" s="133">
        <f t="shared" ref="N328" si="369">IF(RIGHT($L328,8)="(Summer)",ROUND(N312*HLOOKUP(N324,N297:T302,3,FALSE),0))+IF(RIGHT($L328,8)&lt;&gt;"(Summer)",ROUND(N312*HLOOKUP(N324,N297:T302,2,FALSE)/2,0))</f>
        <v>0</v>
      </c>
      <c r="O328" s="133">
        <f t="shared" ref="O328" si="370">IF(RIGHT($L328,8)="(Summer)",ROUND(O312*HLOOKUP(O324,O297:U302,3,FALSE),0))+IF(RIGHT($L328,8)&lt;&gt;"(Summer)",ROUND(O312*HLOOKUP(O324,O297:U302,2,FALSE)/2,0))</f>
        <v>0</v>
      </c>
      <c r="P328" s="133">
        <f t="shared" ref="P328" si="371">IF(RIGHT($L328,8)="(Summer)",ROUND(P312*HLOOKUP(P324,P297:V302,3,FALSE),0))+IF(RIGHT($L328,8)&lt;&gt;"(Summer)",ROUND(P312*HLOOKUP(P324,P297:V302,2,FALSE)/2,0))</f>
        <v>0</v>
      </c>
      <c r="Q328" s="133">
        <f t="shared" ref="Q328" si="372">IF(RIGHT($L328,8)="(Summer)",ROUND(Q312*HLOOKUP(Q324,Q297:W302,3,FALSE),0))+IF(RIGHT($L328,8)&lt;&gt;"(Summer)",ROUND(Q312*HLOOKUP(Q324,Q297:W302,2,FALSE)/2,0))</f>
        <v>0</v>
      </c>
    </row>
    <row r="329" spans="1:19" x14ac:dyDescent="0.25">
      <c r="A329" s="299"/>
      <c r="H329" s="47"/>
      <c r="K329" s="299"/>
      <c r="L329" s="134" t="str">
        <f t="shared" si="352"/>
        <v>Tuition (Spring)</v>
      </c>
      <c r="M329" s="133">
        <f>IF(RIGHT($L329,8)="(Summer)",0,ROUND(M310*HLOOKUP(M322,M297:S302,5,FALSE)/2,0))</f>
        <v>0</v>
      </c>
      <c r="N329" s="133">
        <f t="shared" ref="N329" si="373">IF(RIGHT($L329,8)="(Summer)",0,ROUND(N310*HLOOKUP(N322,N297:T302,5,FALSE)/2,0))</f>
        <v>0</v>
      </c>
      <c r="O329" s="133">
        <f t="shared" ref="O329" si="374">IF(RIGHT($L329,8)="(Summer)",0,ROUND(O310*HLOOKUP(O322,O297:U302,5,FALSE)/2,0))</f>
        <v>0</v>
      </c>
      <c r="P329" s="133">
        <f t="shared" ref="P329" si="375">IF(RIGHT($L329,8)="(Summer)",0,ROUND(P310*HLOOKUP(P322,P297:V302,5,FALSE)/2,0))</f>
        <v>0</v>
      </c>
      <c r="Q329" s="133">
        <f t="shared" ref="Q329" si="376">IF(RIGHT($L329,8)="(Summer)",0,ROUND(Q310*HLOOKUP(Q322,Q297:W302,5,FALSE)/2,0))</f>
        <v>0</v>
      </c>
    </row>
    <row r="330" spans="1:19" x14ac:dyDescent="0.25">
      <c r="A330" s="300"/>
      <c r="B330" s="113" t="str">
        <f t="shared" ref="B330:H330" si="377">IF(AND(B331=$Z$5,$I332=9),$Z$3,IF(AND(B331=$AA$5,$I332=9),$AA$3,IF(AND(B331=$AB$5,$I332=9),$AB$3,IF(AND(B331=$AC$5,$I332=9),$AC$3,IF(AND(B331=$AD$5,$I332=9),$AD$3,IF(AND(B331=$Z$4,$I332=12),$Z$3,IF(AND(B331=$AA$4,$I332=12),$AA$3,IF(AND(B331=$AB$4,$I332=12),$AB$3,IF(AND(B331=$AC$4,$I332=12),$AC$3,IF(AND(B331=$AD$4,$I332=12),$AD$3," "))))))))))</f>
        <v>Year 1</v>
      </c>
      <c r="C330" s="113" t="str">
        <f t="shared" si="377"/>
        <v>Year 2</v>
      </c>
      <c r="D330" s="113" t="str">
        <f t="shared" si="377"/>
        <v>Year 3</v>
      </c>
      <c r="E330" s="113" t="str">
        <f t="shared" si="377"/>
        <v>Year 4</v>
      </c>
      <c r="F330" s="113" t="str">
        <f t="shared" si="377"/>
        <v>Year 5</v>
      </c>
      <c r="G330" s="113" t="str">
        <f t="shared" si="377"/>
        <v xml:space="preserve"> </v>
      </c>
      <c r="H330" s="113" t="str">
        <f t="shared" si="377"/>
        <v xml:space="preserve"> </v>
      </c>
      <c r="K330" s="299"/>
      <c r="L330" s="134" t="str">
        <f t="shared" si="352"/>
        <v>Tuition (Summer)</v>
      </c>
      <c r="M330" s="133">
        <f>IF(RIGHT($L330,8)="(Summer)",0,ROUND(M311*HLOOKUP(M323,M297:S302,5,FALSE)/2,0))</f>
        <v>0</v>
      </c>
      <c r="N330" s="133">
        <f t="shared" ref="N330" si="378">IF(RIGHT($L330,8)="(Summer)",0,ROUND(N311*HLOOKUP(N323,N297:T302,5,FALSE)/2,0))</f>
        <v>0</v>
      </c>
      <c r="O330" s="133">
        <f t="shared" ref="O330" si="379">IF(RIGHT($L330,8)="(Summer)",0,ROUND(O311*HLOOKUP(O323,O297:U302,5,FALSE)/2,0))</f>
        <v>0</v>
      </c>
      <c r="P330" s="133">
        <f t="shared" ref="P330" si="380">IF(RIGHT($L330,8)="(Summer)",0,ROUND(P311*HLOOKUP(P323,P297:V302,5,FALSE)/2,0))</f>
        <v>0</v>
      </c>
      <c r="Q330" s="133">
        <f t="shared" ref="Q330" si="381">IF(RIGHT($L330,8)="(Summer)",0,ROUND(Q311*HLOOKUP(Q323,Q297:W302,5,FALSE)/2,0))</f>
        <v>0</v>
      </c>
    </row>
    <row r="331" spans="1:19" x14ac:dyDescent="0.25">
      <c r="A331" s="296" t="s">
        <v>29</v>
      </c>
      <c r="B331" s="84" t="str">
        <f>+M$2</f>
        <v>FY2023</v>
      </c>
      <c r="C331" s="84" t="str">
        <f t="shared" ref="C331" si="382">+N$2</f>
        <v>FY2024</v>
      </c>
      <c r="D331" s="84" t="str">
        <f t="shared" ref="D331" si="383">+O$2</f>
        <v>FY2025</v>
      </c>
      <c r="E331" s="84" t="str">
        <f t="shared" ref="E331" si="384">+P$2</f>
        <v>FY2026</v>
      </c>
      <c r="F331" s="84" t="str">
        <f t="shared" ref="F331" si="385">+Q$2</f>
        <v>FY2027</v>
      </c>
      <c r="G331" s="84" t="str">
        <f t="shared" ref="G331" si="386">+R$2</f>
        <v>FY2028</v>
      </c>
      <c r="H331" s="84" t="str">
        <f t="shared" ref="H331" si="387">+S$2</f>
        <v>FY2029</v>
      </c>
      <c r="I331" s="56" t="s">
        <v>20</v>
      </c>
      <c r="J331" s="100" t="s">
        <v>77</v>
      </c>
      <c r="K331" s="315"/>
      <c r="L331" s="134" t="str">
        <f t="shared" si="352"/>
        <v>Tuition (Fall)</v>
      </c>
      <c r="M331" s="133">
        <f>IF(RIGHT($L331,8)="(Summer)",0,ROUND(M312*HLOOKUP(M324,M297:S302,5,FALSE)/2,0))</f>
        <v>0</v>
      </c>
      <c r="N331" s="133">
        <f t="shared" ref="N331" si="388">IF(RIGHT($L331,8)="(Summer)",0,ROUND(N312*HLOOKUP(N324,N297:T302,5,FALSE)/2,0))</f>
        <v>0</v>
      </c>
      <c r="O331" s="133">
        <f t="shared" ref="O331" si="389">IF(RIGHT($L331,8)="(Summer)",0,ROUND(O312*HLOOKUP(O324,O297:U302,5,FALSE)/2,0))</f>
        <v>0</v>
      </c>
      <c r="P331" s="133">
        <f t="shared" ref="P331" si="390">IF(RIGHT($L331,8)="(Summer)",0,ROUND(P312*HLOOKUP(P324,P297:V302,5,FALSE)/2,0))</f>
        <v>0</v>
      </c>
      <c r="Q331" s="133">
        <f t="shared" ref="Q331" si="391">IF(RIGHT($L331,8)="(Summer)",0,ROUND(Q312*HLOOKUP(Q324,Q297:W302,5,FALSE)/2,0))</f>
        <v>0</v>
      </c>
    </row>
    <row r="332" spans="1:19" x14ac:dyDescent="0.25">
      <c r="A332" s="297" t="str">
        <f>CONCATENATE("Base Salary: ",I332," month term")</f>
        <v>Base Salary: 12 month term</v>
      </c>
      <c r="B332" s="93">
        <v>0</v>
      </c>
      <c r="C332" s="118">
        <f>ROUND(+B332*(1+J332),0)</f>
        <v>0</v>
      </c>
      <c r="D332" s="118">
        <f>ROUND(+C332*(1+J332),0)</f>
        <v>0</v>
      </c>
      <c r="E332" s="118">
        <f>ROUND(+D332*(1+J332),0)</f>
        <v>0</v>
      </c>
      <c r="F332" s="118">
        <f>ROUND(+E332*(1+J332),0)</f>
        <v>0</v>
      </c>
      <c r="G332" s="118">
        <f>ROUND(+F332*(1+J332),0)</f>
        <v>0</v>
      </c>
      <c r="H332" s="118">
        <f>ROUND(+G332*(1+J332),0)</f>
        <v>0</v>
      </c>
      <c r="I332" s="74">
        <v>12</v>
      </c>
      <c r="J332" s="81">
        <v>0.03</v>
      </c>
      <c r="K332" s="317"/>
      <c r="L332" s="134" t="str">
        <f t="shared" si="352"/>
        <v>Health Insurance (Spring)</v>
      </c>
      <c r="M332" s="133">
        <f>IF(RIGHT($L332,8)="(Summer)",0,ROUND(M310*HLOOKUP(M322,M297:S302,6,FALSE)/2,0))</f>
        <v>0</v>
      </c>
      <c r="N332" s="133">
        <f t="shared" ref="N332" si="392">IF(RIGHT($L332,8)="(Summer)",0,ROUND(N310*HLOOKUP(N322,N297:T302,6,FALSE)/2,0))</f>
        <v>0</v>
      </c>
      <c r="O332" s="133">
        <f t="shared" ref="O332" si="393">IF(RIGHT($L332,8)="(Summer)",0,ROUND(O310*HLOOKUP(O322,O297:U302,6,FALSE)/2,0))</f>
        <v>0</v>
      </c>
      <c r="P332" s="133">
        <f t="shared" ref="P332" si="394">IF(RIGHT($L332,8)="(Summer)",0,ROUND(P310*HLOOKUP(P322,P297:V302,6,FALSE)/2,0))</f>
        <v>0</v>
      </c>
      <c r="Q332" s="133">
        <f t="shared" ref="Q332" si="395">IF(RIGHT($L332,8)="(Summer)",0,ROUND(Q310*HLOOKUP(Q322,Q297:W302,6,FALSE)/2,0))</f>
        <v>0</v>
      </c>
    </row>
    <row r="333" spans="1:19" x14ac:dyDescent="0.25">
      <c r="A333" s="297" t="s">
        <v>49</v>
      </c>
      <c r="B333" s="86">
        <v>0</v>
      </c>
      <c r="C333" s="86">
        <v>0</v>
      </c>
      <c r="D333" s="86">
        <v>0</v>
      </c>
      <c r="E333" s="86">
        <v>0</v>
      </c>
      <c r="F333" s="86">
        <v>0</v>
      </c>
      <c r="G333" s="86">
        <v>0</v>
      </c>
      <c r="H333" s="86">
        <v>0</v>
      </c>
      <c r="I333" s="49"/>
      <c r="J333" s="49"/>
      <c r="K333" s="297"/>
      <c r="L333" s="134" t="str">
        <f t="shared" si="352"/>
        <v>Health Insurance (Summer)</v>
      </c>
      <c r="M333" s="133">
        <f>IF(RIGHT($L333,8)="(Summer)",0,ROUND(M311*HLOOKUP(M323,M297:S302,6,FALSE)/2,0))</f>
        <v>0</v>
      </c>
      <c r="N333" s="133">
        <f t="shared" ref="N333" si="396">IF(RIGHT($L333,8)="(Summer)",0,ROUND(N311*HLOOKUP(N323,N297:T302,6,FALSE)/2,0))</f>
        <v>0</v>
      </c>
      <c r="O333" s="133">
        <f t="shared" ref="O333" si="397">IF(RIGHT($L333,8)="(Summer)",0,ROUND(O311*HLOOKUP(O323,O297:U302,6,FALSE)/2,0))</f>
        <v>0</v>
      </c>
      <c r="P333" s="133">
        <f t="shared" ref="P333" si="398">IF(RIGHT($L333,8)="(Summer)",0,ROUND(P311*HLOOKUP(P323,P297:V302,6,FALSE)/2,0))</f>
        <v>0</v>
      </c>
      <c r="Q333" s="133">
        <f t="shared" ref="Q333" si="399">IF(RIGHT($L333,8)="(Summer)",0,ROUND(Q311*HLOOKUP(Q323,Q297:W302,6,FALSE)/2,0))</f>
        <v>0</v>
      </c>
    </row>
    <row r="334" spans="1:19" x14ac:dyDescent="0.25">
      <c r="A334" s="297" t="str">
        <f>CONCATENATE("FTE for ",I332," Months")</f>
        <v>FTE for 12 Months</v>
      </c>
      <c r="B334" s="85">
        <f t="shared" ref="B334:H334" si="400">+B333/$I332</f>
        <v>0</v>
      </c>
      <c r="C334" s="85">
        <f t="shared" si="400"/>
        <v>0</v>
      </c>
      <c r="D334" s="85">
        <f t="shared" si="400"/>
        <v>0</v>
      </c>
      <c r="E334" s="85">
        <f t="shared" si="400"/>
        <v>0</v>
      </c>
      <c r="F334" s="85">
        <f t="shared" si="400"/>
        <v>0</v>
      </c>
      <c r="G334" s="85">
        <f t="shared" si="400"/>
        <v>0</v>
      </c>
      <c r="H334" s="85">
        <f t="shared" si="400"/>
        <v>0</v>
      </c>
      <c r="I334" s="100"/>
      <c r="J334" s="100"/>
      <c r="K334" s="315"/>
      <c r="L334" s="134" t="str">
        <f t="shared" si="352"/>
        <v>Health Insurance (Fall)</v>
      </c>
      <c r="M334" s="133">
        <f>IF(RIGHT($L334,8)="(Summer)",0,ROUND(M312*HLOOKUP(M324,M297:S302,6,FALSE)/2,0))</f>
        <v>0</v>
      </c>
      <c r="N334" s="133">
        <f t="shared" ref="N334" si="401">IF(RIGHT($L334,8)="(Summer)",0,ROUND(N312*HLOOKUP(N324,N297:T302,6,FALSE)/2,0))</f>
        <v>0</v>
      </c>
      <c r="O334" s="133">
        <f t="shared" ref="O334" si="402">IF(RIGHT($L334,8)="(Summer)",0,ROUND(O312*HLOOKUP(O324,O297:U302,6,FALSE)/2,0))</f>
        <v>0</v>
      </c>
      <c r="P334" s="133">
        <f t="shared" ref="P334" si="403">IF(RIGHT($L334,8)="(Summer)",0,ROUND(P312*HLOOKUP(P324,P297:V302,6,FALSE)/2,0))</f>
        <v>0</v>
      </c>
      <c r="Q334" s="133">
        <f t="shared" ref="Q334" si="404">IF(RIGHT($L334,8)="(Summer)",0,ROUND(Q312*HLOOKUP(Q324,Q297:W302,6,FALSE)/2,0))</f>
        <v>0</v>
      </c>
    </row>
    <row r="335" spans="1:19" ht="15.75" thickBot="1" x14ac:dyDescent="0.3">
      <c r="A335" s="297" t="s">
        <v>21</v>
      </c>
      <c r="B335" s="119">
        <f t="shared" ref="B335:H335" si="405">ROUND((B332*B334*$N$41)+(C332*B334*$N$42),0)</f>
        <v>0</v>
      </c>
      <c r="C335" s="119">
        <f t="shared" si="405"/>
        <v>0</v>
      </c>
      <c r="D335" s="119">
        <f t="shared" si="405"/>
        <v>0</v>
      </c>
      <c r="E335" s="119">
        <f t="shared" si="405"/>
        <v>0</v>
      </c>
      <c r="F335" s="119">
        <f t="shared" si="405"/>
        <v>0</v>
      </c>
      <c r="G335" s="119">
        <f t="shared" si="405"/>
        <v>0</v>
      </c>
      <c r="H335" s="119">
        <f t="shared" si="405"/>
        <v>0</v>
      </c>
      <c r="I335" s="100"/>
      <c r="J335" s="100"/>
      <c r="K335" s="315"/>
      <c r="L335" s="62" t="s">
        <v>31</v>
      </c>
      <c r="M335" s="63">
        <f>SUM(M326:M334)</f>
        <v>0</v>
      </c>
      <c r="N335" s="63">
        <f>SUM(N326:N334)</f>
        <v>0</v>
      </c>
      <c r="O335" s="63">
        <f>SUM(O326:O334)</f>
        <v>0</v>
      </c>
      <c r="P335" s="63">
        <f>SUM(P326:P334)</f>
        <v>0</v>
      </c>
      <c r="Q335" s="63">
        <f>SUM(Q326:Q334)</f>
        <v>0</v>
      </c>
    </row>
    <row r="336" spans="1:19" x14ac:dyDescent="0.25">
      <c r="A336" s="299"/>
    </row>
    <row r="337" spans="1:10" x14ac:dyDescent="0.25">
      <c r="A337" s="300" t="s">
        <v>106</v>
      </c>
      <c r="B337" s="48"/>
      <c r="C337" s="48"/>
      <c r="D337" s="48"/>
      <c r="E337" s="48"/>
      <c r="F337" s="48"/>
    </row>
    <row r="338" spans="1:10" x14ac:dyDescent="0.25">
      <c r="A338" s="296" t="s">
        <v>444</v>
      </c>
      <c r="B338" s="48" t="s">
        <v>1</v>
      </c>
      <c r="C338" s="48" t="s">
        <v>2</v>
      </c>
      <c r="D338" s="48" t="s">
        <v>3</v>
      </c>
      <c r="E338" s="48" t="s">
        <v>44</v>
      </c>
      <c r="F338" s="48" t="s">
        <v>50</v>
      </c>
      <c r="G338" s="84"/>
      <c r="H338" s="84"/>
      <c r="I338" s="56"/>
      <c r="J338" s="100" t="s">
        <v>77</v>
      </c>
    </row>
    <row r="339" spans="1:10" x14ac:dyDescent="0.25">
      <c r="A339" s="297" t="s">
        <v>318</v>
      </c>
      <c r="B339" s="86">
        <v>15</v>
      </c>
      <c r="C339" s="86">
        <f>ROUND(+B339*(1+J339),2)</f>
        <v>15</v>
      </c>
      <c r="D339" s="86">
        <f>ROUND(+C339*(1+J339),2)</f>
        <v>15</v>
      </c>
      <c r="E339" s="86">
        <f>ROUND(+D339*(1+J339),2)</f>
        <v>15</v>
      </c>
      <c r="F339" s="86">
        <f>ROUND(+E339*(1+J339),2)</f>
        <v>15</v>
      </c>
      <c r="G339" s="84"/>
      <c r="H339" s="84"/>
      <c r="I339" s="74"/>
      <c r="J339" s="81">
        <v>0</v>
      </c>
    </row>
    <row r="340" spans="1:10" x14ac:dyDescent="0.25">
      <c r="A340" s="297" t="s">
        <v>319</v>
      </c>
      <c r="B340" s="127">
        <v>0</v>
      </c>
      <c r="C340" s="127">
        <v>0</v>
      </c>
      <c r="D340" s="127">
        <v>0</v>
      </c>
      <c r="E340" s="127">
        <v>0</v>
      </c>
      <c r="F340" s="127">
        <v>0</v>
      </c>
      <c r="G340" s="84"/>
      <c r="H340" s="84"/>
      <c r="I340" s="49"/>
      <c r="J340" s="49"/>
    </row>
    <row r="341" spans="1:10" x14ac:dyDescent="0.25">
      <c r="A341" s="297" t="s">
        <v>21</v>
      </c>
      <c r="B341" s="119">
        <f>ROUND(B339*B340,0)</f>
        <v>0</v>
      </c>
      <c r="C341" s="119">
        <f t="shared" ref="C341" si="406">ROUND(C339*C340,0)</f>
        <v>0</v>
      </c>
      <c r="D341" s="119">
        <f t="shared" ref="D341" si="407">ROUND(D339*D340,0)</f>
        <v>0</v>
      </c>
      <c r="E341" s="119">
        <f t="shared" ref="E341" si="408">ROUND(E339*E340,0)</f>
        <v>0</v>
      </c>
      <c r="F341" s="119">
        <f t="shared" ref="F341" si="409">ROUND(F339*F340,0)</f>
        <v>0</v>
      </c>
      <c r="G341" s="84"/>
      <c r="H341" s="84"/>
      <c r="I341" s="100"/>
      <c r="J341" s="100"/>
    </row>
    <row r="344" spans="1:10" x14ac:dyDescent="0.25">
      <c r="A344" s="324" t="str">
        <f ca="1">+A21</f>
        <v>Co PI 3</v>
      </c>
      <c r="B344" s="325"/>
      <c r="C344" s="325"/>
      <c r="D344" s="325"/>
      <c r="E344" s="325"/>
      <c r="F344" s="325"/>
      <c r="G344" s="325"/>
      <c r="H344" s="325"/>
      <c r="I344" s="325"/>
      <c r="J344" s="325"/>
    </row>
    <row r="345" spans="1:10" x14ac:dyDescent="0.25">
      <c r="A345" s="260" t="s">
        <v>54</v>
      </c>
      <c r="B345" s="342" t="str">
        <f>+B21</f>
        <v>Co-PI</v>
      </c>
      <c r="C345" s="325"/>
      <c r="D345" s="325"/>
      <c r="E345" s="325"/>
      <c r="F345" s="325"/>
      <c r="G345" s="325"/>
      <c r="H345" s="325"/>
      <c r="I345" s="325"/>
      <c r="J345" s="325"/>
    </row>
    <row r="346" spans="1:10" x14ac:dyDescent="0.25">
      <c r="A346" s="260" t="s">
        <v>57</v>
      </c>
      <c r="B346" s="326" t="s">
        <v>61</v>
      </c>
      <c r="C346" s="325"/>
      <c r="D346" s="325"/>
      <c r="E346" s="325"/>
      <c r="F346" s="325"/>
      <c r="G346" s="325"/>
      <c r="H346" s="325"/>
      <c r="I346" s="325"/>
      <c r="J346" s="325"/>
    </row>
    <row r="347" spans="1:10" x14ac:dyDescent="0.25">
      <c r="A347" s="260" t="s">
        <v>57</v>
      </c>
      <c r="B347" s="326" t="s">
        <v>61</v>
      </c>
      <c r="C347" s="325"/>
      <c r="D347" s="325"/>
      <c r="E347" s="325"/>
      <c r="F347" s="325"/>
      <c r="G347" s="325"/>
      <c r="H347" s="325"/>
      <c r="I347" s="325"/>
      <c r="J347" s="325"/>
    </row>
    <row r="348" spans="1:10" x14ac:dyDescent="0.25">
      <c r="A348" s="260" t="s">
        <v>138</v>
      </c>
      <c r="B348" s="365" t="s">
        <v>110</v>
      </c>
      <c r="C348" s="325"/>
      <c r="D348" s="325"/>
      <c r="E348" s="325"/>
      <c r="F348" s="325"/>
      <c r="G348" s="325"/>
      <c r="H348" s="325"/>
      <c r="I348" s="325"/>
      <c r="J348" s="325"/>
    </row>
    <row r="349" spans="1:10" x14ac:dyDescent="0.25">
      <c r="A349" s="260" t="s">
        <v>180</v>
      </c>
      <c r="B349" s="365" t="s">
        <v>178</v>
      </c>
      <c r="C349" s="325"/>
      <c r="D349" s="325"/>
      <c r="E349" s="325"/>
      <c r="F349" s="325"/>
      <c r="G349" s="325"/>
      <c r="H349" s="325"/>
      <c r="I349" s="325"/>
      <c r="J349" s="325"/>
    </row>
    <row r="350" spans="1:10" x14ac:dyDescent="0.25">
      <c r="A350" s="325"/>
      <c r="B350" s="325"/>
      <c r="C350" s="325"/>
      <c r="D350" s="325"/>
      <c r="E350" s="325"/>
      <c r="F350" s="325"/>
      <c r="G350" s="325"/>
      <c r="H350" s="325"/>
      <c r="I350" s="325"/>
      <c r="J350" s="325"/>
    </row>
    <row r="351" spans="1:10" x14ac:dyDescent="0.25">
      <c r="A351" s="260" t="s">
        <v>115</v>
      </c>
      <c r="B351" s="327" t="str">
        <f>IF(B348="Contract College","Contract College","Endowed College")</f>
        <v>Contract College</v>
      </c>
      <c r="C351" s="325"/>
      <c r="D351" s="325"/>
      <c r="E351" s="325"/>
      <c r="F351" s="325"/>
      <c r="G351" s="325"/>
      <c r="H351" s="325"/>
      <c r="I351" s="325"/>
      <c r="J351" s="325"/>
    </row>
    <row r="352" spans="1:10" x14ac:dyDescent="0.25">
      <c r="A352" s="260" t="s">
        <v>116</v>
      </c>
      <c r="B352" s="327" t="str">
        <f>IF(B348="Contract College","Contract College","Endowed College")</f>
        <v>Contract College</v>
      </c>
      <c r="C352" s="325"/>
      <c r="D352" s="325"/>
      <c r="E352" s="325"/>
      <c r="F352" s="325"/>
      <c r="G352" s="325"/>
      <c r="H352" s="325"/>
      <c r="I352" s="325"/>
      <c r="J352" s="325"/>
    </row>
    <row r="353" spans="1:11" x14ac:dyDescent="0.25">
      <c r="A353" s="325"/>
      <c r="B353" s="328"/>
      <c r="C353" s="325"/>
      <c r="D353" s="325"/>
      <c r="E353" s="325"/>
      <c r="F353" s="325"/>
      <c r="G353" s="325"/>
      <c r="H353" s="329"/>
      <c r="I353" s="329"/>
      <c r="J353" s="329"/>
      <c r="K353" s="111"/>
    </row>
    <row r="354" spans="1:11" x14ac:dyDescent="0.25">
      <c r="A354" s="260" t="s">
        <v>118</v>
      </c>
      <c r="B354" s="330" t="str">
        <f>+$B$36</f>
        <v>FY2023</v>
      </c>
      <c r="C354" s="330" t="str">
        <f>+$C$36</f>
        <v>FY2024</v>
      </c>
      <c r="D354" s="330" t="str">
        <f>+$D$36</f>
        <v>FY2025</v>
      </c>
      <c r="E354" s="330" t="str">
        <f>+$E$36</f>
        <v>FY2026</v>
      </c>
      <c r="F354" s="330" t="str">
        <f>+$F$36</f>
        <v>FY2027</v>
      </c>
      <c r="G354" s="330" t="str">
        <f>+$G$36</f>
        <v>FY2028</v>
      </c>
      <c r="H354" s="329"/>
      <c r="I354" s="329"/>
      <c r="J354" s="329"/>
      <c r="K354" s="111"/>
    </row>
    <row r="355" spans="1:11" x14ac:dyDescent="0.25">
      <c r="A355" s="260" t="str">
        <f>IF(AND(B348="Contract College",B$6="Federal"),"   Contract (Federal) - Senior Personnel",IF(AND(B348="Contract College",B$6="Non-federal"),"   Contract (Non-federal) - Senior Personnel","   Endowed - Senior Personnel"))</f>
        <v xml:space="preserve">   Contract (Federal) - Senior Personnel</v>
      </c>
      <c r="B355" s="260">
        <f t="shared" ref="B355:G355" si="410">IF(AND($B348="Contract College",$B$6="Federal"),HLOOKUP(B354,$M$2:$S$11,2,FALSE),IF(AND($B348="Contract College",$B$6="Non-Federal"),HLOOKUP(B354,$M$2:$S$11,3,FALSE),HLOOKUP(B354,$M$2:$S$11,4,FALSE)))</f>
        <v>0.68300000000000005</v>
      </c>
      <c r="C355" s="260">
        <f t="shared" si="410"/>
        <v>0.68300000000000005</v>
      </c>
      <c r="D355" s="260">
        <f t="shared" si="410"/>
        <v>0.68300000000000005</v>
      </c>
      <c r="E355" s="260">
        <f t="shared" si="410"/>
        <v>0.68300000000000005</v>
      </c>
      <c r="F355" s="260">
        <f t="shared" si="410"/>
        <v>0.68300000000000005</v>
      </c>
      <c r="G355" s="260">
        <f t="shared" si="410"/>
        <v>0.68300000000000005</v>
      </c>
      <c r="H355" s="329"/>
      <c r="I355" s="329"/>
      <c r="J355" s="329"/>
      <c r="K355" s="111"/>
    </row>
    <row r="356" spans="1:11" x14ac:dyDescent="0.25">
      <c r="A356" s="260" t="str">
        <f>IF(AND(B$6="Federal",B351="Contract College"),"   Contract (Federal) - Post Doc",IF(AND(B$6="Non-federal",B351="Contract College"),"   Contract (Non-federal) - Post Doc","   Endowed - Post Doc"))</f>
        <v xml:space="preserve">   Contract (Federal) - Post Doc</v>
      </c>
      <c r="B356" s="260">
        <f t="shared" ref="B356:G357" si="411">IF($B351="Endowed College",HLOOKUP(B$36,$M$2:$S$11,4,FALSE),IF($B$6="Federal",HLOOKUP(B$36,$M$2:$S$11,2,FALSE),IF($B$6="Non-Federal",HLOOKUP(B$36,$M$2:$S$11,3,FALSE))))</f>
        <v>0.68300000000000005</v>
      </c>
      <c r="C356" s="260">
        <f t="shared" si="411"/>
        <v>0.68300000000000005</v>
      </c>
      <c r="D356" s="260">
        <f t="shared" si="411"/>
        <v>0.68300000000000005</v>
      </c>
      <c r="E356" s="260">
        <f t="shared" si="411"/>
        <v>0.68300000000000005</v>
      </c>
      <c r="F356" s="260">
        <f t="shared" si="411"/>
        <v>0.68300000000000005</v>
      </c>
      <c r="G356" s="260">
        <f t="shared" si="411"/>
        <v>0.68300000000000005</v>
      </c>
      <c r="H356" s="329"/>
      <c r="I356" s="329"/>
      <c r="J356" s="329"/>
      <c r="K356" s="111"/>
    </row>
    <row r="357" spans="1:11" x14ac:dyDescent="0.25">
      <c r="A357" s="260" t="str">
        <f>IF(AND(B$6="Federal",B352="Contract College"),"   Contract (Federal) - Other Employee",IF(AND(B$6="Non-federal",B352="Contract College"),"   Contract (Non-federal) - Other Empolyee","   Endowed - Other Employee"))</f>
        <v xml:space="preserve">   Contract (Federal) - Other Employee</v>
      </c>
      <c r="B357" s="260">
        <f t="shared" si="411"/>
        <v>0.68300000000000005</v>
      </c>
      <c r="C357" s="260">
        <f t="shared" si="411"/>
        <v>0.68300000000000005</v>
      </c>
      <c r="D357" s="260">
        <f t="shared" si="411"/>
        <v>0.68300000000000005</v>
      </c>
      <c r="E357" s="260">
        <f t="shared" si="411"/>
        <v>0.68300000000000005</v>
      </c>
      <c r="F357" s="260">
        <f t="shared" si="411"/>
        <v>0.68300000000000005</v>
      </c>
      <c r="G357" s="260">
        <f t="shared" si="411"/>
        <v>0.68300000000000005</v>
      </c>
      <c r="H357" s="329"/>
      <c r="I357" s="329"/>
      <c r="J357" s="329"/>
      <c r="K357" s="111"/>
    </row>
    <row r="358" spans="1:11" x14ac:dyDescent="0.25">
      <c r="A358" s="260" t="s">
        <v>320</v>
      </c>
      <c r="B358" s="260">
        <f t="shared" ref="B358:G358" si="412">HLOOKUP(B$36,$M$2:$S$11,5,FALSE)</f>
        <v>0.1</v>
      </c>
      <c r="C358" s="260">
        <f t="shared" si="412"/>
        <v>0.1</v>
      </c>
      <c r="D358" s="260">
        <f t="shared" si="412"/>
        <v>0.1</v>
      </c>
      <c r="E358" s="260">
        <f t="shared" si="412"/>
        <v>0.1</v>
      </c>
      <c r="F358" s="260">
        <f t="shared" si="412"/>
        <v>0.1</v>
      </c>
      <c r="G358" s="260">
        <f t="shared" si="412"/>
        <v>0.1</v>
      </c>
      <c r="H358" s="329"/>
      <c r="I358" s="329"/>
      <c r="J358" s="329"/>
      <c r="K358" s="111"/>
    </row>
    <row r="359" spans="1:11" x14ac:dyDescent="0.25">
      <c r="A359" s="260" t="str">
        <f>CONCATENATE("Cornell IDC Rate - ",B348)</f>
        <v>Cornell IDC Rate - Contract College</v>
      </c>
      <c r="B359" s="260">
        <f>IF($B349="Off",(HLOOKUP(B$36,$M$2:$S$11,9,FALSE)),IF(AND($B$7="Other",$B349="On"),(HLOOKUP(B$36,$M$2:$S$11,8,FALSE)),IF(AND($B349="On",$B348="Contract College",$B$7="Research"),(HLOOKUP(B$36,$M$2:$S$11,6,FALSE)),(HLOOKUP(B$36,$M$2:$S$11,7,FALSE)))))</f>
        <v>0.56999999999999995</v>
      </c>
      <c r="C359" s="260">
        <f t="shared" ref="C359:G359" si="413">IF($B349="Off",(HLOOKUP(C$36,$M$2:$S$11,9,FALSE)),IF(AND($B$7="Other",$B349="On"),(HLOOKUP(C$36,$M$2:$S$11,8,FALSE)),IF(AND($B349="On",$B348="Contract College",$B$7="Research"),(HLOOKUP(C$36,$M$2:$S$11,6,FALSE)),(HLOOKUP(C$36,$M$2:$S$11,7,FALSE)))))</f>
        <v>0.56999999999999995</v>
      </c>
      <c r="D359" s="260">
        <f t="shared" si="413"/>
        <v>0.56999999999999995</v>
      </c>
      <c r="E359" s="260">
        <f t="shared" si="413"/>
        <v>0.56999999999999995</v>
      </c>
      <c r="F359" s="260">
        <f t="shared" si="413"/>
        <v>0.56999999999999995</v>
      </c>
      <c r="G359" s="260">
        <f t="shared" si="413"/>
        <v>0.56999999999999995</v>
      </c>
      <c r="H359" s="329"/>
      <c r="I359" s="329"/>
      <c r="J359" s="329"/>
      <c r="K359" s="111"/>
    </row>
    <row r="360" spans="1:11" x14ac:dyDescent="0.25">
      <c r="A360" s="260" t="str">
        <f>IF($B$11="Yes","","Rate Allowed by Sponsor:")</f>
        <v>Rate Allowed by Sponsor:</v>
      </c>
      <c r="B360" s="330">
        <f t="shared" ref="B360:G360" si="414">IF($B$11="Yes","",IF($B$11="No",HLOOKUP(B$36,$M$2:$S$11,10,FALSE),(HLOOKUP(B$36,$M$2:$S$11,10,FALSE))))</f>
        <v>0.2</v>
      </c>
      <c r="C360" s="330">
        <f t="shared" si="414"/>
        <v>0.2</v>
      </c>
      <c r="D360" s="330">
        <f t="shared" si="414"/>
        <v>0.2</v>
      </c>
      <c r="E360" s="330">
        <f t="shared" si="414"/>
        <v>0.2</v>
      </c>
      <c r="F360" s="330">
        <f t="shared" si="414"/>
        <v>0.2</v>
      </c>
      <c r="G360" s="330">
        <f t="shared" si="414"/>
        <v>0.2</v>
      </c>
      <c r="H360" s="412"/>
      <c r="I360" s="412"/>
      <c r="J360" s="412"/>
      <c r="K360" s="111"/>
    </row>
    <row r="361" spans="1:11" x14ac:dyDescent="0.25">
      <c r="B361" s="82"/>
      <c r="C361" s="82"/>
      <c r="D361" s="82"/>
      <c r="E361" s="82"/>
      <c r="F361" s="82"/>
      <c r="G361" s="82"/>
    </row>
    <row r="362" spans="1:11" ht="20.25" x14ac:dyDescent="0.3">
      <c r="A362" s="64" t="s">
        <v>59</v>
      </c>
      <c r="B362" s="113"/>
      <c r="C362" s="113"/>
      <c r="D362" s="113"/>
      <c r="E362" s="113"/>
      <c r="F362" s="113"/>
      <c r="G362" s="113"/>
      <c r="H362" s="113"/>
    </row>
    <row r="363" spans="1:11" ht="15.75" x14ac:dyDescent="0.25">
      <c r="A363" s="114" t="s">
        <v>102</v>
      </c>
      <c r="B363" s="115" t="str">
        <f t="shared" ref="B363:H363" si="415">IF(B366=$Z$5,$Z$9,IF(B366=$AA$5,$AA$9,IF(B366=$AB$5,$AB$9,IF(B366=$AC$5,$AC$9,IF(B366=$AD$5,$AD$9," ")))))</f>
        <v xml:space="preserve"> </v>
      </c>
      <c r="C363" s="115" t="str">
        <f t="shared" si="415"/>
        <v>2023-2023</v>
      </c>
      <c r="D363" s="115" t="str">
        <f t="shared" si="415"/>
        <v>2024-2024</v>
      </c>
      <c r="E363" s="115" t="str">
        <f t="shared" si="415"/>
        <v>2025-2025</v>
      </c>
      <c r="F363" s="115" t="str">
        <f t="shared" si="415"/>
        <v>2026-2026</v>
      </c>
      <c r="G363" s="115" t="str">
        <f t="shared" si="415"/>
        <v>2027-2027</v>
      </c>
      <c r="H363" s="115" t="str">
        <f t="shared" si="415"/>
        <v xml:space="preserve"> </v>
      </c>
    </row>
    <row r="365" spans="1:11" x14ac:dyDescent="0.25">
      <c r="A365" s="331" t="str">
        <f>CONCATENATE("Calculation based on ",I367," month salary")</f>
        <v>Calculation based on 9 month salary</v>
      </c>
      <c r="B365" s="113" t="str">
        <f t="shared" ref="B365:H365" si="416">IF(AND(B366=$Z$5,$I367=9),$Z$3,IF(AND(B366=$AA$5,$I367=9),$AA$3,IF(AND(B366=$AB$5,$I367=9),$AB$3,IF(AND(B366=$AC$5,$I367=9),$AC$3,IF(AND(B366=$AD$5,$I367=9),$AD$3,IF(AND(B366=$Z$4,$I367=12),$Z$3,IF(AND(B366=$AA$4,$I367=12),$AA$3,IF(AND(B366=$AB$4,$I367=12),$AB$3,IF(AND(B366=$AC$4,$I367=12),$AC$3,IF(AND(B366=$AD$4,$I367=12),$AD$3," "))))))))))</f>
        <v xml:space="preserve"> </v>
      </c>
      <c r="C365" s="113" t="str">
        <f t="shared" si="416"/>
        <v>Year 1</v>
      </c>
      <c r="D365" s="113" t="str">
        <f t="shared" si="416"/>
        <v>Year 2</v>
      </c>
      <c r="E365" s="113" t="str">
        <f t="shared" si="416"/>
        <v>Year 3</v>
      </c>
      <c r="F365" s="113" t="str">
        <f t="shared" si="416"/>
        <v>Year 4</v>
      </c>
      <c r="G365" s="113" t="str">
        <f t="shared" si="416"/>
        <v>Year 5</v>
      </c>
      <c r="H365" s="113" t="str">
        <f t="shared" si="416"/>
        <v xml:space="preserve"> </v>
      </c>
    </row>
    <row r="366" spans="1:11" x14ac:dyDescent="0.25">
      <c r="A366" s="332" t="str">
        <f>+B345</f>
        <v>Co-PI</v>
      </c>
      <c r="B366" s="84" t="str">
        <f>+M$2</f>
        <v>FY2023</v>
      </c>
      <c r="C366" s="84" t="str">
        <f t="shared" ref="C366" si="417">+N$2</f>
        <v>FY2024</v>
      </c>
      <c r="D366" s="84" t="str">
        <f t="shared" ref="D366" si="418">+O$2</f>
        <v>FY2025</v>
      </c>
      <c r="E366" s="84" t="str">
        <f t="shared" ref="E366" si="419">+P$2</f>
        <v>FY2026</v>
      </c>
      <c r="F366" s="84" t="str">
        <f t="shared" ref="F366" si="420">+Q$2</f>
        <v>FY2027</v>
      </c>
      <c r="G366" s="84" t="str">
        <f t="shared" ref="G366" si="421">+R$2</f>
        <v>FY2028</v>
      </c>
      <c r="H366" s="84" t="str">
        <f t="shared" ref="H366" si="422">+S$2</f>
        <v>FY2029</v>
      </c>
      <c r="I366" s="56" t="s">
        <v>20</v>
      </c>
      <c r="J366" s="100" t="s">
        <v>77</v>
      </c>
      <c r="K366" s="100"/>
    </row>
    <row r="367" spans="1:11" x14ac:dyDescent="0.25">
      <c r="A367" s="333" t="str">
        <f>CONCATENATE("Base Salary: ",I367," month term")</f>
        <v>Base Salary: 9 month term</v>
      </c>
      <c r="B367" s="93">
        <v>0</v>
      </c>
      <c r="C367" s="118">
        <f>ROUND(+B367*(1+J367),0)</f>
        <v>0</v>
      </c>
      <c r="D367" s="118">
        <f>ROUND(+C367*(1+J367),0)</f>
        <v>0</v>
      </c>
      <c r="E367" s="118">
        <f>ROUND(+D367*(1+J367),0)</f>
        <v>0</v>
      </c>
      <c r="F367" s="118">
        <f>ROUND(+E367*(1+J367),0)</f>
        <v>0</v>
      </c>
      <c r="G367" s="118">
        <f>ROUND(+F367*(1+J367),0)</f>
        <v>0</v>
      </c>
      <c r="H367" s="118">
        <f>ROUND(+G367*(1+J367),0)</f>
        <v>0</v>
      </c>
      <c r="I367" s="74">
        <v>9</v>
      </c>
      <c r="J367" s="81">
        <v>0.03</v>
      </c>
      <c r="K367" s="81"/>
    </row>
    <row r="368" spans="1:11" x14ac:dyDescent="0.25">
      <c r="A368" s="333" t="s">
        <v>49</v>
      </c>
      <c r="B368" s="86">
        <v>0</v>
      </c>
      <c r="C368" s="86">
        <v>0</v>
      </c>
      <c r="D368" s="86">
        <v>0</v>
      </c>
      <c r="E368" s="86">
        <v>0</v>
      </c>
      <c r="F368" s="86">
        <v>0</v>
      </c>
      <c r="G368" s="86">
        <v>0</v>
      </c>
      <c r="H368" s="86">
        <v>0</v>
      </c>
      <c r="I368" s="49"/>
      <c r="J368" s="49"/>
      <c r="K368" s="49"/>
    </row>
    <row r="369" spans="1:16" x14ac:dyDescent="0.25">
      <c r="A369" s="333" t="str">
        <f>CONCATENATE("FTE for ",I367," Months")</f>
        <v>FTE for 9 Months</v>
      </c>
      <c r="B369" s="85">
        <f t="shared" ref="B369:H369" si="423">+B368/$I367</f>
        <v>0</v>
      </c>
      <c r="C369" s="85">
        <f t="shared" si="423"/>
        <v>0</v>
      </c>
      <c r="D369" s="85">
        <f t="shared" si="423"/>
        <v>0</v>
      </c>
      <c r="E369" s="85">
        <f t="shared" si="423"/>
        <v>0</v>
      </c>
      <c r="F369" s="85">
        <f t="shared" si="423"/>
        <v>0</v>
      </c>
      <c r="G369" s="85">
        <f t="shared" si="423"/>
        <v>0</v>
      </c>
      <c r="H369" s="85">
        <f t="shared" si="423"/>
        <v>0</v>
      </c>
      <c r="I369" s="100"/>
      <c r="J369" s="100"/>
      <c r="K369" s="100"/>
    </row>
    <row r="370" spans="1:16" x14ac:dyDescent="0.25">
      <c r="A370" s="334" t="s">
        <v>60</v>
      </c>
      <c r="B370" s="124">
        <f t="shared" ref="B370:H370" si="424">+B368/12</f>
        <v>0</v>
      </c>
      <c r="C370" s="125">
        <f t="shared" si="424"/>
        <v>0</v>
      </c>
      <c r="D370" s="124">
        <f t="shared" si="424"/>
        <v>0</v>
      </c>
      <c r="E370" s="124">
        <f t="shared" si="424"/>
        <v>0</v>
      </c>
      <c r="F370" s="124">
        <f t="shared" si="424"/>
        <v>0</v>
      </c>
      <c r="G370" s="124">
        <f t="shared" si="424"/>
        <v>0</v>
      </c>
      <c r="H370" s="124">
        <f t="shared" si="424"/>
        <v>0</v>
      </c>
      <c r="I370" s="100"/>
      <c r="J370" s="100"/>
      <c r="K370" s="100"/>
    </row>
    <row r="371" spans="1:16" x14ac:dyDescent="0.25">
      <c r="A371" s="333" t="s">
        <v>21</v>
      </c>
      <c r="B371" s="485">
        <f t="shared" ref="B371:H371" si="425">IF($B$3="NIH",IF(IF($I367=9,ROUND(B367*B369,0),IF($I367=12,ROUND((B367*B369*$N$41)+(C367*B369*$N$42),0),0))&lt;IF($I367=9,ROUND($M$13*B369,0),IF($I367=12,ROUND(($M$14*B369*$N$41)+($M$14*B369*$N$42),0),0)),IF($I367=9,ROUND(B367*B369,0),IF($I367=12,ROUND((B367*B369*$N$41)+(C367*B369*$N$42),0),0)),IF($I367=9,ROUND($M$13*B369,0),IF($I367=12,ROUND(($M$14*B369*$N$41)+($M$14*B369*$N$42),0),0))),IF($I367=9,ROUND(B367*B369,0),IF($I367=12,ROUND((B367*B369*$N$41)+(C367*B369*$N$42),0),0)))</f>
        <v>0</v>
      </c>
      <c r="C371" s="485">
        <f t="shared" si="425"/>
        <v>0</v>
      </c>
      <c r="D371" s="485">
        <f t="shared" si="425"/>
        <v>0</v>
      </c>
      <c r="E371" s="485">
        <f t="shared" si="425"/>
        <v>0</v>
      </c>
      <c r="F371" s="485">
        <f t="shared" si="425"/>
        <v>0</v>
      </c>
      <c r="G371" s="485">
        <f t="shared" si="425"/>
        <v>0</v>
      </c>
      <c r="H371" s="485">
        <f t="shared" si="425"/>
        <v>0</v>
      </c>
      <c r="I371" s="100"/>
      <c r="J371" s="100"/>
      <c r="K371" s="100"/>
    </row>
    <row r="372" spans="1:16" x14ac:dyDescent="0.25">
      <c r="A372" s="722" t="str">
        <f>IF($B$3="NIH",IF(I367=9,CONCATENATE("NIH ",I367," Month Salary Cap = ",TEXT($M$13,"$0,000")),IF(I367=12,CONCATENATE("NIH ",I367," Month Salary Cap = ",TEXT($M$14,"$0,000")),"N/A"))," ")</f>
        <v xml:space="preserve"> </v>
      </c>
      <c r="I372" s="100"/>
      <c r="J372" s="100"/>
      <c r="K372" s="100"/>
    </row>
    <row r="373" spans="1:16" x14ac:dyDescent="0.25">
      <c r="A373" s="334" t="s">
        <v>189</v>
      </c>
      <c r="B373" s="86">
        <v>0</v>
      </c>
      <c r="C373" s="86">
        <v>0</v>
      </c>
      <c r="D373" s="86">
        <v>0</v>
      </c>
      <c r="E373" s="86">
        <v>0</v>
      </c>
      <c r="F373" s="86">
        <v>0</v>
      </c>
      <c r="G373" s="86">
        <v>0</v>
      </c>
      <c r="H373" s="86">
        <v>0</v>
      </c>
      <c r="I373" s="100"/>
      <c r="J373" s="100"/>
      <c r="K373" s="100"/>
    </row>
    <row r="374" spans="1:16" x14ac:dyDescent="0.25">
      <c r="A374" s="334" t="str">
        <f>CONCATENATE("FTE for ",I367," Months")</f>
        <v>FTE for 9 Months</v>
      </c>
      <c r="B374" s="85">
        <f t="shared" ref="B374" si="426">+B373/$I367</f>
        <v>0</v>
      </c>
      <c r="C374" s="85">
        <f t="shared" ref="C374" si="427">+C373/$I367</f>
        <v>0</v>
      </c>
      <c r="D374" s="85">
        <f t="shared" ref="D374" si="428">+D373/$I367</f>
        <v>0</v>
      </c>
      <c r="E374" s="85">
        <f t="shared" ref="E374" si="429">+E373/$I367</f>
        <v>0</v>
      </c>
      <c r="F374" s="85">
        <f t="shared" ref="F374" si="430">+F373/$I367</f>
        <v>0</v>
      </c>
      <c r="G374" s="85">
        <f t="shared" ref="G374" si="431">+G373/$I367</f>
        <v>0</v>
      </c>
      <c r="H374" s="85">
        <f t="shared" ref="H374" si="432">+H373/$I367</f>
        <v>0</v>
      </c>
      <c r="I374" s="100"/>
      <c r="J374" s="100"/>
      <c r="K374" s="100"/>
    </row>
    <row r="375" spans="1:16" x14ac:dyDescent="0.25">
      <c r="A375" s="334" t="s">
        <v>60</v>
      </c>
      <c r="B375" s="124">
        <f t="shared" ref="B375:H375" si="433">+B373/12</f>
        <v>0</v>
      </c>
      <c r="C375" s="125">
        <f t="shared" si="433"/>
        <v>0</v>
      </c>
      <c r="D375" s="124">
        <f t="shared" si="433"/>
        <v>0</v>
      </c>
      <c r="E375" s="124">
        <f t="shared" si="433"/>
        <v>0</v>
      </c>
      <c r="F375" s="124">
        <f t="shared" si="433"/>
        <v>0</v>
      </c>
      <c r="G375" s="124">
        <f t="shared" si="433"/>
        <v>0</v>
      </c>
      <c r="H375" s="124">
        <f t="shared" si="433"/>
        <v>0</v>
      </c>
      <c r="I375" s="100"/>
      <c r="J375" s="100"/>
      <c r="K375" s="100"/>
    </row>
    <row r="376" spans="1:16" x14ac:dyDescent="0.25">
      <c r="A376" s="334" t="s">
        <v>204</v>
      </c>
      <c r="B376" s="119">
        <f t="shared" ref="B376:H376" si="434">IF($I367=9,ROUND(B367*B374,0),IF($I367=12,ROUND((B367*B374*$N$41)+(C367*B374*$N$42),0),0))</f>
        <v>0</v>
      </c>
      <c r="C376" s="119">
        <f t="shared" si="434"/>
        <v>0</v>
      </c>
      <c r="D376" s="119">
        <f t="shared" si="434"/>
        <v>0</v>
      </c>
      <c r="E376" s="119">
        <f t="shared" si="434"/>
        <v>0</v>
      </c>
      <c r="F376" s="119">
        <f t="shared" si="434"/>
        <v>0</v>
      </c>
      <c r="G376" s="119">
        <f t="shared" si="434"/>
        <v>0</v>
      </c>
      <c r="H376" s="119">
        <f t="shared" si="434"/>
        <v>0</v>
      </c>
      <c r="I376" s="100"/>
      <c r="J376" s="100"/>
      <c r="K376" s="100"/>
    </row>
    <row r="377" spans="1:16" x14ac:dyDescent="0.25">
      <c r="A377" s="334" t="str">
        <f>IF($B$3="NIH", "Over the Salary Limit", " ")</f>
        <v xml:space="preserve"> </v>
      </c>
      <c r="B377" s="486">
        <f>IF($B$3="NIH",IF(AND($I367=9,B367&lt;$M$13),0,IF(AND($I367=9,B367&gt;=$M$13),ROUND((B367*B369)-($M$13*B369),0),IF(AND($I367=12,B367&lt;$M$14),0,IF(AND($I367=12,B367&gt;=$M$14),ROUND(((B367*B369*$N$41)+(C367*B369*$N$42))-($M$14*B369),0))))),0)</f>
        <v>0</v>
      </c>
      <c r="C377" s="486">
        <f t="shared" ref="C377:H377" si="435">IF($B$3="NIH",IF(AND($I367=9,C367&lt;$M$13),0,IF(AND($I367=9,C367&gt;=$M$13),ROUND((C367*C369)-($M$13*C369),0),IF(AND($I367=12,C367&lt;$M$14),0,IF(AND($I367=12,C367&gt;=$M$14),ROUND(((C367*C369*$N$41)+(D367*C369*$N$42))-($M$14*C369),0))))),0)</f>
        <v>0</v>
      </c>
      <c r="D377" s="486">
        <f t="shared" si="435"/>
        <v>0</v>
      </c>
      <c r="E377" s="486">
        <f t="shared" si="435"/>
        <v>0</v>
      </c>
      <c r="F377" s="486">
        <f t="shared" si="435"/>
        <v>0</v>
      </c>
      <c r="G377" s="486">
        <f t="shared" si="435"/>
        <v>0</v>
      </c>
      <c r="H377" s="486">
        <f t="shared" si="435"/>
        <v>0</v>
      </c>
      <c r="I377" s="100"/>
      <c r="J377" s="100"/>
      <c r="K377" s="100"/>
    </row>
    <row r="378" spans="1:16" x14ac:dyDescent="0.25">
      <c r="A378" s="325"/>
      <c r="I378" s="100"/>
      <c r="J378" s="100"/>
      <c r="K378" s="100"/>
    </row>
    <row r="379" spans="1:16" x14ac:dyDescent="0.25">
      <c r="A379" s="331" t="str">
        <f>CONCATENATE("Calculation based on ",I381," month salary")</f>
        <v>Calculation based on 9 month salary</v>
      </c>
      <c r="B379" s="113" t="str">
        <f t="shared" ref="B379:H379" si="436">IF(AND(B380=$Z$5,$I381=9),$Z$3,IF(AND(B380=$AA$5,$I381=9),$AA$3,IF(AND(B380=$AB$5,$I381=9),$AB$3,IF(AND(B380=$AC$5,$I381=9),$AC$3,IF(AND(B380=$AD$5,$I381=9),$AD$3,IF(AND(B380=$Z$4,$I381=12),$Z$3,IF(AND(B380=$AA$4,$I381=12),$AA$3,IF(AND(B380=$AB$4,$I381=12),$AB$3,IF(AND(B380=$AC$4,$I381=12),$AC$3,IF(AND(B380=$AD$4,$I381=12),$AD$3," "))))))))))</f>
        <v xml:space="preserve"> </v>
      </c>
      <c r="C379" s="113" t="str">
        <f t="shared" si="436"/>
        <v>Year 1</v>
      </c>
      <c r="D379" s="113" t="str">
        <f t="shared" si="436"/>
        <v>Year 2</v>
      </c>
      <c r="E379" s="113" t="str">
        <f t="shared" si="436"/>
        <v>Year 3</v>
      </c>
      <c r="F379" s="113" t="str">
        <f t="shared" si="436"/>
        <v>Year 4</v>
      </c>
      <c r="G379" s="113" t="str">
        <f t="shared" si="436"/>
        <v>Year 5</v>
      </c>
      <c r="H379" s="113" t="str">
        <f t="shared" si="436"/>
        <v xml:space="preserve"> </v>
      </c>
      <c r="I379" s="100"/>
      <c r="J379" s="100"/>
      <c r="K379" s="100"/>
      <c r="P379" s="47"/>
    </row>
    <row r="380" spans="1:16" x14ac:dyDescent="0.25">
      <c r="A380" s="332" t="str">
        <f>+B346</f>
        <v>Co-PI</v>
      </c>
      <c r="B380" s="84" t="str">
        <f>+M$2</f>
        <v>FY2023</v>
      </c>
      <c r="C380" s="84" t="str">
        <f t="shared" ref="C380" si="437">+N$2</f>
        <v>FY2024</v>
      </c>
      <c r="D380" s="84" t="str">
        <f t="shared" ref="D380" si="438">+O$2</f>
        <v>FY2025</v>
      </c>
      <c r="E380" s="84" t="str">
        <f t="shared" ref="E380" si="439">+P$2</f>
        <v>FY2026</v>
      </c>
      <c r="F380" s="84" t="str">
        <f t="shared" ref="F380" si="440">+Q$2</f>
        <v>FY2027</v>
      </c>
      <c r="G380" s="84" t="str">
        <f t="shared" ref="G380" si="441">+R$2</f>
        <v>FY2028</v>
      </c>
      <c r="H380" s="84" t="str">
        <f t="shared" ref="H380" si="442">+S$2</f>
        <v>FY2029</v>
      </c>
      <c r="I380" s="56" t="s">
        <v>20</v>
      </c>
      <c r="J380" s="100" t="s">
        <v>77</v>
      </c>
      <c r="K380" s="100"/>
      <c r="P380" s="47"/>
    </row>
    <row r="381" spans="1:16" x14ac:dyDescent="0.25">
      <c r="A381" s="333" t="str">
        <f>CONCATENATE("Base Salary: ",I381," month term")</f>
        <v>Base Salary: 9 month term</v>
      </c>
      <c r="B381" s="93">
        <v>0</v>
      </c>
      <c r="C381" s="118">
        <f>ROUND(+B381*(1+J381),0)</f>
        <v>0</v>
      </c>
      <c r="D381" s="118">
        <f>ROUND(+C381*(1+J381),0)</f>
        <v>0</v>
      </c>
      <c r="E381" s="118">
        <f>ROUND(+D381*(1+J381),0)</f>
        <v>0</v>
      </c>
      <c r="F381" s="118">
        <f>ROUND(+E381*(1+J381),0)</f>
        <v>0</v>
      </c>
      <c r="G381" s="118">
        <f>ROUND(+F381*(1+J381),0)</f>
        <v>0</v>
      </c>
      <c r="H381" s="118">
        <f>ROUND(+G381*(1+J381),0)</f>
        <v>0</v>
      </c>
      <c r="I381" s="74">
        <v>9</v>
      </c>
      <c r="J381" s="81">
        <v>0.03</v>
      </c>
      <c r="K381" s="81"/>
      <c r="P381" s="47"/>
    </row>
    <row r="382" spans="1:16" x14ac:dyDescent="0.25">
      <c r="A382" s="333" t="s">
        <v>49</v>
      </c>
      <c r="B382" s="86">
        <v>0</v>
      </c>
      <c r="C382" s="86">
        <v>0</v>
      </c>
      <c r="D382" s="86">
        <v>0</v>
      </c>
      <c r="E382" s="86">
        <v>0</v>
      </c>
      <c r="F382" s="86">
        <v>0</v>
      </c>
      <c r="G382" s="86">
        <v>0</v>
      </c>
      <c r="H382" s="86">
        <v>0</v>
      </c>
      <c r="I382" s="49"/>
      <c r="J382" s="49"/>
      <c r="K382" s="49"/>
    </row>
    <row r="383" spans="1:16" x14ac:dyDescent="0.25">
      <c r="A383" s="333" t="str">
        <f>CONCATENATE("FTE for ",I381," Months")</f>
        <v>FTE for 9 Months</v>
      </c>
      <c r="B383" s="85">
        <f t="shared" ref="B383:H383" si="443">+B382/$I381</f>
        <v>0</v>
      </c>
      <c r="C383" s="85">
        <f t="shared" si="443"/>
        <v>0</v>
      </c>
      <c r="D383" s="85">
        <f t="shared" si="443"/>
        <v>0</v>
      </c>
      <c r="E383" s="85">
        <f t="shared" si="443"/>
        <v>0</v>
      </c>
      <c r="F383" s="85">
        <f t="shared" si="443"/>
        <v>0</v>
      </c>
      <c r="G383" s="85">
        <f t="shared" si="443"/>
        <v>0</v>
      </c>
      <c r="H383" s="85">
        <f t="shared" si="443"/>
        <v>0</v>
      </c>
      <c r="I383" s="100"/>
      <c r="J383" s="100"/>
      <c r="K383" s="100"/>
    </row>
    <row r="384" spans="1:16" x14ac:dyDescent="0.25">
      <c r="A384" s="334" t="s">
        <v>60</v>
      </c>
      <c r="B384" s="124">
        <f>+B382/12</f>
        <v>0</v>
      </c>
      <c r="C384" s="125">
        <f>+C382/12</f>
        <v>0</v>
      </c>
      <c r="D384" s="124">
        <f t="shared" ref="D384:H384" si="444">+D382/12</f>
        <v>0</v>
      </c>
      <c r="E384" s="124">
        <f t="shared" si="444"/>
        <v>0</v>
      </c>
      <c r="F384" s="124">
        <f t="shared" si="444"/>
        <v>0</v>
      </c>
      <c r="G384" s="124">
        <f t="shared" si="444"/>
        <v>0</v>
      </c>
      <c r="H384" s="124">
        <f t="shared" si="444"/>
        <v>0</v>
      </c>
      <c r="I384" s="100"/>
      <c r="J384" s="100"/>
      <c r="K384" s="100"/>
    </row>
    <row r="385" spans="1:17" x14ac:dyDescent="0.25">
      <c r="A385" s="333" t="s">
        <v>21</v>
      </c>
      <c r="B385" s="485">
        <f t="shared" ref="B385:H385" si="445">IF($B$3="NIH",IF(IF($I381=9,ROUND(B381*B383,0),IF($I381=12,ROUND((B381*B383*$N$41)+(C381*B383*$N$42),0),0))&lt;IF($I381=9,ROUND($M$13*B383,0),IF($I381=12,ROUND(($M$14*B383*$N$41)+($M$14*B383*$N$42),0),0)),IF($I381=9,ROUND(B381*B383,0),IF($I381=12,ROUND((B381*B383*$N$41)+(C381*B383*$N$42),0),0)),IF($I381=9,ROUND($M$13*B383,0),IF($I381=12,ROUND(($M$14*B383*$N$41)+($M$14*B383*$N$42),0),0))),IF($I381=9,ROUND(B381*B383,0),IF($I381=12,ROUND((B381*B383*$N$41)+(C381*B383*$N$42),0),0)))</f>
        <v>0</v>
      </c>
      <c r="C385" s="485">
        <f t="shared" si="445"/>
        <v>0</v>
      </c>
      <c r="D385" s="485">
        <f t="shared" si="445"/>
        <v>0</v>
      </c>
      <c r="E385" s="485">
        <f t="shared" si="445"/>
        <v>0</v>
      </c>
      <c r="F385" s="485">
        <f t="shared" si="445"/>
        <v>0</v>
      </c>
      <c r="G385" s="485">
        <f t="shared" si="445"/>
        <v>0</v>
      </c>
      <c r="H385" s="485">
        <f t="shared" si="445"/>
        <v>0</v>
      </c>
      <c r="I385" s="100"/>
      <c r="J385" s="100"/>
      <c r="K385" s="100"/>
    </row>
    <row r="386" spans="1:17" x14ac:dyDescent="0.25">
      <c r="A386" s="722" t="str">
        <f>IF($B$3="NIH",IF(I381=9,CONCATENATE("NIH ",I381," Month Salary Cap = ",TEXT($M$13,"$0,000")),IF(I381=12,CONCATENATE("NIH ",I381," Month Salary Cap = ",TEXT($M$14,"$0,000")),"N/A"))," ")</f>
        <v xml:space="preserve"> </v>
      </c>
      <c r="I386" s="100"/>
      <c r="J386" s="100"/>
      <c r="K386" s="100"/>
    </row>
    <row r="387" spans="1:17" x14ac:dyDescent="0.25">
      <c r="A387" s="334" t="s">
        <v>189</v>
      </c>
      <c r="B387" s="86">
        <v>0</v>
      </c>
      <c r="C387" s="86">
        <v>0</v>
      </c>
      <c r="D387" s="86">
        <v>0</v>
      </c>
      <c r="E387" s="86">
        <v>0</v>
      </c>
      <c r="F387" s="86">
        <v>0</v>
      </c>
      <c r="G387" s="86">
        <v>0</v>
      </c>
      <c r="H387" s="86">
        <v>0</v>
      </c>
      <c r="I387" s="100"/>
      <c r="J387" s="100"/>
      <c r="K387" s="100"/>
    </row>
    <row r="388" spans="1:17" x14ac:dyDescent="0.25">
      <c r="A388" s="334" t="str">
        <f>CONCATENATE("FTE for ",I381," Months")</f>
        <v>FTE for 9 Months</v>
      </c>
      <c r="B388" s="85">
        <f t="shared" ref="B388" si="446">+B387/$I381</f>
        <v>0</v>
      </c>
      <c r="C388" s="85">
        <f t="shared" ref="C388" si="447">+C387/$I381</f>
        <v>0</v>
      </c>
      <c r="D388" s="85">
        <f t="shared" ref="D388" si="448">+D387/$I381</f>
        <v>0</v>
      </c>
      <c r="E388" s="85">
        <f t="shared" ref="E388" si="449">+E387/$I381</f>
        <v>0</v>
      </c>
      <c r="F388" s="85">
        <f t="shared" ref="F388" si="450">+F387/$I381</f>
        <v>0</v>
      </c>
      <c r="G388" s="85">
        <f t="shared" ref="G388" si="451">+G387/$I381</f>
        <v>0</v>
      </c>
      <c r="H388" s="85">
        <f t="shared" ref="H388" si="452">+H387/$I381</f>
        <v>0</v>
      </c>
      <c r="I388" s="100"/>
      <c r="J388" s="100"/>
      <c r="K388" s="100"/>
    </row>
    <row r="389" spans="1:17" x14ac:dyDescent="0.25">
      <c r="A389" s="334" t="s">
        <v>60</v>
      </c>
      <c r="B389" s="124">
        <f t="shared" ref="B389:H389" si="453">+B387/12</f>
        <v>0</v>
      </c>
      <c r="C389" s="125">
        <f t="shared" si="453"/>
        <v>0</v>
      </c>
      <c r="D389" s="124">
        <f t="shared" si="453"/>
        <v>0</v>
      </c>
      <c r="E389" s="124">
        <f t="shared" si="453"/>
        <v>0</v>
      </c>
      <c r="F389" s="124">
        <f t="shared" si="453"/>
        <v>0</v>
      </c>
      <c r="G389" s="124">
        <f t="shared" si="453"/>
        <v>0</v>
      </c>
      <c r="H389" s="124">
        <f t="shared" si="453"/>
        <v>0</v>
      </c>
      <c r="I389" s="100"/>
      <c r="J389" s="100"/>
      <c r="K389" s="100"/>
    </row>
    <row r="390" spans="1:17" x14ac:dyDescent="0.25">
      <c r="A390" s="334" t="s">
        <v>204</v>
      </c>
      <c r="B390" s="119">
        <f t="shared" ref="B390:H390" si="454">IF($I381=9,ROUND(B381*B388,0),IF($I381=12,ROUND((B381*B388*$N$41)+(C381*B388*$N$42),0),0))</f>
        <v>0</v>
      </c>
      <c r="C390" s="119">
        <f t="shared" si="454"/>
        <v>0</v>
      </c>
      <c r="D390" s="119">
        <f t="shared" si="454"/>
        <v>0</v>
      </c>
      <c r="E390" s="119">
        <f t="shared" si="454"/>
        <v>0</v>
      </c>
      <c r="F390" s="119">
        <f t="shared" si="454"/>
        <v>0</v>
      </c>
      <c r="G390" s="119">
        <f t="shared" si="454"/>
        <v>0</v>
      </c>
      <c r="H390" s="119">
        <f t="shared" si="454"/>
        <v>0</v>
      </c>
      <c r="I390" s="100"/>
      <c r="J390" s="100"/>
      <c r="K390" s="100"/>
    </row>
    <row r="391" spans="1:17" x14ac:dyDescent="0.25">
      <c r="A391" s="334" t="str">
        <f>IF($B$3="NIH", "Over the Salary Limit", " ")</f>
        <v xml:space="preserve"> </v>
      </c>
      <c r="B391" s="486">
        <f>IF($B$3="NIH",IF(AND($I381=9,B381&lt;$M$13),0,IF(AND($I381=9,B381&gt;=$M$13),ROUND((B381*B383)-($M$13*B383),0),IF(AND($I381=12,B381&lt;$M$14),0,IF(AND($I381=12,B381&gt;=$M$14),ROUND(((B381*B383*$N$41)+(C381*B383*$N$42))-($M$14*B383),0))))),0)</f>
        <v>0</v>
      </c>
      <c r="C391" s="486">
        <f t="shared" ref="C391:H391" si="455">IF($B$3="NIH",IF(AND($I381=9,C381&lt;$M$13),0,IF(AND($I381=9,C381&gt;=$M$13),ROUND((C381*C383)-($M$13*C383),0),IF(AND($I381=12,C381&lt;$M$14),0,IF(AND($I381=12,C381&gt;=$M$14),ROUND(((C381*C383*$N$41)+(D381*C383*$N$42))-($M$14*C383),0))))),0)</f>
        <v>0</v>
      </c>
      <c r="D391" s="486">
        <f t="shared" si="455"/>
        <v>0</v>
      </c>
      <c r="E391" s="486">
        <f t="shared" si="455"/>
        <v>0</v>
      </c>
      <c r="F391" s="486">
        <f t="shared" si="455"/>
        <v>0</v>
      </c>
      <c r="G391" s="486">
        <f t="shared" si="455"/>
        <v>0</v>
      </c>
      <c r="H391" s="486">
        <f t="shared" si="455"/>
        <v>0</v>
      </c>
      <c r="I391" s="100"/>
      <c r="J391" s="100"/>
      <c r="K391" s="100"/>
    </row>
    <row r="392" spans="1:17" x14ac:dyDescent="0.25">
      <c r="A392" s="333"/>
      <c r="B392" s="49"/>
      <c r="C392" s="49"/>
      <c r="D392" s="49"/>
      <c r="E392" s="49"/>
      <c r="F392" s="49"/>
      <c r="G392" s="49"/>
      <c r="H392" s="49"/>
      <c r="I392" s="100"/>
      <c r="J392" s="100"/>
      <c r="K392" s="100"/>
      <c r="L392" s="50"/>
      <c r="M392" s="47"/>
      <c r="N392" s="47"/>
      <c r="O392" s="47"/>
      <c r="P392" s="47"/>
      <c r="Q392" s="47"/>
    </row>
    <row r="393" spans="1:17" x14ac:dyDescent="0.25">
      <c r="A393" s="331" t="str">
        <f>CONCATENATE("Calculation based on ",I395," month salary")</f>
        <v>Calculation based on 9 month salary</v>
      </c>
      <c r="B393" s="113" t="str">
        <f t="shared" ref="B393:H393" si="456">IF(AND(B394=$Z$5,$I395=9),$Z$3,IF(AND(B394=$AA$5,$I395=9),$AA$3,IF(AND(B394=$AB$5,$I395=9),$AB$3,IF(AND(B394=$AC$5,$I395=9),$AC$3,IF(AND(B394=$AD$5,$I395=9),$AD$3,IF(AND(B394=$Z$4,$I395=12),$Z$3,IF(AND(B394=$AA$4,$I395=12),$AA$3,IF(AND(B394=$AB$4,$I395=12),$AB$3,IF(AND(B394=$AC$4,$I395=12),$AC$3,IF(AND(B394=$AD$4,$I395=12),$AD$3," "))))))))))</f>
        <v xml:space="preserve"> </v>
      </c>
      <c r="C393" s="113" t="str">
        <f t="shared" si="456"/>
        <v>Year 1</v>
      </c>
      <c r="D393" s="113" t="str">
        <f t="shared" si="456"/>
        <v>Year 2</v>
      </c>
      <c r="E393" s="113" t="str">
        <f t="shared" si="456"/>
        <v>Year 3</v>
      </c>
      <c r="F393" s="113" t="str">
        <f t="shared" si="456"/>
        <v>Year 4</v>
      </c>
      <c r="G393" s="113" t="str">
        <f t="shared" si="456"/>
        <v>Year 5</v>
      </c>
      <c r="H393" s="113" t="str">
        <f t="shared" si="456"/>
        <v xml:space="preserve"> </v>
      </c>
      <c r="I393" s="100"/>
      <c r="J393" s="100"/>
      <c r="K393" s="100"/>
      <c r="L393" s="50"/>
      <c r="M393" s="47"/>
      <c r="N393" s="47"/>
      <c r="O393" s="47"/>
      <c r="P393" s="47"/>
      <c r="Q393" s="47"/>
    </row>
    <row r="394" spans="1:17" x14ac:dyDescent="0.25">
      <c r="A394" s="332" t="str">
        <f>+B347</f>
        <v>Co-PI</v>
      </c>
      <c r="B394" s="84" t="str">
        <f>+M$2</f>
        <v>FY2023</v>
      </c>
      <c r="C394" s="84" t="str">
        <f t="shared" ref="C394" si="457">+N$2</f>
        <v>FY2024</v>
      </c>
      <c r="D394" s="84" t="str">
        <f t="shared" ref="D394" si="458">+O$2</f>
        <v>FY2025</v>
      </c>
      <c r="E394" s="84" t="str">
        <f t="shared" ref="E394" si="459">+P$2</f>
        <v>FY2026</v>
      </c>
      <c r="F394" s="84" t="str">
        <f t="shared" ref="F394" si="460">+Q$2</f>
        <v>FY2027</v>
      </c>
      <c r="G394" s="84" t="str">
        <f t="shared" ref="G394" si="461">+R$2</f>
        <v>FY2028</v>
      </c>
      <c r="H394" s="84" t="str">
        <f t="shared" ref="H394" si="462">+S$2</f>
        <v>FY2029</v>
      </c>
      <c r="I394" s="56" t="s">
        <v>20</v>
      </c>
      <c r="J394" s="100" t="s">
        <v>77</v>
      </c>
      <c r="K394" s="100"/>
      <c r="L394" s="50"/>
      <c r="M394" s="47"/>
      <c r="N394" s="47"/>
      <c r="O394" s="47"/>
      <c r="P394" s="47"/>
      <c r="Q394" s="47"/>
    </row>
    <row r="395" spans="1:17" x14ac:dyDescent="0.25">
      <c r="A395" s="333" t="str">
        <f>CONCATENATE("Base Salary: ",I395," month term")</f>
        <v>Base Salary: 9 month term</v>
      </c>
      <c r="B395" s="93">
        <v>0</v>
      </c>
      <c r="C395" s="118">
        <f>ROUND(+B395*(1+J395),0)</f>
        <v>0</v>
      </c>
      <c r="D395" s="118">
        <f>ROUND(+C395*(1+J395),0)</f>
        <v>0</v>
      </c>
      <c r="E395" s="118">
        <f>ROUND(+D395*(1+J395),0)</f>
        <v>0</v>
      </c>
      <c r="F395" s="118">
        <f>ROUND(+E395*(1+J395),0)</f>
        <v>0</v>
      </c>
      <c r="G395" s="118">
        <f>ROUND(+F395*(1+J395),0)</f>
        <v>0</v>
      </c>
      <c r="H395" s="118">
        <f>ROUND(+G395*(1+J395),0)</f>
        <v>0</v>
      </c>
      <c r="I395" s="74">
        <v>9</v>
      </c>
      <c r="J395" s="81">
        <v>0.03</v>
      </c>
      <c r="K395" s="100"/>
      <c r="L395" s="50"/>
      <c r="M395" s="47"/>
      <c r="N395" s="47"/>
      <c r="O395" s="47"/>
      <c r="P395" s="47"/>
      <c r="Q395" s="47"/>
    </row>
    <row r="396" spans="1:17" x14ac:dyDescent="0.25">
      <c r="A396" s="333" t="s">
        <v>49</v>
      </c>
      <c r="B396" s="86">
        <v>0</v>
      </c>
      <c r="C396" s="86">
        <v>0</v>
      </c>
      <c r="D396" s="86">
        <v>0</v>
      </c>
      <c r="E396" s="86">
        <v>0</v>
      </c>
      <c r="F396" s="86">
        <v>0</v>
      </c>
      <c r="G396" s="86">
        <v>0</v>
      </c>
      <c r="H396" s="86">
        <v>0</v>
      </c>
      <c r="I396" s="49"/>
      <c r="J396" s="49"/>
      <c r="K396" s="100"/>
      <c r="L396" s="50"/>
      <c r="M396" s="47"/>
      <c r="N396" s="47"/>
      <c r="O396" s="47"/>
      <c r="P396" s="47"/>
      <c r="Q396" s="47"/>
    </row>
    <row r="397" spans="1:17" x14ac:dyDescent="0.25">
      <c r="A397" s="333" t="str">
        <f>CONCATENATE("FTE for ",I395," Months")</f>
        <v>FTE for 9 Months</v>
      </c>
      <c r="B397" s="85">
        <f t="shared" ref="B397:H397" si="463">+B396/$I395</f>
        <v>0</v>
      </c>
      <c r="C397" s="85">
        <f t="shared" si="463"/>
        <v>0</v>
      </c>
      <c r="D397" s="85">
        <f t="shared" si="463"/>
        <v>0</v>
      </c>
      <c r="E397" s="85">
        <f t="shared" si="463"/>
        <v>0</v>
      </c>
      <c r="F397" s="85">
        <f t="shared" si="463"/>
        <v>0</v>
      </c>
      <c r="G397" s="85">
        <f t="shared" si="463"/>
        <v>0</v>
      </c>
      <c r="H397" s="85">
        <f t="shared" si="463"/>
        <v>0</v>
      </c>
      <c r="I397" s="100"/>
      <c r="J397" s="100"/>
      <c r="K397" s="100"/>
      <c r="L397" s="50"/>
      <c r="M397" s="47"/>
      <c r="N397" s="47"/>
      <c r="O397" s="47"/>
      <c r="P397" s="47"/>
      <c r="Q397" s="47"/>
    </row>
    <row r="398" spans="1:17" x14ac:dyDescent="0.25">
      <c r="A398" s="334" t="s">
        <v>60</v>
      </c>
      <c r="B398" s="124">
        <f>+B396/12</f>
        <v>0</v>
      </c>
      <c r="C398" s="125">
        <f>+C396/12</f>
        <v>0</v>
      </c>
      <c r="D398" s="124">
        <f t="shared" ref="D398:H398" si="464">+D396/12</f>
        <v>0</v>
      </c>
      <c r="E398" s="124">
        <f t="shared" si="464"/>
        <v>0</v>
      </c>
      <c r="F398" s="124">
        <f t="shared" si="464"/>
        <v>0</v>
      </c>
      <c r="G398" s="124">
        <f t="shared" si="464"/>
        <v>0</v>
      </c>
      <c r="H398" s="124">
        <f t="shared" si="464"/>
        <v>0</v>
      </c>
      <c r="I398" s="100"/>
      <c r="J398" s="100"/>
      <c r="K398" s="100"/>
      <c r="L398" s="50"/>
      <c r="M398" s="47"/>
      <c r="N398" s="47"/>
      <c r="O398" s="47"/>
      <c r="P398" s="47"/>
      <c r="Q398" s="47"/>
    </row>
    <row r="399" spans="1:17" x14ac:dyDescent="0.25">
      <c r="A399" s="333" t="s">
        <v>21</v>
      </c>
      <c r="B399" s="485">
        <f t="shared" ref="B399:H399" si="465">IF($B$3="NIH",IF(IF($I395=9,ROUND(B395*B397,0),IF($I395=12,ROUND((B395*B397*$N$41)+(C395*B397*$N$42),0),0))&lt;IF($I395=9,ROUND($M$13*B397,0),IF($I395=12,ROUND(($M$14*B397*$N$41)+($M$14*B397*$N$42),0),0)),IF($I395=9,ROUND(B395*B397,0),IF($I395=12,ROUND((B395*B397*$N$41)+(C395*B397*$N$42),0),0)),IF($I395=9,ROUND($M$13*B397,0),IF($I395=12,ROUND(($M$14*B397*$N$41)+($M$14*B397*$N$42),0),0))),IF($I395=9,ROUND(B395*B397,0),IF($I395=12,ROUND((B395*B397*$N$41)+(C395*B397*$N$42),0),0)))</f>
        <v>0</v>
      </c>
      <c r="C399" s="485">
        <f t="shared" si="465"/>
        <v>0</v>
      </c>
      <c r="D399" s="485">
        <f t="shared" si="465"/>
        <v>0</v>
      </c>
      <c r="E399" s="485">
        <f t="shared" si="465"/>
        <v>0</v>
      </c>
      <c r="F399" s="485">
        <f t="shared" si="465"/>
        <v>0</v>
      </c>
      <c r="G399" s="485">
        <f t="shared" si="465"/>
        <v>0</v>
      </c>
      <c r="H399" s="485">
        <f t="shared" si="465"/>
        <v>0</v>
      </c>
      <c r="I399" s="100"/>
      <c r="J399" s="100"/>
      <c r="K399" s="100"/>
    </row>
    <row r="400" spans="1:17" x14ac:dyDescent="0.25">
      <c r="A400" s="722" t="str">
        <f>IF($B$3="NIH",IF(I395=9,CONCATENATE("NIH ",I395," Month Salary Cap = ",TEXT($M$13,"$0,000")),IF(I395=12,CONCATENATE("NIH ",I395," Month Salary Cap = ",TEXT($M$14,"$0,000")),"N/A"))," ")</f>
        <v xml:space="preserve"> </v>
      </c>
      <c r="K400" s="100"/>
    </row>
    <row r="401" spans="1:20" x14ac:dyDescent="0.25">
      <c r="A401" s="334" t="s">
        <v>189</v>
      </c>
      <c r="B401" s="86">
        <v>0</v>
      </c>
      <c r="C401" s="86">
        <v>0</v>
      </c>
      <c r="D401" s="86">
        <v>0</v>
      </c>
      <c r="E401" s="86">
        <v>0</v>
      </c>
      <c r="F401" s="86">
        <v>0</v>
      </c>
      <c r="G401" s="86">
        <v>0</v>
      </c>
      <c r="H401" s="86">
        <v>0</v>
      </c>
      <c r="K401" s="81"/>
    </row>
    <row r="402" spans="1:20" x14ac:dyDescent="0.25">
      <c r="A402" s="334" t="str">
        <f>CONCATENATE("FTE for ",I395," Months")</f>
        <v>FTE for 9 Months</v>
      </c>
      <c r="B402" s="85">
        <f t="shared" ref="B402" si="466">+B401/$I395</f>
        <v>0</v>
      </c>
      <c r="C402" s="85">
        <f t="shared" ref="C402" si="467">+C401/$I395</f>
        <v>0</v>
      </c>
      <c r="D402" s="85">
        <f t="shared" ref="D402" si="468">+D401/$I395</f>
        <v>0</v>
      </c>
      <c r="E402" s="85">
        <f t="shared" ref="E402" si="469">+E401/$I395</f>
        <v>0</v>
      </c>
      <c r="F402" s="85">
        <f t="shared" ref="F402" si="470">+F401/$I395</f>
        <v>0</v>
      </c>
      <c r="G402" s="85">
        <f t="shared" ref="G402" si="471">+G401/$I395</f>
        <v>0</v>
      </c>
      <c r="H402" s="85">
        <f t="shared" ref="H402" si="472">+H401/$I395</f>
        <v>0</v>
      </c>
      <c r="K402" s="336"/>
      <c r="L402" s="66" t="str">
        <f>+L$25</f>
        <v>Graduate Student (Stipend, Tuition, Health Ins) - Contract College Rates:</v>
      </c>
    </row>
    <row r="403" spans="1:20" x14ac:dyDescent="0.25">
      <c r="A403" s="334" t="s">
        <v>60</v>
      </c>
      <c r="B403" s="124">
        <f t="shared" ref="B403:H403" si="473">+B401/12</f>
        <v>0</v>
      </c>
      <c r="C403" s="125">
        <f t="shared" si="473"/>
        <v>0</v>
      </c>
      <c r="D403" s="124">
        <f t="shared" si="473"/>
        <v>0</v>
      </c>
      <c r="E403" s="124">
        <f t="shared" si="473"/>
        <v>0</v>
      </c>
      <c r="F403" s="124">
        <f t="shared" si="473"/>
        <v>0</v>
      </c>
      <c r="G403" s="124">
        <f t="shared" si="473"/>
        <v>0</v>
      </c>
      <c r="H403" s="124">
        <f t="shared" si="473"/>
        <v>0</v>
      </c>
      <c r="K403" s="336"/>
      <c r="L403" s="49"/>
      <c r="M403" s="122" t="str">
        <f>+$M$29</f>
        <v>FY2023</v>
      </c>
      <c r="N403" s="122" t="str">
        <f>+$N$29</f>
        <v>FY2024</v>
      </c>
      <c r="O403" s="122" t="str">
        <f>+$O$29</f>
        <v>FY2025</v>
      </c>
      <c r="P403" s="122" t="str">
        <f>+$P$29</f>
        <v>FY2026</v>
      </c>
      <c r="Q403" s="122" t="str">
        <f>+$Q$29</f>
        <v>FY2027</v>
      </c>
      <c r="R403" s="122" t="str">
        <f>+$R$29</f>
        <v>FY2028</v>
      </c>
      <c r="S403" s="122" t="str">
        <f>+$S$29</f>
        <v>FY2029</v>
      </c>
      <c r="T403" s="123" t="s">
        <v>119</v>
      </c>
    </row>
    <row r="404" spans="1:20" x14ac:dyDescent="0.25">
      <c r="A404" s="334" t="s">
        <v>204</v>
      </c>
      <c r="B404" s="119">
        <f t="shared" ref="B404:H404" si="474">IF($I395=9,ROUND(B395*B402,0),IF($I395=12,ROUND((B395*B402*$N$41)+(C395*B402*$N$42),0),0))</f>
        <v>0</v>
      </c>
      <c r="C404" s="119">
        <f t="shared" si="474"/>
        <v>0</v>
      </c>
      <c r="D404" s="119">
        <f t="shared" si="474"/>
        <v>0</v>
      </c>
      <c r="E404" s="119">
        <f t="shared" si="474"/>
        <v>0</v>
      </c>
      <c r="F404" s="119">
        <f t="shared" si="474"/>
        <v>0</v>
      </c>
      <c r="G404" s="119">
        <f t="shared" si="474"/>
        <v>0</v>
      </c>
      <c r="H404" s="119">
        <f t="shared" si="474"/>
        <v>0</v>
      </c>
      <c r="K404" s="336"/>
      <c r="L404" s="54" t="s">
        <v>35</v>
      </c>
      <c r="M404" s="110">
        <f>+$M$30</f>
        <v>30088</v>
      </c>
      <c r="N404" s="110">
        <f>ROUND(M404*(1+$T404),0)+1</f>
        <v>31593</v>
      </c>
      <c r="O404" s="110">
        <f t="shared" ref="O404:S404" si="475">ROUND(N404*(1+$T404),0)</f>
        <v>33173</v>
      </c>
      <c r="P404" s="110">
        <f t="shared" si="475"/>
        <v>34832</v>
      </c>
      <c r="Q404" s="110">
        <f t="shared" si="475"/>
        <v>36574</v>
      </c>
      <c r="R404" s="110">
        <f t="shared" si="475"/>
        <v>38403</v>
      </c>
      <c r="S404" s="110">
        <f t="shared" si="475"/>
        <v>40323</v>
      </c>
      <c r="T404" s="55">
        <v>0.05</v>
      </c>
    </row>
    <row r="405" spans="1:20" x14ac:dyDescent="0.25">
      <c r="A405" s="334" t="str">
        <f>IF($B$3="NIH", "Over the Salary Limit", " ")</f>
        <v xml:space="preserve"> </v>
      </c>
      <c r="B405" s="486">
        <f>IF($B$3="NIH",IF(AND($I395=9,B395&lt;$M$13),0,IF(AND($I395=9,B395&gt;=$M$13),ROUND((B395*B397)-($M$13*B397),0),IF(AND($I395=12,B395&lt;$M$14),0,IF(AND($I395=12,B395&gt;=$M$14),ROUND(((B395*B397*$N$41)+(C395*B397*$N$42))-($M$14*B397),0))))),0)</f>
        <v>0</v>
      </c>
      <c r="C405" s="486">
        <f t="shared" ref="C405:H405" si="476">IF($B$3="NIH",IF(AND($I395=9,C395&lt;$M$13),0,IF(AND($I395=9,C395&gt;=$M$13),ROUND((C395*C397)-($M$13*C397),0),IF(AND($I395=12,C395&lt;$M$14),0,IF(AND($I395=12,C395&gt;=$M$14),ROUND(((C395*C397*$N$41)+(D395*C397*$N$42))-($M$14*C397),0))))),0)</f>
        <v>0</v>
      </c>
      <c r="D405" s="486">
        <f t="shared" si="476"/>
        <v>0</v>
      </c>
      <c r="E405" s="486">
        <f t="shared" si="476"/>
        <v>0</v>
      </c>
      <c r="F405" s="486">
        <f t="shared" si="476"/>
        <v>0</v>
      </c>
      <c r="G405" s="486">
        <f t="shared" si="476"/>
        <v>0</v>
      </c>
      <c r="H405" s="486">
        <f t="shared" si="476"/>
        <v>0</v>
      </c>
      <c r="K405" s="336"/>
      <c r="L405" s="54" t="s">
        <v>23</v>
      </c>
      <c r="M405" s="110">
        <f>+$M$31</f>
        <v>10029</v>
      </c>
      <c r="N405" s="110">
        <f t="shared" ref="N405:S405" si="477">ROUND(M405*(1+$T405),0)</f>
        <v>10530</v>
      </c>
      <c r="O405" s="110">
        <f t="shared" si="477"/>
        <v>11057</v>
      </c>
      <c r="P405" s="110">
        <f t="shared" si="477"/>
        <v>11610</v>
      </c>
      <c r="Q405" s="110">
        <f t="shared" si="477"/>
        <v>12191</v>
      </c>
      <c r="R405" s="110">
        <f t="shared" si="477"/>
        <v>12801</v>
      </c>
      <c r="S405" s="110">
        <f t="shared" si="477"/>
        <v>13441</v>
      </c>
      <c r="T405" s="97">
        <v>0.05</v>
      </c>
    </row>
    <row r="406" spans="1:20" x14ac:dyDescent="0.25">
      <c r="A406" s="333"/>
      <c r="B406" s="89"/>
      <c r="C406" s="89"/>
      <c r="D406" s="89"/>
      <c r="E406" s="89"/>
      <c r="F406" s="89"/>
      <c r="G406" s="89"/>
      <c r="H406" s="89"/>
      <c r="I406" s="100"/>
      <c r="J406" s="100"/>
      <c r="K406" s="336"/>
      <c r="L406" s="54" t="s">
        <v>30</v>
      </c>
      <c r="M406" s="110">
        <f>+$M$32</f>
        <v>40117</v>
      </c>
      <c r="N406" s="110">
        <f>+N404+N405</f>
        <v>42123</v>
      </c>
      <c r="O406" s="110">
        <f t="shared" ref="O406" si="478">+O404+O405</f>
        <v>44230</v>
      </c>
      <c r="P406" s="110">
        <f t="shared" ref="P406" si="479">+P404+P405</f>
        <v>46442</v>
      </c>
      <c r="Q406" s="110">
        <f t="shared" ref="Q406" si="480">+Q404+Q405</f>
        <v>48765</v>
      </c>
      <c r="R406" s="110">
        <f t="shared" ref="R406" si="481">+R404+R405</f>
        <v>51204</v>
      </c>
      <c r="S406" s="110">
        <f t="shared" ref="S406" si="482">+S404+S405</f>
        <v>53764</v>
      </c>
      <c r="T406" s="55"/>
    </row>
    <row r="407" spans="1:20" x14ac:dyDescent="0.25">
      <c r="A407" s="333"/>
      <c r="B407" s="113" t="str">
        <f t="shared" ref="B407:H407" si="483">IF(B408=$Z$4,$Z$3,IF(B408=$AA$4,$AA$3,IF(B408=$AB$4,$AB$3,IF(B408=$AC$4,$AC$3,IF(B408=$AD$4,$AD$3," ")))))</f>
        <v>Year 1</v>
      </c>
      <c r="C407" s="113" t="str">
        <f t="shared" si="483"/>
        <v>Year 2</v>
      </c>
      <c r="D407" s="113" t="str">
        <f t="shared" si="483"/>
        <v>Year 3</v>
      </c>
      <c r="E407" s="113" t="str">
        <f t="shared" si="483"/>
        <v>Year 4</v>
      </c>
      <c r="F407" s="113" t="str">
        <f t="shared" si="483"/>
        <v>Year 5</v>
      </c>
      <c r="G407" s="113" t="str">
        <f t="shared" si="483"/>
        <v xml:space="preserve"> </v>
      </c>
      <c r="H407" s="113" t="str">
        <f t="shared" si="483"/>
        <v xml:space="preserve"> </v>
      </c>
      <c r="I407" s="100"/>
      <c r="J407" s="100"/>
      <c r="K407" s="336"/>
      <c r="L407" s="54" t="s">
        <v>8</v>
      </c>
      <c r="M407" s="110">
        <f>IF(B348="Contract College",$M$33,$M$34)</f>
        <v>10400</v>
      </c>
      <c r="N407" s="110">
        <f>ROUND(M407*(1+$T407),0)</f>
        <v>10400</v>
      </c>
      <c r="O407" s="110">
        <f t="shared" ref="O407" si="484">ROUND(N407*(1+$T407),0)</f>
        <v>10400</v>
      </c>
      <c r="P407" s="110">
        <f t="shared" ref="P407" si="485">ROUND(O407*(1+$T407),0)</f>
        <v>10400</v>
      </c>
      <c r="Q407" s="110">
        <f t="shared" ref="Q407" si="486">ROUND(P407*(1+$T407),0)</f>
        <v>10400</v>
      </c>
      <c r="R407" s="110">
        <f t="shared" ref="R407" si="487">ROUND(Q407*(1+$T407),0)</f>
        <v>10400</v>
      </c>
      <c r="S407" s="110">
        <f t="shared" ref="S407" si="488">ROUND(R407*(1+$T407),0)</f>
        <v>10400</v>
      </c>
      <c r="T407" s="55">
        <v>0</v>
      </c>
    </row>
    <row r="408" spans="1:20" x14ac:dyDescent="0.25">
      <c r="A408" s="332" t="s">
        <v>120</v>
      </c>
      <c r="B408" s="84" t="str">
        <f>+M$2</f>
        <v>FY2023</v>
      </c>
      <c r="C408" s="84" t="str">
        <f t="shared" ref="C408" si="489">+N$2</f>
        <v>FY2024</v>
      </c>
      <c r="D408" s="84" t="str">
        <f t="shared" ref="D408" si="490">+O$2</f>
        <v>FY2025</v>
      </c>
      <c r="E408" s="84" t="str">
        <f t="shared" ref="E408" si="491">+P$2</f>
        <v>FY2026</v>
      </c>
      <c r="F408" s="84" t="str">
        <f t="shared" ref="F408" si="492">+Q$2</f>
        <v>FY2027</v>
      </c>
      <c r="G408" s="84" t="str">
        <f t="shared" ref="G408" si="493">+R$2</f>
        <v>FY2028</v>
      </c>
      <c r="H408" s="84" t="str">
        <f t="shared" ref="H408" si="494">+S$2</f>
        <v>FY2029</v>
      </c>
      <c r="I408" s="56" t="s">
        <v>20</v>
      </c>
      <c r="J408" s="100" t="s">
        <v>77</v>
      </c>
      <c r="K408" s="336"/>
      <c r="L408" s="54" t="s">
        <v>24</v>
      </c>
      <c r="M408" s="110">
        <f>+$M$35</f>
        <v>4046</v>
      </c>
      <c r="N408" s="110">
        <f>IF(ROUND(M408*(1+$T408),0)=$N$35,ROUND(M408*(1+$T408),0),$N$35)</f>
        <v>4451</v>
      </c>
      <c r="O408" s="110">
        <f t="shared" ref="O408:S408" si="495">ROUND(N408*(1+$T408),0)</f>
        <v>4896</v>
      </c>
      <c r="P408" s="110">
        <f t="shared" si="495"/>
        <v>5386</v>
      </c>
      <c r="Q408" s="110">
        <f t="shared" si="495"/>
        <v>5925</v>
      </c>
      <c r="R408" s="110">
        <f t="shared" si="495"/>
        <v>6518</v>
      </c>
      <c r="S408" s="110">
        <f t="shared" si="495"/>
        <v>7170</v>
      </c>
      <c r="T408" s="55">
        <v>0.1</v>
      </c>
    </row>
    <row r="409" spans="1:20" x14ac:dyDescent="0.25">
      <c r="A409" s="333" t="str">
        <f>CONCATENATE("Base Salary: ",I409," month term")</f>
        <v>Base Salary: 12 month term</v>
      </c>
      <c r="B409" s="93">
        <f>+$M$15</f>
        <v>54840</v>
      </c>
      <c r="C409" s="118">
        <f>ROUND(+B409*(1+J409),0)</f>
        <v>56759</v>
      </c>
      <c r="D409" s="118">
        <f>ROUND(+C409*(1+J409),0)</f>
        <v>58746</v>
      </c>
      <c r="E409" s="118">
        <f>ROUND(+D409*(1+J409),0)</f>
        <v>60802</v>
      </c>
      <c r="F409" s="118">
        <f>ROUND(+E409*(1+J409),0)</f>
        <v>62930</v>
      </c>
      <c r="G409" s="118">
        <f>ROUND(+F409*(1+J409),0)</f>
        <v>65133</v>
      </c>
      <c r="H409" s="118">
        <f>ROUND(+G409*(1+J409),0)</f>
        <v>67413</v>
      </c>
      <c r="I409" s="126">
        <v>12</v>
      </c>
      <c r="J409" s="97">
        <v>3.5000000000000003E-2</v>
      </c>
      <c r="K409" s="336"/>
      <c r="S409" s="47"/>
    </row>
    <row r="410" spans="1:20" x14ac:dyDescent="0.25">
      <c r="A410" s="333" t="s">
        <v>49</v>
      </c>
      <c r="B410" s="86">
        <v>0</v>
      </c>
      <c r="C410" s="86">
        <v>0</v>
      </c>
      <c r="D410" s="86">
        <v>0</v>
      </c>
      <c r="E410" s="86">
        <v>0</v>
      </c>
      <c r="F410" s="86">
        <v>0</v>
      </c>
      <c r="G410" s="86">
        <v>0</v>
      </c>
      <c r="H410" s="86">
        <v>0</v>
      </c>
      <c r="I410" s="49"/>
      <c r="J410" s="49"/>
      <c r="K410" s="336"/>
      <c r="S410" s="47"/>
    </row>
    <row r="411" spans="1:20" x14ac:dyDescent="0.25">
      <c r="A411" s="333" t="str">
        <f>CONCATENATE("FTE for ",I409," Months")</f>
        <v>FTE for 12 Months</v>
      </c>
      <c r="B411" s="85">
        <f t="shared" ref="B411:H411" si="496">+B410/$I409</f>
        <v>0</v>
      </c>
      <c r="C411" s="85">
        <f t="shared" si="496"/>
        <v>0</v>
      </c>
      <c r="D411" s="85">
        <f t="shared" si="496"/>
        <v>0</v>
      </c>
      <c r="E411" s="85">
        <f t="shared" si="496"/>
        <v>0</v>
      </c>
      <c r="F411" s="85">
        <f t="shared" si="496"/>
        <v>0</v>
      </c>
      <c r="G411" s="85">
        <f t="shared" si="496"/>
        <v>0</v>
      </c>
      <c r="H411" s="85">
        <f t="shared" si="496"/>
        <v>0</v>
      </c>
      <c r="I411" s="100"/>
      <c r="J411" s="100"/>
      <c r="K411" s="336"/>
      <c r="M411" s="82" t="str">
        <f t="shared" ref="M411:Q414" si="497">+M93</f>
        <v>Spring 2023</v>
      </c>
      <c r="N411" s="82" t="str">
        <f t="shared" si="497"/>
        <v>Spring 2024</v>
      </c>
      <c r="O411" s="82" t="str">
        <f t="shared" si="497"/>
        <v>Spring 2025</v>
      </c>
      <c r="P411" s="82" t="str">
        <f t="shared" si="497"/>
        <v>Spring 2026</v>
      </c>
      <c r="Q411" s="82" t="str">
        <f t="shared" si="497"/>
        <v>Spring 2027</v>
      </c>
      <c r="S411" s="47"/>
    </row>
    <row r="412" spans="1:20" x14ac:dyDescent="0.25">
      <c r="A412" s="333" t="s">
        <v>21</v>
      </c>
      <c r="B412" s="119">
        <f t="shared" ref="B412:H412" si="498">ROUND((B409*B411*$N$41)+(C409*B411*$N$42),0)</f>
        <v>0</v>
      </c>
      <c r="C412" s="119">
        <f t="shared" si="498"/>
        <v>0</v>
      </c>
      <c r="D412" s="119">
        <f t="shared" si="498"/>
        <v>0</v>
      </c>
      <c r="E412" s="119">
        <f t="shared" si="498"/>
        <v>0</v>
      </c>
      <c r="F412" s="119">
        <f t="shared" si="498"/>
        <v>0</v>
      </c>
      <c r="G412" s="119">
        <f t="shared" si="498"/>
        <v>0</v>
      </c>
      <c r="H412" s="119">
        <f t="shared" si="498"/>
        <v>0</v>
      </c>
      <c r="I412" s="100"/>
      <c r="J412" s="100"/>
      <c r="K412" s="336"/>
      <c r="M412" s="82" t="str">
        <f t="shared" si="497"/>
        <v>Summer 2023</v>
      </c>
      <c r="N412" s="82" t="str">
        <f t="shared" si="497"/>
        <v>Summer 2024</v>
      </c>
      <c r="O412" s="82" t="str">
        <f t="shared" si="497"/>
        <v>Summer 2025</v>
      </c>
      <c r="P412" s="82" t="str">
        <f t="shared" si="497"/>
        <v>Summer 2026</v>
      </c>
      <c r="Q412" s="82" t="str">
        <f t="shared" si="497"/>
        <v>Summer 2027</v>
      </c>
      <c r="S412" s="47"/>
    </row>
    <row r="413" spans="1:20" x14ac:dyDescent="0.25">
      <c r="A413" s="333"/>
      <c r="B413" s="49"/>
      <c r="C413" s="49"/>
      <c r="D413" s="49"/>
      <c r="E413" s="49"/>
      <c r="F413" s="49"/>
      <c r="G413" s="49"/>
      <c r="H413" s="49"/>
      <c r="I413" s="50"/>
      <c r="J413" s="50"/>
      <c r="K413" s="337"/>
      <c r="M413" s="82" t="str">
        <f t="shared" si="497"/>
        <v>Fall 2023</v>
      </c>
      <c r="N413" s="82" t="str">
        <f t="shared" si="497"/>
        <v>Fall 2024</v>
      </c>
      <c r="O413" s="82" t="str">
        <f t="shared" si="497"/>
        <v>Fall 2025</v>
      </c>
      <c r="P413" s="82" t="str">
        <f t="shared" si="497"/>
        <v>Fall 2026</v>
      </c>
      <c r="Q413" s="82" t="str">
        <f t="shared" si="497"/>
        <v>Fall 2027</v>
      </c>
      <c r="S413" s="47"/>
    </row>
    <row r="414" spans="1:20" x14ac:dyDescent="0.25">
      <c r="A414" s="333"/>
      <c r="B414" s="113" t="str">
        <f t="shared" ref="B414:H414" si="499">IF(B415=$Z$4,$Z$3,IF(B415=$AA$4,$AA$3,IF(B415=$AB$4,$AB$3,IF(B415=$AC$4,$AC$3,IF(B415=$AD$4,$AD$3," ")))))</f>
        <v>Year 1</v>
      </c>
      <c r="C414" s="113" t="str">
        <f t="shared" si="499"/>
        <v>Year 2</v>
      </c>
      <c r="D414" s="113" t="str">
        <f t="shared" si="499"/>
        <v>Year 3</v>
      </c>
      <c r="E414" s="113" t="str">
        <f t="shared" si="499"/>
        <v>Year 4</v>
      </c>
      <c r="F414" s="113" t="str">
        <f t="shared" si="499"/>
        <v>Year 5</v>
      </c>
      <c r="G414" s="113" t="str">
        <f t="shared" si="499"/>
        <v xml:space="preserve"> </v>
      </c>
      <c r="H414" s="113" t="str">
        <f t="shared" si="499"/>
        <v xml:space="preserve"> </v>
      </c>
      <c r="I414" s="50"/>
      <c r="J414" s="50"/>
      <c r="K414" s="337"/>
      <c r="M414" s="58" t="str">
        <f t="shared" si="497"/>
        <v>FY2023&amp;24</v>
      </c>
      <c r="N414" s="58" t="str">
        <f t="shared" si="497"/>
        <v>FY2024&amp;25</v>
      </c>
      <c r="O414" s="58" t="str">
        <f t="shared" si="497"/>
        <v>FY2025&amp;26</v>
      </c>
      <c r="P414" s="58" t="str">
        <f t="shared" si="497"/>
        <v>FY2026&amp;27</v>
      </c>
      <c r="Q414" s="58" t="str">
        <f t="shared" si="497"/>
        <v>FY2027&amp;28</v>
      </c>
      <c r="S414" s="47"/>
    </row>
    <row r="415" spans="1:20" ht="15.75" thickBot="1" x14ac:dyDescent="0.3">
      <c r="A415" s="332" t="s">
        <v>90</v>
      </c>
      <c r="B415" s="84" t="str">
        <f>+M$2</f>
        <v>FY2023</v>
      </c>
      <c r="C415" s="84" t="str">
        <f t="shared" ref="C415" si="500">+N$2</f>
        <v>FY2024</v>
      </c>
      <c r="D415" s="84" t="str">
        <f t="shared" ref="D415" si="501">+O$2</f>
        <v>FY2025</v>
      </c>
      <c r="E415" s="84" t="str">
        <f t="shared" ref="E415" si="502">+P$2</f>
        <v>FY2026</v>
      </c>
      <c r="F415" s="84" t="str">
        <f t="shared" ref="F415" si="503">+Q$2</f>
        <v>FY2027</v>
      </c>
      <c r="G415" s="84" t="str">
        <f t="shared" ref="G415" si="504">+R$2</f>
        <v>FY2028</v>
      </c>
      <c r="H415" s="84" t="str">
        <f t="shared" ref="H415" si="505">+S$2</f>
        <v>FY2029</v>
      </c>
      <c r="I415" s="56" t="s">
        <v>20</v>
      </c>
      <c r="J415" s="100" t="s">
        <v>77</v>
      </c>
      <c r="K415" s="336"/>
      <c r="L415" s="59" t="s">
        <v>86</v>
      </c>
      <c r="M415" s="75" t="s">
        <v>1</v>
      </c>
      <c r="N415" s="76" t="s">
        <v>2</v>
      </c>
      <c r="O415" s="76" t="s">
        <v>3</v>
      </c>
      <c r="P415" s="76" t="s">
        <v>44</v>
      </c>
      <c r="Q415" s="76" t="s">
        <v>50</v>
      </c>
      <c r="S415" s="47"/>
    </row>
    <row r="416" spans="1:20" x14ac:dyDescent="0.25">
      <c r="A416" s="333" t="str">
        <f>CONCATENATE("Base Salary: ",I416," month term")</f>
        <v>Base Salary: 12 month term</v>
      </c>
      <c r="B416" s="93">
        <f>+$M$16</f>
        <v>51480</v>
      </c>
      <c r="C416" s="118">
        <f>ROUND(+B416*(1+J416),0)</f>
        <v>53024</v>
      </c>
      <c r="D416" s="118">
        <f>ROUND(+C416*(1+J416),0)</f>
        <v>54615</v>
      </c>
      <c r="E416" s="118">
        <f>ROUND(+D416*(1+J416),0)</f>
        <v>56253</v>
      </c>
      <c r="F416" s="118">
        <f>ROUND(+E416*(1+J416),0)</f>
        <v>57941</v>
      </c>
      <c r="G416" s="118">
        <f>ROUND(+F416*(1+J416),0)</f>
        <v>59679</v>
      </c>
      <c r="H416" s="118">
        <f>ROUND(+G416*(1+J416),0)</f>
        <v>61469</v>
      </c>
      <c r="I416" s="126">
        <v>12</v>
      </c>
      <c r="J416" s="81">
        <v>0.03</v>
      </c>
      <c r="K416" s="338"/>
      <c r="L416" s="92" t="str">
        <f>CONCATENATE("Number of Students ",IF(AND($Y$2&gt;=7,$Y$2&lt;=9),CONCATENATE("(Fall)"),IF(AND($Y$2&gt;=7,$Y$2&lt;=10),CONCATENATE("(Spring)"),IF(OR($Y$2&gt;=10,$Y$2&lt;=2),CONCATENATE("(Spring)"),IF(AND($Y$2&gt;=7,$Y$2&lt;=10),CONCATENATE("(Summer)"),IF(OR($Y$2&gt;=10,$Y$2&lt;=2),CONCATENATE("(Summer)"),IF(AND($Y$2&gt;=3,$Y$2&lt;=6),CONCATENATE("(Summer)"),"N/A")))))))</f>
        <v>Number of Students (Spring)</v>
      </c>
      <c r="M416" s="91">
        <f t="shared" ref="M416:M418" si="506">+B422</f>
        <v>0</v>
      </c>
      <c r="N416" s="91">
        <f t="shared" ref="N416:N418" si="507">+C422</f>
        <v>0</v>
      </c>
      <c r="O416" s="91">
        <f t="shared" ref="O416:O418" si="508">+D422</f>
        <v>0</v>
      </c>
      <c r="P416" s="91">
        <f t="shared" ref="P416:P418" si="509">+E422</f>
        <v>0</v>
      </c>
      <c r="Q416" s="91">
        <f t="shared" ref="Q416:Q418" si="510">+F422</f>
        <v>0</v>
      </c>
      <c r="S416" s="47"/>
    </row>
    <row r="417" spans="1:19" x14ac:dyDescent="0.25">
      <c r="A417" s="333" t="s">
        <v>49</v>
      </c>
      <c r="B417" s="86">
        <v>0</v>
      </c>
      <c r="C417" s="86">
        <v>0</v>
      </c>
      <c r="D417" s="86">
        <v>0</v>
      </c>
      <c r="E417" s="86">
        <v>0</v>
      </c>
      <c r="F417" s="86">
        <v>0</v>
      </c>
      <c r="G417" s="86">
        <v>0</v>
      </c>
      <c r="H417" s="86">
        <v>0</v>
      </c>
      <c r="I417" s="49"/>
      <c r="J417" s="49"/>
      <c r="K417" s="333"/>
      <c r="L417" s="128" t="str">
        <f>CONCATENATE("Number of Students ",IF(AND($Y$2&gt;=7,$Y$2&lt;=9),CONCATENATE("(Spring)"),IF(AND($Y$2&gt;=7,$Y$2&lt;=10),CONCATENATE("(Summer)"),IF(OR($Y$2&gt;=10,$Y$2&lt;=2),CONCATENATE("(Summer)"),IF(AND($Y$2&gt;=7,$Y$2&lt;=10),CONCATENATE("(Fall)"),IF(OR($Y$2&gt;=10,$Y$2&lt;=2),CONCATENATE("(Fall) "),IF(AND($Y$2&gt;=3,$Y$2&lt;=6),CONCATENATE("(Fall)"),"N/A")))))))</f>
        <v>Number of Students (Summer)</v>
      </c>
      <c r="M417" s="91">
        <f t="shared" si="506"/>
        <v>0</v>
      </c>
      <c r="N417" s="91">
        <f t="shared" si="507"/>
        <v>0</v>
      </c>
      <c r="O417" s="91">
        <f t="shared" si="508"/>
        <v>0</v>
      </c>
      <c r="P417" s="91">
        <f t="shared" si="509"/>
        <v>0</v>
      </c>
      <c r="Q417" s="91">
        <f t="shared" si="510"/>
        <v>0</v>
      </c>
      <c r="S417" s="47"/>
    </row>
    <row r="418" spans="1:19" x14ac:dyDescent="0.25">
      <c r="A418" s="333" t="str">
        <f>CONCATENATE("FTE for ",I416," Months")</f>
        <v>FTE for 12 Months</v>
      </c>
      <c r="B418" s="85">
        <f t="shared" ref="B418:H418" si="511">+B417/$I416</f>
        <v>0</v>
      </c>
      <c r="C418" s="85">
        <f t="shared" si="511"/>
        <v>0</v>
      </c>
      <c r="D418" s="85">
        <f t="shared" si="511"/>
        <v>0</v>
      </c>
      <c r="E418" s="85">
        <f t="shared" si="511"/>
        <v>0</v>
      </c>
      <c r="F418" s="85">
        <f t="shared" si="511"/>
        <v>0</v>
      </c>
      <c r="G418" s="85">
        <f t="shared" si="511"/>
        <v>0</v>
      </c>
      <c r="H418" s="85">
        <f t="shared" si="511"/>
        <v>0</v>
      </c>
      <c r="I418" s="100"/>
      <c r="J418" s="100"/>
      <c r="K418" s="336"/>
      <c r="L418" s="128" t="str">
        <f>CONCATENATE("Number of Students ",IF(AND($Y$2&gt;=7,$Y$2&lt;=9),CONCATENATE("(Summer)"),IF(AND($Y$2&gt;=7,$Y$2&lt;=10),CONCATENATE("(Fall)"),IF(OR($Y$2&gt;=10,$Y$2&lt;=2),CONCATENATE("(Fall)"),IF(AND($Y$2&gt;=7,$Y$2&lt;=10),CONCATENATE("(Spring)"),IF(OR($Y$2&gt;=10,$Y$2&lt;=2),CONCATENATE("(Spring)"),IF(AND($Y$2&gt;=3,$Y$2&lt;=6),CONCATENATE("(Spring)"),"N/A")))))))</f>
        <v>Number of Students (Fall)</v>
      </c>
      <c r="M418" s="91">
        <f t="shared" si="506"/>
        <v>0</v>
      </c>
      <c r="N418" s="91">
        <f t="shared" si="507"/>
        <v>0</v>
      </c>
      <c r="O418" s="91">
        <f t="shared" si="508"/>
        <v>0</v>
      </c>
      <c r="P418" s="91">
        <f t="shared" si="509"/>
        <v>0</v>
      </c>
      <c r="Q418" s="91">
        <f t="shared" si="510"/>
        <v>0</v>
      </c>
      <c r="S418" s="47"/>
    </row>
    <row r="419" spans="1:19" x14ac:dyDescent="0.25">
      <c r="A419" s="333" t="s">
        <v>21</v>
      </c>
      <c r="B419" s="119">
        <f t="shared" ref="B419:H419" si="512">ROUND((B416*B418*$N$41)+(C416*B418*$N$42),0)</f>
        <v>0</v>
      </c>
      <c r="C419" s="119">
        <f t="shared" si="512"/>
        <v>0</v>
      </c>
      <c r="D419" s="119">
        <f t="shared" si="512"/>
        <v>0</v>
      </c>
      <c r="E419" s="119">
        <f t="shared" si="512"/>
        <v>0</v>
      </c>
      <c r="F419" s="119">
        <f t="shared" si="512"/>
        <v>0</v>
      </c>
      <c r="G419" s="119">
        <f t="shared" si="512"/>
        <v>0</v>
      </c>
      <c r="H419" s="119">
        <f t="shared" si="512"/>
        <v>0</v>
      </c>
      <c r="I419" s="100"/>
      <c r="J419" s="100"/>
      <c r="K419" s="336"/>
      <c r="L419" s="49"/>
      <c r="M419" s="57"/>
      <c r="N419" s="57"/>
      <c r="O419" s="57"/>
      <c r="P419" s="57"/>
      <c r="Q419" s="57"/>
      <c r="S419" s="47"/>
    </row>
    <row r="420" spans="1:19" x14ac:dyDescent="0.25">
      <c r="A420" s="333"/>
      <c r="B420" s="47"/>
      <c r="C420" s="47"/>
      <c r="D420" s="47"/>
      <c r="E420" s="47"/>
      <c r="F420" s="47"/>
      <c r="G420" s="47"/>
      <c r="H420" s="47"/>
      <c r="I420" s="100"/>
      <c r="J420" s="100"/>
      <c r="K420" s="336"/>
      <c r="L420" s="49"/>
      <c r="M420" s="57"/>
      <c r="N420" s="57"/>
      <c r="O420" s="57"/>
      <c r="P420" s="57"/>
      <c r="Q420" s="57"/>
      <c r="S420" s="47"/>
    </row>
    <row r="421" spans="1:19" ht="15.75" thickBot="1" x14ac:dyDescent="0.3">
      <c r="A421" s="332" t="s">
        <v>85</v>
      </c>
      <c r="B421" s="48" t="s">
        <v>1</v>
      </c>
      <c r="C421" s="48" t="s">
        <v>2</v>
      </c>
      <c r="D421" s="48" t="s">
        <v>3</v>
      </c>
      <c r="E421" s="48" t="s">
        <v>44</v>
      </c>
      <c r="F421" s="48" t="s">
        <v>50</v>
      </c>
      <c r="G421" s="47"/>
      <c r="H421" s="47"/>
      <c r="I421" s="100"/>
      <c r="J421" s="100"/>
      <c r="K421" s="336"/>
      <c r="L421" s="59" t="s">
        <v>123</v>
      </c>
      <c r="M421" s="75" t="s">
        <v>1</v>
      </c>
      <c r="N421" s="76" t="s">
        <v>2</v>
      </c>
      <c r="O421" s="76" t="s">
        <v>3</v>
      </c>
      <c r="P421" s="76" t="s">
        <v>44</v>
      </c>
      <c r="Q421" s="76" t="s">
        <v>50</v>
      </c>
      <c r="S421" s="47"/>
    </row>
    <row r="422" spans="1:19" x14ac:dyDescent="0.25">
      <c r="A422" s="333" t="str">
        <f>+L416</f>
        <v>Number of Students (Spring)</v>
      </c>
      <c r="B422" s="127">
        <v>0</v>
      </c>
      <c r="C422" s="127">
        <v>0</v>
      </c>
      <c r="D422" s="127">
        <v>0</v>
      </c>
      <c r="E422" s="127">
        <v>0</v>
      </c>
      <c r="F422" s="127">
        <v>0</v>
      </c>
      <c r="G422" s="47"/>
      <c r="H422" s="47"/>
      <c r="I422" s="100"/>
      <c r="J422" s="100"/>
      <c r="K422" s="336"/>
      <c r="L422" s="60" t="s">
        <v>22</v>
      </c>
      <c r="M422" s="61">
        <f>SUM(M432:M434)</f>
        <v>0</v>
      </c>
      <c r="N422" s="61">
        <f>SUM(N432:N434)</f>
        <v>0</v>
      </c>
      <c r="O422" s="61">
        <f>SUM(O432:O434)</f>
        <v>0</v>
      </c>
      <c r="P422" s="61">
        <f>SUM(P432:P434)</f>
        <v>0</v>
      </c>
      <c r="Q422" s="61">
        <f>SUM(Q432:Q434)</f>
        <v>0</v>
      </c>
      <c r="S422" s="47"/>
    </row>
    <row r="423" spans="1:19" x14ac:dyDescent="0.25">
      <c r="A423" s="333" t="str">
        <f>+L417</f>
        <v>Number of Students (Summer)</v>
      </c>
      <c r="B423" s="94">
        <f>+B422</f>
        <v>0</v>
      </c>
      <c r="C423" s="94">
        <f>+C422</f>
        <v>0</v>
      </c>
      <c r="D423" s="94">
        <f>+D422</f>
        <v>0</v>
      </c>
      <c r="E423" s="94">
        <f>+E422</f>
        <v>0</v>
      </c>
      <c r="F423" s="94">
        <f>+F422</f>
        <v>0</v>
      </c>
      <c r="G423" s="47"/>
      <c r="H423" s="47"/>
      <c r="I423" s="100"/>
      <c r="J423" s="100"/>
      <c r="K423" s="336"/>
      <c r="L423" s="60" t="s">
        <v>8</v>
      </c>
      <c r="M423" s="61">
        <f>SUM(M435:M437)</f>
        <v>0</v>
      </c>
      <c r="N423" s="61">
        <f>SUM(N435:N437)</f>
        <v>0</v>
      </c>
      <c r="O423" s="61">
        <f>SUM(O435:O437)</f>
        <v>0</v>
      </c>
      <c r="P423" s="61">
        <f>SUM(P435:P437)</f>
        <v>0</v>
      </c>
      <c r="Q423" s="61">
        <f>SUM(Q435:Q437)</f>
        <v>0</v>
      </c>
      <c r="S423" s="47"/>
    </row>
    <row r="424" spans="1:19" x14ac:dyDescent="0.25">
      <c r="A424" s="333" t="str">
        <f>+L418</f>
        <v>Number of Students (Fall)</v>
      </c>
      <c r="B424" s="94">
        <f>+B422</f>
        <v>0</v>
      </c>
      <c r="C424" s="94">
        <f>+C422</f>
        <v>0</v>
      </c>
      <c r="D424" s="94">
        <f>+D422</f>
        <v>0</v>
      </c>
      <c r="E424" s="94">
        <f>+E422</f>
        <v>0</v>
      </c>
      <c r="F424" s="94">
        <f>+F422</f>
        <v>0</v>
      </c>
      <c r="G424" s="47"/>
      <c r="H424" s="47"/>
      <c r="I424" s="100"/>
      <c r="J424" s="100"/>
      <c r="K424" s="336"/>
      <c r="L424" s="60" t="s">
        <v>9</v>
      </c>
      <c r="M424" s="61">
        <f>SUM(M438:M440)</f>
        <v>0</v>
      </c>
      <c r="N424" s="61">
        <f>SUM(N438:N440)</f>
        <v>0</v>
      </c>
      <c r="O424" s="61">
        <f>SUM(O438:O440)</f>
        <v>0</v>
      </c>
      <c r="P424" s="61">
        <f>SUM(P438:P440)</f>
        <v>0</v>
      </c>
      <c r="Q424" s="61">
        <f>SUM(Q438:Q440)</f>
        <v>0</v>
      </c>
      <c r="S424" s="47"/>
    </row>
    <row r="425" spans="1:19" ht="15.75" thickBot="1" x14ac:dyDescent="0.3">
      <c r="A425" s="333"/>
      <c r="B425" s="94"/>
      <c r="C425" s="94"/>
      <c r="D425" s="94"/>
      <c r="E425" s="94"/>
      <c r="F425" s="94"/>
      <c r="G425" s="47"/>
      <c r="H425" s="47"/>
      <c r="I425" s="100"/>
      <c r="J425" s="100"/>
      <c r="K425" s="336"/>
      <c r="L425" s="62" t="s">
        <v>31</v>
      </c>
      <c r="M425" s="63">
        <f>SUM(M422:M424)</f>
        <v>0</v>
      </c>
      <c r="N425" s="63">
        <f>SUM(N422:N424)</f>
        <v>0</v>
      </c>
      <c r="O425" s="63">
        <f>SUM(O422:O424)</f>
        <v>0</v>
      </c>
      <c r="P425" s="63">
        <f>SUM(P422:P424)</f>
        <v>0</v>
      </c>
      <c r="Q425" s="63">
        <f>SUM(Q422:Q424)</f>
        <v>0</v>
      </c>
      <c r="S425" s="47"/>
    </row>
    <row r="426" spans="1:19" x14ac:dyDescent="0.25">
      <c r="A426" s="332" t="s">
        <v>89</v>
      </c>
      <c r="B426" s="48" t="s">
        <v>1</v>
      </c>
      <c r="C426" s="48" t="s">
        <v>2</v>
      </c>
      <c r="D426" s="48" t="s">
        <v>3</v>
      </c>
      <c r="E426" s="48" t="s">
        <v>44</v>
      </c>
      <c r="F426" s="48" t="s">
        <v>50</v>
      </c>
      <c r="J426" s="100" t="s">
        <v>77</v>
      </c>
      <c r="K426" s="325"/>
      <c r="M426" s="129"/>
      <c r="S426" s="47"/>
    </row>
    <row r="427" spans="1:19" x14ac:dyDescent="0.25">
      <c r="A427" s="333" t="s">
        <v>84</v>
      </c>
      <c r="B427" s="86">
        <f>+$M$18</f>
        <v>13.2</v>
      </c>
      <c r="C427" s="86">
        <f>ROUND(+B427*(1+J427),2)</f>
        <v>13.2</v>
      </c>
      <c r="D427" s="86">
        <f>ROUND(+C427*(1+J427),2)</f>
        <v>13.2</v>
      </c>
      <c r="E427" s="86">
        <f>ROUND(+D427*(1+J427),2)</f>
        <v>13.2</v>
      </c>
      <c r="F427" s="86">
        <f>ROUND(+E427*(1+J427),2)</f>
        <v>13.2</v>
      </c>
      <c r="J427" s="81">
        <v>0</v>
      </c>
      <c r="K427" s="325"/>
      <c r="S427" s="47"/>
    </row>
    <row r="428" spans="1:19" x14ac:dyDescent="0.25">
      <c r="A428" s="333" t="s">
        <v>64</v>
      </c>
      <c r="B428" s="83">
        <v>0</v>
      </c>
      <c r="C428" s="83">
        <v>0</v>
      </c>
      <c r="D428" s="83">
        <v>0</v>
      </c>
      <c r="E428" s="83">
        <v>0</v>
      </c>
      <c r="F428" s="83">
        <v>0</v>
      </c>
      <c r="K428" s="325"/>
      <c r="L428" s="130"/>
      <c r="M428" s="82" t="str">
        <f>CONCATENATE("FY",$Y$3)</f>
        <v>FY2023</v>
      </c>
      <c r="N428" s="82" t="str">
        <f>CONCATENATE("FY",$Y$3+1)</f>
        <v>FY2024</v>
      </c>
      <c r="O428" s="82" t="str">
        <f>CONCATENATE("FY",$Y$3+2)</f>
        <v>FY2025</v>
      </c>
      <c r="P428" s="82" t="str">
        <f>CONCATENATE("FY",$Y$3+3)</f>
        <v>FY2026</v>
      </c>
      <c r="Q428" s="82" t="str">
        <f>CONCATENATE("FY",$Y$3+4)</f>
        <v>FY2027</v>
      </c>
      <c r="S428" s="47"/>
    </row>
    <row r="429" spans="1:19" x14ac:dyDescent="0.25">
      <c r="A429" s="333" t="s">
        <v>65</v>
      </c>
      <c r="B429" s="83">
        <v>0</v>
      </c>
      <c r="C429" s="83">
        <v>0</v>
      </c>
      <c r="D429" s="83">
        <v>0</v>
      </c>
      <c r="E429" s="83">
        <v>0</v>
      </c>
      <c r="F429" s="83">
        <v>0</v>
      </c>
      <c r="K429" s="325"/>
      <c r="L429" s="131"/>
      <c r="M429" s="82" t="str">
        <f>IF(OR($Y$2&gt;=7,$Y$2&lt;=2),CONCATENATE("FY",$Y$3),IF(AND($Y$2&gt;=3,$Y$2&lt;=6),CONCATENATE("FY",$Y$3+1),"N/A"))</f>
        <v>FY2023</v>
      </c>
      <c r="N429" s="82" t="str">
        <f>IF(OR($Y$2&gt;=7,$Y$2&lt;=2),CONCATENATE("FY",$Y$3+1),IF(AND($Y$2&gt;=3,$Y$2&lt;=6),CONCATENATE("FY",$Y$3+2),"N/A"))</f>
        <v>FY2024</v>
      </c>
      <c r="O429" s="82" t="str">
        <f>IF(OR($Y$2&gt;=7,$Y$2&lt;=2),CONCATENATE("FY",$Y$3+2),IF(AND($Y$2&gt;=3,$Y$2&lt;=6),CONCATENATE("FY",$Y$3+3),"N/A"))</f>
        <v>FY2025</v>
      </c>
      <c r="P429" s="82" t="str">
        <f>IF(OR($Y$2&gt;=7,$Y$2&lt;=2),CONCATENATE("FY",$Y$3+3),IF(AND($Y$2&gt;=3,$Y$2&lt;=6),CONCATENATE("FY",$Y$3+4),"N/A"))</f>
        <v>FY2026</v>
      </c>
      <c r="Q429" s="82" t="str">
        <f>IF(OR($Y$2&gt;=7,$Y$2&lt;=2),CONCATENATE("FY",$Y$3+4),IF(AND($Y$2&gt;=3,$Y$2&lt;=6),CONCATENATE("FY",$Y$3+5),"N/A"))</f>
        <v>FY2027</v>
      </c>
      <c r="S429" s="47"/>
    </row>
    <row r="430" spans="1:19" x14ac:dyDescent="0.25">
      <c r="A430" s="333" t="s">
        <v>79</v>
      </c>
      <c r="B430" s="714">
        <f>+B427*(B428*B429)</f>
        <v>0</v>
      </c>
      <c r="C430" s="714">
        <f t="shared" ref="C430" si="513">+C427*(C428*C429)</f>
        <v>0</v>
      </c>
      <c r="D430" s="714">
        <f t="shared" ref="D430" si="514">+D427*(D428*D429)</f>
        <v>0</v>
      </c>
      <c r="E430" s="714">
        <f t="shared" ref="E430" si="515">+E427*(E428*E429)</f>
        <v>0</v>
      </c>
      <c r="F430" s="714">
        <f t="shared" ref="F430" si="516">+F427*(F428*F429)</f>
        <v>0</v>
      </c>
      <c r="K430" s="325"/>
      <c r="L430" s="82"/>
      <c r="M430" s="82" t="str">
        <f>IF(AND($Y$2&gt;=1,$Y$2&lt;=6),CONCATENATE("FY",$Y$3+1),IF(AND($Y$2&gt;=7,$Y$2&lt;=9),CONCATENATE("FY",$Y$3),IF(AND($Y$2&gt;=10,$Y$2&lt;=126),CONCATENATE("FY",$Y$3+1),"N/A")))</f>
        <v>FY2024</v>
      </c>
      <c r="N430" s="82" t="str">
        <f>IF(AND($Y$2&gt;=1,$Y$2&lt;=6),CONCATENATE("FY",$Y$3+2),IF(AND($Y$2&gt;=7,$Y$2&lt;=9),CONCATENATE("FY",$Y$3+1),IF(AND($Y$2&gt;=10,$Y$2&lt;=126),CONCATENATE("FY",$Y$3+2),"N/A")))</f>
        <v>FY2025</v>
      </c>
      <c r="O430" s="82" t="str">
        <f>IF(AND($Y$2&gt;=1,$Y$2&lt;=6),CONCATENATE("FY",$Y$3+3),IF(AND($Y$2&gt;=7,$Y$2&lt;=9),CONCATENATE("FY",$Y$3+2),IF(AND($Y$2&gt;=10,$Y$2&lt;=126),CONCATENATE("FY",$Y$3+3),"N/A")))</f>
        <v>FY2026</v>
      </c>
      <c r="P430" s="82" t="str">
        <f>IF(AND($Y$2&gt;=1,$Y$2&lt;=6),CONCATENATE("FY",$Y$3+4),IF(AND($Y$2&gt;=7,$Y$2&lt;=9),CONCATENATE("FY",$Y$3+3),IF(AND($Y$2&gt;=10,$Y$2&lt;=126),CONCATENATE("FY",$Y$3+4),"N/A")))</f>
        <v>FY2027</v>
      </c>
      <c r="Q430" s="82" t="str">
        <f>IF(AND($Y$2&gt;=1,$Y$2&lt;=6),CONCATENATE("FY",$Y$3+5),IF(AND($Y$2&gt;=7,$Y$2&lt;=9),CONCATENATE("FY",$Y$3+4),IF(AND($Y$2&gt;=10,$Y$2&lt;=126),CONCATENATE("FY",$Y$3+5),"N/A")))</f>
        <v>FY2028</v>
      </c>
      <c r="S430" s="47"/>
    </row>
    <row r="431" spans="1:19" ht="15.75" thickBot="1" x14ac:dyDescent="0.3">
      <c r="A431" s="333" t="s">
        <v>62</v>
      </c>
      <c r="B431" s="83">
        <v>0</v>
      </c>
      <c r="C431" s="83">
        <v>0</v>
      </c>
      <c r="D431" s="83">
        <v>0</v>
      </c>
      <c r="E431" s="83">
        <v>0</v>
      </c>
      <c r="F431" s="83">
        <v>0</v>
      </c>
      <c r="K431" s="325"/>
      <c r="L431" s="59" t="s">
        <v>124</v>
      </c>
      <c r="M431" s="75" t="s">
        <v>1</v>
      </c>
      <c r="N431" s="76" t="s">
        <v>2</v>
      </c>
      <c r="O431" s="76" t="s">
        <v>3</v>
      </c>
      <c r="P431" s="76" t="s">
        <v>44</v>
      </c>
      <c r="Q431" s="76" t="s">
        <v>50</v>
      </c>
    </row>
    <row r="432" spans="1:19" x14ac:dyDescent="0.25">
      <c r="A432" s="333" t="s">
        <v>63</v>
      </c>
      <c r="B432" s="83">
        <v>0</v>
      </c>
      <c r="C432" s="83">
        <v>0</v>
      </c>
      <c r="D432" s="83">
        <v>0</v>
      </c>
      <c r="E432" s="83">
        <v>0</v>
      </c>
      <c r="F432" s="83">
        <v>0</v>
      </c>
      <c r="K432" s="325"/>
      <c r="L432" s="132" t="str">
        <f t="shared" ref="L432:L440" si="517">+L114</f>
        <v>Stipend (Spring)</v>
      </c>
      <c r="M432" s="133">
        <f>IF(RIGHT($L432,8)="(Summer)",ROUND(M416*HLOOKUP(M428,M403:S408,3,FALSE),0))+IF(RIGHT($L432,8)&lt;&gt;"(Summer)",ROUND(M416*HLOOKUP(M428,M403:S408,2,FALSE)/2,0))</f>
        <v>0</v>
      </c>
      <c r="N432" s="133">
        <f t="shared" ref="N432" si="518">IF(RIGHT($L432,8)="(Summer)",ROUND(N416*HLOOKUP(N428,N403:T408,3,FALSE),0))+IF(RIGHT($L432,8)&lt;&gt;"(Summer)",ROUND(N416*HLOOKUP(N428,N403:T408,2,FALSE)/2,0))</f>
        <v>0</v>
      </c>
      <c r="O432" s="133">
        <f t="shared" ref="O432" si="519">IF(RIGHT($L432,8)="(Summer)",ROUND(O416*HLOOKUP(O428,O403:U408,3,FALSE),0))+IF(RIGHT($L432,8)&lt;&gt;"(Summer)",ROUND(O416*HLOOKUP(O428,O403:U408,2,FALSE)/2,0))</f>
        <v>0</v>
      </c>
      <c r="P432" s="133">
        <f t="shared" ref="P432" si="520">IF(RIGHT($L432,8)="(Summer)",ROUND(P416*HLOOKUP(P428,P403:V408,3,FALSE),0))+IF(RIGHT($L432,8)&lt;&gt;"(Summer)",ROUND(P416*HLOOKUP(P428,P403:V408,2,FALSE)/2,0))</f>
        <v>0</v>
      </c>
      <c r="Q432" s="133">
        <f t="shared" ref="Q432" si="521">IF(RIGHT($L432,8)="(Summer)",ROUND(Q416*HLOOKUP(Q428,Q403:W408,3,FALSE),0))+IF(RIGHT($L432,8)&lt;&gt;"(Summer)",ROUND(Q416*HLOOKUP(Q428,Q403:W408,2,FALSE)/2,0))</f>
        <v>0</v>
      </c>
    </row>
    <row r="433" spans="1:17" x14ac:dyDescent="0.25">
      <c r="A433" s="333" t="s">
        <v>80</v>
      </c>
      <c r="B433" s="714">
        <f>+B427*(B431*B432)</f>
        <v>0</v>
      </c>
      <c r="C433" s="714">
        <f t="shared" ref="C433" si="522">+C427*(C431*C432)</f>
        <v>0</v>
      </c>
      <c r="D433" s="714">
        <f t="shared" ref="D433" si="523">+D427*(D431*D432)</f>
        <v>0</v>
      </c>
      <c r="E433" s="714">
        <f t="shared" ref="E433" si="524">+E427*(E431*E432)</f>
        <v>0</v>
      </c>
      <c r="F433" s="714">
        <f t="shared" ref="F433" si="525">+F427*(F431*F432)</f>
        <v>0</v>
      </c>
      <c r="K433" s="325"/>
      <c r="L433" s="134" t="str">
        <f t="shared" si="517"/>
        <v>Stipend (Summer)</v>
      </c>
      <c r="M433" s="133">
        <f>IF(RIGHT($L433,8)="(Summer)",ROUND(M417*HLOOKUP(M429,M403:S408,3,FALSE),0))+IF(RIGHT($L433,8)&lt;&gt;"(Summer)",ROUND(M417*HLOOKUP(M429,M403:S408,2,FALSE)/2,0))</f>
        <v>0</v>
      </c>
      <c r="N433" s="133">
        <f t="shared" ref="N433" si="526">IF(RIGHT($L433,8)="(Summer)",ROUND(N417*HLOOKUP(N429,N403:T408,3,FALSE),0))+IF(RIGHT($L433,8)&lt;&gt;"(Summer)",ROUND(N417*HLOOKUP(N429,N403:T408,2,FALSE)/2,0))</f>
        <v>0</v>
      </c>
      <c r="O433" s="133">
        <f t="shared" ref="O433" si="527">IF(RIGHT($L433,8)="(Summer)",ROUND(O417*HLOOKUP(O429,O403:U408,3,FALSE),0))+IF(RIGHT($L433,8)&lt;&gt;"(Summer)",ROUND(O417*HLOOKUP(O429,O403:U408,2,FALSE)/2,0))</f>
        <v>0</v>
      </c>
      <c r="P433" s="133">
        <f t="shared" ref="P433" si="528">IF(RIGHT($L433,8)="(Summer)",ROUND(P417*HLOOKUP(P429,P403:V408,3,FALSE),0))+IF(RIGHT($L433,8)&lt;&gt;"(Summer)",ROUND(P417*HLOOKUP(P429,P403:V408,2,FALSE)/2,0))</f>
        <v>0</v>
      </c>
      <c r="Q433" s="133">
        <f t="shared" ref="Q433" si="529">IF(RIGHT($L433,8)="(Summer)",ROUND(Q417*HLOOKUP(Q429,Q403:W408,3,FALSE),0))+IF(RIGHT($L433,8)&lt;&gt;"(Summer)",ROUND(Q417*HLOOKUP(Q429,Q403:W408,2,FALSE)/2,0))</f>
        <v>0</v>
      </c>
    </row>
    <row r="434" spans="1:17" x14ac:dyDescent="0.25">
      <c r="A434" s="333" t="s">
        <v>21</v>
      </c>
      <c r="B434" s="716">
        <f>ROUND(+B430+B433,0)</f>
        <v>0</v>
      </c>
      <c r="C434" s="716">
        <f t="shared" ref="C434" si="530">ROUND(+C430+C433,0)</f>
        <v>0</v>
      </c>
      <c r="D434" s="716">
        <f t="shared" ref="D434" si="531">ROUND(+D430+D433,0)</f>
        <v>0</v>
      </c>
      <c r="E434" s="716">
        <f t="shared" ref="E434" si="532">ROUND(+E430+E433,0)</f>
        <v>0</v>
      </c>
      <c r="F434" s="716">
        <f t="shared" ref="F434" si="533">ROUND(+F430+F433,0)</f>
        <v>0</v>
      </c>
      <c r="K434" s="325"/>
      <c r="L434" s="134" t="str">
        <f t="shared" si="517"/>
        <v>Stipend (Fall)</v>
      </c>
      <c r="M434" s="133">
        <f>IF(RIGHT($L434,8)="(Summer)",ROUND(M418*HLOOKUP(M430,M403:S408,3,FALSE),0))+IF(RIGHT($L434,8)&lt;&gt;"(Summer)",ROUND(M418*HLOOKUP(M430,M403:S408,2,FALSE)/2,0))</f>
        <v>0</v>
      </c>
      <c r="N434" s="133">
        <f t="shared" ref="N434" si="534">IF(RIGHT($L434,8)="(Summer)",ROUND(N418*HLOOKUP(N430,N403:T408,3,FALSE),0))+IF(RIGHT($L434,8)&lt;&gt;"(Summer)",ROUND(N418*HLOOKUP(N430,N403:T408,2,FALSE)/2,0))</f>
        <v>0</v>
      </c>
      <c r="O434" s="133">
        <f t="shared" ref="O434" si="535">IF(RIGHT($L434,8)="(Summer)",ROUND(O418*HLOOKUP(O430,O403:U408,3,FALSE),0))+IF(RIGHT($L434,8)&lt;&gt;"(Summer)",ROUND(O418*HLOOKUP(O430,O403:U408,2,FALSE)/2,0))</f>
        <v>0</v>
      </c>
      <c r="P434" s="133">
        <f t="shared" ref="P434" si="536">IF(RIGHT($L434,8)="(Summer)",ROUND(P418*HLOOKUP(P430,P403:V408,3,FALSE),0))+IF(RIGHT($L434,8)&lt;&gt;"(Summer)",ROUND(P418*HLOOKUP(P430,P403:V408,2,FALSE)/2,0))</f>
        <v>0</v>
      </c>
      <c r="Q434" s="133">
        <f t="shared" ref="Q434" si="537">IF(RIGHT($L434,8)="(Summer)",ROUND(Q418*HLOOKUP(Q430,Q403:W408,3,FALSE),0))+IF(RIGHT($L434,8)&lt;&gt;"(Summer)",ROUND(Q418*HLOOKUP(Q430,Q403:W408,2,FALSE)/2,0))</f>
        <v>0</v>
      </c>
    </row>
    <row r="435" spans="1:17" x14ac:dyDescent="0.25">
      <c r="A435" s="325"/>
      <c r="H435" s="47"/>
      <c r="K435" s="325"/>
      <c r="L435" s="134" t="str">
        <f t="shared" si="517"/>
        <v>Tuition (Spring)</v>
      </c>
      <c r="M435" s="133">
        <f>IF(RIGHT($L435,8)="(Summer)",0,ROUND(M416*HLOOKUP(M428,M403:S408,5,FALSE)/2,0))</f>
        <v>0</v>
      </c>
      <c r="N435" s="133">
        <f t="shared" ref="N435" si="538">IF(RIGHT($L435,8)="(Summer)",0,ROUND(N416*HLOOKUP(N428,N403:T408,5,FALSE)/2,0))</f>
        <v>0</v>
      </c>
      <c r="O435" s="133">
        <f t="shared" ref="O435" si="539">IF(RIGHT($L435,8)="(Summer)",0,ROUND(O416*HLOOKUP(O428,O403:U408,5,FALSE)/2,0))</f>
        <v>0</v>
      </c>
      <c r="P435" s="133">
        <f t="shared" ref="P435" si="540">IF(RIGHT($L435,8)="(Summer)",0,ROUND(P416*HLOOKUP(P428,P403:V408,5,FALSE)/2,0))</f>
        <v>0</v>
      </c>
      <c r="Q435" s="133">
        <f t="shared" ref="Q435" si="541">IF(RIGHT($L435,8)="(Summer)",0,ROUND(Q416*HLOOKUP(Q428,Q403:W408,5,FALSE)/2,0))</f>
        <v>0</v>
      </c>
    </row>
    <row r="436" spans="1:17" x14ac:dyDescent="0.25">
      <c r="A436" s="335"/>
      <c r="B436" s="113" t="str">
        <f t="shared" ref="B436:H436" si="542">IF(AND(B437=$Z$5,$I438=9),$Z$3,IF(AND(B437=$AA$5,$I438=9),$AA$3,IF(AND(B437=$AB$5,$I438=9),$AB$3,IF(AND(B437=$AC$5,$I438=9),$AC$3,IF(AND(B437=$AD$5,$I438=9),$AD$3,IF(AND(B437=$Z$4,$I438=12),$Z$3,IF(AND(B437=$AA$4,$I438=12),$AA$3,IF(AND(B437=$AB$4,$I438=12),$AB$3,IF(AND(B437=$AC$4,$I438=12),$AC$3,IF(AND(B437=$AD$4,$I438=12),$AD$3," "))))))))))</f>
        <v>Year 1</v>
      </c>
      <c r="C436" s="113" t="str">
        <f t="shared" si="542"/>
        <v>Year 2</v>
      </c>
      <c r="D436" s="113" t="str">
        <f t="shared" si="542"/>
        <v>Year 3</v>
      </c>
      <c r="E436" s="113" t="str">
        <f t="shared" si="542"/>
        <v>Year 4</v>
      </c>
      <c r="F436" s="113" t="str">
        <f t="shared" si="542"/>
        <v>Year 5</v>
      </c>
      <c r="G436" s="113" t="str">
        <f t="shared" si="542"/>
        <v xml:space="preserve"> </v>
      </c>
      <c r="H436" s="113" t="str">
        <f t="shared" si="542"/>
        <v xml:space="preserve"> </v>
      </c>
      <c r="K436" s="325"/>
      <c r="L436" s="134" t="str">
        <f t="shared" si="517"/>
        <v>Tuition (Summer)</v>
      </c>
      <c r="M436" s="133">
        <f>IF(RIGHT($L436,8)="(Summer)",0,ROUND(M417*HLOOKUP(M429,M403:S408,5,FALSE)/2,0))</f>
        <v>0</v>
      </c>
      <c r="N436" s="133">
        <f t="shared" ref="N436" si="543">IF(RIGHT($L436,8)="(Summer)",0,ROUND(N417*HLOOKUP(N429,N403:T408,5,FALSE)/2,0))</f>
        <v>0</v>
      </c>
      <c r="O436" s="133">
        <f t="shared" ref="O436" si="544">IF(RIGHT($L436,8)="(Summer)",0,ROUND(O417*HLOOKUP(O429,O403:U408,5,FALSE)/2,0))</f>
        <v>0</v>
      </c>
      <c r="P436" s="133">
        <f t="shared" ref="P436" si="545">IF(RIGHT($L436,8)="(Summer)",0,ROUND(P417*HLOOKUP(P429,P403:V408,5,FALSE)/2,0))</f>
        <v>0</v>
      </c>
      <c r="Q436" s="133">
        <f t="shared" ref="Q436" si="546">IF(RIGHT($L436,8)="(Summer)",0,ROUND(Q417*HLOOKUP(Q429,Q403:W408,5,FALSE)/2,0))</f>
        <v>0</v>
      </c>
    </row>
    <row r="437" spans="1:17" x14ac:dyDescent="0.25">
      <c r="A437" s="332" t="s">
        <v>29</v>
      </c>
      <c r="B437" s="84" t="str">
        <f>+M$2</f>
        <v>FY2023</v>
      </c>
      <c r="C437" s="84" t="str">
        <f t="shared" ref="C437" si="547">+N$2</f>
        <v>FY2024</v>
      </c>
      <c r="D437" s="84" t="str">
        <f t="shared" ref="D437" si="548">+O$2</f>
        <v>FY2025</v>
      </c>
      <c r="E437" s="84" t="str">
        <f t="shared" ref="E437" si="549">+P$2</f>
        <v>FY2026</v>
      </c>
      <c r="F437" s="84" t="str">
        <f t="shared" ref="F437" si="550">+Q$2</f>
        <v>FY2027</v>
      </c>
      <c r="G437" s="84" t="str">
        <f t="shared" ref="G437" si="551">+R$2</f>
        <v>FY2028</v>
      </c>
      <c r="H437" s="84" t="str">
        <f t="shared" ref="H437" si="552">+S$2</f>
        <v>FY2029</v>
      </c>
      <c r="I437" s="56" t="s">
        <v>20</v>
      </c>
      <c r="J437" s="100" t="s">
        <v>77</v>
      </c>
      <c r="K437" s="336"/>
      <c r="L437" s="134" t="str">
        <f t="shared" si="517"/>
        <v>Tuition (Fall)</v>
      </c>
      <c r="M437" s="133">
        <f>IF(RIGHT($L437,8)="(Summer)",0,ROUND(M418*HLOOKUP(M430,M403:S408,5,FALSE)/2,0))</f>
        <v>0</v>
      </c>
      <c r="N437" s="133">
        <f t="shared" ref="N437" si="553">IF(RIGHT($L437,8)="(Summer)",0,ROUND(N418*HLOOKUP(N430,N403:T408,5,FALSE)/2,0))</f>
        <v>0</v>
      </c>
      <c r="O437" s="133">
        <f t="shared" ref="O437" si="554">IF(RIGHT($L437,8)="(Summer)",0,ROUND(O418*HLOOKUP(O430,O403:U408,5,FALSE)/2,0))</f>
        <v>0</v>
      </c>
      <c r="P437" s="133">
        <f t="shared" ref="P437" si="555">IF(RIGHT($L437,8)="(Summer)",0,ROUND(P418*HLOOKUP(P430,P403:V408,5,FALSE)/2,0))</f>
        <v>0</v>
      </c>
      <c r="Q437" s="133">
        <f t="shared" ref="Q437" si="556">IF(RIGHT($L437,8)="(Summer)",0,ROUND(Q418*HLOOKUP(Q430,Q403:W408,5,FALSE)/2,0))</f>
        <v>0</v>
      </c>
    </row>
    <row r="438" spans="1:17" x14ac:dyDescent="0.25">
      <c r="A438" s="333" t="str">
        <f>CONCATENATE("Base Salary: ",I438," month term")</f>
        <v>Base Salary: 12 month term</v>
      </c>
      <c r="B438" s="93">
        <v>0</v>
      </c>
      <c r="C438" s="118">
        <f>ROUND(+B438*(1+J438),0)</f>
        <v>0</v>
      </c>
      <c r="D438" s="118">
        <f>ROUND(+C438*(1+J438),0)</f>
        <v>0</v>
      </c>
      <c r="E438" s="118">
        <f>ROUND(+D438*(1+J438),0)</f>
        <v>0</v>
      </c>
      <c r="F438" s="118">
        <f>ROUND(+E438*(1+J438),0)</f>
        <v>0</v>
      </c>
      <c r="G438" s="118">
        <f>ROUND(+F438*(1+J438),0)</f>
        <v>0</v>
      </c>
      <c r="H438" s="118">
        <f>ROUND(+G438*(1+J438),0)</f>
        <v>0</v>
      </c>
      <c r="I438" s="74">
        <v>12</v>
      </c>
      <c r="J438" s="81">
        <v>0.03</v>
      </c>
      <c r="K438" s="338"/>
      <c r="L438" s="134" t="str">
        <f t="shared" si="517"/>
        <v>Health Insurance (Spring)</v>
      </c>
      <c r="M438" s="133">
        <f>IF(RIGHT($L438,8)="(Summer)",0,ROUND(M416*HLOOKUP(M428,M403:S408,6,FALSE)/2,0))</f>
        <v>0</v>
      </c>
      <c r="N438" s="133">
        <f t="shared" ref="N438" si="557">IF(RIGHT($L438,8)="(Summer)",0,ROUND(N416*HLOOKUP(N428,N403:T408,6,FALSE)/2,0))</f>
        <v>0</v>
      </c>
      <c r="O438" s="133">
        <f t="shared" ref="O438" si="558">IF(RIGHT($L438,8)="(Summer)",0,ROUND(O416*HLOOKUP(O428,O403:U408,6,FALSE)/2,0))</f>
        <v>0</v>
      </c>
      <c r="P438" s="133">
        <f t="shared" ref="P438" si="559">IF(RIGHT($L438,8)="(Summer)",0,ROUND(P416*HLOOKUP(P428,P403:V408,6,FALSE)/2,0))</f>
        <v>0</v>
      </c>
      <c r="Q438" s="133">
        <f t="shared" ref="Q438" si="560">IF(RIGHT($L438,8)="(Summer)",0,ROUND(Q416*HLOOKUP(Q428,Q403:W408,6,FALSE)/2,0))</f>
        <v>0</v>
      </c>
    </row>
    <row r="439" spans="1:17" x14ac:dyDescent="0.25">
      <c r="A439" s="333" t="s">
        <v>49</v>
      </c>
      <c r="B439" s="86">
        <v>0</v>
      </c>
      <c r="C439" s="86">
        <v>0</v>
      </c>
      <c r="D439" s="86">
        <v>0</v>
      </c>
      <c r="E439" s="86">
        <v>0</v>
      </c>
      <c r="F439" s="86">
        <v>0</v>
      </c>
      <c r="G439" s="86">
        <v>0</v>
      </c>
      <c r="H439" s="86">
        <v>0</v>
      </c>
      <c r="I439" s="49"/>
      <c r="J439" s="49"/>
      <c r="K439" s="333"/>
      <c r="L439" s="134" t="str">
        <f t="shared" si="517"/>
        <v>Health Insurance (Summer)</v>
      </c>
      <c r="M439" s="133">
        <f>IF(RIGHT($L439,8)="(Summer)",0,ROUND(M417*HLOOKUP(M429,M403:S408,6,FALSE)/2,0))</f>
        <v>0</v>
      </c>
      <c r="N439" s="133">
        <f t="shared" ref="N439" si="561">IF(RIGHT($L439,8)="(Summer)",0,ROUND(N417*HLOOKUP(N429,N403:T408,6,FALSE)/2,0))</f>
        <v>0</v>
      </c>
      <c r="O439" s="133">
        <f t="shared" ref="O439" si="562">IF(RIGHT($L439,8)="(Summer)",0,ROUND(O417*HLOOKUP(O429,O403:U408,6,FALSE)/2,0))</f>
        <v>0</v>
      </c>
      <c r="P439" s="133">
        <f t="shared" ref="P439" si="563">IF(RIGHT($L439,8)="(Summer)",0,ROUND(P417*HLOOKUP(P429,P403:V408,6,FALSE)/2,0))</f>
        <v>0</v>
      </c>
      <c r="Q439" s="133">
        <f t="shared" ref="Q439" si="564">IF(RIGHT($L439,8)="(Summer)",0,ROUND(Q417*HLOOKUP(Q429,Q403:W408,6,FALSE)/2,0))</f>
        <v>0</v>
      </c>
    </row>
    <row r="440" spans="1:17" x14ac:dyDescent="0.25">
      <c r="A440" s="333" t="str">
        <f>CONCATENATE("FTE for ",I438," Months")</f>
        <v>FTE for 12 Months</v>
      </c>
      <c r="B440" s="85">
        <f t="shared" ref="B440:H440" si="565">+B439/$I438</f>
        <v>0</v>
      </c>
      <c r="C440" s="85">
        <f t="shared" si="565"/>
        <v>0</v>
      </c>
      <c r="D440" s="85">
        <f t="shared" si="565"/>
        <v>0</v>
      </c>
      <c r="E440" s="85">
        <f t="shared" si="565"/>
        <v>0</v>
      </c>
      <c r="F440" s="85">
        <f t="shared" si="565"/>
        <v>0</v>
      </c>
      <c r="G440" s="85">
        <f t="shared" si="565"/>
        <v>0</v>
      </c>
      <c r="H440" s="85">
        <f t="shared" si="565"/>
        <v>0</v>
      </c>
      <c r="I440" s="100"/>
      <c r="J440" s="100"/>
      <c r="K440" s="336"/>
      <c r="L440" s="134" t="str">
        <f t="shared" si="517"/>
        <v>Health Insurance (Fall)</v>
      </c>
      <c r="M440" s="133">
        <f>IF(RIGHT($L440,8)="(Summer)",0,ROUND(M418*HLOOKUP(M430,M403:S408,6,FALSE)/2,0))</f>
        <v>0</v>
      </c>
      <c r="N440" s="133">
        <f t="shared" ref="N440" si="566">IF(RIGHT($L440,8)="(Summer)",0,ROUND(N418*HLOOKUP(N430,N403:T408,6,FALSE)/2,0))</f>
        <v>0</v>
      </c>
      <c r="O440" s="133">
        <f t="shared" ref="O440" si="567">IF(RIGHT($L440,8)="(Summer)",0,ROUND(O418*HLOOKUP(O430,O403:U408,6,FALSE)/2,0))</f>
        <v>0</v>
      </c>
      <c r="P440" s="133">
        <f t="shared" ref="P440" si="568">IF(RIGHT($L440,8)="(Summer)",0,ROUND(P418*HLOOKUP(P430,P403:V408,6,FALSE)/2,0))</f>
        <v>0</v>
      </c>
      <c r="Q440" s="133">
        <f t="shared" ref="Q440" si="569">IF(RIGHT($L440,8)="(Summer)",0,ROUND(Q418*HLOOKUP(Q430,Q403:W408,6,FALSE)/2,0))</f>
        <v>0</v>
      </c>
    </row>
    <row r="441" spans="1:17" ht="15.75" thickBot="1" x14ac:dyDescent="0.3">
      <c r="A441" s="333" t="s">
        <v>21</v>
      </c>
      <c r="B441" s="119">
        <f t="shared" ref="B441:H441" si="570">ROUND((B438*B440*$N$41)+(C438*B440*$N$42),0)</f>
        <v>0</v>
      </c>
      <c r="C441" s="119">
        <f t="shared" si="570"/>
        <v>0</v>
      </c>
      <c r="D441" s="119">
        <f t="shared" si="570"/>
        <v>0</v>
      </c>
      <c r="E441" s="119">
        <f t="shared" si="570"/>
        <v>0</v>
      </c>
      <c r="F441" s="119">
        <f t="shared" si="570"/>
        <v>0</v>
      </c>
      <c r="G441" s="119">
        <f t="shared" si="570"/>
        <v>0</v>
      </c>
      <c r="H441" s="119">
        <f t="shared" si="570"/>
        <v>0</v>
      </c>
      <c r="I441" s="100"/>
      <c r="J441" s="100"/>
      <c r="K441" s="336"/>
      <c r="L441" s="62" t="s">
        <v>31</v>
      </c>
      <c r="M441" s="63">
        <f>SUM(M432:M440)</f>
        <v>0</v>
      </c>
      <c r="N441" s="63">
        <f>SUM(N432:N440)</f>
        <v>0</v>
      </c>
      <c r="O441" s="63">
        <f>SUM(O432:O440)</f>
        <v>0</v>
      </c>
      <c r="P441" s="63">
        <f>SUM(P432:P440)</f>
        <v>0</v>
      </c>
      <c r="Q441" s="63">
        <f>SUM(Q432:Q440)</f>
        <v>0</v>
      </c>
    </row>
    <row r="442" spans="1:17" x14ac:dyDescent="0.25">
      <c r="A442" s="325"/>
    </row>
    <row r="443" spans="1:17" x14ac:dyDescent="0.25">
      <c r="A443" s="335" t="s">
        <v>106</v>
      </c>
    </row>
    <row r="444" spans="1:17" x14ac:dyDescent="0.25">
      <c r="A444" s="332" t="s">
        <v>444</v>
      </c>
      <c r="B444" s="48" t="s">
        <v>1</v>
      </c>
      <c r="C444" s="48" t="s">
        <v>2</v>
      </c>
      <c r="D444" s="48" t="s">
        <v>3</v>
      </c>
      <c r="E444" s="48" t="s">
        <v>44</v>
      </c>
      <c r="F444" s="48" t="s">
        <v>50</v>
      </c>
      <c r="G444" s="84"/>
      <c r="H444" s="84"/>
      <c r="I444" s="56"/>
      <c r="J444" s="100" t="s">
        <v>77</v>
      </c>
    </row>
    <row r="445" spans="1:17" x14ac:dyDescent="0.25">
      <c r="A445" s="333" t="s">
        <v>318</v>
      </c>
      <c r="B445" s="86">
        <v>15</v>
      </c>
      <c r="C445" s="86">
        <f>ROUND(+B445*(1+J445),2)</f>
        <v>15</v>
      </c>
      <c r="D445" s="86">
        <f>ROUND(+C445*(1+J445),2)</f>
        <v>15</v>
      </c>
      <c r="E445" s="86">
        <f>ROUND(+D445*(1+J445),2)</f>
        <v>15</v>
      </c>
      <c r="F445" s="86">
        <f>ROUND(+E445*(1+J445),2)</f>
        <v>15</v>
      </c>
      <c r="G445" s="84"/>
      <c r="H445" s="84"/>
      <c r="I445" s="74"/>
      <c r="J445" s="81">
        <v>0</v>
      </c>
    </row>
    <row r="446" spans="1:17" x14ac:dyDescent="0.25">
      <c r="A446" s="333" t="s">
        <v>319</v>
      </c>
      <c r="B446" s="127">
        <v>0</v>
      </c>
      <c r="C446" s="127">
        <v>0</v>
      </c>
      <c r="D446" s="127">
        <v>0</v>
      </c>
      <c r="E446" s="127">
        <v>0</v>
      </c>
      <c r="F446" s="127">
        <v>0</v>
      </c>
      <c r="G446" s="84"/>
      <c r="H446" s="84"/>
      <c r="I446" s="49"/>
      <c r="J446" s="49"/>
    </row>
    <row r="447" spans="1:17" x14ac:dyDescent="0.25">
      <c r="A447" s="333" t="s">
        <v>21</v>
      </c>
      <c r="B447" s="119">
        <f>ROUND(B445*B446,0)</f>
        <v>0</v>
      </c>
      <c r="C447" s="119">
        <f t="shared" ref="C447" si="571">ROUND(C445*C446,0)</f>
        <v>0</v>
      </c>
      <c r="D447" s="119">
        <f t="shared" ref="D447" si="572">ROUND(D445*D446,0)</f>
        <v>0</v>
      </c>
      <c r="E447" s="119">
        <f t="shared" ref="E447" si="573">ROUND(E445*E446,0)</f>
        <v>0</v>
      </c>
      <c r="F447" s="119">
        <f t="shared" ref="F447" si="574">ROUND(F445*F446,0)</f>
        <v>0</v>
      </c>
      <c r="G447" s="84"/>
      <c r="H447" s="84"/>
      <c r="I447" s="100"/>
      <c r="J447" s="100"/>
    </row>
    <row r="450" spans="1:11" x14ac:dyDescent="0.25">
      <c r="A450" s="323" t="str">
        <f ca="1">+A22</f>
        <v>Co-PI Budget (4)</v>
      </c>
      <c r="B450" s="289"/>
      <c r="C450" s="289"/>
      <c r="D450" s="289"/>
      <c r="E450" s="289"/>
      <c r="F450" s="289"/>
      <c r="G450" s="289"/>
      <c r="H450" s="289"/>
      <c r="I450" s="289"/>
      <c r="J450" s="289"/>
    </row>
    <row r="451" spans="1:11" x14ac:dyDescent="0.25">
      <c r="A451" s="261" t="s">
        <v>54</v>
      </c>
      <c r="B451" s="343" t="str">
        <f>+B22</f>
        <v>Co-PI</v>
      </c>
      <c r="C451" s="289"/>
      <c r="D451" s="289"/>
      <c r="E451" s="289"/>
      <c r="F451" s="289"/>
      <c r="G451" s="289"/>
      <c r="H451" s="289"/>
      <c r="I451" s="289"/>
      <c r="J451" s="289"/>
    </row>
    <row r="452" spans="1:11" x14ac:dyDescent="0.25">
      <c r="A452" s="261" t="s">
        <v>57</v>
      </c>
      <c r="B452" s="308" t="s">
        <v>61</v>
      </c>
      <c r="C452" s="289"/>
      <c r="D452" s="289"/>
      <c r="E452" s="289"/>
      <c r="F452" s="289"/>
      <c r="G452" s="289"/>
      <c r="H452" s="289"/>
      <c r="I452" s="289"/>
      <c r="J452" s="289"/>
    </row>
    <row r="453" spans="1:11" x14ac:dyDescent="0.25">
      <c r="A453" s="261" t="s">
        <v>57</v>
      </c>
      <c r="B453" s="308" t="s">
        <v>61</v>
      </c>
      <c r="C453" s="289"/>
      <c r="D453" s="289"/>
      <c r="E453" s="289"/>
      <c r="F453" s="289"/>
      <c r="G453" s="289"/>
      <c r="H453" s="289"/>
      <c r="I453" s="289"/>
      <c r="J453" s="289"/>
    </row>
    <row r="454" spans="1:11" x14ac:dyDescent="0.25">
      <c r="A454" s="261" t="s">
        <v>138</v>
      </c>
      <c r="B454" s="363" t="s">
        <v>110</v>
      </c>
      <c r="C454" s="289"/>
      <c r="D454" s="289"/>
      <c r="E454" s="289"/>
      <c r="F454" s="289"/>
      <c r="G454" s="289"/>
      <c r="H454" s="289"/>
      <c r="I454" s="289"/>
      <c r="J454" s="289"/>
    </row>
    <row r="455" spans="1:11" x14ac:dyDescent="0.25">
      <c r="A455" s="261" t="s">
        <v>180</v>
      </c>
      <c r="B455" s="363" t="s">
        <v>178</v>
      </c>
      <c r="C455" s="289"/>
      <c r="D455" s="289"/>
      <c r="E455" s="289"/>
      <c r="F455" s="289"/>
      <c r="G455" s="289"/>
      <c r="H455" s="289"/>
      <c r="I455" s="289"/>
      <c r="J455" s="289"/>
    </row>
    <row r="456" spans="1:11" x14ac:dyDescent="0.25">
      <c r="A456" s="289"/>
      <c r="B456" s="289"/>
      <c r="C456" s="289"/>
      <c r="D456" s="289"/>
      <c r="E456" s="289"/>
      <c r="F456" s="289"/>
      <c r="G456" s="289"/>
      <c r="H456" s="289"/>
      <c r="I456" s="289"/>
      <c r="J456" s="289"/>
    </row>
    <row r="457" spans="1:11" x14ac:dyDescent="0.25">
      <c r="A457" s="261" t="s">
        <v>115</v>
      </c>
      <c r="B457" s="290" t="str">
        <f>IF(B454="Contract College","Contract College","Endowed College")</f>
        <v>Contract College</v>
      </c>
      <c r="C457" s="289"/>
      <c r="D457" s="289"/>
      <c r="E457" s="289"/>
      <c r="F457" s="289"/>
      <c r="G457" s="289"/>
      <c r="H457" s="289"/>
      <c r="I457" s="289"/>
      <c r="J457" s="289"/>
    </row>
    <row r="458" spans="1:11" x14ac:dyDescent="0.25">
      <c r="A458" s="261" t="s">
        <v>116</v>
      </c>
      <c r="B458" s="290" t="str">
        <f>IF(B454="Contract College","Contract College","Endowed College")</f>
        <v>Contract College</v>
      </c>
      <c r="C458" s="289"/>
      <c r="D458" s="289"/>
      <c r="E458" s="289"/>
      <c r="F458" s="289"/>
      <c r="G458" s="289"/>
      <c r="H458" s="289"/>
      <c r="I458" s="289"/>
      <c r="J458" s="289"/>
    </row>
    <row r="459" spans="1:11" x14ac:dyDescent="0.25">
      <c r="A459" s="289"/>
      <c r="B459" s="292"/>
      <c r="C459" s="289"/>
      <c r="D459" s="289"/>
      <c r="E459" s="289"/>
      <c r="F459" s="289"/>
      <c r="G459" s="289"/>
      <c r="H459" s="291"/>
      <c r="I459" s="291"/>
      <c r="J459" s="291"/>
      <c r="K459" s="111"/>
    </row>
    <row r="460" spans="1:11" x14ac:dyDescent="0.25">
      <c r="A460" s="261" t="s">
        <v>118</v>
      </c>
      <c r="B460" s="293" t="str">
        <f>+$B$36</f>
        <v>FY2023</v>
      </c>
      <c r="C460" s="293" t="str">
        <f>+$C$36</f>
        <v>FY2024</v>
      </c>
      <c r="D460" s="293" t="str">
        <f>+$D$36</f>
        <v>FY2025</v>
      </c>
      <c r="E460" s="293" t="str">
        <f>+$E$36</f>
        <v>FY2026</v>
      </c>
      <c r="F460" s="293" t="str">
        <f>+$F$36</f>
        <v>FY2027</v>
      </c>
      <c r="G460" s="293" t="str">
        <f>+$G$36</f>
        <v>FY2028</v>
      </c>
      <c r="H460" s="291"/>
      <c r="I460" s="291"/>
      <c r="J460" s="291"/>
      <c r="K460" s="111"/>
    </row>
    <row r="461" spans="1:11" x14ac:dyDescent="0.25">
      <c r="A461" s="261" t="str">
        <f>IF(AND(B454="Contract College",B$6="Federal"),"   Contract (Federal) - Senior Personnel",IF(AND(B454="Contract College",B$6="Non-federal"),"   Contract (Non-federal) - Senior Personnel","   Endowed - Senior Personnel"))</f>
        <v xml:space="preserve">   Contract (Federal) - Senior Personnel</v>
      </c>
      <c r="B461" s="261">
        <f t="shared" ref="B461:G461" si="575">IF(AND($B454="Contract College",$B$6="Federal"),HLOOKUP(B460,$M$2:$S$11,2,FALSE),IF(AND($B454="Contract College",$B$6="Non-Federal"),HLOOKUP(B460,$M$2:$S$11,3,FALSE),HLOOKUP(B460,$M$2:$S$11,4,FALSE)))</f>
        <v>0.68300000000000005</v>
      </c>
      <c r="C461" s="261">
        <f t="shared" si="575"/>
        <v>0.68300000000000005</v>
      </c>
      <c r="D461" s="261">
        <f t="shared" si="575"/>
        <v>0.68300000000000005</v>
      </c>
      <c r="E461" s="261">
        <f t="shared" si="575"/>
        <v>0.68300000000000005</v>
      </c>
      <c r="F461" s="261">
        <f t="shared" si="575"/>
        <v>0.68300000000000005</v>
      </c>
      <c r="G461" s="261">
        <f t="shared" si="575"/>
        <v>0.68300000000000005</v>
      </c>
      <c r="H461" s="291"/>
      <c r="I461" s="291"/>
      <c r="J461" s="291"/>
      <c r="K461" s="111"/>
    </row>
    <row r="462" spans="1:11" x14ac:dyDescent="0.25">
      <c r="A462" s="261" t="str">
        <f>IF(AND(B$6="Federal",B457="Contract College"),"   Contract (Federal) - Post Doc",IF(AND(B$6="Non-federal",B457="Contract College"),"   Contract (Non-federal) - Post Doc","   Endowed - Post Doc"))</f>
        <v xml:space="preserve">   Contract (Federal) - Post Doc</v>
      </c>
      <c r="B462" s="261">
        <f t="shared" ref="B462:G463" si="576">IF($B457="Endowed College",HLOOKUP(B$36,$M$2:$S$11,4,FALSE),IF($B$6="Federal",HLOOKUP(B$36,$M$2:$S$11,2,FALSE),IF($B$6="Non-Federal",HLOOKUP(B$36,$M$2:$S$11,3,FALSE))))</f>
        <v>0.68300000000000005</v>
      </c>
      <c r="C462" s="261">
        <f t="shared" si="576"/>
        <v>0.68300000000000005</v>
      </c>
      <c r="D462" s="261">
        <f t="shared" si="576"/>
        <v>0.68300000000000005</v>
      </c>
      <c r="E462" s="261">
        <f t="shared" si="576"/>
        <v>0.68300000000000005</v>
      </c>
      <c r="F462" s="261">
        <f t="shared" si="576"/>
        <v>0.68300000000000005</v>
      </c>
      <c r="G462" s="261">
        <f t="shared" si="576"/>
        <v>0.68300000000000005</v>
      </c>
      <c r="H462" s="291"/>
      <c r="I462" s="291"/>
      <c r="J462" s="291"/>
      <c r="K462" s="111"/>
    </row>
    <row r="463" spans="1:11" x14ac:dyDescent="0.25">
      <c r="A463" s="261" t="str">
        <f>IF(AND(B$6="Federal",B458="Contract College"),"   Contract (Federal) - Other Employee",IF(AND(B$6="Non-federal",B458="Contract College"),"   Contract (Non-federal) - Other Empolyee","   Endowed - Other Employee"))</f>
        <v xml:space="preserve">   Contract (Federal) - Other Employee</v>
      </c>
      <c r="B463" s="261">
        <f t="shared" si="576"/>
        <v>0.68300000000000005</v>
      </c>
      <c r="C463" s="261">
        <f t="shared" si="576"/>
        <v>0.68300000000000005</v>
      </c>
      <c r="D463" s="261">
        <f t="shared" si="576"/>
        <v>0.68300000000000005</v>
      </c>
      <c r="E463" s="261">
        <f t="shared" si="576"/>
        <v>0.68300000000000005</v>
      </c>
      <c r="F463" s="261">
        <f t="shared" si="576"/>
        <v>0.68300000000000005</v>
      </c>
      <c r="G463" s="261">
        <f t="shared" si="576"/>
        <v>0.68300000000000005</v>
      </c>
      <c r="H463" s="291"/>
      <c r="I463" s="291"/>
      <c r="J463" s="291"/>
      <c r="K463" s="111"/>
    </row>
    <row r="464" spans="1:11" x14ac:dyDescent="0.25">
      <c r="A464" s="261" t="s">
        <v>320</v>
      </c>
      <c r="B464" s="261">
        <f t="shared" ref="B464:G464" si="577">HLOOKUP(B$36,$M$2:$S$11,5,FALSE)</f>
        <v>0.1</v>
      </c>
      <c r="C464" s="261">
        <f t="shared" si="577"/>
        <v>0.1</v>
      </c>
      <c r="D464" s="261">
        <f t="shared" si="577"/>
        <v>0.1</v>
      </c>
      <c r="E464" s="261">
        <f t="shared" si="577"/>
        <v>0.1</v>
      </c>
      <c r="F464" s="261">
        <f t="shared" si="577"/>
        <v>0.1</v>
      </c>
      <c r="G464" s="261">
        <f t="shared" si="577"/>
        <v>0.1</v>
      </c>
      <c r="H464" s="291"/>
      <c r="I464" s="291"/>
      <c r="J464" s="291"/>
      <c r="K464" s="111"/>
    </row>
    <row r="465" spans="1:11" x14ac:dyDescent="0.25">
      <c r="A465" s="261" t="str">
        <f>CONCATENATE("Cornell IDC Rate - ",B454)</f>
        <v>Cornell IDC Rate - Contract College</v>
      </c>
      <c r="B465" s="261">
        <f>IF($B455="Off",(HLOOKUP(B$36,$M$2:$S$11,9,FALSE)),IF(AND($B$7="Other",$B455="On"),(HLOOKUP(B$36,$M$2:$S$11,8,FALSE)),IF(AND($B455="On",$B454="Contract College",$B$7="Research"),(HLOOKUP(B$36,$M$2:$S$11,6,FALSE)),(HLOOKUP(B$36,$M$2:$S$11,7,FALSE)))))</f>
        <v>0.56999999999999995</v>
      </c>
      <c r="C465" s="261">
        <f t="shared" ref="C465:G465" si="578">IF($B455="Off",(HLOOKUP(C$36,$M$2:$S$11,9,FALSE)),IF(AND($B$7="Other",$B455="On"),(HLOOKUP(C$36,$M$2:$S$11,8,FALSE)),IF(AND($B455="On",$B454="Contract College",$B$7="Research"),(HLOOKUP(C$36,$M$2:$S$11,6,FALSE)),(HLOOKUP(C$36,$M$2:$S$11,7,FALSE)))))</f>
        <v>0.56999999999999995</v>
      </c>
      <c r="D465" s="261">
        <f t="shared" si="578"/>
        <v>0.56999999999999995</v>
      </c>
      <c r="E465" s="261">
        <f t="shared" si="578"/>
        <v>0.56999999999999995</v>
      </c>
      <c r="F465" s="261">
        <f t="shared" si="578"/>
        <v>0.56999999999999995</v>
      </c>
      <c r="G465" s="261">
        <f t="shared" si="578"/>
        <v>0.56999999999999995</v>
      </c>
      <c r="H465" s="291"/>
      <c r="I465" s="291"/>
      <c r="J465" s="291"/>
      <c r="K465" s="111"/>
    </row>
    <row r="466" spans="1:11" x14ac:dyDescent="0.25">
      <c r="A466" s="261" t="str">
        <f>IF($B$11="Yes","","Rate Allowed by Sponsor:")</f>
        <v>Rate Allowed by Sponsor:</v>
      </c>
      <c r="B466" s="293">
        <f t="shared" ref="B466:G466" si="579">IF($B$11="Yes","",IF($B$11="No",HLOOKUP(B$36,$M$2:$S$11,10,FALSE),(HLOOKUP(B$36,$M$2:$S$11,10,FALSE))))</f>
        <v>0.2</v>
      </c>
      <c r="C466" s="293">
        <f t="shared" si="579"/>
        <v>0.2</v>
      </c>
      <c r="D466" s="293">
        <f t="shared" si="579"/>
        <v>0.2</v>
      </c>
      <c r="E466" s="293">
        <f t="shared" si="579"/>
        <v>0.2</v>
      </c>
      <c r="F466" s="293">
        <f t="shared" si="579"/>
        <v>0.2</v>
      </c>
      <c r="G466" s="293">
        <f t="shared" si="579"/>
        <v>0.2</v>
      </c>
      <c r="H466" s="414"/>
      <c r="I466" s="414"/>
      <c r="J466" s="414"/>
      <c r="K466" s="111"/>
    </row>
    <row r="467" spans="1:11" x14ac:dyDescent="0.25">
      <c r="B467" s="82"/>
      <c r="C467" s="82"/>
      <c r="D467" s="82"/>
      <c r="E467" s="82"/>
      <c r="F467" s="82"/>
      <c r="G467" s="82"/>
    </row>
    <row r="468" spans="1:11" ht="20.25" x14ac:dyDescent="0.3">
      <c r="A468" s="64" t="s">
        <v>59</v>
      </c>
      <c r="B468" s="113"/>
      <c r="C468" s="113"/>
      <c r="D468" s="113"/>
      <c r="E468" s="113"/>
      <c r="F468" s="113"/>
      <c r="G468" s="113"/>
      <c r="H468" s="113"/>
    </row>
    <row r="469" spans="1:11" ht="15.75" x14ac:dyDescent="0.25">
      <c r="A469" s="114" t="s">
        <v>102</v>
      </c>
      <c r="B469" s="115" t="str">
        <f t="shared" ref="B469:H469" si="580">IF(B472=$Z$5,$Z$9,IF(B472=$AA$5,$AA$9,IF(B472=$AB$5,$AB$9,IF(B472=$AC$5,$AC$9,IF(B472=$AD$5,$AD$9," ")))))</f>
        <v xml:space="preserve"> </v>
      </c>
      <c r="C469" s="115" t="str">
        <f t="shared" si="580"/>
        <v>2023-2023</v>
      </c>
      <c r="D469" s="115" t="str">
        <f t="shared" si="580"/>
        <v>2024-2024</v>
      </c>
      <c r="E469" s="115" t="str">
        <f t="shared" si="580"/>
        <v>2025-2025</v>
      </c>
      <c r="F469" s="115" t="str">
        <f t="shared" si="580"/>
        <v>2026-2026</v>
      </c>
      <c r="G469" s="115" t="str">
        <f t="shared" si="580"/>
        <v>2027-2027</v>
      </c>
      <c r="H469" s="115" t="str">
        <f t="shared" si="580"/>
        <v xml:space="preserve"> </v>
      </c>
    </row>
    <row r="471" spans="1:11" x14ac:dyDescent="0.25">
      <c r="A471" s="301" t="str">
        <f>CONCATENATE("Calculation based on ",I473," month salary")</f>
        <v>Calculation based on 9 month salary</v>
      </c>
      <c r="B471" s="113" t="str">
        <f t="shared" ref="B471:H471" si="581">IF(AND(B472=$Z$5,$I473=9),$Z$3,IF(AND(B472=$AA$5,$I473=9),$AA$3,IF(AND(B472=$AB$5,$I473=9),$AB$3,IF(AND(B472=$AC$5,$I473=9),$AC$3,IF(AND(B472=$AD$5,$I473=9),$AD$3,IF(AND(B472=$Z$4,$I473=12),$Z$3,IF(AND(B472=$AA$4,$I473=12),$AA$3,IF(AND(B472=$AB$4,$I473=12),$AB$3,IF(AND(B472=$AC$4,$I473=12),$AC$3,IF(AND(B472=$AD$4,$I473=12),$AD$3," "))))))))))</f>
        <v xml:space="preserve"> </v>
      </c>
      <c r="C471" s="113" t="str">
        <f t="shared" si="581"/>
        <v>Year 1</v>
      </c>
      <c r="D471" s="113" t="str">
        <f t="shared" si="581"/>
        <v>Year 2</v>
      </c>
      <c r="E471" s="113" t="str">
        <f t="shared" si="581"/>
        <v>Year 3</v>
      </c>
      <c r="F471" s="113" t="str">
        <f t="shared" si="581"/>
        <v>Year 4</v>
      </c>
      <c r="G471" s="113" t="str">
        <f t="shared" si="581"/>
        <v>Year 5</v>
      </c>
      <c r="H471" s="113" t="str">
        <f t="shared" si="581"/>
        <v xml:space="preserve"> </v>
      </c>
    </row>
    <row r="472" spans="1:11" x14ac:dyDescent="0.25">
      <c r="A472" s="302" t="str">
        <f>+B451</f>
        <v>Co-PI</v>
      </c>
      <c r="B472" s="84" t="str">
        <f>+M$2</f>
        <v>FY2023</v>
      </c>
      <c r="C472" s="84" t="str">
        <f t="shared" ref="C472" si="582">+N$2</f>
        <v>FY2024</v>
      </c>
      <c r="D472" s="84" t="str">
        <f t="shared" ref="D472" si="583">+O$2</f>
        <v>FY2025</v>
      </c>
      <c r="E472" s="84" t="str">
        <f t="shared" ref="E472" si="584">+P$2</f>
        <v>FY2026</v>
      </c>
      <c r="F472" s="84" t="str">
        <f t="shared" ref="F472" si="585">+Q$2</f>
        <v>FY2027</v>
      </c>
      <c r="G472" s="84" t="str">
        <f t="shared" ref="G472" si="586">+R$2</f>
        <v>FY2028</v>
      </c>
      <c r="H472" s="84" t="str">
        <f t="shared" ref="H472" si="587">+S$2</f>
        <v>FY2029</v>
      </c>
      <c r="I472" s="56" t="s">
        <v>20</v>
      </c>
      <c r="J472" s="100" t="s">
        <v>77</v>
      </c>
      <c r="K472" s="100"/>
    </row>
    <row r="473" spans="1:11" x14ac:dyDescent="0.25">
      <c r="A473" s="294" t="str">
        <f>CONCATENATE("Base Salary: ",I473," month term")</f>
        <v>Base Salary: 9 month term</v>
      </c>
      <c r="B473" s="93">
        <v>0</v>
      </c>
      <c r="C473" s="118">
        <f>ROUND(+B473*(1+J473),0)</f>
        <v>0</v>
      </c>
      <c r="D473" s="118">
        <f>ROUND(+C473*(1+J473),0)</f>
        <v>0</v>
      </c>
      <c r="E473" s="118">
        <f>ROUND(+D473*(1+J473),0)</f>
        <v>0</v>
      </c>
      <c r="F473" s="118">
        <f>ROUND(+E473*(1+J473),0)</f>
        <v>0</v>
      </c>
      <c r="G473" s="118">
        <f>ROUND(+F473*(1+J473),0)</f>
        <v>0</v>
      </c>
      <c r="H473" s="118">
        <f>ROUND(+G473*(1+J473),0)</f>
        <v>0</v>
      </c>
      <c r="I473" s="74">
        <v>9</v>
      </c>
      <c r="J473" s="81">
        <v>0.03</v>
      </c>
      <c r="K473" s="81"/>
    </row>
    <row r="474" spans="1:11" x14ac:dyDescent="0.25">
      <c r="A474" s="294" t="s">
        <v>49</v>
      </c>
      <c r="B474" s="86">
        <v>0</v>
      </c>
      <c r="C474" s="86">
        <v>0</v>
      </c>
      <c r="D474" s="86">
        <v>0</v>
      </c>
      <c r="E474" s="86">
        <v>0</v>
      </c>
      <c r="F474" s="86">
        <v>0</v>
      </c>
      <c r="G474" s="86">
        <v>0</v>
      </c>
      <c r="H474" s="86">
        <v>0</v>
      </c>
      <c r="I474" s="49"/>
      <c r="J474" s="49"/>
      <c r="K474" s="49"/>
    </row>
    <row r="475" spans="1:11" x14ac:dyDescent="0.25">
      <c r="A475" s="294" t="str">
        <f>CONCATENATE("FTE for ",I473," Months")</f>
        <v>FTE for 9 Months</v>
      </c>
      <c r="B475" s="85">
        <f t="shared" ref="B475:H475" si="588">+B474/$I473</f>
        <v>0</v>
      </c>
      <c r="C475" s="85">
        <f t="shared" si="588"/>
        <v>0</v>
      </c>
      <c r="D475" s="85">
        <f t="shared" si="588"/>
        <v>0</v>
      </c>
      <c r="E475" s="85">
        <f t="shared" si="588"/>
        <v>0</v>
      </c>
      <c r="F475" s="85">
        <f t="shared" si="588"/>
        <v>0</v>
      </c>
      <c r="G475" s="85">
        <f t="shared" si="588"/>
        <v>0</v>
      </c>
      <c r="H475" s="85">
        <f t="shared" si="588"/>
        <v>0</v>
      </c>
      <c r="I475" s="100"/>
      <c r="J475" s="100"/>
      <c r="K475" s="100"/>
    </row>
    <row r="476" spans="1:11" x14ac:dyDescent="0.25">
      <c r="A476" s="303" t="s">
        <v>60</v>
      </c>
      <c r="B476" s="124">
        <f t="shared" ref="B476:H476" si="589">+B474/12</f>
        <v>0</v>
      </c>
      <c r="C476" s="125">
        <f t="shared" si="589"/>
        <v>0</v>
      </c>
      <c r="D476" s="124">
        <f t="shared" si="589"/>
        <v>0</v>
      </c>
      <c r="E476" s="124">
        <f t="shared" si="589"/>
        <v>0</v>
      </c>
      <c r="F476" s="124">
        <f t="shared" si="589"/>
        <v>0</v>
      </c>
      <c r="G476" s="124">
        <f t="shared" si="589"/>
        <v>0</v>
      </c>
      <c r="H476" s="124">
        <f t="shared" si="589"/>
        <v>0</v>
      </c>
      <c r="I476" s="100"/>
      <c r="J476" s="100"/>
      <c r="K476" s="100"/>
    </row>
    <row r="477" spans="1:11" x14ac:dyDescent="0.25">
      <c r="A477" s="294" t="s">
        <v>21</v>
      </c>
      <c r="B477" s="485">
        <f t="shared" ref="B477:H477" si="590">IF($B$3="NIH",IF(IF($I473=9,ROUND(B473*B475,0),IF($I473=12,ROUND((B473*B475*$N$41)+(C473*B475*$N$42),0),0))&lt;IF($I473=9,ROUND($M$13*B475,0),IF($I473=12,ROUND(($M$14*B475*$N$41)+($M$14*B475*$N$42),0),0)),IF($I473=9,ROUND(B473*B475,0),IF($I473=12,ROUND((B473*B475*$N$41)+(C473*B475*$N$42),0),0)),IF($I473=9,ROUND($M$13*B475,0),IF($I473=12,ROUND(($M$14*B475*$N$41)+($M$14*B475*$N$42),0),0))),IF($I473=9,ROUND(B473*B475,0),IF($I473=12,ROUND((B473*B475*$N$41)+(C473*B475*$N$42),0),0)))</f>
        <v>0</v>
      </c>
      <c r="C477" s="485">
        <f t="shared" si="590"/>
        <v>0</v>
      </c>
      <c r="D477" s="485">
        <f t="shared" si="590"/>
        <v>0</v>
      </c>
      <c r="E477" s="485">
        <f t="shared" si="590"/>
        <v>0</v>
      </c>
      <c r="F477" s="485">
        <f t="shared" si="590"/>
        <v>0</v>
      </c>
      <c r="G477" s="485">
        <f t="shared" si="590"/>
        <v>0</v>
      </c>
      <c r="H477" s="485">
        <f t="shared" si="590"/>
        <v>0</v>
      </c>
      <c r="I477" s="100"/>
      <c r="J477" s="100"/>
      <c r="K477" s="100"/>
    </row>
    <row r="478" spans="1:11" x14ac:dyDescent="0.25">
      <c r="A478" s="723" t="str">
        <f>IF($B$3="NIH",IF(I473=9,CONCATENATE("NIH ",I473," Month Salary Cap = ",TEXT($M$13,"$0,000")),IF(I473=12,CONCATENATE("NIH ",I473," Month Salary Cap = ",TEXT($M$14,"$0,000")),"N/A"))," ")</f>
        <v xml:space="preserve"> </v>
      </c>
      <c r="I478" s="100"/>
      <c r="J478" s="100"/>
      <c r="K478" s="100"/>
    </row>
    <row r="479" spans="1:11" x14ac:dyDescent="0.25">
      <c r="A479" s="303" t="s">
        <v>189</v>
      </c>
      <c r="B479" s="86">
        <v>0</v>
      </c>
      <c r="C479" s="86">
        <v>0</v>
      </c>
      <c r="D479" s="86">
        <v>0</v>
      </c>
      <c r="E479" s="86">
        <v>0</v>
      </c>
      <c r="F479" s="86">
        <v>0</v>
      </c>
      <c r="G479" s="86">
        <v>0</v>
      </c>
      <c r="H479" s="86">
        <v>0</v>
      </c>
      <c r="I479" s="100"/>
      <c r="J479" s="100"/>
      <c r="K479" s="100"/>
    </row>
    <row r="480" spans="1:11" x14ac:dyDescent="0.25">
      <c r="A480" s="303" t="str">
        <f>CONCATENATE("FTE for ",I473," Months")</f>
        <v>FTE for 9 Months</v>
      </c>
      <c r="B480" s="85">
        <f t="shared" ref="B480" si="591">+B479/$I473</f>
        <v>0</v>
      </c>
      <c r="C480" s="85">
        <f t="shared" ref="C480" si="592">+C479/$I473</f>
        <v>0</v>
      </c>
      <c r="D480" s="85">
        <f t="shared" ref="D480" si="593">+D479/$I473</f>
        <v>0</v>
      </c>
      <c r="E480" s="85">
        <f t="shared" ref="E480" si="594">+E479/$I473</f>
        <v>0</v>
      </c>
      <c r="F480" s="85">
        <f t="shared" ref="F480" si="595">+F479/$I473</f>
        <v>0</v>
      </c>
      <c r="G480" s="85">
        <f t="shared" ref="G480" si="596">+G479/$I473</f>
        <v>0</v>
      </c>
      <c r="H480" s="85">
        <f t="shared" ref="H480" si="597">+H479/$I473</f>
        <v>0</v>
      </c>
      <c r="I480" s="100"/>
      <c r="J480" s="100"/>
      <c r="K480" s="100"/>
    </row>
    <row r="481" spans="1:17" x14ac:dyDescent="0.25">
      <c r="A481" s="303" t="s">
        <v>60</v>
      </c>
      <c r="B481" s="124">
        <f t="shared" ref="B481:H481" si="598">+B479/12</f>
        <v>0</v>
      </c>
      <c r="C481" s="125">
        <f t="shared" si="598"/>
        <v>0</v>
      </c>
      <c r="D481" s="124">
        <f t="shared" si="598"/>
        <v>0</v>
      </c>
      <c r="E481" s="124">
        <f t="shared" si="598"/>
        <v>0</v>
      </c>
      <c r="F481" s="124">
        <f t="shared" si="598"/>
        <v>0</v>
      </c>
      <c r="G481" s="124">
        <f t="shared" si="598"/>
        <v>0</v>
      </c>
      <c r="H481" s="124">
        <f t="shared" si="598"/>
        <v>0</v>
      </c>
      <c r="I481" s="100"/>
      <c r="J481" s="100"/>
      <c r="K481" s="100"/>
    </row>
    <row r="482" spans="1:17" x14ac:dyDescent="0.25">
      <c r="A482" s="303" t="s">
        <v>204</v>
      </c>
      <c r="B482" s="119">
        <f t="shared" ref="B482:H482" si="599">IF($I473=9,ROUND(B473*B480,0),IF($I473=12,ROUND((B473*B480*$N$41)+(C473*B480*$N$42),0),0))</f>
        <v>0</v>
      </c>
      <c r="C482" s="119">
        <f t="shared" si="599"/>
        <v>0</v>
      </c>
      <c r="D482" s="119">
        <f t="shared" si="599"/>
        <v>0</v>
      </c>
      <c r="E482" s="119">
        <f t="shared" si="599"/>
        <v>0</v>
      </c>
      <c r="F482" s="119">
        <f t="shared" si="599"/>
        <v>0</v>
      </c>
      <c r="G482" s="119">
        <f t="shared" si="599"/>
        <v>0</v>
      </c>
      <c r="H482" s="119">
        <f t="shared" si="599"/>
        <v>0</v>
      </c>
      <c r="I482" s="100"/>
      <c r="J482" s="100"/>
      <c r="K482" s="100"/>
    </row>
    <row r="483" spans="1:17" x14ac:dyDescent="0.25">
      <c r="A483" s="303" t="str">
        <f>IF($B$3="NIH", "Over the Salary Limit", " ")</f>
        <v xml:space="preserve"> </v>
      </c>
      <c r="B483" s="486">
        <f>IF($B$3="NIH",IF(AND($I473=9,B473&lt;$M$13),0,IF(AND($I473=9,B473&gt;=$M$13),ROUND((B473*B475)-($M$13*B475),0),IF(AND($I473=12,B473&lt;$M$14),0,IF(AND($I473=12,B473&gt;=$M$14),ROUND(((B473*B475*$N$41)+(C473*B475*$N$42))-($M$14*B475),0))))),0)</f>
        <v>0</v>
      </c>
      <c r="C483" s="486">
        <f t="shared" ref="C483:H483" si="600">IF($B$3="NIH",IF(AND($I473=9,C473&lt;$M$13),0,IF(AND($I473=9,C473&gt;=$M$13),ROUND((C473*C475)-($M$13*C475),0),IF(AND($I473=12,C473&lt;$M$14),0,IF(AND($I473=12,C473&gt;=$M$14),ROUND(((C473*C475*$N$41)+(D473*C475*$N$42))-($M$14*C475),0))))),0)</f>
        <v>0</v>
      </c>
      <c r="D483" s="486">
        <f t="shared" si="600"/>
        <v>0</v>
      </c>
      <c r="E483" s="486">
        <f t="shared" si="600"/>
        <v>0</v>
      </c>
      <c r="F483" s="486">
        <f t="shared" si="600"/>
        <v>0</v>
      </c>
      <c r="G483" s="486">
        <f t="shared" si="600"/>
        <v>0</v>
      </c>
      <c r="H483" s="486">
        <f t="shared" si="600"/>
        <v>0</v>
      </c>
      <c r="I483" s="100"/>
      <c r="J483" s="100"/>
      <c r="K483" s="100"/>
    </row>
    <row r="484" spans="1:17" x14ac:dyDescent="0.25">
      <c r="A484" s="289"/>
      <c r="I484" s="100"/>
      <c r="J484" s="100"/>
      <c r="K484" s="100"/>
    </row>
    <row r="485" spans="1:17" x14ac:dyDescent="0.25">
      <c r="A485" s="301" t="str">
        <f>CONCATENATE("Calculation based on ",I487," month salary")</f>
        <v>Calculation based on 9 month salary</v>
      </c>
      <c r="B485" s="113" t="str">
        <f t="shared" ref="B485:H485" si="601">IF(AND(B486=$Z$5,$I487=9),$Z$3,IF(AND(B486=$AA$5,$I487=9),$AA$3,IF(AND(B486=$AB$5,$I487=9),$AB$3,IF(AND(B486=$AC$5,$I487=9),$AC$3,IF(AND(B486=$AD$5,$I487=9),$AD$3,IF(AND(B486=$Z$4,$I487=12),$Z$3,IF(AND(B486=$AA$4,$I487=12),$AA$3,IF(AND(B486=$AB$4,$I487=12),$AB$3,IF(AND(B486=$AC$4,$I487=12),$AC$3,IF(AND(B486=$AD$4,$I487=12),$AD$3," "))))))))))</f>
        <v xml:space="preserve"> </v>
      </c>
      <c r="C485" s="113" t="str">
        <f t="shared" si="601"/>
        <v>Year 1</v>
      </c>
      <c r="D485" s="113" t="str">
        <f t="shared" si="601"/>
        <v>Year 2</v>
      </c>
      <c r="E485" s="113" t="str">
        <f t="shared" si="601"/>
        <v>Year 3</v>
      </c>
      <c r="F485" s="113" t="str">
        <f t="shared" si="601"/>
        <v>Year 4</v>
      </c>
      <c r="G485" s="113" t="str">
        <f t="shared" si="601"/>
        <v>Year 5</v>
      </c>
      <c r="H485" s="113" t="str">
        <f t="shared" si="601"/>
        <v xml:space="preserve"> </v>
      </c>
      <c r="I485" s="100"/>
      <c r="J485" s="100"/>
      <c r="K485" s="100"/>
      <c r="P485" s="47"/>
    </row>
    <row r="486" spans="1:17" x14ac:dyDescent="0.25">
      <c r="A486" s="302" t="str">
        <f>+B452</f>
        <v>Co-PI</v>
      </c>
      <c r="B486" s="84" t="str">
        <f>+M$2</f>
        <v>FY2023</v>
      </c>
      <c r="C486" s="84" t="str">
        <f t="shared" ref="C486" si="602">+N$2</f>
        <v>FY2024</v>
      </c>
      <c r="D486" s="84" t="str">
        <f t="shared" ref="D486" si="603">+O$2</f>
        <v>FY2025</v>
      </c>
      <c r="E486" s="84" t="str">
        <f t="shared" ref="E486" si="604">+P$2</f>
        <v>FY2026</v>
      </c>
      <c r="F486" s="84" t="str">
        <f t="shared" ref="F486" si="605">+Q$2</f>
        <v>FY2027</v>
      </c>
      <c r="G486" s="84" t="str">
        <f t="shared" ref="G486" si="606">+R$2</f>
        <v>FY2028</v>
      </c>
      <c r="H486" s="84" t="str">
        <f t="shared" ref="H486" si="607">+S$2</f>
        <v>FY2029</v>
      </c>
      <c r="I486" s="56" t="s">
        <v>20</v>
      </c>
      <c r="J486" s="100" t="s">
        <v>77</v>
      </c>
      <c r="K486" s="100"/>
      <c r="P486" s="47"/>
    </row>
    <row r="487" spans="1:17" x14ac:dyDescent="0.25">
      <c r="A487" s="294" t="str">
        <f>CONCATENATE("Base Salary: ",I487," month term")</f>
        <v>Base Salary: 9 month term</v>
      </c>
      <c r="B487" s="93">
        <v>0</v>
      </c>
      <c r="C487" s="118">
        <f>ROUND(+B487*(1+J487),0)</f>
        <v>0</v>
      </c>
      <c r="D487" s="118">
        <f>ROUND(+C487*(1+J487),0)</f>
        <v>0</v>
      </c>
      <c r="E487" s="118">
        <f>ROUND(+D487*(1+J487),0)</f>
        <v>0</v>
      </c>
      <c r="F487" s="118">
        <f>ROUND(+E487*(1+J487),0)</f>
        <v>0</v>
      </c>
      <c r="G487" s="118">
        <f>ROUND(+F487*(1+J487),0)</f>
        <v>0</v>
      </c>
      <c r="H487" s="118">
        <f>ROUND(+G487*(1+J487),0)</f>
        <v>0</v>
      </c>
      <c r="I487" s="74">
        <v>9</v>
      </c>
      <c r="J487" s="81">
        <v>0.03</v>
      </c>
      <c r="K487" s="81"/>
      <c r="P487" s="47"/>
    </row>
    <row r="488" spans="1:17" x14ac:dyDescent="0.25">
      <c r="A488" s="294" t="s">
        <v>49</v>
      </c>
      <c r="B488" s="86">
        <v>0</v>
      </c>
      <c r="C488" s="86">
        <v>0</v>
      </c>
      <c r="D488" s="86">
        <v>0</v>
      </c>
      <c r="E488" s="86">
        <v>0</v>
      </c>
      <c r="F488" s="86">
        <v>0</v>
      </c>
      <c r="G488" s="86">
        <v>0</v>
      </c>
      <c r="H488" s="86">
        <v>0</v>
      </c>
      <c r="I488" s="49"/>
      <c r="J488" s="49"/>
      <c r="K488" s="49"/>
    </row>
    <row r="489" spans="1:17" x14ac:dyDescent="0.25">
      <c r="A489" s="294" t="str">
        <f>CONCATENATE("FTE for ",I487," Months")</f>
        <v>FTE for 9 Months</v>
      </c>
      <c r="B489" s="85">
        <f t="shared" ref="B489:H489" si="608">+B488/$I487</f>
        <v>0</v>
      </c>
      <c r="C489" s="85">
        <f t="shared" si="608"/>
        <v>0</v>
      </c>
      <c r="D489" s="85">
        <f t="shared" si="608"/>
        <v>0</v>
      </c>
      <c r="E489" s="85">
        <f t="shared" si="608"/>
        <v>0</v>
      </c>
      <c r="F489" s="85">
        <f t="shared" si="608"/>
        <v>0</v>
      </c>
      <c r="G489" s="85">
        <f t="shared" si="608"/>
        <v>0</v>
      </c>
      <c r="H489" s="85">
        <f t="shared" si="608"/>
        <v>0</v>
      </c>
      <c r="I489" s="100"/>
      <c r="J489" s="100"/>
      <c r="K489" s="100"/>
    </row>
    <row r="490" spans="1:17" x14ac:dyDescent="0.25">
      <c r="A490" s="303" t="s">
        <v>60</v>
      </c>
      <c r="B490" s="124">
        <f>+B488/12</f>
        <v>0</v>
      </c>
      <c r="C490" s="125">
        <f>+C488/12</f>
        <v>0</v>
      </c>
      <c r="D490" s="124">
        <f t="shared" ref="D490:H490" si="609">+D488/12</f>
        <v>0</v>
      </c>
      <c r="E490" s="124">
        <f t="shared" si="609"/>
        <v>0</v>
      </c>
      <c r="F490" s="124">
        <f t="shared" si="609"/>
        <v>0</v>
      </c>
      <c r="G490" s="124">
        <f t="shared" si="609"/>
        <v>0</v>
      </c>
      <c r="H490" s="124">
        <f t="shared" si="609"/>
        <v>0</v>
      </c>
      <c r="I490" s="100"/>
      <c r="J490" s="100"/>
      <c r="K490" s="100"/>
    </row>
    <row r="491" spans="1:17" x14ac:dyDescent="0.25">
      <c r="A491" s="294" t="s">
        <v>21</v>
      </c>
      <c r="B491" s="485">
        <f t="shared" ref="B491:H491" si="610">IF($B$3="NIH",IF(IF($I487=9,ROUND(B487*B489,0),IF($I487=12,ROUND((B487*B489*$N$41)+(C487*B489*$N$42),0),0))&lt;IF($I487=9,ROUND($M$13*B489,0),IF($I487=12,ROUND(($M$14*B489*$N$41)+($M$14*B489*$N$42),0),0)),IF($I487=9,ROUND(B487*B489,0),IF($I487=12,ROUND((B487*B489*$N$41)+(C487*B489*$N$42),0),0)),IF($I487=9,ROUND($M$13*B489,0),IF($I487=12,ROUND(($M$14*B489*$N$41)+($M$14*B489*$N$42),0),0))),IF($I487=9,ROUND(B487*B489,0),IF($I487=12,ROUND((B487*B489*$N$41)+(C487*B489*$N$42),0),0)))</f>
        <v>0</v>
      </c>
      <c r="C491" s="485">
        <f t="shared" si="610"/>
        <v>0</v>
      </c>
      <c r="D491" s="485">
        <f t="shared" si="610"/>
        <v>0</v>
      </c>
      <c r="E491" s="485">
        <f t="shared" si="610"/>
        <v>0</v>
      </c>
      <c r="F491" s="485">
        <f t="shared" si="610"/>
        <v>0</v>
      </c>
      <c r="G491" s="485">
        <f t="shared" si="610"/>
        <v>0</v>
      </c>
      <c r="H491" s="485">
        <f t="shared" si="610"/>
        <v>0</v>
      </c>
      <c r="I491" s="100"/>
      <c r="J491" s="100"/>
      <c r="K491" s="100"/>
    </row>
    <row r="492" spans="1:17" x14ac:dyDescent="0.25">
      <c r="A492" s="723" t="str">
        <f>IF($B$3="NIH",IF(I487=9,CONCATENATE("NIH ",I487," Month Salary Cap = ",TEXT($M$13,"$0,000")),IF(I487=12,CONCATENATE("NIH ",I487," Month Salary Cap = ",TEXT($M$14,"$0,000")),"N/A"))," ")</f>
        <v xml:space="preserve"> </v>
      </c>
      <c r="I492" s="100"/>
      <c r="J492" s="100"/>
      <c r="K492" s="100"/>
      <c r="L492" s="50"/>
      <c r="M492" s="47"/>
      <c r="N492" s="47"/>
      <c r="O492" s="47"/>
      <c r="P492" s="47"/>
      <c r="Q492" s="47"/>
    </row>
    <row r="493" spans="1:17" x14ac:dyDescent="0.25">
      <c r="A493" s="303" t="s">
        <v>189</v>
      </c>
      <c r="B493" s="86">
        <v>0</v>
      </c>
      <c r="C493" s="86">
        <v>0</v>
      </c>
      <c r="D493" s="86">
        <v>0</v>
      </c>
      <c r="E493" s="86">
        <v>0</v>
      </c>
      <c r="F493" s="86">
        <v>0</v>
      </c>
      <c r="G493" s="86">
        <v>0</v>
      </c>
      <c r="H493" s="86">
        <v>0</v>
      </c>
      <c r="I493" s="100"/>
      <c r="J493" s="100"/>
      <c r="K493" s="100"/>
      <c r="L493" s="50"/>
      <c r="M493" s="47"/>
      <c r="N493" s="47"/>
      <c r="O493" s="47"/>
      <c r="P493" s="47"/>
      <c r="Q493" s="47"/>
    </row>
    <row r="494" spans="1:17" x14ac:dyDescent="0.25">
      <c r="A494" s="303" t="str">
        <f>CONCATENATE("FTE for ",I487," Months")</f>
        <v>FTE for 9 Months</v>
      </c>
      <c r="B494" s="85">
        <f t="shared" ref="B494" si="611">+B493/$I487</f>
        <v>0</v>
      </c>
      <c r="C494" s="85">
        <f t="shared" ref="C494" si="612">+C493/$I487</f>
        <v>0</v>
      </c>
      <c r="D494" s="85">
        <f t="shared" ref="D494" si="613">+D493/$I487</f>
        <v>0</v>
      </c>
      <c r="E494" s="85">
        <f t="shared" ref="E494" si="614">+E493/$I487</f>
        <v>0</v>
      </c>
      <c r="F494" s="85">
        <f t="shared" ref="F494" si="615">+F493/$I487</f>
        <v>0</v>
      </c>
      <c r="G494" s="85">
        <f t="shared" ref="G494" si="616">+G493/$I487</f>
        <v>0</v>
      </c>
      <c r="H494" s="85">
        <f t="shared" ref="H494" si="617">+H493/$I487</f>
        <v>0</v>
      </c>
      <c r="I494" s="100"/>
      <c r="J494" s="100"/>
      <c r="K494" s="100"/>
      <c r="L494" s="50"/>
      <c r="M494" s="47"/>
      <c r="N494" s="47"/>
      <c r="O494" s="47"/>
      <c r="P494" s="47"/>
      <c r="Q494" s="47"/>
    </row>
    <row r="495" spans="1:17" x14ac:dyDescent="0.25">
      <c r="A495" s="303" t="s">
        <v>60</v>
      </c>
      <c r="B495" s="124">
        <f t="shared" ref="B495:H495" si="618">+B493/12</f>
        <v>0</v>
      </c>
      <c r="C495" s="125">
        <f t="shared" si="618"/>
        <v>0</v>
      </c>
      <c r="D495" s="124">
        <f t="shared" si="618"/>
        <v>0</v>
      </c>
      <c r="E495" s="124">
        <f t="shared" si="618"/>
        <v>0</v>
      </c>
      <c r="F495" s="124">
        <f t="shared" si="618"/>
        <v>0</v>
      </c>
      <c r="G495" s="124">
        <f t="shared" si="618"/>
        <v>0</v>
      </c>
      <c r="H495" s="124">
        <f t="shared" si="618"/>
        <v>0</v>
      </c>
      <c r="I495" s="100"/>
      <c r="J495" s="100"/>
      <c r="K495" s="100"/>
      <c r="L495" s="50"/>
      <c r="M495" s="47"/>
      <c r="N495" s="47"/>
      <c r="O495" s="47"/>
      <c r="P495" s="47"/>
      <c r="Q495" s="47"/>
    </row>
    <row r="496" spans="1:17" x14ac:dyDescent="0.25">
      <c r="A496" s="303" t="s">
        <v>204</v>
      </c>
      <c r="B496" s="119">
        <f t="shared" ref="B496:H496" si="619">IF($I487=9,ROUND(B487*B494,0),IF($I487=12,ROUND((B487*B494*$N$41)+(C487*B494*$N$42),0),0))</f>
        <v>0</v>
      </c>
      <c r="C496" s="119">
        <f t="shared" si="619"/>
        <v>0</v>
      </c>
      <c r="D496" s="119">
        <f t="shared" si="619"/>
        <v>0</v>
      </c>
      <c r="E496" s="119">
        <f t="shared" si="619"/>
        <v>0</v>
      </c>
      <c r="F496" s="119">
        <f t="shared" si="619"/>
        <v>0</v>
      </c>
      <c r="G496" s="119">
        <f t="shared" si="619"/>
        <v>0</v>
      </c>
      <c r="H496" s="119">
        <f t="shared" si="619"/>
        <v>0</v>
      </c>
      <c r="I496" s="100"/>
      <c r="J496" s="100"/>
      <c r="K496" s="100"/>
      <c r="L496" s="50"/>
      <c r="M496" s="47"/>
      <c r="N496" s="47"/>
      <c r="O496" s="47"/>
      <c r="P496" s="47"/>
      <c r="Q496" s="47"/>
    </row>
    <row r="497" spans="1:20" x14ac:dyDescent="0.25">
      <c r="A497" s="303" t="str">
        <f>IF($B$3="NIH", "Over the Salary Limit", " ")</f>
        <v xml:space="preserve"> </v>
      </c>
      <c r="B497" s="486">
        <f>IF($B$3="NIH",IF(AND($I487=9,B487&lt;$M$13),0,IF(AND($I487=9,B487&gt;=$M$13),ROUND((B487*B489)-($M$13*B489),0),IF(AND($I487=12,B487&lt;$M$14),0,IF(AND($I487=12,B487&gt;=$M$14),ROUND(((B487*B489*$N$41)+(C487*B489*$N$42))-($M$14*B489),0))))),0)</f>
        <v>0</v>
      </c>
      <c r="C497" s="486">
        <f t="shared" ref="C497:H497" si="620">IF($B$3="NIH",IF(AND($I487=9,C487&lt;$M$13),0,IF(AND($I487=9,C487&gt;=$M$13),ROUND((C487*C489)-($M$13*C489),0),IF(AND($I487=12,C487&lt;$M$14),0,IF(AND($I487=12,C487&gt;=$M$14),ROUND(((C487*C489*$N$41)+(D487*C489*$N$42))-($M$14*C489),0))))),0)</f>
        <v>0</v>
      </c>
      <c r="D497" s="486">
        <f t="shared" si="620"/>
        <v>0</v>
      </c>
      <c r="E497" s="486">
        <f t="shared" si="620"/>
        <v>0</v>
      </c>
      <c r="F497" s="486">
        <f t="shared" si="620"/>
        <v>0</v>
      </c>
      <c r="G497" s="486">
        <f t="shared" si="620"/>
        <v>0</v>
      </c>
      <c r="H497" s="486">
        <f t="shared" si="620"/>
        <v>0</v>
      </c>
      <c r="I497" s="100"/>
      <c r="J497" s="100"/>
      <c r="K497" s="100"/>
      <c r="L497" s="50"/>
      <c r="M497" s="47"/>
      <c r="N497" s="47"/>
      <c r="O497" s="47"/>
      <c r="P497" s="47"/>
      <c r="Q497" s="47"/>
    </row>
    <row r="498" spans="1:20" x14ac:dyDescent="0.25">
      <c r="A498" s="294"/>
      <c r="B498" s="49"/>
      <c r="C498" s="49"/>
      <c r="D498" s="49"/>
      <c r="E498" s="49"/>
      <c r="F498" s="49"/>
      <c r="G498" s="49"/>
      <c r="H498" s="49"/>
      <c r="I498" s="100"/>
      <c r="J498" s="100"/>
      <c r="K498" s="100"/>
      <c r="L498" s="50"/>
      <c r="M498" s="47"/>
      <c r="N498" s="47"/>
      <c r="O498" s="47"/>
      <c r="P498" s="47"/>
      <c r="Q498" s="47"/>
    </row>
    <row r="499" spans="1:20" x14ac:dyDescent="0.25">
      <c r="A499" s="301" t="str">
        <f>CONCATENATE("Calculation based on ",I501," month salary")</f>
        <v>Calculation based on 9 month salary</v>
      </c>
      <c r="B499" s="113" t="str">
        <f t="shared" ref="B499:H499" si="621">IF(AND(B500=$Z$5,$I501=9),$Z$3,IF(AND(B500=$AA$5,$I501=9),$AA$3,IF(AND(B500=$AB$5,$I501=9),$AB$3,IF(AND(B500=$AC$5,$I501=9),$AC$3,IF(AND(B500=$AD$5,$I501=9),$AD$3,IF(AND(B500=$Z$4,$I501=12),$Z$3,IF(AND(B500=$AA$4,$I501=12),$AA$3,IF(AND(B500=$AB$4,$I501=12),$AB$3,IF(AND(B500=$AC$4,$I501=12),$AC$3,IF(AND(B500=$AD$4,$I501=12),$AD$3," "))))))))))</f>
        <v xml:space="preserve"> </v>
      </c>
      <c r="C499" s="113" t="str">
        <f t="shared" si="621"/>
        <v>Year 1</v>
      </c>
      <c r="D499" s="113" t="str">
        <f t="shared" si="621"/>
        <v>Year 2</v>
      </c>
      <c r="E499" s="113" t="str">
        <f t="shared" si="621"/>
        <v>Year 3</v>
      </c>
      <c r="F499" s="113" t="str">
        <f t="shared" si="621"/>
        <v>Year 4</v>
      </c>
      <c r="G499" s="113" t="str">
        <f t="shared" si="621"/>
        <v>Year 5</v>
      </c>
      <c r="H499" s="113" t="str">
        <f t="shared" si="621"/>
        <v xml:space="preserve"> </v>
      </c>
      <c r="I499" s="100"/>
      <c r="J499" s="100"/>
      <c r="K499" s="100"/>
      <c r="L499" s="50"/>
      <c r="M499" s="47"/>
      <c r="N499" s="47"/>
      <c r="O499" s="47"/>
      <c r="P499" s="47"/>
      <c r="Q499" s="47"/>
    </row>
    <row r="500" spans="1:20" x14ac:dyDescent="0.25">
      <c r="A500" s="302" t="str">
        <f>+B453</f>
        <v>Co-PI</v>
      </c>
      <c r="B500" s="84" t="str">
        <f>+M$2</f>
        <v>FY2023</v>
      </c>
      <c r="C500" s="84" t="str">
        <f t="shared" ref="C500" si="622">+N$2</f>
        <v>FY2024</v>
      </c>
      <c r="D500" s="84" t="str">
        <f t="shared" ref="D500" si="623">+O$2</f>
        <v>FY2025</v>
      </c>
      <c r="E500" s="84" t="str">
        <f t="shared" ref="E500" si="624">+P$2</f>
        <v>FY2026</v>
      </c>
      <c r="F500" s="84" t="str">
        <f t="shared" ref="F500" si="625">+Q$2</f>
        <v>FY2027</v>
      </c>
      <c r="G500" s="84" t="str">
        <f t="shared" ref="G500" si="626">+R$2</f>
        <v>FY2028</v>
      </c>
      <c r="H500" s="84" t="str">
        <f t="shared" ref="H500" si="627">+S$2</f>
        <v>FY2029</v>
      </c>
      <c r="I500" s="56" t="s">
        <v>20</v>
      </c>
      <c r="J500" s="100" t="s">
        <v>77</v>
      </c>
      <c r="K500" s="100"/>
      <c r="L500" s="50"/>
      <c r="M500" s="47"/>
      <c r="N500" s="47"/>
      <c r="O500" s="47"/>
      <c r="P500" s="47"/>
      <c r="Q500" s="47"/>
    </row>
    <row r="501" spans="1:20" x14ac:dyDescent="0.25">
      <c r="A501" s="294" t="str">
        <f>CONCATENATE("Base Salary: ",I501," month term")</f>
        <v>Base Salary: 9 month term</v>
      </c>
      <c r="B501" s="93">
        <v>0</v>
      </c>
      <c r="C501" s="118">
        <f>ROUND(+B501*(1+J501),0)</f>
        <v>0</v>
      </c>
      <c r="D501" s="118">
        <f>ROUND(+C501*(1+J501),0)</f>
        <v>0</v>
      </c>
      <c r="E501" s="118">
        <f>ROUND(+D501*(1+J501),0)</f>
        <v>0</v>
      </c>
      <c r="F501" s="118">
        <f>ROUND(+E501*(1+J501),0)</f>
        <v>0</v>
      </c>
      <c r="G501" s="118">
        <f>ROUND(+F501*(1+J501),0)</f>
        <v>0</v>
      </c>
      <c r="H501" s="118">
        <f>ROUND(+G501*(1+J501),0)</f>
        <v>0</v>
      </c>
      <c r="I501" s="74">
        <v>9</v>
      </c>
      <c r="J501" s="81">
        <v>0.03</v>
      </c>
      <c r="K501" s="100"/>
      <c r="L501" s="50"/>
      <c r="M501" s="47"/>
      <c r="N501" s="47"/>
      <c r="O501" s="47"/>
      <c r="P501" s="47"/>
      <c r="Q501" s="47"/>
    </row>
    <row r="502" spans="1:20" x14ac:dyDescent="0.25">
      <c r="A502" s="294" t="s">
        <v>49</v>
      </c>
      <c r="B502" s="86">
        <v>0</v>
      </c>
      <c r="C502" s="86">
        <v>0</v>
      </c>
      <c r="D502" s="86">
        <v>0</v>
      </c>
      <c r="E502" s="86">
        <v>0</v>
      </c>
      <c r="F502" s="86">
        <v>0</v>
      </c>
      <c r="G502" s="86">
        <v>0</v>
      </c>
      <c r="H502" s="86">
        <v>0</v>
      </c>
      <c r="I502" s="49"/>
      <c r="J502" s="49"/>
      <c r="K502" s="100"/>
      <c r="L502" s="50"/>
      <c r="M502" s="47"/>
      <c r="N502" s="47"/>
      <c r="O502" s="47"/>
      <c r="P502" s="47"/>
      <c r="Q502" s="47"/>
    </row>
    <row r="503" spans="1:20" x14ac:dyDescent="0.25">
      <c r="A503" s="294" t="str">
        <f>CONCATENATE("FTE for ",I501," Months")</f>
        <v>FTE for 9 Months</v>
      </c>
      <c r="B503" s="85">
        <f t="shared" ref="B503:H503" si="628">+B502/$I501</f>
        <v>0</v>
      </c>
      <c r="C503" s="85">
        <f t="shared" si="628"/>
        <v>0</v>
      </c>
      <c r="D503" s="85">
        <f t="shared" si="628"/>
        <v>0</v>
      </c>
      <c r="E503" s="85">
        <f t="shared" si="628"/>
        <v>0</v>
      </c>
      <c r="F503" s="85">
        <f t="shared" si="628"/>
        <v>0</v>
      </c>
      <c r="G503" s="85">
        <f t="shared" si="628"/>
        <v>0</v>
      </c>
      <c r="H503" s="85">
        <f t="shared" si="628"/>
        <v>0</v>
      </c>
      <c r="I503" s="100"/>
      <c r="J503" s="100"/>
      <c r="K503" s="100"/>
      <c r="L503" s="50"/>
      <c r="M503" s="47"/>
      <c r="N503" s="47"/>
      <c r="O503" s="47"/>
      <c r="P503" s="47"/>
      <c r="Q503" s="47"/>
    </row>
    <row r="504" spans="1:20" x14ac:dyDescent="0.25">
      <c r="A504" s="303" t="s">
        <v>60</v>
      </c>
      <c r="B504" s="124">
        <f>+B502/12</f>
        <v>0</v>
      </c>
      <c r="C504" s="125">
        <f>+C502/12</f>
        <v>0</v>
      </c>
      <c r="D504" s="124">
        <f t="shared" ref="D504:H504" si="629">+D502/12</f>
        <v>0</v>
      </c>
      <c r="E504" s="124">
        <f t="shared" si="629"/>
        <v>0</v>
      </c>
      <c r="F504" s="124">
        <f t="shared" si="629"/>
        <v>0</v>
      </c>
      <c r="G504" s="124">
        <f t="shared" si="629"/>
        <v>0</v>
      </c>
      <c r="H504" s="124">
        <f t="shared" si="629"/>
        <v>0</v>
      </c>
      <c r="I504" s="100"/>
      <c r="J504" s="100"/>
      <c r="K504" s="100"/>
      <c r="L504" s="50"/>
      <c r="M504" s="47"/>
      <c r="N504" s="47"/>
      <c r="O504" s="47"/>
      <c r="P504" s="47"/>
      <c r="Q504" s="47"/>
    </row>
    <row r="505" spans="1:20" x14ac:dyDescent="0.25">
      <c r="A505" s="294" t="s">
        <v>21</v>
      </c>
      <c r="B505" s="485">
        <f t="shared" ref="B505:H505" si="630">IF($B$3="NIH",IF(IF($I501=9,ROUND(B501*B503,0),IF($I501=12,ROUND((B501*B503*$N$41)+(C501*B503*$N$42),0),0))&lt;IF($I501=9,ROUND($M$13*B503,0),IF($I501=12,ROUND(($M$14*B503*$N$41)+($M$14*B503*$N$42),0),0)),IF($I501=9,ROUND(B501*B503,0),IF($I501=12,ROUND((B501*B503*$N$41)+(C501*B503*$N$42),0),0)),IF($I501=9,ROUND($M$13*B503,0),IF($I501=12,ROUND(($M$14*B503*$N$41)+($M$14*B503*$N$42),0),0))),IF($I501=9,ROUND(B501*B503,0),IF($I501=12,ROUND((B501*B503*$N$41)+(C501*B503*$N$42),0),0)))</f>
        <v>0</v>
      </c>
      <c r="C505" s="485">
        <f t="shared" si="630"/>
        <v>0</v>
      </c>
      <c r="D505" s="485">
        <f t="shared" si="630"/>
        <v>0</v>
      </c>
      <c r="E505" s="485">
        <f t="shared" si="630"/>
        <v>0</v>
      </c>
      <c r="F505" s="485">
        <f t="shared" si="630"/>
        <v>0</v>
      </c>
      <c r="G505" s="485">
        <f t="shared" si="630"/>
        <v>0</v>
      </c>
      <c r="H505" s="485">
        <f t="shared" si="630"/>
        <v>0</v>
      </c>
      <c r="I505" s="100"/>
      <c r="J505" s="100"/>
      <c r="K505" s="100"/>
    </row>
    <row r="506" spans="1:20" x14ac:dyDescent="0.25">
      <c r="A506" s="723" t="str">
        <f>IF($B$3="NIH",IF(I501=9,CONCATENATE("NIH ",I501," Month Salary Cap = ",TEXT($M$13,"$0,000")),IF(I501=12,CONCATENATE("NIH ",I501," Month Salary Cap = ",TEXT($M$14,"$0,000")),"N/A"))," ")</f>
        <v xml:space="preserve"> </v>
      </c>
      <c r="K506" s="100"/>
    </row>
    <row r="507" spans="1:20" x14ac:dyDescent="0.25">
      <c r="A507" s="303" t="s">
        <v>189</v>
      </c>
      <c r="B507" s="86">
        <v>0</v>
      </c>
      <c r="C507" s="86">
        <v>0</v>
      </c>
      <c r="D507" s="86">
        <v>0</v>
      </c>
      <c r="E507" s="86">
        <v>0</v>
      </c>
      <c r="F507" s="86">
        <v>0</v>
      </c>
      <c r="G507" s="86">
        <v>0</v>
      </c>
      <c r="H507" s="86">
        <v>0</v>
      </c>
      <c r="K507" s="81"/>
    </row>
    <row r="508" spans="1:20" x14ac:dyDescent="0.25">
      <c r="A508" s="303" t="str">
        <f>CONCATENATE("FTE for ",I501," Months")</f>
        <v>FTE for 9 Months</v>
      </c>
      <c r="B508" s="85">
        <f t="shared" ref="B508" si="631">+B507/$I501</f>
        <v>0</v>
      </c>
      <c r="C508" s="85">
        <f t="shared" ref="C508" si="632">+C507/$I501</f>
        <v>0</v>
      </c>
      <c r="D508" s="85">
        <f t="shared" ref="D508" si="633">+D507/$I501</f>
        <v>0</v>
      </c>
      <c r="E508" s="85">
        <f t="shared" ref="E508" si="634">+E507/$I501</f>
        <v>0</v>
      </c>
      <c r="F508" s="85">
        <f t="shared" ref="F508" si="635">+F507/$I501</f>
        <v>0</v>
      </c>
      <c r="G508" s="85">
        <f t="shared" ref="G508" si="636">+G507/$I501</f>
        <v>0</v>
      </c>
      <c r="H508" s="85">
        <f t="shared" ref="H508" si="637">+H507/$I501</f>
        <v>0</v>
      </c>
      <c r="K508" s="289"/>
      <c r="L508" s="66" t="str">
        <f>+L$25</f>
        <v>Graduate Student (Stipend, Tuition, Health Ins) - Contract College Rates:</v>
      </c>
    </row>
    <row r="509" spans="1:20" x14ac:dyDescent="0.25">
      <c r="A509" s="303" t="s">
        <v>60</v>
      </c>
      <c r="B509" s="124">
        <f t="shared" ref="B509:H509" si="638">+B507/12</f>
        <v>0</v>
      </c>
      <c r="C509" s="125">
        <f t="shared" si="638"/>
        <v>0</v>
      </c>
      <c r="D509" s="124">
        <f t="shared" si="638"/>
        <v>0</v>
      </c>
      <c r="E509" s="124">
        <f t="shared" si="638"/>
        <v>0</v>
      </c>
      <c r="F509" s="124">
        <f t="shared" si="638"/>
        <v>0</v>
      </c>
      <c r="G509" s="124">
        <f t="shared" si="638"/>
        <v>0</v>
      </c>
      <c r="H509" s="124">
        <f t="shared" si="638"/>
        <v>0</v>
      </c>
      <c r="K509" s="289"/>
      <c r="L509" s="49"/>
      <c r="M509" s="122" t="str">
        <f>+$M$29</f>
        <v>FY2023</v>
      </c>
      <c r="N509" s="122" t="str">
        <f>+$N$29</f>
        <v>FY2024</v>
      </c>
      <c r="O509" s="122" t="str">
        <f>+$O$29</f>
        <v>FY2025</v>
      </c>
      <c r="P509" s="122" t="str">
        <f>+$P$29</f>
        <v>FY2026</v>
      </c>
      <c r="Q509" s="122" t="str">
        <f>+$Q$29</f>
        <v>FY2027</v>
      </c>
      <c r="R509" s="122" t="str">
        <f>+$R$29</f>
        <v>FY2028</v>
      </c>
      <c r="S509" s="122" t="str">
        <f>+$S$29</f>
        <v>FY2029</v>
      </c>
      <c r="T509" s="123" t="s">
        <v>119</v>
      </c>
    </row>
    <row r="510" spans="1:20" x14ac:dyDescent="0.25">
      <c r="A510" s="303" t="s">
        <v>204</v>
      </c>
      <c r="B510" s="119">
        <f t="shared" ref="B510:H510" si="639">IF($I501=9,ROUND(B501*B508,0),IF($I501=12,ROUND((B501*B508*$N$41)+(C501*B508*$N$42),0),0))</f>
        <v>0</v>
      </c>
      <c r="C510" s="119">
        <f t="shared" si="639"/>
        <v>0</v>
      </c>
      <c r="D510" s="119">
        <f t="shared" si="639"/>
        <v>0</v>
      </c>
      <c r="E510" s="119">
        <f t="shared" si="639"/>
        <v>0</v>
      </c>
      <c r="F510" s="119">
        <f t="shared" si="639"/>
        <v>0</v>
      </c>
      <c r="G510" s="119">
        <f t="shared" si="639"/>
        <v>0</v>
      </c>
      <c r="H510" s="119">
        <f t="shared" si="639"/>
        <v>0</v>
      </c>
      <c r="K510" s="289"/>
      <c r="L510" s="54" t="s">
        <v>35</v>
      </c>
      <c r="M510" s="110">
        <f>+$M$30</f>
        <v>30088</v>
      </c>
      <c r="N510" s="110">
        <f>ROUND(M510*(1+$T510),0)+1</f>
        <v>31593</v>
      </c>
      <c r="O510" s="110">
        <f t="shared" ref="O510:S510" si="640">ROUND(N510*(1+$T510),0)</f>
        <v>33173</v>
      </c>
      <c r="P510" s="110">
        <f t="shared" si="640"/>
        <v>34832</v>
      </c>
      <c r="Q510" s="110">
        <f t="shared" si="640"/>
        <v>36574</v>
      </c>
      <c r="R510" s="110">
        <f t="shared" si="640"/>
        <v>38403</v>
      </c>
      <c r="S510" s="110">
        <f t="shared" si="640"/>
        <v>40323</v>
      </c>
      <c r="T510" s="55">
        <v>0.05</v>
      </c>
    </row>
    <row r="511" spans="1:20" x14ac:dyDescent="0.25">
      <c r="A511" s="303" t="str">
        <f>IF($B$3="NIH", "Over the Salary Limit", " ")</f>
        <v xml:space="preserve"> </v>
      </c>
      <c r="B511" s="486">
        <f>IF($B$3="NIH",IF(AND($I501=9,B501&lt;$M$13),0,IF(AND($I501=9,B501&gt;=$M$13),ROUND((B501*B503)-($M$13*B503),0),IF(AND($I501=12,B501&lt;$M$14),0,IF(AND($I501=12,B501&gt;=$M$14),ROUND(((B501*B503*$N$41)+(C501*B503*$N$42))-($M$14*B503),0))))),0)</f>
        <v>0</v>
      </c>
      <c r="C511" s="486">
        <f t="shared" ref="C511:H511" si="641">IF($B$3="NIH",IF(AND($I501=9,C501&lt;$M$13),0,IF(AND($I501=9,C501&gt;=$M$13),ROUND((C501*C503)-($M$13*C503),0),IF(AND($I501=12,C501&lt;$M$14),0,IF(AND($I501=12,C501&gt;=$M$14),ROUND(((C501*C503*$N$41)+(D501*C503*$N$42))-($M$14*C503),0))))),0)</f>
        <v>0</v>
      </c>
      <c r="D511" s="486">
        <f t="shared" si="641"/>
        <v>0</v>
      </c>
      <c r="E511" s="486">
        <f t="shared" si="641"/>
        <v>0</v>
      </c>
      <c r="F511" s="486">
        <f t="shared" si="641"/>
        <v>0</v>
      </c>
      <c r="G511" s="486">
        <f t="shared" si="641"/>
        <v>0</v>
      </c>
      <c r="H511" s="486">
        <f t="shared" si="641"/>
        <v>0</v>
      </c>
      <c r="K511" s="289"/>
      <c r="L511" s="54" t="s">
        <v>23</v>
      </c>
      <c r="M511" s="110">
        <f>+$M$31</f>
        <v>10029</v>
      </c>
      <c r="N511" s="110">
        <f t="shared" ref="N511:S511" si="642">ROUND(M511*(1+$T511),0)</f>
        <v>10530</v>
      </c>
      <c r="O511" s="110">
        <f t="shared" si="642"/>
        <v>11057</v>
      </c>
      <c r="P511" s="110">
        <f t="shared" si="642"/>
        <v>11610</v>
      </c>
      <c r="Q511" s="110">
        <f t="shared" si="642"/>
        <v>12191</v>
      </c>
      <c r="R511" s="110">
        <f t="shared" si="642"/>
        <v>12801</v>
      </c>
      <c r="S511" s="110">
        <f t="shared" si="642"/>
        <v>13441</v>
      </c>
      <c r="T511" s="97">
        <v>0.05</v>
      </c>
    </row>
    <row r="512" spans="1:20" x14ac:dyDescent="0.25">
      <c r="A512" s="294"/>
      <c r="B512" s="89"/>
      <c r="C512" s="89"/>
      <c r="D512" s="89"/>
      <c r="E512" s="89"/>
      <c r="F512" s="89"/>
      <c r="G512" s="89"/>
      <c r="H512" s="89"/>
      <c r="I512" s="100"/>
      <c r="J512" s="100"/>
      <c r="K512" s="289"/>
      <c r="L512" s="54" t="s">
        <v>30</v>
      </c>
      <c r="M512" s="110">
        <f>+$M$32</f>
        <v>40117</v>
      </c>
      <c r="N512" s="110">
        <f>+N510+N511</f>
        <v>42123</v>
      </c>
      <c r="O512" s="110">
        <f t="shared" ref="O512" si="643">+O510+O511</f>
        <v>44230</v>
      </c>
      <c r="P512" s="110">
        <f t="shared" ref="P512" si="644">+P510+P511</f>
        <v>46442</v>
      </c>
      <c r="Q512" s="110">
        <f t="shared" ref="Q512" si="645">+Q510+Q511</f>
        <v>48765</v>
      </c>
      <c r="R512" s="110">
        <f t="shared" ref="R512" si="646">+R510+R511</f>
        <v>51204</v>
      </c>
      <c r="S512" s="110">
        <f t="shared" ref="S512" si="647">+S510+S511</f>
        <v>53764</v>
      </c>
      <c r="T512" s="55"/>
    </row>
    <row r="513" spans="1:20" x14ac:dyDescent="0.25">
      <c r="A513" s="294"/>
      <c r="B513" s="113" t="str">
        <f t="shared" ref="B513:H513" si="648">IF(B514=$Z$4,$Z$3,IF(B514=$AA$4,$AA$3,IF(B514=$AB$4,$AB$3,IF(B514=$AC$4,$AC$3,IF(B514=$AD$4,$AD$3," ")))))</f>
        <v>Year 1</v>
      </c>
      <c r="C513" s="113" t="str">
        <f t="shared" si="648"/>
        <v>Year 2</v>
      </c>
      <c r="D513" s="113" t="str">
        <f t="shared" si="648"/>
        <v>Year 3</v>
      </c>
      <c r="E513" s="113" t="str">
        <f t="shared" si="648"/>
        <v>Year 4</v>
      </c>
      <c r="F513" s="113" t="str">
        <f t="shared" si="648"/>
        <v>Year 5</v>
      </c>
      <c r="G513" s="113" t="str">
        <f t="shared" si="648"/>
        <v xml:space="preserve"> </v>
      </c>
      <c r="H513" s="113" t="str">
        <f t="shared" si="648"/>
        <v xml:space="preserve"> </v>
      </c>
      <c r="I513" s="100"/>
      <c r="J513" s="100"/>
      <c r="K513" s="289"/>
      <c r="L513" s="54" t="s">
        <v>8</v>
      </c>
      <c r="M513" s="110">
        <f>IF(B454="Contract College",$M$33,$M$34)</f>
        <v>10400</v>
      </c>
      <c r="N513" s="110">
        <f>ROUND(M513*(1+$T513),0)</f>
        <v>10400</v>
      </c>
      <c r="O513" s="110">
        <f t="shared" ref="O513" si="649">ROUND(N513*(1+$T513),0)</f>
        <v>10400</v>
      </c>
      <c r="P513" s="110">
        <f t="shared" ref="P513" si="650">ROUND(O513*(1+$T513),0)</f>
        <v>10400</v>
      </c>
      <c r="Q513" s="110">
        <f t="shared" ref="Q513" si="651">ROUND(P513*(1+$T513),0)</f>
        <v>10400</v>
      </c>
      <c r="R513" s="110">
        <f t="shared" ref="R513" si="652">ROUND(Q513*(1+$T513),0)</f>
        <v>10400</v>
      </c>
      <c r="S513" s="110">
        <f t="shared" ref="S513" si="653">ROUND(R513*(1+$T513),0)</f>
        <v>10400</v>
      </c>
      <c r="T513" s="55">
        <v>0</v>
      </c>
    </row>
    <row r="514" spans="1:20" x14ac:dyDescent="0.25">
      <c r="A514" s="302" t="s">
        <v>120</v>
      </c>
      <c r="B514" s="84" t="str">
        <f>+M$2</f>
        <v>FY2023</v>
      </c>
      <c r="C514" s="84" t="str">
        <f t="shared" ref="C514" si="654">+N$2</f>
        <v>FY2024</v>
      </c>
      <c r="D514" s="84" t="str">
        <f t="shared" ref="D514" si="655">+O$2</f>
        <v>FY2025</v>
      </c>
      <c r="E514" s="84" t="str">
        <f t="shared" ref="E514" si="656">+P$2</f>
        <v>FY2026</v>
      </c>
      <c r="F514" s="84" t="str">
        <f t="shared" ref="F514" si="657">+Q$2</f>
        <v>FY2027</v>
      </c>
      <c r="G514" s="84" t="str">
        <f t="shared" ref="G514" si="658">+R$2</f>
        <v>FY2028</v>
      </c>
      <c r="H514" s="84" t="str">
        <f t="shared" ref="H514" si="659">+S$2</f>
        <v>FY2029</v>
      </c>
      <c r="I514" s="56" t="s">
        <v>20</v>
      </c>
      <c r="J514" s="100" t="s">
        <v>77</v>
      </c>
      <c r="K514" s="289"/>
      <c r="L514" s="54" t="s">
        <v>24</v>
      </c>
      <c r="M514" s="110">
        <f>+$M$35</f>
        <v>4046</v>
      </c>
      <c r="N514" s="110">
        <f>IF(ROUND(M514*(1+$T514),0)=$N$35,ROUND(M514*(1+$T514),0),$N$35)</f>
        <v>4451</v>
      </c>
      <c r="O514" s="110">
        <f t="shared" ref="O514:S514" si="660">ROUND(N514*(1+$T514),0)</f>
        <v>4896</v>
      </c>
      <c r="P514" s="110">
        <f t="shared" si="660"/>
        <v>5386</v>
      </c>
      <c r="Q514" s="110">
        <f t="shared" si="660"/>
        <v>5925</v>
      </c>
      <c r="R514" s="110">
        <f t="shared" si="660"/>
        <v>6518</v>
      </c>
      <c r="S514" s="110">
        <f t="shared" si="660"/>
        <v>7170</v>
      </c>
      <c r="T514" s="55">
        <v>0.1</v>
      </c>
    </row>
    <row r="515" spans="1:20" x14ac:dyDescent="0.25">
      <c r="A515" s="294" t="str">
        <f>CONCATENATE("Base Salary: ",I515," month term")</f>
        <v>Base Salary: 12 month term</v>
      </c>
      <c r="B515" s="93">
        <f>+$M$15</f>
        <v>54840</v>
      </c>
      <c r="C515" s="118">
        <f>ROUND(+B515*(1+J515),0)</f>
        <v>56759</v>
      </c>
      <c r="D515" s="118">
        <f>ROUND(+C515*(1+J515),0)</f>
        <v>58746</v>
      </c>
      <c r="E515" s="118">
        <f>ROUND(+D515*(1+J515),0)</f>
        <v>60802</v>
      </c>
      <c r="F515" s="118">
        <f>ROUND(+E515*(1+J515),0)</f>
        <v>62930</v>
      </c>
      <c r="G515" s="118">
        <f>ROUND(+F515*(1+J515),0)</f>
        <v>65133</v>
      </c>
      <c r="H515" s="118">
        <f>ROUND(+G515*(1+J515),0)</f>
        <v>67413</v>
      </c>
      <c r="I515" s="126">
        <v>12</v>
      </c>
      <c r="J515" s="97">
        <v>3.5000000000000003E-2</v>
      </c>
      <c r="K515" s="289"/>
      <c r="S515" s="47"/>
    </row>
    <row r="516" spans="1:20" x14ac:dyDescent="0.25">
      <c r="A516" s="294" t="s">
        <v>49</v>
      </c>
      <c r="B516" s="86">
        <v>0</v>
      </c>
      <c r="C516" s="86">
        <v>0</v>
      </c>
      <c r="D516" s="86">
        <v>0</v>
      </c>
      <c r="E516" s="86">
        <v>0</v>
      </c>
      <c r="F516" s="86">
        <v>0</v>
      </c>
      <c r="G516" s="86">
        <v>0</v>
      </c>
      <c r="H516" s="86">
        <v>0</v>
      </c>
      <c r="I516" s="49"/>
      <c r="J516" s="49"/>
      <c r="K516" s="289"/>
      <c r="S516" s="47"/>
    </row>
    <row r="517" spans="1:20" x14ac:dyDescent="0.25">
      <c r="A517" s="294" t="str">
        <f>CONCATENATE("FTE for ",I515," Months")</f>
        <v>FTE for 12 Months</v>
      </c>
      <c r="B517" s="85">
        <f t="shared" ref="B517:H517" si="661">+B516/$I515</f>
        <v>0</v>
      </c>
      <c r="C517" s="85">
        <f t="shared" si="661"/>
        <v>0</v>
      </c>
      <c r="D517" s="85">
        <f t="shared" si="661"/>
        <v>0</v>
      </c>
      <c r="E517" s="85">
        <f t="shared" si="661"/>
        <v>0</v>
      </c>
      <c r="F517" s="85">
        <f t="shared" si="661"/>
        <v>0</v>
      </c>
      <c r="G517" s="85">
        <f t="shared" si="661"/>
        <v>0</v>
      </c>
      <c r="H517" s="85">
        <f t="shared" si="661"/>
        <v>0</v>
      </c>
      <c r="I517" s="100"/>
      <c r="J517" s="100"/>
      <c r="K517" s="289"/>
      <c r="M517" s="82" t="str">
        <f t="shared" ref="M517:Q520" si="662">+M93</f>
        <v>Spring 2023</v>
      </c>
      <c r="N517" s="82" t="str">
        <f t="shared" si="662"/>
        <v>Spring 2024</v>
      </c>
      <c r="O517" s="82" t="str">
        <f t="shared" si="662"/>
        <v>Spring 2025</v>
      </c>
      <c r="P517" s="82" t="str">
        <f t="shared" si="662"/>
        <v>Spring 2026</v>
      </c>
      <c r="Q517" s="82" t="str">
        <f t="shared" si="662"/>
        <v>Spring 2027</v>
      </c>
      <c r="S517" s="47"/>
    </row>
    <row r="518" spans="1:20" x14ac:dyDescent="0.25">
      <c r="A518" s="294" t="s">
        <v>21</v>
      </c>
      <c r="B518" s="119">
        <f t="shared" ref="B518:H518" si="663">ROUND((B515*B517*$N$41)+(C515*B517*$N$42),0)</f>
        <v>0</v>
      </c>
      <c r="C518" s="119">
        <f t="shared" si="663"/>
        <v>0</v>
      </c>
      <c r="D518" s="119">
        <f t="shared" si="663"/>
        <v>0</v>
      </c>
      <c r="E518" s="119">
        <f t="shared" si="663"/>
        <v>0</v>
      </c>
      <c r="F518" s="119">
        <f t="shared" si="663"/>
        <v>0</v>
      </c>
      <c r="G518" s="119">
        <f t="shared" si="663"/>
        <v>0</v>
      </c>
      <c r="H518" s="119">
        <f t="shared" si="663"/>
        <v>0</v>
      </c>
      <c r="I518" s="100"/>
      <c r="J518" s="100"/>
      <c r="K518" s="305"/>
      <c r="M518" s="82" t="str">
        <f t="shared" si="662"/>
        <v>Summer 2023</v>
      </c>
      <c r="N518" s="82" t="str">
        <f t="shared" si="662"/>
        <v>Summer 2024</v>
      </c>
      <c r="O518" s="82" t="str">
        <f t="shared" si="662"/>
        <v>Summer 2025</v>
      </c>
      <c r="P518" s="82" t="str">
        <f t="shared" si="662"/>
        <v>Summer 2026</v>
      </c>
      <c r="Q518" s="82" t="str">
        <f t="shared" si="662"/>
        <v>Summer 2027</v>
      </c>
      <c r="S518" s="47"/>
    </row>
    <row r="519" spans="1:20" x14ac:dyDescent="0.25">
      <c r="A519" s="294"/>
      <c r="B519" s="49"/>
      <c r="C519" s="49"/>
      <c r="D519" s="49"/>
      <c r="E519" s="49"/>
      <c r="F519" s="49"/>
      <c r="G519" s="49"/>
      <c r="H519" s="49"/>
      <c r="I519" s="50"/>
      <c r="J519" s="50"/>
      <c r="K519" s="306"/>
      <c r="M519" s="82" t="str">
        <f t="shared" si="662"/>
        <v>Fall 2023</v>
      </c>
      <c r="N519" s="82" t="str">
        <f t="shared" si="662"/>
        <v>Fall 2024</v>
      </c>
      <c r="O519" s="82" t="str">
        <f t="shared" si="662"/>
        <v>Fall 2025</v>
      </c>
      <c r="P519" s="82" t="str">
        <f t="shared" si="662"/>
        <v>Fall 2026</v>
      </c>
      <c r="Q519" s="82" t="str">
        <f t="shared" si="662"/>
        <v>Fall 2027</v>
      </c>
      <c r="S519" s="47"/>
    </row>
    <row r="520" spans="1:20" x14ac:dyDescent="0.25">
      <c r="A520" s="294"/>
      <c r="B520" s="113" t="str">
        <f t="shared" ref="B520:H520" si="664">IF(B521=$Z$4,$Z$3,IF(B521=$AA$4,$AA$3,IF(B521=$AB$4,$AB$3,IF(B521=$AC$4,$AC$3,IF(B521=$AD$4,$AD$3," ")))))</f>
        <v>Year 1</v>
      </c>
      <c r="C520" s="113" t="str">
        <f t="shared" si="664"/>
        <v>Year 2</v>
      </c>
      <c r="D520" s="113" t="str">
        <f t="shared" si="664"/>
        <v>Year 3</v>
      </c>
      <c r="E520" s="113" t="str">
        <f t="shared" si="664"/>
        <v>Year 4</v>
      </c>
      <c r="F520" s="113" t="str">
        <f t="shared" si="664"/>
        <v>Year 5</v>
      </c>
      <c r="G520" s="113" t="str">
        <f t="shared" si="664"/>
        <v xml:space="preserve"> </v>
      </c>
      <c r="H520" s="113" t="str">
        <f t="shared" si="664"/>
        <v xml:space="preserve"> </v>
      </c>
      <c r="I520" s="50"/>
      <c r="J520" s="50"/>
      <c r="K520" s="306"/>
      <c r="M520" s="58" t="str">
        <f t="shared" si="662"/>
        <v>FY2023&amp;24</v>
      </c>
      <c r="N520" s="58" t="str">
        <f t="shared" si="662"/>
        <v>FY2024&amp;25</v>
      </c>
      <c r="O520" s="58" t="str">
        <f t="shared" si="662"/>
        <v>FY2025&amp;26</v>
      </c>
      <c r="P520" s="58" t="str">
        <f t="shared" si="662"/>
        <v>FY2026&amp;27</v>
      </c>
      <c r="Q520" s="58" t="str">
        <f t="shared" si="662"/>
        <v>FY2027&amp;28</v>
      </c>
      <c r="S520" s="47"/>
    </row>
    <row r="521" spans="1:20" ht="15.75" thickBot="1" x14ac:dyDescent="0.3">
      <c r="A521" s="302" t="s">
        <v>90</v>
      </c>
      <c r="B521" s="84" t="str">
        <f>+M$2</f>
        <v>FY2023</v>
      </c>
      <c r="C521" s="84" t="str">
        <f t="shared" ref="C521" si="665">+N$2</f>
        <v>FY2024</v>
      </c>
      <c r="D521" s="84" t="str">
        <f t="shared" ref="D521" si="666">+O$2</f>
        <v>FY2025</v>
      </c>
      <c r="E521" s="84" t="str">
        <f t="shared" ref="E521" si="667">+P$2</f>
        <v>FY2026</v>
      </c>
      <c r="F521" s="84" t="str">
        <f t="shared" ref="F521" si="668">+Q$2</f>
        <v>FY2027</v>
      </c>
      <c r="G521" s="84" t="str">
        <f t="shared" ref="G521" si="669">+R$2</f>
        <v>FY2028</v>
      </c>
      <c r="H521" s="84" t="str">
        <f t="shared" ref="H521" si="670">+S$2</f>
        <v>FY2029</v>
      </c>
      <c r="I521" s="56" t="s">
        <v>20</v>
      </c>
      <c r="J521" s="100" t="s">
        <v>77</v>
      </c>
      <c r="K521" s="305"/>
      <c r="L521" s="59" t="s">
        <v>86</v>
      </c>
      <c r="M521" s="75" t="s">
        <v>1</v>
      </c>
      <c r="N521" s="76" t="s">
        <v>2</v>
      </c>
      <c r="O521" s="76" t="s">
        <v>3</v>
      </c>
      <c r="P521" s="76" t="s">
        <v>44</v>
      </c>
      <c r="Q521" s="76" t="s">
        <v>50</v>
      </c>
      <c r="S521" s="47"/>
    </row>
    <row r="522" spans="1:20" x14ac:dyDescent="0.25">
      <c r="A522" s="294" t="str">
        <f>CONCATENATE("Base Salary: ",I522," month term")</f>
        <v>Base Salary: 12 month term</v>
      </c>
      <c r="B522" s="93">
        <f>+$M$16</f>
        <v>51480</v>
      </c>
      <c r="C522" s="118">
        <f>ROUND(+B522*(1+J522),0)</f>
        <v>53024</v>
      </c>
      <c r="D522" s="118">
        <f>ROUND(+C522*(1+J522),0)</f>
        <v>54615</v>
      </c>
      <c r="E522" s="118">
        <f>ROUND(+D522*(1+J522),0)</f>
        <v>56253</v>
      </c>
      <c r="F522" s="118">
        <f>ROUND(+E522*(1+J522),0)</f>
        <v>57941</v>
      </c>
      <c r="G522" s="118">
        <f>ROUND(+F522*(1+J522),0)</f>
        <v>59679</v>
      </c>
      <c r="H522" s="118">
        <f>ROUND(+G522*(1+J522),0)</f>
        <v>61469</v>
      </c>
      <c r="I522" s="126">
        <v>12</v>
      </c>
      <c r="J522" s="81">
        <v>0.03</v>
      </c>
      <c r="K522" s="307"/>
      <c r="L522" s="92" t="str">
        <f>CONCATENATE("Number of Students ",IF(AND($Y$2&gt;=7,$Y$2&lt;=9),CONCATENATE("(Fall)"),IF(AND($Y$2&gt;=7,$Y$2&lt;=10),CONCATENATE("(Spring)"),IF(OR($Y$2&gt;=10,$Y$2&lt;=2),CONCATENATE("(Spring)"),IF(AND($Y$2&gt;=7,$Y$2&lt;=10),CONCATENATE("(Summer)"),IF(OR($Y$2&gt;=10,$Y$2&lt;=2),CONCATENATE("(Summer)"),IF(AND($Y$2&gt;=3,$Y$2&lt;=6),CONCATENATE("(Summer)"),"N/A")))))))</f>
        <v>Number of Students (Spring)</v>
      </c>
      <c r="M522" s="91">
        <f t="shared" ref="M522:M524" si="671">+B528</f>
        <v>0</v>
      </c>
      <c r="N522" s="91">
        <f t="shared" ref="N522:N524" si="672">+C528</f>
        <v>0</v>
      </c>
      <c r="O522" s="91">
        <f t="shared" ref="O522:O524" si="673">+D528</f>
        <v>0</v>
      </c>
      <c r="P522" s="91">
        <f t="shared" ref="P522:P524" si="674">+E528</f>
        <v>0</v>
      </c>
      <c r="Q522" s="91">
        <f t="shared" ref="Q522:Q524" si="675">+F528</f>
        <v>0</v>
      </c>
      <c r="S522" s="47"/>
    </row>
    <row r="523" spans="1:20" x14ac:dyDescent="0.25">
      <c r="A523" s="294" t="s">
        <v>49</v>
      </c>
      <c r="B523" s="86">
        <v>0</v>
      </c>
      <c r="C523" s="86">
        <v>0</v>
      </c>
      <c r="D523" s="86">
        <v>0</v>
      </c>
      <c r="E523" s="86">
        <v>0</v>
      </c>
      <c r="F523" s="86">
        <v>0</v>
      </c>
      <c r="G523" s="86">
        <v>0</v>
      </c>
      <c r="H523" s="86">
        <v>0</v>
      </c>
      <c r="I523" s="49"/>
      <c r="J523" s="49"/>
      <c r="K523" s="294"/>
      <c r="L523" s="128" t="str">
        <f>CONCATENATE("Number of Students ",IF(AND($Y$2&gt;=7,$Y$2&lt;=9),CONCATENATE("(Spring)"),IF(AND($Y$2&gt;=7,$Y$2&lt;=10),CONCATENATE("(Summer)"),IF(OR($Y$2&gt;=10,$Y$2&lt;=2),CONCATENATE("(Summer)"),IF(AND($Y$2&gt;=7,$Y$2&lt;=10),CONCATENATE("(Fall)"),IF(OR($Y$2&gt;=10,$Y$2&lt;=2),CONCATENATE("(Fall) "),IF(AND($Y$2&gt;=3,$Y$2&lt;=6),CONCATENATE("(Fall)"),"N/A")))))))</f>
        <v>Number of Students (Summer)</v>
      </c>
      <c r="M523" s="91">
        <f t="shared" si="671"/>
        <v>0</v>
      </c>
      <c r="N523" s="91">
        <f t="shared" si="672"/>
        <v>0</v>
      </c>
      <c r="O523" s="91">
        <f t="shared" si="673"/>
        <v>0</v>
      </c>
      <c r="P523" s="91">
        <f t="shared" si="674"/>
        <v>0</v>
      </c>
      <c r="Q523" s="91">
        <f t="shared" si="675"/>
        <v>0</v>
      </c>
      <c r="S523" s="47"/>
    </row>
    <row r="524" spans="1:20" x14ac:dyDescent="0.25">
      <c r="A524" s="294" t="str">
        <f>CONCATENATE("FTE for ",I522," Months")</f>
        <v>FTE for 12 Months</v>
      </c>
      <c r="B524" s="85">
        <f t="shared" ref="B524:H524" si="676">+B523/$I522</f>
        <v>0</v>
      </c>
      <c r="C524" s="85">
        <f t="shared" si="676"/>
        <v>0</v>
      </c>
      <c r="D524" s="85">
        <f t="shared" si="676"/>
        <v>0</v>
      </c>
      <c r="E524" s="85">
        <f t="shared" si="676"/>
        <v>0</v>
      </c>
      <c r="F524" s="85">
        <f t="shared" si="676"/>
        <v>0</v>
      </c>
      <c r="G524" s="85">
        <f t="shared" si="676"/>
        <v>0</v>
      </c>
      <c r="H524" s="85">
        <f t="shared" si="676"/>
        <v>0</v>
      </c>
      <c r="I524" s="100"/>
      <c r="J524" s="100"/>
      <c r="K524" s="305"/>
      <c r="L524" s="128" t="str">
        <f>CONCATENATE("Number of Students ",IF(AND($Y$2&gt;=7,$Y$2&lt;=9),CONCATENATE("(Summer)"),IF(AND($Y$2&gt;=7,$Y$2&lt;=10),CONCATENATE("(Fall)"),IF(OR($Y$2&gt;=10,$Y$2&lt;=2),CONCATENATE("(Fall)"),IF(AND($Y$2&gt;=7,$Y$2&lt;=10),CONCATENATE("(Spring)"),IF(OR($Y$2&gt;=10,$Y$2&lt;=2),CONCATENATE("(Spring)"),IF(AND($Y$2&gt;=3,$Y$2&lt;=6),CONCATENATE("(Spring)"),"N/A")))))))</f>
        <v>Number of Students (Fall)</v>
      </c>
      <c r="M524" s="91">
        <f t="shared" si="671"/>
        <v>0</v>
      </c>
      <c r="N524" s="91">
        <f t="shared" si="672"/>
        <v>0</v>
      </c>
      <c r="O524" s="91">
        <f t="shared" si="673"/>
        <v>0</v>
      </c>
      <c r="P524" s="91">
        <f t="shared" si="674"/>
        <v>0</v>
      </c>
      <c r="Q524" s="91">
        <f t="shared" si="675"/>
        <v>0</v>
      </c>
      <c r="S524" s="47"/>
    </row>
    <row r="525" spans="1:20" x14ac:dyDescent="0.25">
      <c r="A525" s="294" t="s">
        <v>21</v>
      </c>
      <c r="B525" s="119">
        <f t="shared" ref="B525:H525" si="677">ROUND((B522*B524*$N$41)+(C522*B524*$N$42),0)</f>
        <v>0</v>
      </c>
      <c r="C525" s="119">
        <f t="shared" si="677"/>
        <v>0</v>
      </c>
      <c r="D525" s="119">
        <f t="shared" si="677"/>
        <v>0</v>
      </c>
      <c r="E525" s="119">
        <f t="shared" si="677"/>
        <v>0</v>
      </c>
      <c r="F525" s="119">
        <f t="shared" si="677"/>
        <v>0</v>
      </c>
      <c r="G525" s="119">
        <f t="shared" si="677"/>
        <v>0</v>
      </c>
      <c r="H525" s="119">
        <f t="shared" si="677"/>
        <v>0</v>
      </c>
      <c r="I525" s="100"/>
      <c r="J525" s="100"/>
      <c r="K525" s="305"/>
      <c r="L525" s="49"/>
      <c r="M525" s="57"/>
      <c r="N525" s="57"/>
      <c r="O525" s="57"/>
      <c r="P525" s="57"/>
      <c r="Q525" s="57"/>
      <c r="S525" s="47"/>
    </row>
    <row r="526" spans="1:20" x14ac:dyDescent="0.25">
      <c r="A526" s="294"/>
      <c r="B526" s="47"/>
      <c r="C526" s="47"/>
      <c r="D526" s="47"/>
      <c r="E526" s="47"/>
      <c r="F526" s="47"/>
      <c r="G526" s="47"/>
      <c r="H526" s="47"/>
      <c r="I526" s="100"/>
      <c r="J526" s="100"/>
      <c r="K526" s="305"/>
      <c r="L526" s="49"/>
      <c r="M526" s="57"/>
      <c r="N526" s="57"/>
      <c r="O526" s="57"/>
      <c r="P526" s="57"/>
      <c r="Q526" s="57"/>
      <c r="S526" s="47"/>
    </row>
    <row r="527" spans="1:20" ht="15.75" thickBot="1" x14ac:dyDescent="0.3">
      <c r="A527" s="302" t="s">
        <v>85</v>
      </c>
      <c r="B527" s="48" t="s">
        <v>1</v>
      </c>
      <c r="C527" s="48" t="s">
        <v>2</v>
      </c>
      <c r="D527" s="48" t="s">
        <v>3</v>
      </c>
      <c r="E527" s="48" t="s">
        <v>44</v>
      </c>
      <c r="F527" s="48" t="s">
        <v>50</v>
      </c>
      <c r="G527" s="47"/>
      <c r="H527" s="47"/>
      <c r="I527" s="100"/>
      <c r="J527" s="100"/>
      <c r="K527" s="305"/>
      <c r="L527" s="59" t="s">
        <v>123</v>
      </c>
      <c r="M527" s="75" t="s">
        <v>1</v>
      </c>
      <c r="N527" s="76" t="s">
        <v>2</v>
      </c>
      <c r="O527" s="76" t="s">
        <v>3</v>
      </c>
      <c r="P527" s="76" t="s">
        <v>44</v>
      </c>
      <c r="Q527" s="76" t="s">
        <v>50</v>
      </c>
      <c r="S527" s="47"/>
    </row>
    <row r="528" spans="1:20" x14ac:dyDescent="0.25">
      <c r="A528" s="294" t="str">
        <f>+L522</f>
        <v>Number of Students (Spring)</v>
      </c>
      <c r="B528" s="127">
        <v>0</v>
      </c>
      <c r="C528" s="127">
        <v>0</v>
      </c>
      <c r="D528" s="127">
        <v>0</v>
      </c>
      <c r="E528" s="127">
        <v>0</v>
      </c>
      <c r="F528" s="127">
        <v>0</v>
      </c>
      <c r="G528" s="47"/>
      <c r="H528" s="47"/>
      <c r="I528" s="100"/>
      <c r="J528" s="100"/>
      <c r="K528" s="305"/>
      <c r="L528" s="60" t="s">
        <v>22</v>
      </c>
      <c r="M528" s="61">
        <f>SUM(M538:M540)</f>
        <v>0</v>
      </c>
      <c r="N528" s="61">
        <f>SUM(N538:N540)</f>
        <v>0</v>
      </c>
      <c r="O528" s="61">
        <f>SUM(O538:O540)</f>
        <v>0</v>
      </c>
      <c r="P528" s="61">
        <f>SUM(P538:P540)</f>
        <v>0</v>
      </c>
      <c r="Q528" s="61">
        <f>SUM(Q538:Q540)</f>
        <v>0</v>
      </c>
      <c r="S528" s="47"/>
    </row>
    <row r="529" spans="1:19" x14ac:dyDescent="0.25">
      <c r="A529" s="294" t="str">
        <f>+L523</f>
        <v>Number of Students (Summer)</v>
      </c>
      <c r="B529" s="94">
        <f>+B528</f>
        <v>0</v>
      </c>
      <c r="C529" s="94">
        <f>+C528</f>
        <v>0</v>
      </c>
      <c r="D529" s="94">
        <f>+D528</f>
        <v>0</v>
      </c>
      <c r="E529" s="94">
        <f>+E528</f>
        <v>0</v>
      </c>
      <c r="F529" s="94">
        <f>+F528</f>
        <v>0</v>
      </c>
      <c r="G529" s="47"/>
      <c r="H529" s="47"/>
      <c r="I529" s="100"/>
      <c r="J529" s="100"/>
      <c r="K529" s="305"/>
      <c r="L529" s="60" t="s">
        <v>8</v>
      </c>
      <c r="M529" s="61">
        <f>SUM(M541:M543)</f>
        <v>0</v>
      </c>
      <c r="N529" s="61">
        <f>SUM(N541:N543)</f>
        <v>0</v>
      </c>
      <c r="O529" s="61">
        <f>SUM(O541:O543)</f>
        <v>0</v>
      </c>
      <c r="P529" s="61">
        <f>SUM(P541:P543)</f>
        <v>0</v>
      </c>
      <c r="Q529" s="61">
        <f>SUM(Q541:Q543)</f>
        <v>0</v>
      </c>
      <c r="S529" s="47"/>
    </row>
    <row r="530" spans="1:19" x14ac:dyDescent="0.25">
      <c r="A530" s="294" t="str">
        <f>+L524</f>
        <v>Number of Students (Fall)</v>
      </c>
      <c r="B530" s="94">
        <f>+B528</f>
        <v>0</v>
      </c>
      <c r="C530" s="94">
        <f>+C528</f>
        <v>0</v>
      </c>
      <c r="D530" s="94">
        <f>+D528</f>
        <v>0</v>
      </c>
      <c r="E530" s="94">
        <f>+E528</f>
        <v>0</v>
      </c>
      <c r="F530" s="94">
        <f>+F528</f>
        <v>0</v>
      </c>
      <c r="G530" s="47"/>
      <c r="H530" s="47"/>
      <c r="I530" s="362"/>
      <c r="J530" s="100"/>
      <c r="K530" s="305"/>
      <c r="L530" s="60" t="s">
        <v>9</v>
      </c>
      <c r="M530" s="61">
        <f>SUM(M544:M546)</f>
        <v>0</v>
      </c>
      <c r="N530" s="61">
        <f>SUM(N544:N546)</f>
        <v>0</v>
      </c>
      <c r="O530" s="61">
        <f>SUM(O544:O546)</f>
        <v>0</v>
      </c>
      <c r="P530" s="61">
        <f>SUM(P544:P546)</f>
        <v>0</v>
      </c>
      <c r="Q530" s="61">
        <f>SUM(Q544:Q546)</f>
        <v>0</v>
      </c>
      <c r="S530" s="47"/>
    </row>
    <row r="531" spans="1:19" ht="15.75" thickBot="1" x14ac:dyDescent="0.3">
      <c r="A531" s="294"/>
      <c r="B531" s="94"/>
      <c r="C531" s="94"/>
      <c r="D531" s="94"/>
      <c r="E531" s="94"/>
      <c r="F531" s="94"/>
      <c r="G531" s="47"/>
      <c r="H531" s="47"/>
      <c r="I531" s="100"/>
      <c r="J531" s="100"/>
      <c r="K531" s="305"/>
      <c r="L531" s="62" t="s">
        <v>31</v>
      </c>
      <c r="M531" s="63">
        <f>SUM(M528:M530)</f>
        <v>0</v>
      </c>
      <c r="N531" s="63">
        <f>SUM(N528:N530)</f>
        <v>0</v>
      </c>
      <c r="O531" s="63">
        <f>SUM(O528:O530)</f>
        <v>0</v>
      </c>
      <c r="P531" s="63">
        <f>SUM(P528:P530)</f>
        <v>0</v>
      </c>
      <c r="Q531" s="63">
        <f>SUM(Q528:Q530)</f>
        <v>0</v>
      </c>
      <c r="S531" s="47"/>
    </row>
    <row r="532" spans="1:19" x14ac:dyDescent="0.25">
      <c r="A532" s="302" t="s">
        <v>89</v>
      </c>
      <c r="B532" s="48" t="s">
        <v>1</v>
      </c>
      <c r="C532" s="48" t="s">
        <v>2</v>
      </c>
      <c r="D532" s="48" t="s">
        <v>3</v>
      </c>
      <c r="E532" s="48" t="s">
        <v>44</v>
      </c>
      <c r="F532" s="48" t="s">
        <v>50</v>
      </c>
      <c r="J532" s="100" t="s">
        <v>77</v>
      </c>
      <c r="K532" s="289"/>
      <c r="M532" s="129"/>
      <c r="S532" s="47"/>
    </row>
    <row r="533" spans="1:19" x14ac:dyDescent="0.25">
      <c r="A533" s="294" t="s">
        <v>84</v>
      </c>
      <c r="B533" s="86">
        <f>+$M$18</f>
        <v>13.2</v>
      </c>
      <c r="C533" s="86">
        <f>ROUND(+B533*(1+J533),2)</f>
        <v>13.2</v>
      </c>
      <c r="D533" s="86">
        <f>ROUND(+C533*(1+J533),2)</f>
        <v>13.2</v>
      </c>
      <c r="E533" s="86">
        <f>ROUND(+D533*(1+J533),2)</f>
        <v>13.2</v>
      </c>
      <c r="F533" s="86">
        <f>ROUND(+E533*(1+J533),2)</f>
        <v>13.2</v>
      </c>
      <c r="J533" s="81">
        <v>0</v>
      </c>
      <c r="K533" s="289"/>
      <c r="S533" s="47"/>
    </row>
    <row r="534" spans="1:19" x14ac:dyDescent="0.25">
      <c r="A534" s="294" t="s">
        <v>64</v>
      </c>
      <c r="B534" s="83">
        <v>0</v>
      </c>
      <c r="C534" s="83">
        <v>0</v>
      </c>
      <c r="D534" s="83">
        <v>0</v>
      </c>
      <c r="E534" s="83">
        <v>0</v>
      </c>
      <c r="F534" s="83">
        <v>0</v>
      </c>
      <c r="K534" s="289"/>
      <c r="L534" s="130"/>
      <c r="M534" s="82" t="str">
        <f>CONCATENATE("FY",$Y$3)</f>
        <v>FY2023</v>
      </c>
      <c r="N534" s="82" t="str">
        <f>CONCATENATE("FY",$Y$3+1)</f>
        <v>FY2024</v>
      </c>
      <c r="O534" s="82" t="str">
        <f>CONCATENATE("FY",$Y$3+2)</f>
        <v>FY2025</v>
      </c>
      <c r="P534" s="82" t="str">
        <f>CONCATENATE("FY",$Y$3+3)</f>
        <v>FY2026</v>
      </c>
      <c r="Q534" s="82" t="str">
        <f>CONCATENATE("FY",$Y$3+4)</f>
        <v>FY2027</v>
      </c>
      <c r="S534" s="47"/>
    </row>
    <row r="535" spans="1:19" x14ac:dyDescent="0.25">
      <c r="A535" s="294" t="s">
        <v>65</v>
      </c>
      <c r="B535" s="83">
        <v>0</v>
      </c>
      <c r="C535" s="83">
        <v>0</v>
      </c>
      <c r="D535" s="83">
        <v>0</v>
      </c>
      <c r="E535" s="83">
        <v>0</v>
      </c>
      <c r="F535" s="83">
        <v>0</v>
      </c>
      <c r="K535" s="289"/>
      <c r="L535" s="131"/>
      <c r="M535" s="82" t="str">
        <f>IF(OR($Y$2&gt;=7,$Y$2&lt;=2),CONCATENATE("FY",$Y$3),IF(AND($Y$2&gt;=3,$Y$2&lt;=6),CONCATENATE("FY",$Y$3+1),"N/A"))</f>
        <v>FY2023</v>
      </c>
      <c r="N535" s="82" t="str">
        <f>IF(OR($Y$2&gt;=7,$Y$2&lt;=2),CONCATENATE("FY",$Y$3+1),IF(AND($Y$2&gt;=3,$Y$2&lt;=6),CONCATENATE("FY",$Y$3+2),"N/A"))</f>
        <v>FY2024</v>
      </c>
      <c r="O535" s="82" t="str">
        <f>IF(OR($Y$2&gt;=7,$Y$2&lt;=2),CONCATENATE("FY",$Y$3+2),IF(AND($Y$2&gt;=3,$Y$2&lt;=6),CONCATENATE("FY",$Y$3+3),"N/A"))</f>
        <v>FY2025</v>
      </c>
      <c r="P535" s="82" t="str">
        <f>IF(OR($Y$2&gt;=7,$Y$2&lt;=2),CONCATENATE("FY",$Y$3+3),IF(AND($Y$2&gt;=3,$Y$2&lt;=6),CONCATENATE("FY",$Y$3+4),"N/A"))</f>
        <v>FY2026</v>
      </c>
      <c r="Q535" s="82" t="str">
        <f>IF(OR($Y$2&gt;=7,$Y$2&lt;=2),CONCATENATE("FY",$Y$3+4),IF(AND($Y$2&gt;=3,$Y$2&lt;=6),CONCATENATE("FY",$Y$3+5),"N/A"))</f>
        <v>FY2027</v>
      </c>
      <c r="S535" s="47"/>
    </row>
    <row r="536" spans="1:19" x14ac:dyDescent="0.25">
      <c r="A536" s="294" t="s">
        <v>79</v>
      </c>
      <c r="B536" s="714">
        <f>+B533*(B534*B535)</f>
        <v>0</v>
      </c>
      <c r="C536" s="714">
        <f t="shared" ref="C536" si="678">+C533*(C534*C535)</f>
        <v>0</v>
      </c>
      <c r="D536" s="714">
        <f t="shared" ref="D536" si="679">+D533*(D534*D535)</f>
        <v>0</v>
      </c>
      <c r="E536" s="714">
        <f t="shared" ref="E536" si="680">+E533*(E534*E535)</f>
        <v>0</v>
      </c>
      <c r="F536" s="714">
        <f t="shared" ref="F536" si="681">+F533*(F534*F535)</f>
        <v>0</v>
      </c>
      <c r="K536" s="289"/>
      <c r="L536" s="82"/>
      <c r="M536" s="82" t="str">
        <f>IF(AND($Y$2&gt;=1,$Y$2&lt;=6),CONCATENATE("FY",$Y$3+1),IF(AND($Y$2&gt;=7,$Y$2&lt;=9),CONCATENATE("FY",$Y$3),IF(AND($Y$2&gt;=10,$Y$2&lt;=126),CONCATENATE("FY",$Y$3+1),"N/A")))</f>
        <v>FY2024</v>
      </c>
      <c r="N536" s="82" t="str">
        <f>IF(AND($Y$2&gt;=1,$Y$2&lt;=6),CONCATENATE("FY",$Y$3+2),IF(AND($Y$2&gt;=7,$Y$2&lt;=9),CONCATENATE("FY",$Y$3+1),IF(AND($Y$2&gt;=10,$Y$2&lt;=126),CONCATENATE("FY",$Y$3+2),"N/A")))</f>
        <v>FY2025</v>
      </c>
      <c r="O536" s="82" t="str">
        <f>IF(AND($Y$2&gt;=1,$Y$2&lt;=6),CONCATENATE("FY",$Y$3+3),IF(AND($Y$2&gt;=7,$Y$2&lt;=9),CONCATENATE("FY",$Y$3+2),IF(AND($Y$2&gt;=10,$Y$2&lt;=126),CONCATENATE("FY",$Y$3+3),"N/A")))</f>
        <v>FY2026</v>
      </c>
      <c r="P536" s="82" t="str">
        <f>IF(AND($Y$2&gt;=1,$Y$2&lt;=6),CONCATENATE("FY",$Y$3+4),IF(AND($Y$2&gt;=7,$Y$2&lt;=9),CONCATENATE("FY",$Y$3+3),IF(AND($Y$2&gt;=10,$Y$2&lt;=126),CONCATENATE("FY",$Y$3+4),"N/A")))</f>
        <v>FY2027</v>
      </c>
      <c r="Q536" s="82" t="str">
        <f>IF(AND($Y$2&gt;=1,$Y$2&lt;=6),CONCATENATE("FY",$Y$3+5),IF(AND($Y$2&gt;=7,$Y$2&lt;=9),CONCATENATE("FY",$Y$3+4),IF(AND($Y$2&gt;=10,$Y$2&lt;=126),CONCATENATE("FY",$Y$3+5),"N/A")))</f>
        <v>FY2028</v>
      </c>
      <c r="S536" s="47"/>
    </row>
    <row r="537" spans="1:19" ht="15.75" thickBot="1" x14ac:dyDescent="0.3">
      <c r="A537" s="294" t="s">
        <v>62</v>
      </c>
      <c r="B537" s="83">
        <v>0</v>
      </c>
      <c r="C537" s="83">
        <v>0</v>
      </c>
      <c r="D537" s="83">
        <v>0</v>
      </c>
      <c r="E537" s="83">
        <v>0</v>
      </c>
      <c r="F537" s="83">
        <v>0</v>
      </c>
      <c r="K537" s="289"/>
      <c r="L537" s="59" t="s">
        <v>124</v>
      </c>
      <c r="M537" s="75" t="s">
        <v>1</v>
      </c>
      <c r="N537" s="76" t="s">
        <v>2</v>
      </c>
      <c r="O537" s="76" t="s">
        <v>3</v>
      </c>
      <c r="P537" s="76" t="s">
        <v>44</v>
      </c>
      <c r="Q537" s="76" t="s">
        <v>50</v>
      </c>
    </row>
    <row r="538" spans="1:19" x14ac:dyDescent="0.25">
      <c r="A538" s="294" t="s">
        <v>63</v>
      </c>
      <c r="B538" s="83">
        <v>0</v>
      </c>
      <c r="C538" s="83">
        <v>0</v>
      </c>
      <c r="D538" s="83">
        <v>0</v>
      </c>
      <c r="E538" s="83">
        <v>0</v>
      </c>
      <c r="F538" s="83">
        <v>0</v>
      </c>
      <c r="K538" s="289"/>
      <c r="L538" s="132" t="str">
        <f t="shared" ref="L538:L546" si="682">+L114</f>
        <v>Stipend (Spring)</v>
      </c>
      <c r="M538" s="133">
        <f>IF(RIGHT($L538,8)="(Summer)",ROUND(M522*HLOOKUP(M534,M509:S514,3,FALSE),0))+IF(RIGHT($L538,8)&lt;&gt;"(Summer)",ROUND(M522*HLOOKUP(M534,M509:S514,2,FALSE)/2,0))</f>
        <v>0</v>
      </c>
      <c r="N538" s="133">
        <f t="shared" ref="N538" si="683">IF(RIGHT($L538,8)="(Summer)",ROUND(N522*HLOOKUP(N534,N509:T514,3,FALSE),0))+IF(RIGHT($L538,8)&lt;&gt;"(Summer)",ROUND(N522*HLOOKUP(N534,N509:T514,2,FALSE)/2,0))</f>
        <v>0</v>
      </c>
      <c r="O538" s="133">
        <f t="shared" ref="O538" si="684">IF(RIGHT($L538,8)="(Summer)",ROUND(O522*HLOOKUP(O534,O509:U514,3,FALSE),0))+IF(RIGHT($L538,8)&lt;&gt;"(Summer)",ROUND(O522*HLOOKUP(O534,O509:U514,2,FALSE)/2,0))</f>
        <v>0</v>
      </c>
      <c r="P538" s="133">
        <f t="shared" ref="P538" si="685">IF(RIGHT($L538,8)="(Summer)",ROUND(P522*HLOOKUP(P534,P509:V514,3,FALSE),0))+IF(RIGHT($L538,8)&lt;&gt;"(Summer)",ROUND(P522*HLOOKUP(P534,P509:V514,2,FALSE)/2,0))</f>
        <v>0</v>
      </c>
      <c r="Q538" s="133">
        <f t="shared" ref="Q538" si="686">IF(RIGHT($L538,8)="(Summer)",ROUND(Q522*HLOOKUP(Q534,Q509:W514,3,FALSE),0))+IF(RIGHT($L538,8)&lt;&gt;"(Summer)",ROUND(Q522*HLOOKUP(Q534,Q509:W514,2,FALSE)/2,0))</f>
        <v>0</v>
      </c>
    </row>
    <row r="539" spans="1:19" x14ac:dyDescent="0.25">
      <c r="A539" s="294" t="s">
        <v>80</v>
      </c>
      <c r="B539" s="714">
        <f>+B533*(B537*B538)</f>
        <v>0</v>
      </c>
      <c r="C539" s="714">
        <f t="shared" ref="C539" si="687">+C533*(C537*C538)</f>
        <v>0</v>
      </c>
      <c r="D539" s="714">
        <f t="shared" ref="D539" si="688">+D533*(D537*D538)</f>
        <v>0</v>
      </c>
      <c r="E539" s="714">
        <f t="shared" ref="E539" si="689">+E533*(E537*E538)</f>
        <v>0</v>
      </c>
      <c r="F539" s="714">
        <f t="shared" ref="F539" si="690">+F533*(F537*F538)</f>
        <v>0</v>
      </c>
      <c r="K539" s="289"/>
      <c r="L539" s="134" t="str">
        <f t="shared" si="682"/>
        <v>Stipend (Summer)</v>
      </c>
      <c r="M539" s="133">
        <f>IF(RIGHT($L539,8)="(Summer)",ROUND(M523*HLOOKUP(M535,M509:S514,3,FALSE),0))+IF(RIGHT($L539,8)&lt;&gt;"(Summer)",ROUND(M523*HLOOKUP(M535,M509:S514,2,FALSE)/2,0))</f>
        <v>0</v>
      </c>
      <c r="N539" s="133">
        <f t="shared" ref="N539" si="691">IF(RIGHT($L539,8)="(Summer)",ROUND(N523*HLOOKUP(N535,N509:T514,3,FALSE),0))+IF(RIGHT($L539,8)&lt;&gt;"(Summer)",ROUND(N523*HLOOKUP(N535,N509:T514,2,FALSE)/2,0))</f>
        <v>0</v>
      </c>
      <c r="O539" s="133">
        <f t="shared" ref="O539" si="692">IF(RIGHT($L539,8)="(Summer)",ROUND(O523*HLOOKUP(O535,O509:U514,3,FALSE),0))+IF(RIGHT($L539,8)&lt;&gt;"(Summer)",ROUND(O523*HLOOKUP(O535,O509:U514,2,FALSE)/2,0))</f>
        <v>0</v>
      </c>
      <c r="P539" s="133">
        <f t="shared" ref="P539" si="693">IF(RIGHT($L539,8)="(Summer)",ROUND(P523*HLOOKUP(P535,P509:V514,3,FALSE),0))+IF(RIGHT($L539,8)&lt;&gt;"(Summer)",ROUND(P523*HLOOKUP(P535,P509:V514,2,FALSE)/2,0))</f>
        <v>0</v>
      </c>
      <c r="Q539" s="133">
        <f t="shared" ref="Q539" si="694">IF(RIGHT($L539,8)="(Summer)",ROUND(Q523*HLOOKUP(Q535,Q509:W514,3,FALSE),0))+IF(RIGHT($L539,8)&lt;&gt;"(Summer)",ROUND(Q523*HLOOKUP(Q535,Q509:W514,2,FALSE)/2,0))</f>
        <v>0</v>
      </c>
    </row>
    <row r="540" spans="1:19" x14ac:dyDescent="0.25">
      <c r="A540" s="294" t="s">
        <v>21</v>
      </c>
      <c r="B540" s="716">
        <f>ROUND(+B536+B539,0)</f>
        <v>0</v>
      </c>
      <c r="C540" s="716">
        <f t="shared" ref="C540" si="695">ROUND(+C536+C539,0)</f>
        <v>0</v>
      </c>
      <c r="D540" s="716">
        <f t="shared" ref="D540" si="696">ROUND(+D536+D539,0)</f>
        <v>0</v>
      </c>
      <c r="E540" s="716">
        <f t="shared" ref="E540" si="697">ROUND(+E536+E539,0)</f>
        <v>0</v>
      </c>
      <c r="F540" s="716">
        <f t="shared" ref="F540" si="698">ROUND(+F536+F539,0)</f>
        <v>0</v>
      </c>
      <c r="K540" s="289"/>
      <c r="L540" s="134" t="str">
        <f t="shared" si="682"/>
        <v>Stipend (Fall)</v>
      </c>
      <c r="M540" s="133">
        <f>IF(RIGHT($L540,8)="(Summer)",ROUND(M524*HLOOKUP(M536,M509:S514,3,FALSE),0))+IF(RIGHT($L540,8)&lt;&gt;"(Summer)",ROUND(M524*HLOOKUP(M536,M509:S514,2,FALSE)/2,0))</f>
        <v>0</v>
      </c>
      <c r="N540" s="133">
        <f t="shared" ref="N540" si="699">IF(RIGHT($L540,8)="(Summer)",ROUND(N524*HLOOKUP(N536,N509:T514,3,FALSE),0))+IF(RIGHT($L540,8)&lt;&gt;"(Summer)",ROUND(N524*HLOOKUP(N536,N509:T514,2,FALSE)/2,0))</f>
        <v>0</v>
      </c>
      <c r="O540" s="133">
        <f t="shared" ref="O540" si="700">IF(RIGHT($L540,8)="(Summer)",ROUND(O524*HLOOKUP(O536,O509:U514,3,FALSE),0))+IF(RIGHT($L540,8)&lt;&gt;"(Summer)",ROUND(O524*HLOOKUP(O536,O509:U514,2,FALSE)/2,0))</f>
        <v>0</v>
      </c>
      <c r="P540" s="133">
        <f t="shared" ref="P540" si="701">IF(RIGHT($L540,8)="(Summer)",ROUND(P524*HLOOKUP(P536,P509:V514,3,FALSE),0))+IF(RIGHT($L540,8)&lt;&gt;"(Summer)",ROUND(P524*HLOOKUP(P536,P509:V514,2,FALSE)/2,0))</f>
        <v>0</v>
      </c>
      <c r="Q540" s="133">
        <f t="shared" ref="Q540" si="702">IF(RIGHT($L540,8)="(Summer)",ROUND(Q524*HLOOKUP(Q536,Q509:W514,3,FALSE),0))+IF(RIGHT($L540,8)&lt;&gt;"(Summer)",ROUND(Q524*HLOOKUP(Q536,Q509:W514,2,FALSE)/2,0))</f>
        <v>0</v>
      </c>
    </row>
    <row r="541" spans="1:19" x14ac:dyDescent="0.25">
      <c r="A541" s="289"/>
      <c r="H541" s="47"/>
      <c r="K541" s="289"/>
      <c r="L541" s="134" t="str">
        <f t="shared" si="682"/>
        <v>Tuition (Spring)</v>
      </c>
      <c r="M541" s="133">
        <f>IF(RIGHT($L541,8)="(Summer)",0,ROUND(M522*HLOOKUP(M534,M509:S514,5,FALSE)/2,0))</f>
        <v>0</v>
      </c>
      <c r="N541" s="133">
        <f t="shared" ref="N541" si="703">IF(RIGHT($L541,8)="(Summer)",0,ROUND(N522*HLOOKUP(N534,N509:T514,5,FALSE)/2,0))</f>
        <v>0</v>
      </c>
      <c r="O541" s="133">
        <f t="shared" ref="O541" si="704">IF(RIGHT($L541,8)="(Summer)",0,ROUND(O522*HLOOKUP(O534,O509:U514,5,FALSE)/2,0))</f>
        <v>0</v>
      </c>
      <c r="P541" s="133">
        <f t="shared" ref="P541" si="705">IF(RIGHT($L541,8)="(Summer)",0,ROUND(P522*HLOOKUP(P534,P509:V514,5,FALSE)/2,0))</f>
        <v>0</v>
      </c>
      <c r="Q541" s="133">
        <f t="shared" ref="Q541" si="706">IF(RIGHT($L541,8)="(Summer)",0,ROUND(Q522*HLOOKUP(Q534,Q509:W514,5,FALSE)/2,0))</f>
        <v>0</v>
      </c>
    </row>
    <row r="542" spans="1:19" x14ac:dyDescent="0.25">
      <c r="A542" s="304"/>
      <c r="B542" s="113" t="str">
        <f t="shared" ref="B542:H542" si="707">IF(AND(B543=$Z$5,$I544=9),$Z$3,IF(AND(B543=$AA$5,$I544=9),$AA$3,IF(AND(B543=$AB$5,$I544=9),$AB$3,IF(AND(B543=$AC$5,$I544=9),$AC$3,IF(AND(B543=$AD$5,$I544=9),$AD$3,IF(AND(B543=$Z$4,$I544=12),$Z$3,IF(AND(B543=$AA$4,$I544=12),$AA$3,IF(AND(B543=$AB$4,$I544=12),$AB$3,IF(AND(B543=$AC$4,$I544=12),$AC$3,IF(AND(B543=$AD$4,$I544=12),$AD$3," "))))))))))</f>
        <v>Year 1</v>
      </c>
      <c r="C542" s="113" t="str">
        <f t="shared" si="707"/>
        <v>Year 2</v>
      </c>
      <c r="D542" s="113" t="str">
        <f t="shared" si="707"/>
        <v>Year 3</v>
      </c>
      <c r="E542" s="113" t="str">
        <f t="shared" si="707"/>
        <v>Year 4</v>
      </c>
      <c r="F542" s="113" t="str">
        <f t="shared" si="707"/>
        <v>Year 5</v>
      </c>
      <c r="G542" s="113" t="str">
        <f t="shared" si="707"/>
        <v xml:space="preserve"> </v>
      </c>
      <c r="H542" s="113" t="str">
        <f t="shared" si="707"/>
        <v xml:space="preserve"> </v>
      </c>
      <c r="K542" s="289"/>
      <c r="L542" s="134" t="str">
        <f t="shared" si="682"/>
        <v>Tuition (Summer)</v>
      </c>
      <c r="M542" s="133">
        <f>IF(RIGHT($L542,8)="(Summer)",0,ROUND(M523*HLOOKUP(M535,M509:S514,5,FALSE)/2,0))</f>
        <v>0</v>
      </c>
      <c r="N542" s="133">
        <f t="shared" ref="N542" si="708">IF(RIGHT($L542,8)="(Summer)",0,ROUND(N523*HLOOKUP(N535,N509:T514,5,FALSE)/2,0))</f>
        <v>0</v>
      </c>
      <c r="O542" s="133">
        <f t="shared" ref="O542" si="709">IF(RIGHT($L542,8)="(Summer)",0,ROUND(O523*HLOOKUP(O535,O509:U514,5,FALSE)/2,0))</f>
        <v>0</v>
      </c>
      <c r="P542" s="133">
        <f t="shared" ref="P542" si="710">IF(RIGHT($L542,8)="(Summer)",0,ROUND(P523*HLOOKUP(P535,P509:V514,5,FALSE)/2,0))</f>
        <v>0</v>
      </c>
      <c r="Q542" s="133">
        <f t="shared" ref="Q542" si="711">IF(RIGHT($L542,8)="(Summer)",0,ROUND(Q523*HLOOKUP(Q535,Q509:W514,5,FALSE)/2,0))</f>
        <v>0</v>
      </c>
    </row>
    <row r="543" spans="1:19" x14ac:dyDescent="0.25">
      <c r="A543" s="302" t="s">
        <v>29</v>
      </c>
      <c r="B543" s="84" t="str">
        <f>+M$2</f>
        <v>FY2023</v>
      </c>
      <c r="C543" s="84" t="str">
        <f t="shared" ref="C543" si="712">+N$2</f>
        <v>FY2024</v>
      </c>
      <c r="D543" s="84" t="str">
        <f t="shared" ref="D543" si="713">+O$2</f>
        <v>FY2025</v>
      </c>
      <c r="E543" s="84" t="str">
        <f t="shared" ref="E543" si="714">+P$2</f>
        <v>FY2026</v>
      </c>
      <c r="F543" s="84" t="str">
        <f t="shared" ref="F543" si="715">+Q$2</f>
        <v>FY2027</v>
      </c>
      <c r="G543" s="84" t="str">
        <f t="shared" ref="G543" si="716">+R$2</f>
        <v>FY2028</v>
      </c>
      <c r="H543" s="84" t="str">
        <f t="shared" ref="H543" si="717">+S$2</f>
        <v>FY2029</v>
      </c>
      <c r="I543" s="56" t="s">
        <v>20</v>
      </c>
      <c r="J543" s="100" t="s">
        <v>77</v>
      </c>
      <c r="K543" s="305"/>
      <c r="L543" s="134" t="str">
        <f t="shared" si="682"/>
        <v>Tuition (Fall)</v>
      </c>
      <c r="M543" s="133">
        <f>IF(RIGHT($L543,8)="(Summer)",0,ROUND(M524*HLOOKUP(M536,M509:S514,5,FALSE)/2,0))</f>
        <v>0</v>
      </c>
      <c r="N543" s="133">
        <f t="shared" ref="N543" si="718">IF(RIGHT($L543,8)="(Summer)",0,ROUND(N524*HLOOKUP(N536,N509:T514,5,FALSE)/2,0))</f>
        <v>0</v>
      </c>
      <c r="O543" s="133">
        <f t="shared" ref="O543" si="719">IF(RIGHT($L543,8)="(Summer)",0,ROUND(O524*HLOOKUP(O536,O509:U514,5,FALSE)/2,0))</f>
        <v>0</v>
      </c>
      <c r="P543" s="133">
        <f t="shared" ref="P543" si="720">IF(RIGHT($L543,8)="(Summer)",0,ROUND(P524*HLOOKUP(P536,P509:V514,5,FALSE)/2,0))</f>
        <v>0</v>
      </c>
      <c r="Q543" s="133">
        <f t="shared" ref="Q543" si="721">IF(RIGHT($L543,8)="(Summer)",0,ROUND(Q524*HLOOKUP(Q536,Q509:W514,5,FALSE)/2,0))</f>
        <v>0</v>
      </c>
    </row>
    <row r="544" spans="1:19" x14ac:dyDescent="0.25">
      <c r="A544" s="294" t="str">
        <f>CONCATENATE("Base Salary: ",I544," month term")</f>
        <v>Base Salary: 12 month term</v>
      </c>
      <c r="B544" s="93">
        <v>0</v>
      </c>
      <c r="C544" s="118">
        <f>ROUND(+B544*(1+J544),0)</f>
        <v>0</v>
      </c>
      <c r="D544" s="118">
        <f>ROUND(+C544*(1+J544),0)</f>
        <v>0</v>
      </c>
      <c r="E544" s="118">
        <f>ROUND(+D544*(1+J544),0)</f>
        <v>0</v>
      </c>
      <c r="F544" s="118">
        <f>ROUND(+E544*(1+J544),0)</f>
        <v>0</v>
      </c>
      <c r="G544" s="118">
        <f>ROUND(+F544*(1+J544),0)</f>
        <v>0</v>
      </c>
      <c r="H544" s="118">
        <f>ROUND(+G544*(1+J544),0)</f>
        <v>0</v>
      </c>
      <c r="I544" s="74">
        <v>12</v>
      </c>
      <c r="J544" s="81">
        <v>0.03</v>
      </c>
      <c r="K544" s="307"/>
      <c r="L544" s="134" t="str">
        <f t="shared" si="682"/>
        <v>Health Insurance (Spring)</v>
      </c>
      <c r="M544" s="133">
        <f>IF(RIGHT($L544,8)="(Summer)",0,ROUND(M522*HLOOKUP(M534,M509:S514,6,FALSE)/2,0))</f>
        <v>0</v>
      </c>
      <c r="N544" s="133">
        <f t="shared" ref="N544" si="722">IF(RIGHT($L544,8)="(Summer)",0,ROUND(N522*HLOOKUP(N534,N509:T514,6,FALSE)/2,0))</f>
        <v>0</v>
      </c>
      <c r="O544" s="133">
        <f t="shared" ref="O544" si="723">IF(RIGHT($L544,8)="(Summer)",0,ROUND(O522*HLOOKUP(O534,O509:U514,6,FALSE)/2,0))</f>
        <v>0</v>
      </c>
      <c r="P544" s="133">
        <f t="shared" ref="P544" si="724">IF(RIGHT($L544,8)="(Summer)",0,ROUND(P522*HLOOKUP(P534,P509:V514,6,FALSE)/2,0))</f>
        <v>0</v>
      </c>
      <c r="Q544" s="133">
        <f t="shared" ref="Q544" si="725">IF(RIGHT($L544,8)="(Summer)",0,ROUND(Q522*HLOOKUP(Q534,Q509:W514,6,FALSE)/2,0))</f>
        <v>0</v>
      </c>
    </row>
    <row r="545" spans="1:17" x14ac:dyDescent="0.25">
      <c r="A545" s="294" t="s">
        <v>49</v>
      </c>
      <c r="B545" s="86">
        <v>0</v>
      </c>
      <c r="C545" s="86">
        <v>0</v>
      </c>
      <c r="D545" s="86">
        <v>0</v>
      </c>
      <c r="E545" s="86">
        <v>0</v>
      </c>
      <c r="F545" s="86">
        <v>0</v>
      </c>
      <c r="G545" s="86">
        <v>0</v>
      </c>
      <c r="H545" s="86">
        <v>0</v>
      </c>
      <c r="I545" s="49"/>
      <c r="J545" s="49"/>
      <c r="K545" s="294"/>
      <c r="L545" s="134" t="str">
        <f t="shared" si="682"/>
        <v>Health Insurance (Summer)</v>
      </c>
      <c r="M545" s="133">
        <f>IF(RIGHT($L545,8)="(Summer)",0,ROUND(M523*HLOOKUP(M535,M509:S514,6,FALSE)/2,0))</f>
        <v>0</v>
      </c>
      <c r="N545" s="133">
        <f t="shared" ref="N545" si="726">IF(RIGHT($L545,8)="(Summer)",0,ROUND(N523*HLOOKUP(N535,N509:T514,6,FALSE)/2,0))</f>
        <v>0</v>
      </c>
      <c r="O545" s="133">
        <f t="shared" ref="O545" si="727">IF(RIGHT($L545,8)="(Summer)",0,ROUND(O523*HLOOKUP(O535,O509:U514,6,FALSE)/2,0))</f>
        <v>0</v>
      </c>
      <c r="P545" s="133">
        <f t="shared" ref="P545" si="728">IF(RIGHT($L545,8)="(Summer)",0,ROUND(P523*HLOOKUP(P535,P509:V514,6,FALSE)/2,0))</f>
        <v>0</v>
      </c>
      <c r="Q545" s="133">
        <f t="shared" ref="Q545" si="729">IF(RIGHT($L545,8)="(Summer)",0,ROUND(Q523*HLOOKUP(Q535,Q509:W514,6,FALSE)/2,0))</f>
        <v>0</v>
      </c>
    </row>
    <row r="546" spans="1:17" x14ac:dyDescent="0.25">
      <c r="A546" s="294" t="str">
        <f>CONCATENATE("FTE for ",I544," Months")</f>
        <v>FTE for 12 Months</v>
      </c>
      <c r="B546" s="85">
        <f t="shared" ref="B546:H546" si="730">+B545/$I544</f>
        <v>0</v>
      </c>
      <c r="C546" s="85">
        <f t="shared" si="730"/>
        <v>0</v>
      </c>
      <c r="D546" s="85">
        <f t="shared" si="730"/>
        <v>0</v>
      </c>
      <c r="E546" s="85">
        <f t="shared" si="730"/>
        <v>0</v>
      </c>
      <c r="F546" s="85">
        <f t="shared" si="730"/>
        <v>0</v>
      </c>
      <c r="G546" s="85">
        <f t="shared" si="730"/>
        <v>0</v>
      </c>
      <c r="H546" s="85">
        <f t="shared" si="730"/>
        <v>0</v>
      </c>
      <c r="I546" s="100"/>
      <c r="J546" s="100"/>
      <c r="K546" s="305"/>
      <c r="L546" s="134" t="str">
        <f t="shared" si="682"/>
        <v>Health Insurance (Fall)</v>
      </c>
      <c r="M546" s="133">
        <f>IF(RIGHT($L546,8)="(Summer)",0,ROUND(M524*HLOOKUP(M536,M509:S514,6,FALSE)/2,0))</f>
        <v>0</v>
      </c>
      <c r="N546" s="133">
        <f t="shared" ref="N546" si="731">IF(RIGHT($L546,8)="(Summer)",0,ROUND(N524*HLOOKUP(N536,N509:T514,6,FALSE)/2,0))</f>
        <v>0</v>
      </c>
      <c r="O546" s="133">
        <f t="shared" ref="O546" si="732">IF(RIGHT($L546,8)="(Summer)",0,ROUND(O524*HLOOKUP(O536,O509:U514,6,FALSE)/2,0))</f>
        <v>0</v>
      </c>
      <c r="P546" s="133">
        <f t="shared" ref="P546" si="733">IF(RIGHT($L546,8)="(Summer)",0,ROUND(P524*HLOOKUP(P536,P509:V514,6,FALSE)/2,0))</f>
        <v>0</v>
      </c>
      <c r="Q546" s="133">
        <f t="shared" ref="Q546" si="734">IF(RIGHT($L546,8)="(Summer)",0,ROUND(Q524*HLOOKUP(Q536,Q509:W514,6,FALSE)/2,0))</f>
        <v>0</v>
      </c>
    </row>
    <row r="547" spans="1:17" ht="15.75" thickBot="1" x14ac:dyDescent="0.3">
      <c r="A547" s="294" t="s">
        <v>21</v>
      </c>
      <c r="B547" s="119">
        <f t="shared" ref="B547:H547" si="735">ROUND((B544*B546*$N$41)+(C544*B546*$N$42),0)</f>
        <v>0</v>
      </c>
      <c r="C547" s="119">
        <f t="shared" si="735"/>
        <v>0</v>
      </c>
      <c r="D547" s="119">
        <f t="shared" si="735"/>
        <v>0</v>
      </c>
      <c r="E547" s="119">
        <f t="shared" si="735"/>
        <v>0</v>
      </c>
      <c r="F547" s="119">
        <f t="shared" si="735"/>
        <v>0</v>
      </c>
      <c r="G547" s="119">
        <f t="shared" si="735"/>
        <v>0</v>
      </c>
      <c r="H547" s="119">
        <f t="shared" si="735"/>
        <v>0</v>
      </c>
      <c r="I547" s="100"/>
      <c r="J547" s="100"/>
      <c r="K547" s="305"/>
      <c r="L547" s="62" t="s">
        <v>31</v>
      </c>
      <c r="M547" s="63">
        <f>SUM(M538:M546)</f>
        <v>0</v>
      </c>
      <c r="N547" s="63">
        <f>SUM(N538:N546)</f>
        <v>0</v>
      </c>
      <c r="O547" s="63">
        <f>SUM(O538:O546)</f>
        <v>0</v>
      </c>
      <c r="P547" s="63">
        <f>SUM(P538:P546)</f>
        <v>0</v>
      </c>
      <c r="Q547" s="63">
        <f>SUM(Q538:Q546)</f>
        <v>0</v>
      </c>
    </row>
    <row r="548" spans="1:17" x14ac:dyDescent="0.25">
      <c r="A548" s="289"/>
      <c r="J548" s="100"/>
    </row>
    <row r="549" spans="1:17" x14ac:dyDescent="0.25">
      <c r="A549" s="304" t="s">
        <v>106</v>
      </c>
    </row>
    <row r="550" spans="1:17" x14ac:dyDescent="0.25">
      <c r="A550" s="302" t="s">
        <v>444</v>
      </c>
      <c r="B550" s="48" t="s">
        <v>1</v>
      </c>
      <c r="C550" s="48" t="s">
        <v>2</v>
      </c>
      <c r="D550" s="48" t="s">
        <v>3</v>
      </c>
      <c r="E550" s="48" t="s">
        <v>44</v>
      </c>
      <c r="F550" s="48" t="s">
        <v>50</v>
      </c>
      <c r="G550" s="84"/>
      <c r="H550" s="84"/>
      <c r="I550" s="56"/>
      <c r="J550" s="100" t="s">
        <v>77</v>
      </c>
    </row>
    <row r="551" spans="1:17" x14ac:dyDescent="0.25">
      <c r="A551" s="294" t="s">
        <v>318</v>
      </c>
      <c r="B551" s="86">
        <v>15</v>
      </c>
      <c r="C551" s="86">
        <f>ROUND(+B551*(1+J551),2)</f>
        <v>15</v>
      </c>
      <c r="D551" s="86">
        <f>ROUND(+C551*(1+J551),2)</f>
        <v>15</v>
      </c>
      <c r="E551" s="86">
        <f>ROUND(+D551*(1+J551),2)</f>
        <v>15</v>
      </c>
      <c r="F551" s="86">
        <f>ROUND(+E551*(1+J551),2)</f>
        <v>15</v>
      </c>
      <c r="G551" s="84"/>
      <c r="H551" s="84"/>
      <c r="I551" s="74"/>
      <c r="J551" s="81">
        <v>0</v>
      </c>
    </row>
    <row r="552" spans="1:17" x14ac:dyDescent="0.25">
      <c r="A552" s="294" t="s">
        <v>319</v>
      </c>
      <c r="B552" s="127">
        <v>0</v>
      </c>
      <c r="C552" s="127">
        <v>0</v>
      </c>
      <c r="D552" s="127">
        <v>0</v>
      </c>
      <c r="E552" s="127">
        <v>0</v>
      </c>
      <c r="F552" s="127">
        <v>0</v>
      </c>
      <c r="G552" s="84"/>
      <c r="H552" s="84"/>
      <c r="I552" s="49"/>
      <c r="J552" s="49"/>
    </row>
    <row r="553" spans="1:17" x14ac:dyDescent="0.25">
      <c r="A553" s="294" t="s">
        <v>21</v>
      </c>
      <c r="B553" s="119">
        <f>ROUND(B551*B552,0)</f>
        <v>0</v>
      </c>
      <c r="C553" s="119">
        <f t="shared" ref="C553" si="736">ROUND(C551*C552,0)</f>
        <v>0</v>
      </c>
      <c r="D553" s="119">
        <f t="shared" ref="D553" si="737">ROUND(D551*D552,0)</f>
        <v>0</v>
      </c>
      <c r="E553" s="119">
        <f t="shared" ref="E553" si="738">ROUND(E551*E552,0)</f>
        <v>0</v>
      </c>
      <c r="F553" s="119">
        <f t="shared" ref="F553" si="739">ROUND(F551*F552,0)</f>
        <v>0</v>
      </c>
      <c r="G553" s="84"/>
      <c r="H553" s="84"/>
      <c r="I553" s="100"/>
      <c r="J553" s="100"/>
    </row>
    <row r="556" spans="1:17" x14ac:dyDescent="0.25">
      <c r="A556" s="344" t="str">
        <f ca="1">+A23</f>
        <v>Co-PI Budget (5)</v>
      </c>
      <c r="B556" s="345"/>
      <c r="C556" s="345"/>
      <c r="D556" s="345"/>
      <c r="E556" s="345"/>
      <c r="F556" s="345"/>
      <c r="G556" s="345"/>
      <c r="H556" s="345"/>
      <c r="I556" s="345"/>
      <c r="J556" s="345"/>
    </row>
    <row r="557" spans="1:17" x14ac:dyDescent="0.25">
      <c r="A557" s="257" t="s">
        <v>54</v>
      </c>
      <c r="B557" s="346" t="str">
        <f>+B23</f>
        <v>Co-PI</v>
      </c>
      <c r="C557" s="345"/>
      <c r="D557" s="345"/>
      <c r="E557" s="345"/>
      <c r="F557" s="345"/>
      <c r="G557" s="345"/>
      <c r="H557" s="345"/>
      <c r="I557" s="345"/>
      <c r="J557" s="345"/>
    </row>
    <row r="558" spans="1:17" x14ac:dyDescent="0.25">
      <c r="A558" s="257" t="s">
        <v>57</v>
      </c>
      <c r="B558" s="347" t="s">
        <v>61</v>
      </c>
      <c r="C558" s="345"/>
      <c r="D558" s="345"/>
      <c r="E558" s="345"/>
      <c r="F558" s="345"/>
      <c r="G558" s="345"/>
      <c r="H558" s="345"/>
      <c r="I558" s="345"/>
      <c r="J558" s="345"/>
    </row>
    <row r="559" spans="1:17" x14ac:dyDescent="0.25">
      <c r="A559" s="257" t="s">
        <v>57</v>
      </c>
      <c r="B559" s="347" t="s">
        <v>61</v>
      </c>
      <c r="C559" s="345"/>
      <c r="D559" s="345"/>
      <c r="E559" s="345"/>
      <c r="F559" s="345"/>
      <c r="G559" s="345"/>
      <c r="H559" s="345"/>
      <c r="I559" s="345"/>
      <c r="J559" s="345"/>
    </row>
    <row r="560" spans="1:17" x14ac:dyDescent="0.25">
      <c r="A560" s="257" t="s">
        <v>138</v>
      </c>
      <c r="B560" s="360" t="s">
        <v>110</v>
      </c>
      <c r="C560" s="345"/>
      <c r="D560" s="361"/>
      <c r="E560" s="345"/>
      <c r="F560" s="345"/>
      <c r="G560" s="345"/>
      <c r="H560" s="345"/>
      <c r="I560" s="345"/>
      <c r="J560" s="345"/>
    </row>
    <row r="561" spans="1:11" x14ac:dyDescent="0.25">
      <c r="A561" s="257" t="s">
        <v>180</v>
      </c>
      <c r="B561" s="360" t="s">
        <v>178</v>
      </c>
      <c r="C561" s="345"/>
      <c r="D561" s="361"/>
      <c r="E561" s="345"/>
      <c r="F561" s="345"/>
      <c r="G561" s="345"/>
      <c r="H561" s="345"/>
      <c r="I561" s="345"/>
      <c r="J561" s="345"/>
    </row>
    <row r="562" spans="1:11" x14ac:dyDescent="0.25">
      <c r="A562" s="345"/>
      <c r="B562" s="345"/>
      <c r="C562" s="345"/>
      <c r="D562" s="345"/>
      <c r="E562" s="345"/>
      <c r="F562" s="345"/>
      <c r="G562" s="345"/>
      <c r="H562" s="345"/>
      <c r="I562" s="345"/>
      <c r="J562" s="345"/>
    </row>
    <row r="563" spans="1:11" x14ac:dyDescent="0.25">
      <c r="A563" s="257" t="s">
        <v>115</v>
      </c>
      <c r="B563" s="348" t="str">
        <f>IF(B560="Contract College","Contract College","Endowed College")</f>
        <v>Contract College</v>
      </c>
      <c r="C563" s="345"/>
      <c r="D563" s="345"/>
      <c r="E563" s="345"/>
      <c r="F563" s="345"/>
      <c r="G563" s="345"/>
      <c r="H563" s="345"/>
      <c r="I563" s="345"/>
      <c r="J563" s="345"/>
    </row>
    <row r="564" spans="1:11" x14ac:dyDescent="0.25">
      <c r="A564" s="257" t="s">
        <v>116</v>
      </c>
      <c r="B564" s="348" t="str">
        <f>IF(B560="Contract College","Contract College","Endowed College")</f>
        <v>Contract College</v>
      </c>
      <c r="C564" s="345"/>
      <c r="D564" s="345"/>
      <c r="E564" s="361"/>
      <c r="F564" s="345"/>
      <c r="G564" s="345"/>
      <c r="H564" s="345"/>
      <c r="I564" s="345"/>
      <c r="J564" s="345"/>
    </row>
    <row r="565" spans="1:11" x14ac:dyDescent="0.25">
      <c r="A565" s="345"/>
      <c r="B565" s="349"/>
      <c r="C565" s="345"/>
      <c r="D565" s="345"/>
      <c r="E565" s="345"/>
      <c r="F565" s="345"/>
      <c r="G565" s="345"/>
      <c r="H565" s="350"/>
      <c r="I565" s="350"/>
      <c r="J565" s="350"/>
      <c r="K565" s="111"/>
    </row>
    <row r="566" spans="1:11" x14ac:dyDescent="0.25">
      <c r="A566" s="257" t="s">
        <v>118</v>
      </c>
      <c r="B566" s="351" t="str">
        <f>+$B$36</f>
        <v>FY2023</v>
      </c>
      <c r="C566" s="351" t="str">
        <f>+$C$36</f>
        <v>FY2024</v>
      </c>
      <c r="D566" s="351" t="str">
        <f>+$D$36</f>
        <v>FY2025</v>
      </c>
      <c r="E566" s="351" t="str">
        <f>+$E$36</f>
        <v>FY2026</v>
      </c>
      <c r="F566" s="351" t="str">
        <f>+$F$36</f>
        <v>FY2027</v>
      </c>
      <c r="G566" s="351" t="str">
        <f>+$G$36</f>
        <v>FY2028</v>
      </c>
      <c r="H566" s="350"/>
      <c r="I566" s="350"/>
      <c r="J566" s="350"/>
      <c r="K566" s="111"/>
    </row>
    <row r="567" spans="1:11" x14ac:dyDescent="0.25">
      <c r="A567" s="257" t="str">
        <f>IF(AND(B560="Contract College",B$6="Federal"),"   Contract (Federal) - Senior Personnel",IF(AND(B560="Contract College",B$6="Non-federal"),"   Contract (Non-federal) - Senior Personnel","   Endowed - Senior Personnel"))</f>
        <v xml:space="preserve">   Contract (Federal) - Senior Personnel</v>
      </c>
      <c r="B567" s="257">
        <f t="shared" ref="B567:G567" si="740">IF(AND($B560="Contract College",$B$6="Federal"),HLOOKUP(B566,$M$2:$S$11,2,FALSE),IF(AND($B560="Contract College",$B$6="Non-Federal"),HLOOKUP(B566,$M$2:$S$11,3,FALSE),HLOOKUP(B566,$M$2:$S$11,4,FALSE)))</f>
        <v>0.68300000000000005</v>
      </c>
      <c r="C567" s="257">
        <f t="shared" si="740"/>
        <v>0.68300000000000005</v>
      </c>
      <c r="D567" s="257">
        <f t="shared" si="740"/>
        <v>0.68300000000000005</v>
      </c>
      <c r="E567" s="257">
        <f t="shared" si="740"/>
        <v>0.68300000000000005</v>
      </c>
      <c r="F567" s="257">
        <f t="shared" si="740"/>
        <v>0.68300000000000005</v>
      </c>
      <c r="G567" s="257">
        <f t="shared" si="740"/>
        <v>0.68300000000000005</v>
      </c>
      <c r="H567" s="350"/>
      <c r="I567" s="350"/>
      <c r="J567" s="350"/>
      <c r="K567" s="111"/>
    </row>
    <row r="568" spans="1:11" x14ac:dyDescent="0.25">
      <c r="A568" s="257" t="str">
        <f>IF(AND(B$6="Federal",B563="Contract College"),"   Contract (Federal) - Post Doc",IF(AND(B$6="Non-federal",B563="Contract College"),"   Contract (Non-federal) - Post Doc","   Endowed - Post Doc"))</f>
        <v xml:space="preserve">   Contract (Federal) - Post Doc</v>
      </c>
      <c r="B568" s="257">
        <f t="shared" ref="B568:G569" si="741">IF($B563="Endowed College",HLOOKUP(B$36,$M$2:$S$11,4,FALSE),IF($B$6="Federal",HLOOKUP(B$36,$M$2:$S$11,2,FALSE),IF($B$6="Non-Federal",HLOOKUP(B$36,$M$2:$S$11,3,FALSE))))</f>
        <v>0.68300000000000005</v>
      </c>
      <c r="C568" s="257">
        <f t="shared" si="741"/>
        <v>0.68300000000000005</v>
      </c>
      <c r="D568" s="257">
        <f t="shared" si="741"/>
        <v>0.68300000000000005</v>
      </c>
      <c r="E568" s="257">
        <f t="shared" si="741"/>
        <v>0.68300000000000005</v>
      </c>
      <c r="F568" s="257">
        <f t="shared" si="741"/>
        <v>0.68300000000000005</v>
      </c>
      <c r="G568" s="257">
        <f t="shared" si="741"/>
        <v>0.68300000000000005</v>
      </c>
      <c r="H568" s="350"/>
      <c r="I568" s="350"/>
      <c r="J568" s="350"/>
      <c r="K568" s="111"/>
    </row>
    <row r="569" spans="1:11" x14ac:dyDescent="0.25">
      <c r="A569" s="257" t="str">
        <f>IF(AND(B$6="Federal",B564="Contract College"),"   Contract (Federal) - Other Employee",IF(AND(B$6="Non-federal",B564="Contract College"),"   Contract (Non-federal) - Other Empolyee","   Endowed - Other Employee"))</f>
        <v xml:space="preserve">   Contract (Federal) - Other Employee</v>
      </c>
      <c r="B569" s="257">
        <f t="shared" si="741"/>
        <v>0.68300000000000005</v>
      </c>
      <c r="C569" s="257">
        <f t="shared" si="741"/>
        <v>0.68300000000000005</v>
      </c>
      <c r="D569" s="257">
        <f t="shared" si="741"/>
        <v>0.68300000000000005</v>
      </c>
      <c r="E569" s="257">
        <f t="shared" si="741"/>
        <v>0.68300000000000005</v>
      </c>
      <c r="F569" s="257">
        <f t="shared" si="741"/>
        <v>0.68300000000000005</v>
      </c>
      <c r="G569" s="257">
        <f t="shared" si="741"/>
        <v>0.68300000000000005</v>
      </c>
      <c r="H569" s="350"/>
      <c r="I569" s="350"/>
      <c r="J569" s="350"/>
      <c r="K569" s="111"/>
    </row>
    <row r="570" spans="1:11" x14ac:dyDescent="0.25">
      <c r="A570" s="257" t="s">
        <v>320</v>
      </c>
      <c r="B570" s="257">
        <f t="shared" ref="B570:G570" si="742">HLOOKUP(B$36,$M$2:$S$11,5,FALSE)</f>
        <v>0.1</v>
      </c>
      <c r="C570" s="257">
        <f t="shared" si="742"/>
        <v>0.1</v>
      </c>
      <c r="D570" s="257">
        <f t="shared" si="742"/>
        <v>0.1</v>
      </c>
      <c r="E570" s="257">
        <f t="shared" si="742"/>
        <v>0.1</v>
      </c>
      <c r="F570" s="257">
        <f t="shared" si="742"/>
        <v>0.1</v>
      </c>
      <c r="G570" s="257">
        <f t="shared" si="742"/>
        <v>0.1</v>
      </c>
      <c r="H570" s="350"/>
      <c r="I570" s="350"/>
      <c r="J570" s="350"/>
      <c r="K570" s="111"/>
    </row>
    <row r="571" spans="1:11" x14ac:dyDescent="0.25">
      <c r="A571" s="257" t="str">
        <f>CONCATENATE("Cornell IDC Rate - ",B560)</f>
        <v>Cornell IDC Rate - Contract College</v>
      </c>
      <c r="B571" s="257">
        <f>IF($B561="Off",(HLOOKUP(B$36,$M$2:$S$11,9,FALSE)),IF(AND($B$7="Other",$B561="On"),(HLOOKUP(B$36,$M$2:$S$11,8,FALSE)),IF(AND($B561="On",$B560="Contract College",$B$7="Research"),(HLOOKUP(B$36,$M$2:$S$11,6,FALSE)),(HLOOKUP(B$36,$M$2:$S$11,7,FALSE)))))</f>
        <v>0.56999999999999995</v>
      </c>
      <c r="C571" s="257">
        <f t="shared" ref="C571:G571" si="743">IF($B561="Off",(HLOOKUP(C$36,$M$2:$S$11,9,FALSE)),IF(AND($B$7="Other",$B561="On"),(HLOOKUP(C$36,$M$2:$S$11,8,FALSE)),IF(AND($B561="On",$B560="Contract College",$B$7="Research"),(HLOOKUP(C$36,$M$2:$S$11,6,FALSE)),(HLOOKUP(C$36,$M$2:$S$11,7,FALSE)))))</f>
        <v>0.56999999999999995</v>
      </c>
      <c r="D571" s="257">
        <f t="shared" si="743"/>
        <v>0.56999999999999995</v>
      </c>
      <c r="E571" s="257">
        <f t="shared" si="743"/>
        <v>0.56999999999999995</v>
      </c>
      <c r="F571" s="257">
        <f t="shared" si="743"/>
        <v>0.56999999999999995</v>
      </c>
      <c r="G571" s="257">
        <f t="shared" si="743"/>
        <v>0.56999999999999995</v>
      </c>
      <c r="H571" s="350"/>
      <c r="I571" s="350"/>
      <c r="J571" s="350"/>
      <c r="K571" s="111"/>
    </row>
    <row r="572" spans="1:11" x14ac:dyDescent="0.25">
      <c r="A572" s="257" t="str">
        <f>IF($B$11="Yes","","Rate Allowed by Sponsor:")</f>
        <v>Rate Allowed by Sponsor:</v>
      </c>
      <c r="B572" s="351">
        <f t="shared" ref="B572:G572" si="744">IF($B$11="Yes","",IF($B$11="No",HLOOKUP(B$36,$M$2:$S$11,10,FALSE),(HLOOKUP(B$36,$M$2:$S$11,10,FALSE))))</f>
        <v>0.2</v>
      </c>
      <c r="C572" s="351">
        <f t="shared" si="744"/>
        <v>0.2</v>
      </c>
      <c r="D572" s="351">
        <f t="shared" si="744"/>
        <v>0.2</v>
      </c>
      <c r="E572" s="351">
        <f t="shared" si="744"/>
        <v>0.2</v>
      </c>
      <c r="F572" s="351">
        <f t="shared" si="744"/>
        <v>0.2</v>
      </c>
      <c r="G572" s="351">
        <f t="shared" si="744"/>
        <v>0.2</v>
      </c>
      <c r="H572" s="411"/>
      <c r="I572" s="411"/>
      <c r="J572" s="411"/>
      <c r="K572" s="111"/>
    </row>
    <row r="573" spans="1:11" x14ac:dyDescent="0.25">
      <c r="B573" s="82"/>
      <c r="C573" s="82"/>
      <c r="D573" s="82"/>
      <c r="E573" s="82"/>
      <c r="F573" s="82"/>
      <c r="G573" s="82"/>
    </row>
    <row r="574" spans="1:11" ht="20.25" x14ac:dyDescent="0.3">
      <c r="A574" s="64" t="s">
        <v>59</v>
      </c>
      <c r="B574" s="113"/>
      <c r="C574" s="113"/>
      <c r="D574" s="113"/>
      <c r="E574" s="113"/>
      <c r="F574" s="113"/>
      <c r="G574" s="113"/>
      <c r="H574" s="113"/>
    </row>
    <row r="575" spans="1:11" ht="15.75" x14ac:dyDescent="0.25">
      <c r="A575" s="114" t="s">
        <v>102</v>
      </c>
      <c r="B575" s="115" t="str">
        <f t="shared" ref="B575:H575" si="745">IF(B578=$Z$5,$Z$9,IF(B578=$AA$5,$AA$9,IF(B578=$AB$5,$AB$9,IF(B578=$AC$5,$AC$9,IF(B578=$AD$5,$AD$9," ")))))</f>
        <v xml:space="preserve"> </v>
      </c>
      <c r="C575" s="115" t="str">
        <f t="shared" si="745"/>
        <v>2023-2023</v>
      </c>
      <c r="D575" s="115" t="str">
        <f t="shared" si="745"/>
        <v>2024-2024</v>
      </c>
      <c r="E575" s="115" t="str">
        <f t="shared" si="745"/>
        <v>2025-2025</v>
      </c>
      <c r="F575" s="115" t="str">
        <f t="shared" si="745"/>
        <v>2026-2026</v>
      </c>
      <c r="G575" s="115" t="str">
        <f t="shared" si="745"/>
        <v>2027-2027</v>
      </c>
      <c r="H575" s="115" t="str">
        <f t="shared" si="745"/>
        <v xml:space="preserve"> </v>
      </c>
    </row>
    <row r="577" spans="1:16" x14ac:dyDescent="0.25">
      <c r="A577" s="352" t="str">
        <f>CONCATENATE("Calculation based on ",I579," month salary")</f>
        <v>Calculation based on 9 month salary</v>
      </c>
      <c r="B577" s="113" t="str">
        <f t="shared" ref="B577:H577" si="746">IF(AND(B578=$Z$5,$I579=9),$Z$3,IF(AND(B578=$AA$5,$I579=9),$AA$3,IF(AND(B578=$AB$5,$I579=9),$AB$3,IF(AND(B578=$AC$5,$I579=9),$AC$3,IF(AND(B578=$AD$5,$I579=9),$AD$3,IF(AND(B578=$Z$4,$I579=12),$Z$3,IF(AND(B578=$AA$4,$I579=12),$AA$3,IF(AND(B578=$AB$4,$I579=12),$AB$3,IF(AND(B578=$AC$4,$I579=12),$AC$3,IF(AND(B578=$AD$4,$I579=12),$AD$3," "))))))))))</f>
        <v xml:space="preserve"> </v>
      </c>
      <c r="C577" s="113" t="str">
        <f t="shared" si="746"/>
        <v>Year 1</v>
      </c>
      <c r="D577" s="113" t="str">
        <f t="shared" si="746"/>
        <v>Year 2</v>
      </c>
      <c r="E577" s="113" t="str">
        <f t="shared" si="746"/>
        <v>Year 3</v>
      </c>
      <c r="F577" s="113" t="str">
        <f t="shared" si="746"/>
        <v>Year 4</v>
      </c>
      <c r="G577" s="113" t="str">
        <f t="shared" si="746"/>
        <v>Year 5</v>
      </c>
      <c r="H577" s="113" t="str">
        <f t="shared" si="746"/>
        <v xml:space="preserve"> </v>
      </c>
    </row>
    <row r="578" spans="1:16" x14ac:dyDescent="0.25">
      <c r="A578" s="353" t="str">
        <f>+B557</f>
        <v>Co-PI</v>
      </c>
      <c r="B578" s="84" t="str">
        <f>+M$2</f>
        <v>FY2023</v>
      </c>
      <c r="C578" s="84" t="str">
        <f t="shared" ref="C578" si="747">+N$2</f>
        <v>FY2024</v>
      </c>
      <c r="D578" s="84" t="str">
        <f t="shared" ref="D578" si="748">+O$2</f>
        <v>FY2025</v>
      </c>
      <c r="E578" s="84" t="str">
        <f t="shared" ref="E578" si="749">+P$2</f>
        <v>FY2026</v>
      </c>
      <c r="F578" s="84" t="str">
        <f t="shared" ref="F578" si="750">+Q$2</f>
        <v>FY2027</v>
      </c>
      <c r="G578" s="84" t="str">
        <f t="shared" ref="G578" si="751">+R$2</f>
        <v>FY2028</v>
      </c>
      <c r="H578" s="84" t="str">
        <f t="shared" ref="H578" si="752">+S$2</f>
        <v>FY2029</v>
      </c>
      <c r="I578" s="56" t="s">
        <v>20</v>
      </c>
      <c r="J578" s="100" t="s">
        <v>77</v>
      </c>
      <c r="K578" s="100"/>
    </row>
    <row r="579" spans="1:16" x14ac:dyDescent="0.25">
      <c r="A579" s="354" t="str">
        <f>CONCATENATE("Base Salary: ",I579," month term")</f>
        <v>Base Salary: 9 month term</v>
      </c>
      <c r="B579" s="93">
        <v>0</v>
      </c>
      <c r="C579" s="118">
        <f>ROUND(+B579*(1+J579),0)</f>
        <v>0</v>
      </c>
      <c r="D579" s="118">
        <f>ROUND(+C579*(1+J579),0)</f>
        <v>0</v>
      </c>
      <c r="E579" s="118">
        <f>ROUND(+D579*(1+J579),0)</f>
        <v>0</v>
      </c>
      <c r="F579" s="118">
        <f>ROUND(+E579*(1+J579),0)</f>
        <v>0</v>
      </c>
      <c r="G579" s="118">
        <f>ROUND(+F579*(1+J579),0)</f>
        <v>0</v>
      </c>
      <c r="H579" s="118">
        <f>ROUND(+G579*(1+J579),0)</f>
        <v>0</v>
      </c>
      <c r="I579" s="74">
        <v>9</v>
      </c>
      <c r="J579" s="81">
        <v>0.03</v>
      </c>
      <c r="K579" s="81"/>
    </row>
    <row r="580" spans="1:16" x14ac:dyDescent="0.25">
      <c r="A580" s="354" t="s">
        <v>49</v>
      </c>
      <c r="B580" s="86">
        <v>0</v>
      </c>
      <c r="C580" s="86">
        <v>0</v>
      </c>
      <c r="D580" s="86">
        <v>0</v>
      </c>
      <c r="E580" s="86">
        <v>0</v>
      </c>
      <c r="F580" s="86">
        <v>0</v>
      </c>
      <c r="G580" s="86">
        <v>0</v>
      </c>
      <c r="H580" s="86">
        <v>0</v>
      </c>
      <c r="I580" s="49"/>
      <c r="J580" s="49"/>
      <c r="K580" s="49"/>
    </row>
    <row r="581" spans="1:16" x14ac:dyDescent="0.25">
      <c r="A581" s="354" t="str">
        <f>CONCATENATE("FTE for ",I579," Months")</f>
        <v>FTE for 9 Months</v>
      </c>
      <c r="B581" s="85">
        <f t="shared" ref="B581:H581" si="753">+B580/$I579</f>
        <v>0</v>
      </c>
      <c r="C581" s="85">
        <f t="shared" si="753"/>
        <v>0</v>
      </c>
      <c r="D581" s="85">
        <f t="shared" si="753"/>
        <v>0</v>
      </c>
      <c r="E581" s="85">
        <f t="shared" si="753"/>
        <v>0</v>
      </c>
      <c r="F581" s="85">
        <f t="shared" si="753"/>
        <v>0</v>
      </c>
      <c r="G581" s="85">
        <f t="shared" si="753"/>
        <v>0</v>
      </c>
      <c r="H581" s="85">
        <f t="shared" si="753"/>
        <v>0</v>
      </c>
      <c r="I581" s="100"/>
      <c r="J581" s="100"/>
      <c r="K581" s="100"/>
    </row>
    <row r="582" spans="1:16" x14ac:dyDescent="0.25">
      <c r="A582" s="355" t="s">
        <v>60</v>
      </c>
      <c r="B582" s="124">
        <f t="shared" ref="B582:H582" si="754">+B580/12</f>
        <v>0</v>
      </c>
      <c r="C582" s="125">
        <f t="shared" si="754"/>
        <v>0</v>
      </c>
      <c r="D582" s="124">
        <f t="shared" si="754"/>
        <v>0</v>
      </c>
      <c r="E582" s="124">
        <f t="shared" si="754"/>
        <v>0</v>
      </c>
      <c r="F582" s="124">
        <f t="shared" si="754"/>
        <v>0</v>
      </c>
      <c r="G582" s="124">
        <f t="shared" si="754"/>
        <v>0</v>
      </c>
      <c r="H582" s="124">
        <f t="shared" si="754"/>
        <v>0</v>
      </c>
      <c r="I582" s="100"/>
      <c r="J582" s="100"/>
      <c r="K582" s="100"/>
    </row>
    <row r="583" spans="1:16" x14ac:dyDescent="0.25">
      <c r="A583" s="354" t="s">
        <v>21</v>
      </c>
      <c r="B583" s="485">
        <f t="shared" ref="B583:H583" si="755">IF($B$3="NIH",IF(IF($I579=9,ROUND(B579*B581,0),IF($I579=12,ROUND((B579*B581*$N$41)+(C579*B581*$N$42),0),0))&lt;IF($I579=9,ROUND($M$13*B581,0),IF($I579=12,ROUND(($M$14*B581*$N$41)+($M$14*B581*$N$42),0),0)),IF($I579=9,ROUND(B579*B581,0),IF($I579=12,ROUND((B579*B581*$N$41)+(C579*B581*$N$42),0),0)),IF($I579=9,ROUND($M$13*B581,0),IF($I579=12,ROUND(($M$14*B581*$N$41)+($M$14*B581*$N$42),0),0))),IF($I579=9,ROUND(B579*B581,0),IF($I579=12,ROUND((B579*B581*$N$41)+(C579*B581*$N$42),0),0)))</f>
        <v>0</v>
      </c>
      <c r="C583" s="485">
        <f t="shared" si="755"/>
        <v>0</v>
      </c>
      <c r="D583" s="485">
        <f t="shared" si="755"/>
        <v>0</v>
      </c>
      <c r="E583" s="485">
        <f t="shared" si="755"/>
        <v>0</v>
      </c>
      <c r="F583" s="485">
        <f t="shared" si="755"/>
        <v>0</v>
      </c>
      <c r="G583" s="485">
        <f t="shared" si="755"/>
        <v>0</v>
      </c>
      <c r="H583" s="485">
        <f t="shared" si="755"/>
        <v>0</v>
      </c>
      <c r="I583" s="100"/>
      <c r="J583" s="100"/>
      <c r="K583" s="100"/>
    </row>
    <row r="584" spans="1:16" x14ac:dyDescent="0.25">
      <c r="A584" s="724" t="str">
        <f>IF($B$3="NIH",IF(I579=9,CONCATENATE("NIH ",I579," Month Salary Cap = ",TEXT($M$13,"$0,000")),IF(I579=12,CONCATENATE("NIH ",I579," Month Salary Cap = ",TEXT($M$14,"$0,000")),"N/A"))," ")</f>
        <v xml:space="preserve"> </v>
      </c>
      <c r="I584" s="100"/>
      <c r="J584" s="100"/>
      <c r="K584" s="100"/>
    </row>
    <row r="585" spans="1:16" x14ac:dyDescent="0.25">
      <c r="A585" s="355" t="s">
        <v>189</v>
      </c>
      <c r="B585" s="86">
        <v>0</v>
      </c>
      <c r="C585" s="86">
        <v>0</v>
      </c>
      <c r="D585" s="86">
        <v>0</v>
      </c>
      <c r="E585" s="86">
        <v>0</v>
      </c>
      <c r="F585" s="86">
        <v>0</v>
      </c>
      <c r="G585" s="86">
        <v>0</v>
      </c>
      <c r="H585" s="86">
        <v>0</v>
      </c>
      <c r="I585" s="100"/>
      <c r="J585" s="100"/>
      <c r="K585" s="100"/>
    </row>
    <row r="586" spans="1:16" x14ac:dyDescent="0.25">
      <c r="A586" s="355" t="str">
        <f>CONCATENATE("FTE for ",I579," Months")</f>
        <v>FTE for 9 Months</v>
      </c>
      <c r="B586" s="85">
        <f t="shared" ref="B586" si="756">+B585/$I579</f>
        <v>0</v>
      </c>
      <c r="C586" s="85">
        <f t="shared" ref="C586" si="757">+C585/$I579</f>
        <v>0</v>
      </c>
      <c r="D586" s="85">
        <f t="shared" ref="D586" si="758">+D585/$I579</f>
        <v>0</v>
      </c>
      <c r="E586" s="85">
        <f t="shared" ref="E586" si="759">+E585/$I579</f>
        <v>0</v>
      </c>
      <c r="F586" s="85">
        <f t="shared" ref="F586" si="760">+F585/$I579</f>
        <v>0</v>
      </c>
      <c r="G586" s="85">
        <f t="shared" ref="G586" si="761">+G585/$I579</f>
        <v>0</v>
      </c>
      <c r="H586" s="85">
        <f t="shared" ref="H586" si="762">+H585/$I579</f>
        <v>0</v>
      </c>
      <c r="I586" s="100"/>
      <c r="J586" s="100"/>
      <c r="K586" s="100"/>
    </row>
    <row r="587" spans="1:16" x14ac:dyDescent="0.25">
      <c r="A587" s="355" t="s">
        <v>60</v>
      </c>
      <c r="B587" s="124">
        <f t="shared" ref="B587:H587" si="763">+B585/12</f>
        <v>0</v>
      </c>
      <c r="C587" s="125">
        <f t="shared" si="763"/>
        <v>0</v>
      </c>
      <c r="D587" s="124">
        <f t="shared" si="763"/>
        <v>0</v>
      </c>
      <c r="E587" s="124">
        <f t="shared" si="763"/>
        <v>0</v>
      </c>
      <c r="F587" s="124">
        <f t="shared" si="763"/>
        <v>0</v>
      </c>
      <c r="G587" s="124">
        <f t="shared" si="763"/>
        <v>0</v>
      </c>
      <c r="H587" s="124">
        <f t="shared" si="763"/>
        <v>0</v>
      </c>
      <c r="I587" s="100"/>
      <c r="J587" s="100"/>
      <c r="K587" s="100"/>
    </row>
    <row r="588" spans="1:16" x14ac:dyDescent="0.25">
      <c r="A588" s="355" t="s">
        <v>204</v>
      </c>
      <c r="B588" s="119">
        <f t="shared" ref="B588:H588" si="764">IF($I579=9,ROUND(B579*B586,0),IF($I579=12,ROUND((B579*B586*$N$41)+(C579*B586*$N$42),0),0))</f>
        <v>0</v>
      </c>
      <c r="C588" s="119">
        <f t="shared" si="764"/>
        <v>0</v>
      </c>
      <c r="D588" s="119">
        <f t="shared" si="764"/>
        <v>0</v>
      </c>
      <c r="E588" s="119">
        <f t="shared" si="764"/>
        <v>0</v>
      </c>
      <c r="F588" s="119">
        <f t="shared" si="764"/>
        <v>0</v>
      </c>
      <c r="G588" s="119">
        <f t="shared" si="764"/>
        <v>0</v>
      </c>
      <c r="H588" s="119">
        <f t="shared" si="764"/>
        <v>0</v>
      </c>
      <c r="I588" s="100"/>
      <c r="J588" s="100"/>
      <c r="K588" s="100"/>
    </row>
    <row r="589" spans="1:16" x14ac:dyDescent="0.25">
      <c r="A589" s="355" t="str">
        <f>IF($B$3="NIH", "Over the Salary Limit", " ")</f>
        <v xml:space="preserve"> </v>
      </c>
      <c r="B589" s="486">
        <f>IF($B$3="NIH",IF(AND($I579=9,B579&lt;$M$13),0,IF(AND($I579=9,B579&gt;=$M$13),ROUND((B579*B581)-($M$13*B581),0),IF(AND($I579=12,B579&lt;$M$14),0,IF(AND($I579=12,B579&gt;=$M$14),ROUND(((B579*B581*$N$41)+(C579*B581*$N$42))-($M$14*B581),0))))),0)</f>
        <v>0</v>
      </c>
      <c r="C589" s="486">
        <f t="shared" ref="C589:H589" si="765">IF($B$3="NIH",IF(AND($I579=9,C579&lt;$M$13),0,IF(AND($I579=9,C579&gt;=$M$13),ROUND((C579*C581)-($M$13*C581),0),IF(AND($I579=12,C579&lt;$M$14),0,IF(AND($I579=12,C579&gt;=$M$14),ROUND(((C579*C581*$N$41)+(D579*C581*$N$42))-($M$14*C581),0))))),0)</f>
        <v>0</v>
      </c>
      <c r="D589" s="486">
        <f t="shared" si="765"/>
        <v>0</v>
      </c>
      <c r="E589" s="486">
        <f t="shared" si="765"/>
        <v>0</v>
      </c>
      <c r="F589" s="486">
        <f t="shared" si="765"/>
        <v>0</v>
      </c>
      <c r="G589" s="486">
        <f t="shared" si="765"/>
        <v>0</v>
      </c>
      <c r="H589" s="486">
        <f t="shared" si="765"/>
        <v>0</v>
      </c>
      <c r="I589" s="100"/>
      <c r="J589" s="100"/>
      <c r="K589" s="100"/>
    </row>
    <row r="590" spans="1:16" x14ac:dyDescent="0.25">
      <c r="A590" s="345"/>
      <c r="I590" s="100"/>
      <c r="J590" s="100"/>
      <c r="K590" s="100"/>
    </row>
    <row r="591" spans="1:16" x14ac:dyDescent="0.25">
      <c r="A591" s="352" t="str">
        <f>CONCATENATE("Calculation based on ",I593," month salary")</f>
        <v>Calculation based on 9 month salary</v>
      </c>
      <c r="B591" s="113" t="str">
        <f t="shared" ref="B591:H591" si="766">IF(AND(B592=$Z$5,$I593=9),$Z$3,IF(AND(B592=$AA$5,$I593=9),$AA$3,IF(AND(B592=$AB$5,$I593=9),$AB$3,IF(AND(B592=$AC$5,$I593=9),$AC$3,IF(AND(B592=$AD$5,$I593=9),$AD$3,IF(AND(B592=$Z$4,$I593=12),$Z$3,IF(AND(B592=$AA$4,$I593=12),$AA$3,IF(AND(B592=$AB$4,$I593=12),$AB$3,IF(AND(B592=$AC$4,$I593=12),$AC$3,IF(AND(B592=$AD$4,$I593=12),$AD$3," "))))))))))</f>
        <v xml:space="preserve"> </v>
      </c>
      <c r="C591" s="113" t="str">
        <f t="shared" si="766"/>
        <v>Year 1</v>
      </c>
      <c r="D591" s="113" t="str">
        <f t="shared" si="766"/>
        <v>Year 2</v>
      </c>
      <c r="E591" s="113" t="str">
        <f t="shared" si="766"/>
        <v>Year 3</v>
      </c>
      <c r="F591" s="113" t="str">
        <f t="shared" si="766"/>
        <v>Year 4</v>
      </c>
      <c r="G591" s="113" t="str">
        <f t="shared" si="766"/>
        <v>Year 5</v>
      </c>
      <c r="H591" s="113" t="str">
        <f t="shared" si="766"/>
        <v xml:space="preserve"> </v>
      </c>
      <c r="I591" s="100"/>
      <c r="J591" s="100"/>
      <c r="K591" s="100"/>
      <c r="P591" s="47"/>
    </row>
    <row r="592" spans="1:16" x14ac:dyDescent="0.25">
      <c r="A592" s="353" t="str">
        <f>+B558</f>
        <v>Co-PI</v>
      </c>
      <c r="B592" s="84" t="str">
        <f>+M$2</f>
        <v>FY2023</v>
      </c>
      <c r="C592" s="84" t="str">
        <f t="shared" ref="C592" si="767">+N$2</f>
        <v>FY2024</v>
      </c>
      <c r="D592" s="84" t="str">
        <f t="shared" ref="D592" si="768">+O$2</f>
        <v>FY2025</v>
      </c>
      <c r="E592" s="84" t="str">
        <f t="shared" ref="E592" si="769">+P$2</f>
        <v>FY2026</v>
      </c>
      <c r="F592" s="84" t="str">
        <f t="shared" ref="F592" si="770">+Q$2</f>
        <v>FY2027</v>
      </c>
      <c r="G592" s="84" t="str">
        <f t="shared" ref="G592" si="771">+R$2</f>
        <v>FY2028</v>
      </c>
      <c r="H592" s="84" t="str">
        <f t="shared" ref="H592" si="772">+S$2</f>
        <v>FY2029</v>
      </c>
      <c r="I592" s="56" t="s">
        <v>20</v>
      </c>
      <c r="J592" s="100" t="s">
        <v>77</v>
      </c>
      <c r="K592" s="100"/>
      <c r="P592" s="47"/>
    </row>
    <row r="593" spans="1:17" x14ac:dyDescent="0.25">
      <c r="A593" s="354" t="str">
        <f>CONCATENATE("Base Salary: ",I593," month term")</f>
        <v>Base Salary: 9 month term</v>
      </c>
      <c r="B593" s="93">
        <v>0</v>
      </c>
      <c r="C593" s="118">
        <f>ROUND(+B593*(1+J593),0)</f>
        <v>0</v>
      </c>
      <c r="D593" s="118">
        <f>ROUND(+C593*(1+J593),0)</f>
        <v>0</v>
      </c>
      <c r="E593" s="118">
        <f>ROUND(+D593*(1+J593),0)</f>
        <v>0</v>
      </c>
      <c r="F593" s="118">
        <f>ROUND(+E593*(1+J593),0)</f>
        <v>0</v>
      </c>
      <c r="G593" s="118">
        <f>ROUND(+F593*(1+J593),0)</f>
        <v>0</v>
      </c>
      <c r="H593" s="118">
        <f>ROUND(+G593*(1+J593),0)</f>
        <v>0</v>
      </c>
      <c r="I593" s="74">
        <v>9</v>
      </c>
      <c r="J593" s="81">
        <v>0.03</v>
      </c>
      <c r="K593" s="81"/>
      <c r="P593" s="47"/>
    </row>
    <row r="594" spans="1:17" x14ac:dyDescent="0.25">
      <c r="A594" s="354" t="s">
        <v>49</v>
      </c>
      <c r="B594" s="86">
        <v>0</v>
      </c>
      <c r="C594" s="86">
        <v>0</v>
      </c>
      <c r="D594" s="86">
        <v>0</v>
      </c>
      <c r="E594" s="86">
        <v>0</v>
      </c>
      <c r="F594" s="86">
        <v>0</v>
      </c>
      <c r="G594" s="86">
        <v>0</v>
      </c>
      <c r="H594" s="86">
        <v>0</v>
      </c>
      <c r="I594" s="49"/>
      <c r="J594" s="49"/>
      <c r="K594" s="49"/>
    </row>
    <row r="595" spans="1:17" x14ac:dyDescent="0.25">
      <c r="A595" s="354" t="str">
        <f>CONCATENATE("FTE for ",I593," Months")</f>
        <v>FTE for 9 Months</v>
      </c>
      <c r="B595" s="85">
        <f t="shared" ref="B595:H595" si="773">+B594/$I593</f>
        <v>0</v>
      </c>
      <c r="C595" s="85">
        <f t="shared" si="773"/>
        <v>0</v>
      </c>
      <c r="D595" s="85">
        <f t="shared" si="773"/>
        <v>0</v>
      </c>
      <c r="E595" s="85">
        <f t="shared" si="773"/>
        <v>0</v>
      </c>
      <c r="F595" s="85">
        <f t="shared" si="773"/>
        <v>0</v>
      </c>
      <c r="G595" s="85">
        <f t="shared" si="773"/>
        <v>0</v>
      </c>
      <c r="H595" s="85">
        <f t="shared" si="773"/>
        <v>0</v>
      </c>
      <c r="I595" s="100"/>
      <c r="J595" s="100"/>
      <c r="K595" s="100"/>
    </row>
    <row r="596" spans="1:17" x14ac:dyDescent="0.25">
      <c r="A596" s="355" t="s">
        <v>60</v>
      </c>
      <c r="B596" s="124">
        <f>+B594/12</f>
        <v>0</v>
      </c>
      <c r="C596" s="125">
        <f>+C594/12</f>
        <v>0</v>
      </c>
      <c r="D596" s="124">
        <f t="shared" ref="D596:H596" si="774">+D594/12</f>
        <v>0</v>
      </c>
      <c r="E596" s="124">
        <f t="shared" si="774"/>
        <v>0</v>
      </c>
      <c r="F596" s="124">
        <f t="shared" si="774"/>
        <v>0</v>
      </c>
      <c r="G596" s="124">
        <f t="shared" si="774"/>
        <v>0</v>
      </c>
      <c r="H596" s="124">
        <f t="shared" si="774"/>
        <v>0</v>
      </c>
      <c r="I596" s="100"/>
      <c r="J596" s="100"/>
      <c r="K596" s="100"/>
    </row>
    <row r="597" spans="1:17" x14ac:dyDescent="0.25">
      <c r="A597" s="354" t="s">
        <v>21</v>
      </c>
      <c r="B597" s="485">
        <f t="shared" ref="B597:H597" si="775">IF($B$3="NIH",IF(IF($I593=9,ROUND(B593*B595,0),IF($I593=12,ROUND((B593*B595*$N$41)+(C593*B595*$N$42),0),0))&lt;IF($I593=9,ROUND($M$13*B595,0),IF($I593=12,ROUND(($M$14*B595*$N$41)+($M$14*B595*$N$42),0),0)),IF($I593=9,ROUND(B593*B595,0),IF($I593=12,ROUND((B593*B595*$N$41)+(C593*B595*$N$42),0),0)),IF($I593=9,ROUND($M$13*B595,0),IF($I593=12,ROUND(($M$14*B595*$N$41)+($M$14*B595*$N$42),0),0))),IF($I593=9,ROUND(B593*B595,0),IF($I593=12,ROUND((B593*B595*$N$41)+(C593*B595*$N$42),0),0)))</f>
        <v>0</v>
      </c>
      <c r="C597" s="485">
        <f t="shared" si="775"/>
        <v>0</v>
      </c>
      <c r="D597" s="485">
        <f t="shared" si="775"/>
        <v>0</v>
      </c>
      <c r="E597" s="485">
        <f t="shared" si="775"/>
        <v>0</v>
      </c>
      <c r="F597" s="485">
        <f t="shared" si="775"/>
        <v>0</v>
      </c>
      <c r="G597" s="485">
        <f t="shared" si="775"/>
        <v>0</v>
      </c>
      <c r="H597" s="485">
        <f t="shared" si="775"/>
        <v>0</v>
      </c>
      <c r="I597" s="100"/>
      <c r="J597" s="100"/>
      <c r="K597" s="100"/>
    </row>
    <row r="598" spans="1:17" x14ac:dyDescent="0.25">
      <c r="A598" s="724" t="str">
        <f>IF($B$3="NIH",IF(I593=9,CONCATENATE("NIH ",I593," Month Salary Cap = ",TEXT($M$13,"$0,000")),IF(I593=12,CONCATENATE("NIH ",I593," Month Salary Cap = ",TEXT($M$14,"$0,000")),"N/A"))," ")</f>
        <v xml:space="preserve"> </v>
      </c>
      <c r="I598" s="100"/>
      <c r="J598" s="100"/>
      <c r="K598" s="100"/>
    </row>
    <row r="599" spans="1:17" x14ac:dyDescent="0.25">
      <c r="A599" s="355" t="s">
        <v>189</v>
      </c>
      <c r="B599" s="86">
        <v>0</v>
      </c>
      <c r="C599" s="86">
        <v>0</v>
      </c>
      <c r="D599" s="86">
        <v>0</v>
      </c>
      <c r="E599" s="86">
        <v>0</v>
      </c>
      <c r="F599" s="86">
        <v>0</v>
      </c>
      <c r="G599" s="86">
        <v>0</v>
      </c>
      <c r="H599" s="86">
        <v>0</v>
      </c>
      <c r="I599" s="100"/>
      <c r="J599" s="100"/>
      <c r="K599" s="100"/>
    </row>
    <row r="600" spans="1:17" x14ac:dyDescent="0.25">
      <c r="A600" s="355" t="str">
        <f>CONCATENATE("FTE for ",I593," Months")</f>
        <v>FTE for 9 Months</v>
      </c>
      <c r="B600" s="85">
        <f t="shared" ref="B600" si="776">+B599/$I593</f>
        <v>0</v>
      </c>
      <c r="C600" s="85">
        <f t="shared" ref="C600" si="777">+C599/$I593</f>
        <v>0</v>
      </c>
      <c r="D600" s="85">
        <f t="shared" ref="D600" si="778">+D599/$I593</f>
        <v>0</v>
      </c>
      <c r="E600" s="85">
        <f t="shared" ref="E600" si="779">+E599/$I593</f>
        <v>0</v>
      </c>
      <c r="F600" s="85">
        <f t="shared" ref="F600" si="780">+F599/$I593</f>
        <v>0</v>
      </c>
      <c r="G600" s="85">
        <f t="shared" ref="G600" si="781">+G599/$I593</f>
        <v>0</v>
      </c>
      <c r="H600" s="85">
        <f t="shared" ref="H600" si="782">+H599/$I593</f>
        <v>0</v>
      </c>
      <c r="I600" s="100"/>
      <c r="J600" s="100"/>
      <c r="K600" s="100"/>
    </row>
    <row r="601" spans="1:17" x14ac:dyDescent="0.25">
      <c r="A601" s="355" t="s">
        <v>60</v>
      </c>
      <c r="B601" s="124">
        <f t="shared" ref="B601:H601" si="783">+B599/12</f>
        <v>0</v>
      </c>
      <c r="C601" s="125">
        <f t="shared" si="783"/>
        <v>0</v>
      </c>
      <c r="D601" s="124">
        <f t="shared" si="783"/>
        <v>0</v>
      </c>
      <c r="E601" s="124">
        <f t="shared" si="783"/>
        <v>0</v>
      </c>
      <c r="F601" s="124">
        <f t="shared" si="783"/>
        <v>0</v>
      </c>
      <c r="G601" s="124">
        <f t="shared" si="783"/>
        <v>0</v>
      </c>
      <c r="H601" s="124">
        <f t="shared" si="783"/>
        <v>0</v>
      </c>
      <c r="I601" s="100"/>
      <c r="J601" s="100"/>
      <c r="K601" s="100"/>
    </row>
    <row r="602" spans="1:17" x14ac:dyDescent="0.25">
      <c r="A602" s="355" t="s">
        <v>204</v>
      </c>
      <c r="B602" s="119">
        <f t="shared" ref="B602:H602" si="784">IF($I593=9,ROUND(B593*B600,0),IF($I593=12,ROUND((B593*B600*$N$41)+(C593*B600*$N$42),0),0))</f>
        <v>0</v>
      </c>
      <c r="C602" s="119">
        <f t="shared" si="784"/>
        <v>0</v>
      </c>
      <c r="D602" s="119">
        <f t="shared" si="784"/>
        <v>0</v>
      </c>
      <c r="E602" s="119">
        <f t="shared" si="784"/>
        <v>0</v>
      </c>
      <c r="F602" s="119">
        <f t="shared" si="784"/>
        <v>0</v>
      </c>
      <c r="G602" s="119">
        <f t="shared" si="784"/>
        <v>0</v>
      </c>
      <c r="H602" s="119">
        <f t="shared" si="784"/>
        <v>0</v>
      </c>
      <c r="I602" s="100"/>
      <c r="J602" s="100"/>
      <c r="K602" s="100"/>
    </row>
    <row r="603" spans="1:17" x14ac:dyDescent="0.25">
      <c r="A603" s="355" t="str">
        <f>IF($B$3="NIH", "Over the Salary Limit", " ")</f>
        <v xml:space="preserve"> </v>
      </c>
      <c r="B603" s="486">
        <f>IF($B$3="NIH",IF(AND($I593=9,B593&lt;$M$13),0,IF(AND($I593=9,B593&gt;=$M$13),ROUND((B593*B595)-($M$13*B595),0),IF(AND($I593=12,B593&lt;$M$14),0,IF(AND($I593=12,B593&gt;=$M$14),ROUND(((B593*B595*$N$41)+(C593*B595*$N$42))-($M$14*B595),0))))),0)</f>
        <v>0</v>
      </c>
      <c r="C603" s="486">
        <f t="shared" ref="C603:H603" si="785">IF($B$3="NIH",IF(AND($I593=9,C593&lt;$M$13),0,IF(AND($I593=9,C593&gt;=$M$13),ROUND((C593*C595)-($M$13*C595),0),IF(AND($I593=12,C593&lt;$M$14),0,IF(AND($I593=12,C593&gt;=$M$14),ROUND(((C593*C595*$N$41)+(D593*C595*$N$42))-($M$14*C595),0))))),0)</f>
        <v>0</v>
      </c>
      <c r="D603" s="486">
        <f t="shared" si="785"/>
        <v>0</v>
      </c>
      <c r="E603" s="486">
        <f t="shared" si="785"/>
        <v>0</v>
      </c>
      <c r="F603" s="486">
        <f t="shared" si="785"/>
        <v>0</v>
      </c>
      <c r="G603" s="486">
        <f t="shared" si="785"/>
        <v>0</v>
      </c>
      <c r="H603" s="486">
        <f t="shared" si="785"/>
        <v>0</v>
      </c>
      <c r="I603" s="100"/>
      <c r="J603" s="100"/>
      <c r="K603" s="100"/>
    </row>
    <row r="604" spans="1:17" x14ac:dyDescent="0.25">
      <c r="A604" s="354"/>
      <c r="B604" s="49"/>
      <c r="C604" s="49"/>
      <c r="D604" s="49"/>
      <c r="E604" s="49"/>
      <c r="F604" s="49"/>
      <c r="G604" s="49"/>
      <c r="H604" s="49"/>
      <c r="I604" s="100"/>
      <c r="J604" s="100"/>
      <c r="K604" s="100"/>
      <c r="L604" s="50"/>
      <c r="M604" s="47"/>
      <c r="N604" s="47"/>
      <c r="O604" s="47"/>
      <c r="P604" s="47"/>
      <c r="Q604" s="47"/>
    </row>
    <row r="605" spans="1:17" x14ac:dyDescent="0.25">
      <c r="A605" s="352" t="str">
        <f>CONCATENATE("Calculation based on ",I607," month salary")</f>
        <v>Calculation based on 9 month salary</v>
      </c>
      <c r="B605" s="113" t="str">
        <f t="shared" ref="B605:H605" si="786">IF(AND(B606=$Z$5,$I607=9),$Z$3,IF(AND(B606=$AA$5,$I607=9),$AA$3,IF(AND(B606=$AB$5,$I607=9),$AB$3,IF(AND(B606=$AC$5,$I607=9),$AC$3,IF(AND(B606=$AD$5,$I607=9),$AD$3,IF(AND(B606=$Z$4,$I607=12),$Z$3,IF(AND(B606=$AA$4,$I607=12),$AA$3,IF(AND(B606=$AB$4,$I607=12),$AB$3,IF(AND(B606=$AC$4,$I607=12),$AC$3,IF(AND(B606=$AD$4,$I607=12),$AD$3," "))))))))))</f>
        <v xml:space="preserve"> </v>
      </c>
      <c r="C605" s="113" t="str">
        <f t="shared" si="786"/>
        <v>Year 1</v>
      </c>
      <c r="D605" s="113" t="str">
        <f t="shared" si="786"/>
        <v>Year 2</v>
      </c>
      <c r="E605" s="113" t="str">
        <f t="shared" si="786"/>
        <v>Year 3</v>
      </c>
      <c r="F605" s="113" t="str">
        <f t="shared" si="786"/>
        <v>Year 4</v>
      </c>
      <c r="G605" s="113" t="str">
        <f t="shared" si="786"/>
        <v>Year 5</v>
      </c>
      <c r="H605" s="113" t="str">
        <f t="shared" si="786"/>
        <v xml:space="preserve"> </v>
      </c>
      <c r="I605" s="100"/>
      <c r="J605" s="100"/>
      <c r="K605" s="100"/>
      <c r="L605" s="50"/>
      <c r="M605" s="47"/>
      <c r="N605" s="47"/>
      <c r="O605" s="47"/>
      <c r="P605" s="47"/>
      <c r="Q605" s="47"/>
    </row>
    <row r="606" spans="1:17" x14ac:dyDescent="0.25">
      <c r="A606" s="353" t="str">
        <f>+B559</f>
        <v>Co-PI</v>
      </c>
      <c r="B606" s="84" t="str">
        <f>+M$2</f>
        <v>FY2023</v>
      </c>
      <c r="C606" s="84" t="str">
        <f t="shared" ref="C606" si="787">+N$2</f>
        <v>FY2024</v>
      </c>
      <c r="D606" s="84" t="str">
        <f t="shared" ref="D606" si="788">+O$2</f>
        <v>FY2025</v>
      </c>
      <c r="E606" s="84" t="str">
        <f t="shared" ref="E606" si="789">+P$2</f>
        <v>FY2026</v>
      </c>
      <c r="F606" s="84" t="str">
        <f t="shared" ref="F606" si="790">+Q$2</f>
        <v>FY2027</v>
      </c>
      <c r="G606" s="84" t="str">
        <f t="shared" ref="G606" si="791">+R$2</f>
        <v>FY2028</v>
      </c>
      <c r="H606" s="84" t="str">
        <f t="shared" ref="H606" si="792">+S$2</f>
        <v>FY2029</v>
      </c>
      <c r="I606" s="56" t="s">
        <v>20</v>
      </c>
      <c r="J606" s="100" t="s">
        <v>77</v>
      </c>
      <c r="K606" s="100"/>
      <c r="L606" s="50"/>
      <c r="M606" s="47"/>
      <c r="N606" s="47"/>
      <c r="O606" s="47"/>
      <c r="P606" s="47"/>
      <c r="Q606" s="47"/>
    </row>
    <row r="607" spans="1:17" x14ac:dyDescent="0.25">
      <c r="A607" s="354" t="str">
        <f>CONCATENATE("Base Salary: ",I607," month term")</f>
        <v>Base Salary: 9 month term</v>
      </c>
      <c r="B607" s="93">
        <v>0</v>
      </c>
      <c r="C607" s="118">
        <f>ROUND(+B607*(1+J607),0)</f>
        <v>0</v>
      </c>
      <c r="D607" s="118">
        <f>ROUND(+C607*(1+J607),0)</f>
        <v>0</v>
      </c>
      <c r="E607" s="118">
        <f>ROUND(+D607*(1+J607),0)</f>
        <v>0</v>
      </c>
      <c r="F607" s="118">
        <f>ROUND(+E607*(1+J607),0)</f>
        <v>0</v>
      </c>
      <c r="G607" s="118">
        <f>ROUND(+F607*(1+J607),0)</f>
        <v>0</v>
      </c>
      <c r="H607" s="118">
        <f>ROUND(+G607*(1+J607),0)</f>
        <v>0</v>
      </c>
      <c r="I607" s="74">
        <v>9</v>
      </c>
      <c r="J607" s="81">
        <v>0.03</v>
      </c>
      <c r="K607" s="100"/>
      <c r="L607" s="50"/>
      <c r="M607" s="47"/>
      <c r="N607" s="47"/>
      <c r="O607" s="47"/>
      <c r="P607" s="47"/>
      <c r="Q607" s="47"/>
    </row>
    <row r="608" spans="1:17" x14ac:dyDescent="0.25">
      <c r="A608" s="354" t="s">
        <v>49</v>
      </c>
      <c r="B608" s="86">
        <v>0</v>
      </c>
      <c r="C608" s="86">
        <v>0</v>
      </c>
      <c r="D608" s="86">
        <v>0</v>
      </c>
      <c r="E608" s="86">
        <v>0</v>
      </c>
      <c r="F608" s="86">
        <v>0</v>
      </c>
      <c r="G608" s="86">
        <v>0</v>
      </c>
      <c r="H608" s="86">
        <v>0</v>
      </c>
      <c r="I608" s="49"/>
      <c r="J608" s="49"/>
      <c r="K608" s="100"/>
      <c r="L608" s="50"/>
      <c r="M608" s="47"/>
      <c r="N608" s="47"/>
      <c r="O608" s="47"/>
      <c r="P608" s="47"/>
      <c r="Q608" s="47"/>
    </row>
    <row r="609" spans="1:20" x14ac:dyDescent="0.25">
      <c r="A609" s="354" t="str">
        <f>CONCATENATE("FTE for ",I607," Months")</f>
        <v>FTE for 9 Months</v>
      </c>
      <c r="B609" s="85">
        <f t="shared" ref="B609:H609" si="793">+B608/$I607</f>
        <v>0</v>
      </c>
      <c r="C609" s="85">
        <f t="shared" si="793"/>
        <v>0</v>
      </c>
      <c r="D609" s="85">
        <f t="shared" si="793"/>
        <v>0</v>
      </c>
      <c r="E609" s="85">
        <f t="shared" si="793"/>
        <v>0</v>
      </c>
      <c r="F609" s="85">
        <f t="shared" si="793"/>
        <v>0</v>
      </c>
      <c r="G609" s="85">
        <f t="shared" si="793"/>
        <v>0</v>
      </c>
      <c r="H609" s="85">
        <f t="shared" si="793"/>
        <v>0</v>
      </c>
      <c r="I609" s="100"/>
      <c r="J609" s="100"/>
      <c r="K609" s="100"/>
      <c r="L609" s="50"/>
      <c r="M609" s="47"/>
      <c r="N609" s="47"/>
      <c r="O609" s="47"/>
      <c r="P609" s="47"/>
      <c r="Q609" s="47"/>
    </row>
    <row r="610" spans="1:20" x14ac:dyDescent="0.25">
      <c r="A610" s="355" t="s">
        <v>60</v>
      </c>
      <c r="B610" s="124">
        <f>+B608/12</f>
        <v>0</v>
      </c>
      <c r="C610" s="125">
        <f>+C608/12</f>
        <v>0</v>
      </c>
      <c r="D610" s="124">
        <f t="shared" ref="D610:H610" si="794">+D608/12</f>
        <v>0</v>
      </c>
      <c r="E610" s="124">
        <f t="shared" si="794"/>
        <v>0</v>
      </c>
      <c r="F610" s="124">
        <f t="shared" si="794"/>
        <v>0</v>
      </c>
      <c r="G610" s="124">
        <f t="shared" si="794"/>
        <v>0</v>
      </c>
      <c r="H610" s="124">
        <f t="shared" si="794"/>
        <v>0</v>
      </c>
      <c r="I610" s="100"/>
      <c r="J610" s="100"/>
      <c r="K610" s="100"/>
      <c r="L610" s="50"/>
      <c r="M610" s="47"/>
      <c r="N610" s="47"/>
      <c r="O610" s="47"/>
      <c r="P610" s="47"/>
      <c r="Q610" s="47"/>
    </row>
    <row r="611" spans="1:20" x14ac:dyDescent="0.25">
      <c r="A611" s="354" t="s">
        <v>21</v>
      </c>
      <c r="B611" s="485">
        <f t="shared" ref="B611:H611" si="795">IF($B$3="NIH",IF(IF($I607=9,ROUND(B607*B609,0),IF($I607=12,ROUND((B607*B609*$N$41)+(C607*B609*$N$42),0),0))&lt;IF($I607=9,ROUND($M$13*B609,0),IF($I607=12,ROUND(($M$14*B609*$N$41)+($M$14*B609*$N$42),0),0)),IF($I607=9,ROUND(B607*B609,0),IF($I607=12,ROUND((B607*B609*$N$41)+(C607*B609*$N$42),0),0)),IF($I607=9,ROUND($M$13*B609,0),IF($I607=12,ROUND(($M$14*B609*$N$41)+($M$14*B609*$N$42),0),0))),IF($I607=9,ROUND(B607*B609,0),IF($I607=12,ROUND((B607*B609*$N$41)+(C607*B609*$N$42),0),0)))</f>
        <v>0</v>
      </c>
      <c r="C611" s="485">
        <f t="shared" si="795"/>
        <v>0</v>
      </c>
      <c r="D611" s="485">
        <f t="shared" si="795"/>
        <v>0</v>
      </c>
      <c r="E611" s="485">
        <f t="shared" si="795"/>
        <v>0</v>
      </c>
      <c r="F611" s="485">
        <f t="shared" si="795"/>
        <v>0</v>
      </c>
      <c r="G611" s="485">
        <f t="shared" si="795"/>
        <v>0</v>
      </c>
      <c r="H611" s="485">
        <f t="shared" si="795"/>
        <v>0</v>
      </c>
      <c r="I611" s="100"/>
      <c r="J611" s="100"/>
      <c r="K611" s="100"/>
    </row>
    <row r="612" spans="1:20" x14ac:dyDescent="0.25">
      <c r="A612" s="724" t="str">
        <f>IF($B$3="NIH",IF(I607=9,CONCATENATE("NIH ",I607," Month Salary Cap = ",TEXT($M$13,"$0,000")),IF(I607=12,CONCATENATE("NIH ",I607," Month Salary Cap = ",TEXT($M$14,"$0,000")),"N/A"))," ")</f>
        <v xml:space="preserve"> </v>
      </c>
      <c r="K612" s="100"/>
    </row>
    <row r="613" spans="1:20" x14ac:dyDescent="0.25">
      <c r="A613" s="355" t="s">
        <v>189</v>
      </c>
      <c r="B613" s="86">
        <v>0</v>
      </c>
      <c r="C613" s="86">
        <v>0</v>
      </c>
      <c r="D613" s="86">
        <v>0</v>
      </c>
      <c r="E613" s="86">
        <v>0</v>
      </c>
      <c r="F613" s="86">
        <v>0</v>
      </c>
      <c r="G613" s="86">
        <v>0</v>
      </c>
      <c r="H613" s="86">
        <v>0</v>
      </c>
      <c r="K613" s="81"/>
    </row>
    <row r="614" spans="1:20" x14ac:dyDescent="0.25">
      <c r="A614" s="355" t="str">
        <f>CONCATENATE("FTE for ",I607," Months")</f>
        <v>FTE for 9 Months</v>
      </c>
      <c r="B614" s="85">
        <f t="shared" ref="B614" si="796">+B613/$I607</f>
        <v>0</v>
      </c>
      <c r="C614" s="85">
        <f t="shared" ref="C614" si="797">+C613/$I607</f>
        <v>0</v>
      </c>
      <c r="D614" s="85">
        <f t="shared" ref="D614" si="798">+D613/$I607</f>
        <v>0</v>
      </c>
      <c r="E614" s="85">
        <f t="shared" ref="E614" si="799">+E613/$I607</f>
        <v>0</v>
      </c>
      <c r="F614" s="85">
        <f t="shared" ref="F614" si="800">+F613/$I607</f>
        <v>0</v>
      </c>
      <c r="G614" s="85">
        <f t="shared" ref="G614" si="801">+G613/$I607</f>
        <v>0</v>
      </c>
      <c r="H614" s="85">
        <f t="shared" ref="H614" si="802">+H613/$I607</f>
        <v>0</v>
      </c>
      <c r="K614" s="357"/>
      <c r="L614" s="66" t="str">
        <f>+L$25</f>
        <v>Graduate Student (Stipend, Tuition, Health Ins) - Contract College Rates:</v>
      </c>
    </row>
    <row r="615" spans="1:20" x14ac:dyDescent="0.25">
      <c r="A615" s="355" t="s">
        <v>60</v>
      </c>
      <c r="B615" s="124">
        <f t="shared" ref="B615:H615" si="803">+B613/12</f>
        <v>0</v>
      </c>
      <c r="C615" s="125">
        <f t="shared" si="803"/>
        <v>0</v>
      </c>
      <c r="D615" s="124">
        <f t="shared" si="803"/>
        <v>0</v>
      </c>
      <c r="E615" s="124">
        <f t="shared" si="803"/>
        <v>0</v>
      </c>
      <c r="F615" s="124">
        <f t="shared" si="803"/>
        <v>0</v>
      </c>
      <c r="G615" s="124">
        <f t="shared" si="803"/>
        <v>0</v>
      </c>
      <c r="H615" s="124">
        <f t="shared" si="803"/>
        <v>0</v>
      </c>
      <c r="K615" s="357"/>
      <c r="L615" s="49"/>
      <c r="M615" s="122" t="str">
        <f>+$M$29</f>
        <v>FY2023</v>
      </c>
      <c r="N615" s="122" t="str">
        <f>+$N$29</f>
        <v>FY2024</v>
      </c>
      <c r="O615" s="122" t="str">
        <f>+$O$29</f>
        <v>FY2025</v>
      </c>
      <c r="P615" s="122" t="str">
        <f>+$P$29</f>
        <v>FY2026</v>
      </c>
      <c r="Q615" s="122" t="str">
        <f>+$Q$29</f>
        <v>FY2027</v>
      </c>
      <c r="R615" s="122" t="str">
        <f>+$R$29</f>
        <v>FY2028</v>
      </c>
      <c r="S615" s="122" t="str">
        <f>+$S$29</f>
        <v>FY2029</v>
      </c>
      <c r="T615" s="123" t="s">
        <v>119</v>
      </c>
    </row>
    <row r="616" spans="1:20" x14ac:dyDescent="0.25">
      <c r="A616" s="355" t="s">
        <v>204</v>
      </c>
      <c r="B616" s="119">
        <f t="shared" ref="B616:H616" si="804">IF($I607=9,ROUND(B607*B614,0),IF($I607=12,ROUND((B607*B614*$N$41)+(C607*B614*$N$42),0),0))</f>
        <v>0</v>
      </c>
      <c r="C616" s="119">
        <f t="shared" si="804"/>
        <v>0</v>
      </c>
      <c r="D616" s="119">
        <f t="shared" si="804"/>
        <v>0</v>
      </c>
      <c r="E616" s="119">
        <f t="shared" si="804"/>
        <v>0</v>
      </c>
      <c r="F616" s="119">
        <f t="shared" si="804"/>
        <v>0</v>
      </c>
      <c r="G616" s="119">
        <f t="shared" si="804"/>
        <v>0</v>
      </c>
      <c r="H616" s="119">
        <f t="shared" si="804"/>
        <v>0</v>
      </c>
      <c r="K616" s="357"/>
      <c r="L616" s="54" t="s">
        <v>35</v>
      </c>
      <c r="M616" s="110">
        <f>+$M$30</f>
        <v>30088</v>
      </c>
      <c r="N616" s="110">
        <f>ROUND(M616*(1+$T616),0)+1</f>
        <v>31593</v>
      </c>
      <c r="O616" s="110">
        <f t="shared" ref="O616:S616" si="805">ROUND(N616*(1+$T616),0)</f>
        <v>33173</v>
      </c>
      <c r="P616" s="110">
        <f t="shared" si="805"/>
        <v>34832</v>
      </c>
      <c r="Q616" s="110">
        <f t="shared" si="805"/>
        <v>36574</v>
      </c>
      <c r="R616" s="110">
        <f t="shared" si="805"/>
        <v>38403</v>
      </c>
      <c r="S616" s="110">
        <f t="shared" si="805"/>
        <v>40323</v>
      </c>
      <c r="T616" s="55">
        <v>0.05</v>
      </c>
    </row>
    <row r="617" spans="1:20" x14ac:dyDescent="0.25">
      <c r="A617" s="355" t="str">
        <f>IF($B$3="NIH", "Over the Salary Limit", " ")</f>
        <v xml:space="preserve"> </v>
      </c>
      <c r="B617" s="486">
        <f>IF($B$3="NIH",IF(AND($I607=9,B607&lt;$M$13),0,IF(AND($I607=9,B607&gt;=$M$13),ROUND((B607*B609)-($M$13*B609),0),IF(AND($I607=12,B607&lt;$M$14),0,IF(AND($I607=12,B607&gt;=$M$14),ROUND(((B607*B609*$N$41)+(C607*B609*$N$42))-($M$14*B609),0))))),0)</f>
        <v>0</v>
      </c>
      <c r="C617" s="486">
        <f t="shared" ref="C617:H617" si="806">IF($B$3="NIH",IF(AND($I607=9,C607&lt;$M$13),0,IF(AND($I607=9,C607&gt;=$M$13),ROUND((C607*C609)-($M$13*C609),0),IF(AND($I607=12,C607&lt;$M$14),0,IF(AND($I607=12,C607&gt;=$M$14),ROUND(((C607*C609*$N$41)+(D607*C609*$N$42))-($M$14*C609),0))))),0)</f>
        <v>0</v>
      </c>
      <c r="D617" s="486">
        <f t="shared" si="806"/>
        <v>0</v>
      </c>
      <c r="E617" s="486">
        <f t="shared" si="806"/>
        <v>0</v>
      </c>
      <c r="F617" s="486">
        <f t="shared" si="806"/>
        <v>0</v>
      </c>
      <c r="G617" s="486">
        <f t="shared" si="806"/>
        <v>0</v>
      </c>
      <c r="H617" s="486">
        <f t="shared" si="806"/>
        <v>0</v>
      </c>
      <c r="K617" s="357"/>
      <c r="L617" s="54" t="s">
        <v>23</v>
      </c>
      <c r="M617" s="110">
        <f>+$M$31</f>
        <v>10029</v>
      </c>
      <c r="N617" s="110">
        <f t="shared" ref="N617:S617" si="807">ROUND(M617*(1+$T617),0)</f>
        <v>10530</v>
      </c>
      <c r="O617" s="110">
        <f t="shared" si="807"/>
        <v>11057</v>
      </c>
      <c r="P617" s="110">
        <f t="shared" si="807"/>
        <v>11610</v>
      </c>
      <c r="Q617" s="110">
        <f t="shared" si="807"/>
        <v>12191</v>
      </c>
      <c r="R617" s="110">
        <f t="shared" si="807"/>
        <v>12801</v>
      </c>
      <c r="S617" s="110">
        <f t="shared" si="807"/>
        <v>13441</v>
      </c>
      <c r="T617" s="97">
        <v>0.05</v>
      </c>
    </row>
    <row r="618" spans="1:20" x14ac:dyDescent="0.25">
      <c r="A618" s="354"/>
      <c r="B618" s="89"/>
      <c r="C618" s="89"/>
      <c r="D618" s="89"/>
      <c r="E618" s="89"/>
      <c r="F618" s="89"/>
      <c r="G618" s="89"/>
      <c r="H618" s="89"/>
      <c r="I618" s="100"/>
      <c r="J618" s="100"/>
      <c r="K618" s="357"/>
      <c r="L618" s="54" t="s">
        <v>30</v>
      </c>
      <c r="M618" s="110">
        <f>+$M$32</f>
        <v>40117</v>
      </c>
      <c r="N618" s="110">
        <f>+N616+N617</f>
        <v>42123</v>
      </c>
      <c r="O618" s="110">
        <f t="shared" ref="O618" si="808">+O616+O617</f>
        <v>44230</v>
      </c>
      <c r="P618" s="110">
        <f t="shared" ref="P618" si="809">+P616+P617</f>
        <v>46442</v>
      </c>
      <c r="Q618" s="110">
        <f t="shared" ref="Q618" si="810">+Q616+Q617</f>
        <v>48765</v>
      </c>
      <c r="R618" s="110">
        <f t="shared" ref="R618" si="811">+R616+R617</f>
        <v>51204</v>
      </c>
      <c r="S618" s="110">
        <f t="shared" ref="S618" si="812">+S616+S617</f>
        <v>53764</v>
      </c>
      <c r="T618" s="55"/>
    </row>
    <row r="619" spans="1:20" x14ac:dyDescent="0.25">
      <c r="A619" s="354"/>
      <c r="B619" s="113" t="str">
        <f t="shared" ref="B619:H619" si="813">IF(B620=$Z$4,$Z$3,IF(B620=$AA$4,$AA$3,IF(B620=$AB$4,$AB$3,IF(B620=$AC$4,$AC$3,IF(B620=$AD$4,$AD$3," ")))))</f>
        <v>Year 1</v>
      </c>
      <c r="C619" s="113" t="str">
        <f t="shared" si="813"/>
        <v>Year 2</v>
      </c>
      <c r="D619" s="113" t="str">
        <f t="shared" si="813"/>
        <v>Year 3</v>
      </c>
      <c r="E619" s="113" t="str">
        <f t="shared" si="813"/>
        <v>Year 4</v>
      </c>
      <c r="F619" s="113" t="str">
        <f t="shared" si="813"/>
        <v>Year 5</v>
      </c>
      <c r="G619" s="113" t="str">
        <f t="shared" si="813"/>
        <v xml:space="preserve"> </v>
      </c>
      <c r="H619" s="113" t="str">
        <f t="shared" si="813"/>
        <v xml:space="preserve"> </v>
      </c>
      <c r="I619" s="100"/>
      <c r="J619" s="100"/>
      <c r="K619" s="357"/>
      <c r="L619" s="54" t="s">
        <v>8</v>
      </c>
      <c r="M619" s="110">
        <f>IF(B560="Contract College",$M$33,$M$34)</f>
        <v>10400</v>
      </c>
      <c r="N619" s="110">
        <f>ROUND(M619*(1+$T619),0)</f>
        <v>10400</v>
      </c>
      <c r="O619" s="110">
        <f t="shared" ref="O619" si="814">ROUND(N619*(1+$T619),0)</f>
        <v>10400</v>
      </c>
      <c r="P619" s="110">
        <f t="shared" ref="P619" si="815">ROUND(O619*(1+$T619),0)</f>
        <v>10400</v>
      </c>
      <c r="Q619" s="110">
        <f t="shared" ref="Q619" si="816">ROUND(P619*(1+$T619),0)</f>
        <v>10400</v>
      </c>
      <c r="R619" s="110">
        <f t="shared" ref="R619" si="817">ROUND(Q619*(1+$T619),0)</f>
        <v>10400</v>
      </c>
      <c r="S619" s="110">
        <f t="shared" ref="S619" si="818">ROUND(R619*(1+$T619),0)</f>
        <v>10400</v>
      </c>
      <c r="T619" s="55">
        <v>0</v>
      </c>
    </row>
    <row r="620" spans="1:20" x14ac:dyDescent="0.25">
      <c r="A620" s="353" t="s">
        <v>120</v>
      </c>
      <c r="B620" s="84" t="str">
        <f>+M$2</f>
        <v>FY2023</v>
      </c>
      <c r="C620" s="84" t="str">
        <f t="shared" ref="C620" si="819">+N$2</f>
        <v>FY2024</v>
      </c>
      <c r="D620" s="84" t="str">
        <f t="shared" ref="D620" si="820">+O$2</f>
        <v>FY2025</v>
      </c>
      <c r="E620" s="84" t="str">
        <f t="shared" ref="E620" si="821">+P$2</f>
        <v>FY2026</v>
      </c>
      <c r="F620" s="84" t="str">
        <f t="shared" ref="F620" si="822">+Q$2</f>
        <v>FY2027</v>
      </c>
      <c r="G620" s="84" t="str">
        <f t="shared" ref="G620" si="823">+R$2</f>
        <v>FY2028</v>
      </c>
      <c r="H620" s="84" t="str">
        <f t="shared" ref="H620" si="824">+S$2</f>
        <v>FY2029</v>
      </c>
      <c r="I620" s="56" t="s">
        <v>20</v>
      </c>
      <c r="J620" s="100" t="s">
        <v>77</v>
      </c>
      <c r="K620" s="357"/>
      <c r="L620" s="54" t="s">
        <v>24</v>
      </c>
      <c r="M620" s="110">
        <f>+$M$35</f>
        <v>4046</v>
      </c>
      <c r="N620" s="110">
        <f>IF(ROUND(M620*(1+$T620),0)=$N$35,ROUND(M620*(1+$T620),0),$N$35)</f>
        <v>4451</v>
      </c>
      <c r="O620" s="110">
        <f t="shared" ref="O620:S620" si="825">ROUND(N620*(1+$T620),0)</f>
        <v>4896</v>
      </c>
      <c r="P620" s="110">
        <f t="shared" si="825"/>
        <v>5386</v>
      </c>
      <c r="Q620" s="110">
        <f t="shared" si="825"/>
        <v>5925</v>
      </c>
      <c r="R620" s="110">
        <f t="shared" si="825"/>
        <v>6518</v>
      </c>
      <c r="S620" s="110">
        <f t="shared" si="825"/>
        <v>7170</v>
      </c>
      <c r="T620" s="55">
        <v>0.1</v>
      </c>
    </row>
    <row r="621" spans="1:20" x14ac:dyDescent="0.25">
      <c r="A621" s="354" t="str">
        <f>CONCATENATE("Base Salary: ",I621," month term")</f>
        <v>Base Salary: 12 month term</v>
      </c>
      <c r="B621" s="93">
        <f>+$M$15</f>
        <v>54840</v>
      </c>
      <c r="C621" s="118">
        <f>ROUND(+B621*(1+J621),0)</f>
        <v>56759</v>
      </c>
      <c r="D621" s="118">
        <f>ROUND(+C621*(1+J621),0)</f>
        <v>58746</v>
      </c>
      <c r="E621" s="118">
        <f>ROUND(+D621*(1+J621),0)</f>
        <v>60802</v>
      </c>
      <c r="F621" s="118">
        <f>ROUND(+E621*(1+J621),0)</f>
        <v>62930</v>
      </c>
      <c r="G621" s="118">
        <f>ROUND(+F621*(1+J621),0)</f>
        <v>65133</v>
      </c>
      <c r="H621" s="118">
        <f>ROUND(+G621*(1+J621),0)</f>
        <v>67413</v>
      </c>
      <c r="I621" s="126">
        <v>12</v>
      </c>
      <c r="J621" s="97">
        <v>3.5000000000000003E-2</v>
      </c>
      <c r="K621" s="357"/>
      <c r="S621" s="47"/>
    </row>
    <row r="622" spans="1:20" x14ac:dyDescent="0.25">
      <c r="A622" s="354" t="s">
        <v>49</v>
      </c>
      <c r="B622" s="86">
        <v>0</v>
      </c>
      <c r="C622" s="86">
        <v>0</v>
      </c>
      <c r="D622" s="86">
        <v>0</v>
      </c>
      <c r="E622" s="86">
        <v>0</v>
      </c>
      <c r="F622" s="86">
        <v>0</v>
      </c>
      <c r="G622" s="86">
        <v>0</v>
      </c>
      <c r="H622" s="86">
        <v>0</v>
      </c>
      <c r="I622" s="49"/>
      <c r="J622" s="49"/>
      <c r="K622" s="357"/>
      <c r="L622" s="129"/>
      <c r="S622" s="47"/>
    </row>
    <row r="623" spans="1:20" x14ac:dyDescent="0.25">
      <c r="A623" s="354" t="str">
        <f>CONCATENATE("FTE for ",I621," Months")</f>
        <v>FTE for 12 Months</v>
      </c>
      <c r="B623" s="85">
        <f t="shared" ref="B623:H623" si="826">+B622/$I621</f>
        <v>0</v>
      </c>
      <c r="C623" s="85">
        <f t="shared" si="826"/>
        <v>0</v>
      </c>
      <c r="D623" s="85">
        <f t="shared" si="826"/>
        <v>0</v>
      </c>
      <c r="E623" s="85">
        <f t="shared" si="826"/>
        <v>0</v>
      </c>
      <c r="F623" s="85">
        <f t="shared" si="826"/>
        <v>0</v>
      </c>
      <c r="G623" s="85">
        <f t="shared" si="826"/>
        <v>0</v>
      </c>
      <c r="H623" s="85">
        <f t="shared" si="826"/>
        <v>0</v>
      </c>
      <c r="I623" s="100"/>
      <c r="J623" s="100"/>
      <c r="K623" s="357"/>
      <c r="M623" s="82" t="str">
        <f t="shared" ref="M623:Q626" si="827">+M93</f>
        <v>Spring 2023</v>
      </c>
      <c r="N623" s="82" t="str">
        <f t="shared" si="827"/>
        <v>Spring 2024</v>
      </c>
      <c r="O623" s="82" t="str">
        <f t="shared" si="827"/>
        <v>Spring 2025</v>
      </c>
      <c r="P623" s="82" t="str">
        <f t="shared" si="827"/>
        <v>Spring 2026</v>
      </c>
      <c r="Q623" s="82" t="str">
        <f t="shared" si="827"/>
        <v>Spring 2027</v>
      </c>
      <c r="S623" s="47"/>
    </row>
    <row r="624" spans="1:20" x14ac:dyDescent="0.25">
      <c r="A624" s="354" t="s">
        <v>21</v>
      </c>
      <c r="B624" s="119">
        <f t="shared" ref="B624:H624" si="828">ROUND((B621*B623*$N$41)+(C621*B623*$N$42),0)</f>
        <v>0</v>
      </c>
      <c r="C624" s="119">
        <f t="shared" si="828"/>
        <v>0</v>
      </c>
      <c r="D624" s="119">
        <f t="shared" si="828"/>
        <v>0</v>
      </c>
      <c r="E624" s="119">
        <f t="shared" si="828"/>
        <v>0</v>
      </c>
      <c r="F624" s="119">
        <f t="shared" si="828"/>
        <v>0</v>
      </c>
      <c r="G624" s="119">
        <f t="shared" si="828"/>
        <v>0</v>
      </c>
      <c r="H624" s="119">
        <f t="shared" si="828"/>
        <v>0</v>
      </c>
      <c r="I624" s="100"/>
      <c r="J624" s="100"/>
      <c r="K624" s="357"/>
      <c r="M624" s="82" t="str">
        <f t="shared" si="827"/>
        <v>Summer 2023</v>
      </c>
      <c r="N624" s="82" t="str">
        <f t="shared" si="827"/>
        <v>Summer 2024</v>
      </c>
      <c r="O624" s="82" t="str">
        <f t="shared" si="827"/>
        <v>Summer 2025</v>
      </c>
      <c r="P624" s="82" t="str">
        <f t="shared" si="827"/>
        <v>Summer 2026</v>
      </c>
      <c r="Q624" s="82" t="str">
        <f t="shared" si="827"/>
        <v>Summer 2027</v>
      </c>
      <c r="S624" s="47"/>
    </row>
    <row r="625" spans="1:19" x14ac:dyDescent="0.25">
      <c r="A625" s="354"/>
      <c r="B625" s="49"/>
      <c r="C625" s="49"/>
      <c r="D625" s="49"/>
      <c r="E625" s="49"/>
      <c r="F625" s="49"/>
      <c r="G625" s="49"/>
      <c r="H625" s="49"/>
      <c r="I625" s="50"/>
      <c r="J625" s="50"/>
      <c r="K625" s="358"/>
      <c r="M625" s="82" t="str">
        <f t="shared" si="827"/>
        <v>Fall 2023</v>
      </c>
      <c r="N625" s="82" t="str">
        <f t="shared" si="827"/>
        <v>Fall 2024</v>
      </c>
      <c r="O625" s="82" t="str">
        <f t="shared" si="827"/>
        <v>Fall 2025</v>
      </c>
      <c r="P625" s="82" t="str">
        <f t="shared" si="827"/>
        <v>Fall 2026</v>
      </c>
      <c r="Q625" s="82" t="str">
        <f t="shared" si="827"/>
        <v>Fall 2027</v>
      </c>
      <c r="S625" s="47"/>
    </row>
    <row r="626" spans="1:19" x14ac:dyDescent="0.25">
      <c r="A626" s="354"/>
      <c r="B626" s="113" t="str">
        <f t="shared" ref="B626:H626" si="829">IF(B627=$Z$4,$Z$3,IF(B627=$AA$4,$AA$3,IF(B627=$AB$4,$AB$3,IF(B627=$AC$4,$AC$3,IF(B627=$AD$4,$AD$3," ")))))</f>
        <v>Year 1</v>
      </c>
      <c r="C626" s="113" t="str">
        <f t="shared" si="829"/>
        <v>Year 2</v>
      </c>
      <c r="D626" s="113" t="str">
        <f t="shared" si="829"/>
        <v>Year 3</v>
      </c>
      <c r="E626" s="113" t="str">
        <f t="shared" si="829"/>
        <v>Year 4</v>
      </c>
      <c r="F626" s="113" t="str">
        <f t="shared" si="829"/>
        <v>Year 5</v>
      </c>
      <c r="G626" s="113" t="str">
        <f t="shared" si="829"/>
        <v xml:space="preserve"> </v>
      </c>
      <c r="H626" s="113" t="str">
        <f t="shared" si="829"/>
        <v xml:space="preserve"> </v>
      </c>
      <c r="I626" s="50"/>
      <c r="J626" s="50"/>
      <c r="K626" s="358"/>
      <c r="M626" s="58" t="str">
        <f t="shared" si="827"/>
        <v>FY2023&amp;24</v>
      </c>
      <c r="N626" s="58" t="str">
        <f t="shared" si="827"/>
        <v>FY2024&amp;25</v>
      </c>
      <c r="O626" s="58" t="str">
        <f t="shared" si="827"/>
        <v>FY2025&amp;26</v>
      </c>
      <c r="P626" s="58" t="str">
        <f t="shared" si="827"/>
        <v>FY2026&amp;27</v>
      </c>
      <c r="Q626" s="58" t="str">
        <f t="shared" si="827"/>
        <v>FY2027&amp;28</v>
      </c>
      <c r="S626" s="47"/>
    </row>
    <row r="627" spans="1:19" ht="15.75" thickBot="1" x14ac:dyDescent="0.3">
      <c r="A627" s="353" t="s">
        <v>90</v>
      </c>
      <c r="B627" s="84" t="str">
        <f>+M$2</f>
        <v>FY2023</v>
      </c>
      <c r="C627" s="84" t="str">
        <f t="shared" ref="C627" si="830">+N$2</f>
        <v>FY2024</v>
      </c>
      <c r="D627" s="84" t="str">
        <f t="shared" ref="D627" si="831">+O$2</f>
        <v>FY2025</v>
      </c>
      <c r="E627" s="84" t="str">
        <f t="shared" ref="E627" si="832">+P$2</f>
        <v>FY2026</v>
      </c>
      <c r="F627" s="84" t="str">
        <f t="shared" ref="F627" si="833">+Q$2</f>
        <v>FY2027</v>
      </c>
      <c r="G627" s="84" t="str">
        <f t="shared" ref="G627" si="834">+R$2</f>
        <v>FY2028</v>
      </c>
      <c r="H627" s="84" t="str">
        <f t="shared" ref="H627" si="835">+S$2</f>
        <v>FY2029</v>
      </c>
      <c r="I627" s="56" t="s">
        <v>20</v>
      </c>
      <c r="J627" s="100" t="s">
        <v>77</v>
      </c>
      <c r="K627" s="357"/>
      <c r="L627" s="59" t="s">
        <v>86</v>
      </c>
      <c r="M627" s="75" t="s">
        <v>1</v>
      </c>
      <c r="N627" s="76" t="s">
        <v>2</v>
      </c>
      <c r="O627" s="76" t="s">
        <v>3</v>
      </c>
      <c r="P627" s="76" t="s">
        <v>44</v>
      </c>
      <c r="Q627" s="76" t="s">
        <v>50</v>
      </c>
      <c r="S627" s="47"/>
    </row>
    <row r="628" spans="1:19" x14ac:dyDescent="0.25">
      <c r="A628" s="354" t="str">
        <f>CONCATENATE("Base Salary: ",I628," month term")</f>
        <v>Base Salary: 12 month term</v>
      </c>
      <c r="B628" s="93">
        <f>+$M$16</f>
        <v>51480</v>
      </c>
      <c r="C628" s="118">
        <f>ROUND(+B628*(1+J628),0)</f>
        <v>53024</v>
      </c>
      <c r="D628" s="118">
        <f>ROUND(+C628*(1+J628),0)</f>
        <v>54615</v>
      </c>
      <c r="E628" s="118">
        <f>ROUND(+D628*(1+J628),0)</f>
        <v>56253</v>
      </c>
      <c r="F628" s="118">
        <f>ROUND(+E628*(1+J628),0)</f>
        <v>57941</v>
      </c>
      <c r="G628" s="118">
        <f>ROUND(+F628*(1+J628),0)</f>
        <v>59679</v>
      </c>
      <c r="H628" s="118">
        <f>ROUND(+G628*(1+J628),0)</f>
        <v>61469</v>
      </c>
      <c r="I628" s="126">
        <v>12</v>
      </c>
      <c r="J628" s="81">
        <v>0.03</v>
      </c>
      <c r="K628" s="359"/>
      <c r="L628" s="92" t="str">
        <f>CONCATENATE("Number of Students ",IF(AND($Y$2&gt;=7,$Y$2&lt;=9),CONCATENATE("(Fall)"),IF(AND($Y$2&gt;=7,$Y$2&lt;=10),CONCATENATE("(Spring)"),IF(OR($Y$2&gt;=10,$Y$2&lt;=2),CONCATENATE("(Spring)"),IF(AND($Y$2&gt;=7,$Y$2&lt;=10),CONCATENATE("(Summer)"),IF(OR($Y$2&gt;=10,$Y$2&lt;=2),CONCATENATE("(Summer)"),IF(AND($Y$2&gt;=3,$Y$2&lt;=6),CONCATENATE("(Summer)"),"N/A")))))))</f>
        <v>Number of Students (Spring)</v>
      </c>
      <c r="M628" s="91">
        <f t="shared" ref="M628:M630" si="836">+B634</f>
        <v>0</v>
      </c>
      <c r="N628" s="91">
        <f t="shared" ref="N628:N630" si="837">+C634</f>
        <v>0</v>
      </c>
      <c r="O628" s="91">
        <f t="shared" ref="O628:O630" si="838">+D634</f>
        <v>0</v>
      </c>
      <c r="P628" s="91">
        <f t="shared" ref="P628:P630" si="839">+E634</f>
        <v>0</v>
      </c>
      <c r="Q628" s="91">
        <f t="shared" ref="Q628:Q630" si="840">+F634</f>
        <v>0</v>
      </c>
      <c r="S628" s="47"/>
    </row>
    <row r="629" spans="1:19" x14ac:dyDescent="0.25">
      <c r="A629" s="354" t="s">
        <v>49</v>
      </c>
      <c r="B629" s="86">
        <v>0</v>
      </c>
      <c r="C629" s="86">
        <v>0</v>
      </c>
      <c r="D629" s="86">
        <v>0</v>
      </c>
      <c r="E629" s="86">
        <v>0</v>
      </c>
      <c r="F629" s="86">
        <v>0</v>
      </c>
      <c r="G629" s="86">
        <v>0</v>
      </c>
      <c r="H629" s="86">
        <v>0</v>
      </c>
      <c r="I629" s="49"/>
      <c r="J629" s="49"/>
      <c r="K629" s="354"/>
      <c r="L629" s="128" t="str">
        <f>CONCATENATE("Number of Students ",IF(AND($Y$2&gt;=7,$Y$2&lt;=9),CONCATENATE("(Spring)"),IF(AND($Y$2&gt;=7,$Y$2&lt;=10),CONCATENATE("(Summer)"),IF(OR($Y$2&gt;=10,$Y$2&lt;=2),CONCATENATE("(Summer)"),IF(AND($Y$2&gt;=7,$Y$2&lt;=10),CONCATENATE("(Fall)"),IF(OR($Y$2&gt;=10,$Y$2&lt;=2),CONCATENATE("(Fall) "),IF(AND($Y$2&gt;=3,$Y$2&lt;=6),CONCATENATE("(Fall)"),"N/A")))))))</f>
        <v>Number of Students (Summer)</v>
      </c>
      <c r="M629" s="91">
        <f t="shared" si="836"/>
        <v>0</v>
      </c>
      <c r="N629" s="91">
        <f t="shared" si="837"/>
        <v>0</v>
      </c>
      <c r="O629" s="91">
        <f t="shared" si="838"/>
        <v>0</v>
      </c>
      <c r="P629" s="91">
        <f t="shared" si="839"/>
        <v>0</v>
      </c>
      <c r="Q629" s="91">
        <f t="shared" si="840"/>
        <v>0</v>
      </c>
      <c r="S629" s="47"/>
    </row>
    <row r="630" spans="1:19" x14ac:dyDescent="0.25">
      <c r="A630" s="354" t="str">
        <f>CONCATENATE("FTE for ",I628," Months")</f>
        <v>FTE for 12 Months</v>
      </c>
      <c r="B630" s="85">
        <f t="shared" ref="B630:H630" si="841">+B629/$I628</f>
        <v>0</v>
      </c>
      <c r="C630" s="85">
        <f t="shared" si="841"/>
        <v>0</v>
      </c>
      <c r="D630" s="85">
        <f t="shared" si="841"/>
        <v>0</v>
      </c>
      <c r="E630" s="85">
        <f t="shared" si="841"/>
        <v>0</v>
      </c>
      <c r="F630" s="85">
        <f t="shared" si="841"/>
        <v>0</v>
      </c>
      <c r="G630" s="85">
        <f t="shared" si="841"/>
        <v>0</v>
      </c>
      <c r="H630" s="85">
        <f t="shared" si="841"/>
        <v>0</v>
      </c>
      <c r="I630" s="100"/>
      <c r="J630" s="100"/>
      <c r="K630" s="357"/>
      <c r="L630" s="128" t="str">
        <f>CONCATENATE("Number of Students ",IF(AND($Y$2&gt;=7,$Y$2&lt;=9),CONCATENATE("(Summer)"),IF(AND($Y$2&gt;=7,$Y$2&lt;=10),CONCATENATE("(Fall)"),IF(OR($Y$2&gt;=10,$Y$2&lt;=2),CONCATENATE("(Fall)"),IF(AND($Y$2&gt;=7,$Y$2&lt;=10),CONCATENATE("(Spring)"),IF(OR($Y$2&gt;=10,$Y$2&lt;=2),CONCATENATE("(Spring)"),IF(AND($Y$2&gt;=3,$Y$2&lt;=6),CONCATENATE("(Spring)"),"N/A")))))))</f>
        <v>Number of Students (Fall)</v>
      </c>
      <c r="M630" s="91">
        <f t="shared" si="836"/>
        <v>0</v>
      </c>
      <c r="N630" s="91">
        <f t="shared" si="837"/>
        <v>0</v>
      </c>
      <c r="O630" s="91">
        <f t="shared" si="838"/>
        <v>0</v>
      </c>
      <c r="P630" s="91">
        <f t="shared" si="839"/>
        <v>0</v>
      </c>
      <c r="Q630" s="91">
        <f t="shared" si="840"/>
        <v>0</v>
      </c>
      <c r="S630" s="47"/>
    </row>
    <row r="631" spans="1:19" x14ac:dyDescent="0.25">
      <c r="A631" s="354" t="s">
        <v>21</v>
      </c>
      <c r="B631" s="119">
        <f t="shared" ref="B631:H631" si="842">ROUND((B628*B630*$N$41)+(C628*B630*$N$42),0)</f>
        <v>0</v>
      </c>
      <c r="C631" s="119">
        <f t="shared" si="842"/>
        <v>0</v>
      </c>
      <c r="D631" s="119">
        <f t="shared" si="842"/>
        <v>0</v>
      </c>
      <c r="E631" s="119">
        <f t="shared" si="842"/>
        <v>0</v>
      </c>
      <c r="F631" s="119">
        <f t="shared" si="842"/>
        <v>0</v>
      </c>
      <c r="G631" s="119">
        <f t="shared" si="842"/>
        <v>0</v>
      </c>
      <c r="H631" s="119">
        <f t="shared" si="842"/>
        <v>0</v>
      </c>
      <c r="I631" s="100"/>
      <c r="J631" s="100"/>
      <c r="K631" s="357"/>
      <c r="L631" s="49"/>
      <c r="M631" s="57"/>
      <c r="N631" s="57"/>
      <c r="O631" s="57"/>
      <c r="P631" s="57"/>
      <c r="Q631" s="57"/>
      <c r="S631" s="47"/>
    </row>
    <row r="632" spans="1:19" x14ac:dyDescent="0.25">
      <c r="A632" s="354"/>
      <c r="B632" s="47"/>
      <c r="C632" s="47"/>
      <c r="D632" s="47"/>
      <c r="E632" s="47"/>
      <c r="F632" s="47"/>
      <c r="G632" s="47"/>
      <c r="H632" s="47"/>
      <c r="I632" s="100"/>
      <c r="J632" s="100"/>
      <c r="K632" s="357"/>
      <c r="L632" s="49"/>
      <c r="M632" s="57"/>
      <c r="N632" s="57"/>
      <c r="O632" s="57"/>
      <c r="P632" s="57"/>
      <c r="Q632" s="57"/>
      <c r="S632" s="47"/>
    </row>
    <row r="633" spans="1:19" ht="15.75" thickBot="1" x14ac:dyDescent="0.3">
      <c r="A633" s="353" t="s">
        <v>85</v>
      </c>
      <c r="B633" s="48" t="s">
        <v>1</v>
      </c>
      <c r="C633" s="48" t="s">
        <v>2</v>
      </c>
      <c r="D633" s="48" t="s">
        <v>3</v>
      </c>
      <c r="E633" s="48" t="s">
        <v>44</v>
      </c>
      <c r="F633" s="48" t="s">
        <v>50</v>
      </c>
      <c r="G633" s="47"/>
      <c r="H633" s="47"/>
      <c r="I633" s="100"/>
      <c r="J633" s="100"/>
      <c r="K633" s="357"/>
      <c r="L633" s="59" t="s">
        <v>123</v>
      </c>
      <c r="M633" s="75" t="s">
        <v>1</v>
      </c>
      <c r="N633" s="76" t="s">
        <v>2</v>
      </c>
      <c r="O633" s="76" t="s">
        <v>3</v>
      </c>
      <c r="P633" s="76" t="s">
        <v>44</v>
      </c>
      <c r="Q633" s="76" t="s">
        <v>50</v>
      </c>
      <c r="S633" s="47"/>
    </row>
    <row r="634" spans="1:19" x14ac:dyDescent="0.25">
      <c r="A634" s="354" t="str">
        <f>+L628</f>
        <v>Number of Students (Spring)</v>
      </c>
      <c r="B634" s="127">
        <v>0</v>
      </c>
      <c r="C634" s="127">
        <v>0</v>
      </c>
      <c r="D634" s="127">
        <v>0</v>
      </c>
      <c r="E634" s="127">
        <v>0</v>
      </c>
      <c r="F634" s="127">
        <v>0</v>
      </c>
      <c r="G634" s="47"/>
      <c r="H634" s="47"/>
      <c r="I634" s="100"/>
      <c r="J634" s="100"/>
      <c r="K634" s="357"/>
      <c r="L634" s="60" t="s">
        <v>22</v>
      </c>
      <c r="M634" s="61">
        <f>SUM(M644:M646)</f>
        <v>0</v>
      </c>
      <c r="N634" s="61">
        <f>SUM(N644:N646)</f>
        <v>0</v>
      </c>
      <c r="O634" s="61">
        <f>SUM(O644:O646)</f>
        <v>0</v>
      </c>
      <c r="P634" s="61">
        <f>SUM(P644:P646)</f>
        <v>0</v>
      </c>
      <c r="Q634" s="61">
        <f>SUM(Q644:Q646)</f>
        <v>0</v>
      </c>
      <c r="S634" s="47"/>
    </row>
    <row r="635" spans="1:19" x14ac:dyDescent="0.25">
      <c r="A635" s="354" t="str">
        <f>+L629</f>
        <v>Number of Students (Summer)</v>
      </c>
      <c r="B635" s="94">
        <f>+B634</f>
        <v>0</v>
      </c>
      <c r="C635" s="94">
        <f>+C634</f>
        <v>0</v>
      </c>
      <c r="D635" s="94">
        <f>+D634</f>
        <v>0</v>
      </c>
      <c r="E635" s="94">
        <f>+E634</f>
        <v>0</v>
      </c>
      <c r="F635" s="94">
        <f>+F634</f>
        <v>0</v>
      </c>
      <c r="G635" s="47"/>
      <c r="H635" s="47"/>
      <c r="I635" s="100"/>
      <c r="J635" s="100"/>
      <c r="K635" s="357"/>
      <c r="L635" s="60" t="s">
        <v>8</v>
      </c>
      <c r="M635" s="61">
        <f>SUM(M647:M649)</f>
        <v>0</v>
      </c>
      <c r="N635" s="61">
        <f>SUM(N647:N649)</f>
        <v>0</v>
      </c>
      <c r="O635" s="61">
        <f>SUM(O647:O649)</f>
        <v>0</v>
      </c>
      <c r="P635" s="61">
        <f>SUM(P647:P649)</f>
        <v>0</v>
      </c>
      <c r="Q635" s="61">
        <f>SUM(Q647:Q649)</f>
        <v>0</v>
      </c>
      <c r="S635" s="47"/>
    </row>
    <row r="636" spans="1:19" x14ac:dyDescent="0.25">
      <c r="A636" s="354" t="str">
        <f>+L630</f>
        <v>Number of Students (Fall)</v>
      </c>
      <c r="B636" s="94">
        <f>+B634</f>
        <v>0</v>
      </c>
      <c r="C636" s="94">
        <f>+C634</f>
        <v>0</v>
      </c>
      <c r="D636" s="94">
        <f>+D634</f>
        <v>0</v>
      </c>
      <c r="E636" s="94">
        <f>+E634</f>
        <v>0</v>
      </c>
      <c r="F636" s="94">
        <f>+F634</f>
        <v>0</v>
      </c>
      <c r="G636" s="47"/>
      <c r="H636" s="47"/>
      <c r="I636" s="100"/>
      <c r="J636" s="100"/>
      <c r="K636" s="357"/>
      <c r="L636" s="60" t="s">
        <v>9</v>
      </c>
      <c r="M636" s="61">
        <f>SUM(M650:M652)</f>
        <v>0</v>
      </c>
      <c r="N636" s="61">
        <f>SUM(N650:N652)</f>
        <v>0</v>
      </c>
      <c r="O636" s="61">
        <f>SUM(O650:O652)</f>
        <v>0</v>
      </c>
      <c r="P636" s="61">
        <f>SUM(P650:P652)</f>
        <v>0</v>
      </c>
      <c r="Q636" s="61">
        <f>SUM(Q650:Q652)</f>
        <v>0</v>
      </c>
      <c r="S636" s="47"/>
    </row>
    <row r="637" spans="1:19" ht="15.75" thickBot="1" x14ac:dyDescent="0.3">
      <c r="A637" s="354"/>
      <c r="B637" s="94"/>
      <c r="C637" s="94"/>
      <c r="D637" s="94"/>
      <c r="E637" s="94"/>
      <c r="F637" s="94"/>
      <c r="G637" s="47"/>
      <c r="H637" s="47"/>
      <c r="I637" s="100"/>
      <c r="J637" s="100"/>
      <c r="K637" s="357"/>
      <c r="L637" s="62" t="s">
        <v>31</v>
      </c>
      <c r="M637" s="63">
        <f>SUM(M634:M636)</f>
        <v>0</v>
      </c>
      <c r="N637" s="63">
        <f>SUM(N634:N636)</f>
        <v>0</v>
      </c>
      <c r="O637" s="63">
        <f>SUM(O634:O636)</f>
        <v>0</v>
      </c>
      <c r="P637" s="63">
        <f>SUM(P634:P636)</f>
        <v>0</v>
      </c>
      <c r="Q637" s="63">
        <f>SUM(Q634:Q636)</f>
        <v>0</v>
      </c>
      <c r="S637" s="47"/>
    </row>
    <row r="638" spans="1:19" x14ac:dyDescent="0.25">
      <c r="A638" s="353" t="s">
        <v>89</v>
      </c>
      <c r="B638" s="48" t="s">
        <v>1</v>
      </c>
      <c r="C638" s="48" t="s">
        <v>2</v>
      </c>
      <c r="D638" s="48" t="s">
        <v>3</v>
      </c>
      <c r="E638" s="48" t="s">
        <v>44</v>
      </c>
      <c r="F638" s="48" t="s">
        <v>50</v>
      </c>
      <c r="J638" s="100" t="s">
        <v>77</v>
      </c>
      <c r="K638" s="345"/>
      <c r="M638" s="129"/>
      <c r="S638" s="47"/>
    </row>
    <row r="639" spans="1:19" x14ac:dyDescent="0.25">
      <c r="A639" s="354" t="s">
        <v>84</v>
      </c>
      <c r="B639" s="86">
        <f>+$M$18</f>
        <v>13.2</v>
      </c>
      <c r="C639" s="86">
        <f>ROUND(+B639*(1+J639),2)</f>
        <v>13.2</v>
      </c>
      <c r="D639" s="86">
        <f>ROUND(+C639*(1+J639),2)</f>
        <v>13.2</v>
      </c>
      <c r="E639" s="86">
        <f>ROUND(+D639*(1+J639),2)</f>
        <v>13.2</v>
      </c>
      <c r="F639" s="86">
        <f>ROUND(+E639*(1+J639),2)</f>
        <v>13.2</v>
      </c>
      <c r="J639" s="81">
        <v>0</v>
      </c>
      <c r="K639" s="345"/>
      <c r="S639" s="47"/>
    </row>
    <row r="640" spans="1:19" x14ac:dyDescent="0.25">
      <c r="A640" s="354" t="s">
        <v>64</v>
      </c>
      <c r="B640" s="83">
        <v>0</v>
      </c>
      <c r="C640" s="83">
        <v>0</v>
      </c>
      <c r="D640" s="83">
        <v>0</v>
      </c>
      <c r="E640" s="83">
        <v>0</v>
      </c>
      <c r="F640" s="83">
        <v>0</v>
      </c>
      <c r="K640" s="345"/>
      <c r="L640" s="130"/>
      <c r="M640" s="82" t="str">
        <f>CONCATENATE("FY",$Y$3)</f>
        <v>FY2023</v>
      </c>
      <c r="N640" s="82" t="str">
        <f>CONCATENATE("FY",$Y$3+1)</f>
        <v>FY2024</v>
      </c>
      <c r="O640" s="82" t="str">
        <f>CONCATENATE("FY",$Y$3+2)</f>
        <v>FY2025</v>
      </c>
      <c r="P640" s="82" t="str">
        <f>CONCATENATE("FY",$Y$3+3)</f>
        <v>FY2026</v>
      </c>
      <c r="Q640" s="82" t="str">
        <f>CONCATENATE("FY",$Y$3+4)</f>
        <v>FY2027</v>
      </c>
      <c r="S640" s="47"/>
    </row>
    <row r="641" spans="1:19" x14ac:dyDescent="0.25">
      <c r="A641" s="354" t="s">
        <v>65</v>
      </c>
      <c r="B641" s="83">
        <v>0</v>
      </c>
      <c r="C641" s="83">
        <v>0</v>
      </c>
      <c r="D641" s="83">
        <v>0</v>
      </c>
      <c r="E641" s="83">
        <v>0</v>
      </c>
      <c r="F641" s="83">
        <v>0</v>
      </c>
      <c r="K641" s="345"/>
      <c r="L641" s="131"/>
      <c r="M641" s="82" t="str">
        <f>IF(OR($Y$2&gt;=7,$Y$2&lt;=2),CONCATENATE("FY",$Y$3),IF(AND($Y$2&gt;=3,$Y$2&lt;=6),CONCATENATE("FY",$Y$3+1),"N/A"))</f>
        <v>FY2023</v>
      </c>
      <c r="N641" s="82" t="str">
        <f>IF(OR($Y$2&gt;=7,$Y$2&lt;=2),CONCATENATE("FY",$Y$3+1),IF(AND($Y$2&gt;=3,$Y$2&lt;=6),CONCATENATE("FY",$Y$3+2),"N/A"))</f>
        <v>FY2024</v>
      </c>
      <c r="O641" s="82" t="str">
        <f>IF(OR($Y$2&gt;=7,$Y$2&lt;=2),CONCATENATE("FY",$Y$3+2),IF(AND($Y$2&gt;=3,$Y$2&lt;=6),CONCATENATE("FY",$Y$3+3),"N/A"))</f>
        <v>FY2025</v>
      </c>
      <c r="P641" s="82" t="str">
        <f>IF(OR($Y$2&gt;=7,$Y$2&lt;=2),CONCATENATE("FY",$Y$3+3),IF(AND($Y$2&gt;=3,$Y$2&lt;=6),CONCATENATE("FY",$Y$3+4),"N/A"))</f>
        <v>FY2026</v>
      </c>
      <c r="Q641" s="82" t="str">
        <f>IF(OR($Y$2&gt;=7,$Y$2&lt;=2),CONCATENATE("FY",$Y$3+4),IF(AND($Y$2&gt;=3,$Y$2&lt;=6),CONCATENATE("FY",$Y$3+5),"N/A"))</f>
        <v>FY2027</v>
      </c>
      <c r="S641" s="47"/>
    </row>
    <row r="642" spans="1:19" x14ac:dyDescent="0.25">
      <c r="A642" s="354" t="s">
        <v>79</v>
      </c>
      <c r="B642" s="714">
        <f>+B639*(B640*B641)</f>
        <v>0</v>
      </c>
      <c r="C642" s="714">
        <f t="shared" ref="C642" si="843">+C639*(C640*C641)</f>
        <v>0</v>
      </c>
      <c r="D642" s="714">
        <f t="shared" ref="D642" si="844">+D639*(D640*D641)</f>
        <v>0</v>
      </c>
      <c r="E642" s="714">
        <f t="shared" ref="E642" si="845">+E639*(E640*E641)</f>
        <v>0</v>
      </c>
      <c r="F642" s="714">
        <f t="shared" ref="F642" si="846">+F639*(F640*F641)</f>
        <v>0</v>
      </c>
      <c r="K642" s="345"/>
      <c r="L642" s="82"/>
      <c r="M642" s="82" t="str">
        <f>IF(AND($Y$2&gt;=1,$Y$2&lt;=6),CONCATENATE("FY",$Y$3+1),IF(AND($Y$2&gt;=7,$Y$2&lt;=9),CONCATENATE("FY",$Y$3),IF(AND($Y$2&gt;=10,$Y$2&lt;=126),CONCATENATE("FY",$Y$3+1),"N/A")))</f>
        <v>FY2024</v>
      </c>
      <c r="N642" s="82" t="str">
        <f>IF(AND($Y$2&gt;=1,$Y$2&lt;=6),CONCATENATE("FY",$Y$3+2),IF(AND($Y$2&gt;=7,$Y$2&lt;=9),CONCATENATE("FY",$Y$3+1),IF(AND($Y$2&gt;=10,$Y$2&lt;=126),CONCATENATE("FY",$Y$3+2),"N/A")))</f>
        <v>FY2025</v>
      </c>
      <c r="O642" s="82" t="str">
        <f>IF(AND($Y$2&gt;=1,$Y$2&lt;=6),CONCATENATE("FY",$Y$3+3),IF(AND($Y$2&gt;=7,$Y$2&lt;=9),CONCATENATE("FY",$Y$3+2),IF(AND($Y$2&gt;=10,$Y$2&lt;=126),CONCATENATE("FY",$Y$3+3),"N/A")))</f>
        <v>FY2026</v>
      </c>
      <c r="P642" s="82" t="str">
        <f>IF(AND($Y$2&gt;=1,$Y$2&lt;=6),CONCATENATE("FY",$Y$3+4),IF(AND($Y$2&gt;=7,$Y$2&lt;=9),CONCATENATE("FY",$Y$3+3),IF(AND($Y$2&gt;=10,$Y$2&lt;=126),CONCATENATE("FY",$Y$3+4),"N/A")))</f>
        <v>FY2027</v>
      </c>
      <c r="Q642" s="82" t="str">
        <f>IF(AND($Y$2&gt;=1,$Y$2&lt;=6),CONCATENATE("FY",$Y$3+5),IF(AND($Y$2&gt;=7,$Y$2&lt;=9),CONCATENATE("FY",$Y$3+4),IF(AND($Y$2&gt;=10,$Y$2&lt;=126),CONCATENATE("FY",$Y$3+5),"N/A")))</f>
        <v>FY2028</v>
      </c>
      <c r="S642" s="47"/>
    </row>
    <row r="643" spans="1:19" ht="15.75" thickBot="1" x14ac:dyDescent="0.3">
      <c r="A643" s="354" t="s">
        <v>62</v>
      </c>
      <c r="B643" s="83">
        <v>0</v>
      </c>
      <c r="C643" s="83">
        <v>0</v>
      </c>
      <c r="D643" s="83">
        <v>0</v>
      </c>
      <c r="E643" s="83">
        <v>0</v>
      </c>
      <c r="F643" s="83">
        <v>0</v>
      </c>
      <c r="K643" s="345"/>
      <c r="L643" s="59" t="s">
        <v>124</v>
      </c>
      <c r="M643" s="75" t="s">
        <v>1</v>
      </c>
      <c r="N643" s="76" t="s">
        <v>2</v>
      </c>
      <c r="O643" s="76" t="s">
        <v>3</v>
      </c>
      <c r="P643" s="76" t="s">
        <v>44</v>
      </c>
      <c r="Q643" s="76" t="s">
        <v>50</v>
      </c>
    </row>
    <row r="644" spans="1:19" x14ac:dyDescent="0.25">
      <c r="A644" s="354" t="s">
        <v>63</v>
      </c>
      <c r="B644" s="83">
        <v>0</v>
      </c>
      <c r="C644" s="83">
        <v>0</v>
      </c>
      <c r="D644" s="83">
        <v>0</v>
      </c>
      <c r="E644" s="83">
        <v>0</v>
      </c>
      <c r="F644" s="83">
        <v>0</v>
      </c>
      <c r="K644" s="345"/>
      <c r="L644" s="132" t="str">
        <f t="shared" ref="L644:L652" si="847">+L114</f>
        <v>Stipend (Spring)</v>
      </c>
      <c r="M644" s="133">
        <f>IF(RIGHT($L644,8)="(Summer)",ROUND(M628*HLOOKUP(M640,M615:S620,3,FALSE),0))+IF(RIGHT($L644,8)&lt;&gt;"(Summer)",ROUND(M628*HLOOKUP(M640,M615:S620,2,FALSE)/2,0))</f>
        <v>0</v>
      </c>
      <c r="N644" s="133">
        <f t="shared" ref="N644" si="848">IF(RIGHT($L644,8)="(Summer)",ROUND(N628*HLOOKUP(N640,N615:T620,3,FALSE),0))+IF(RIGHT($L644,8)&lt;&gt;"(Summer)",ROUND(N628*HLOOKUP(N640,N615:T620,2,FALSE)/2,0))</f>
        <v>0</v>
      </c>
      <c r="O644" s="133">
        <f t="shared" ref="O644" si="849">IF(RIGHT($L644,8)="(Summer)",ROUND(O628*HLOOKUP(O640,O615:U620,3,FALSE),0))+IF(RIGHT($L644,8)&lt;&gt;"(Summer)",ROUND(O628*HLOOKUP(O640,O615:U620,2,FALSE)/2,0))</f>
        <v>0</v>
      </c>
      <c r="P644" s="133">
        <f t="shared" ref="P644" si="850">IF(RIGHT($L644,8)="(Summer)",ROUND(P628*HLOOKUP(P640,P615:V620,3,FALSE),0))+IF(RIGHT($L644,8)&lt;&gt;"(Summer)",ROUND(P628*HLOOKUP(P640,P615:V620,2,FALSE)/2,0))</f>
        <v>0</v>
      </c>
      <c r="Q644" s="133">
        <f t="shared" ref="Q644" si="851">IF(RIGHT($L644,8)="(Summer)",ROUND(Q628*HLOOKUP(Q640,Q615:W620,3,FALSE),0))+IF(RIGHT($L644,8)&lt;&gt;"(Summer)",ROUND(Q628*HLOOKUP(Q640,Q615:W620,2,FALSE)/2,0))</f>
        <v>0</v>
      </c>
    </row>
    <row r="645" spans="1:19" x14ac:dyDescent="0.25">
      <c r="A645" s="354" t="s">
        <v>80</v>
      </c>
      <c r="B645" s="714">
        <f>+B639*(B643*B644)</f>
        <v>0</v>
      </c>
      <c r="C645" s="714">
        <f t="shared" ref="C645" si="852">+C639*(C643*C644)</f>
        <v>0</v>
      </c>
      <c r="D645" s="714">
        <f t="shared" ref="D645" si="853">+D639*(D643*D644)</f>
        <v>0</v>
      </c>
      <c r="E645" s="714">
        <f t="shared" ref="E645" si="854">+E639*(E643*E644)</f>
        <v>0</v>
      </c>
      <c r="F645" s="714">
        <f t="shared" ref="F645" si="855">+F639*(F643*F644)</f>
        <v>0</v>
      </c>
      <c r="K645" s="345"/>
      <c r="L645" s="134" t="str">
        <f t="shared" si="847"/>
        <v>Stipend (Summer)</v>
      </c>
      <c r="M645" s="133">
        <f>IF(RIGHT($L645,8)="(Summer)",ROUND(M629*HLOOKUP(M641,M615:S620,3,FALSE),0))+IF(RIGHT($L645,8)&lt;&gt;"(Summer)",ROUND(M629*HLOOKUP(M641,M615:S620,2,FALSE)/2,0))</f>
        <v>0</v>
      </c>
      <c r="N645" s="133">
        <f t="shared" ref="N645" si="856">IF(RIGHT($L645,8)="(Summer)",ROUND(N629*HLOOKUP(N641,N615:T620,3,FALSE),0))+IF(RIGHT($L645,8)&lt;&gt;"(Summer)",ROUND(N629*HLOOKUP(N641,N615:T620,2,FALSE)/2,0))</f>
        <v>0</v>
      </c>
      <c r="O645" s="133">
        <f t="shared" ref="O645" si="857">IF(RIGHT($L645,8)="(Summer)",ROUND(O629*HLOOKUP(O641,O615:U620,3,FALSE),0))+IF(RIGHT($L645,8)&lt;&gt;"(Summer)",ROUND(O629*HLOOKUP(O641,O615:U620,2,FALSE)/2,0))</f>
        <v>0</v>
      </c>
      <c r="P645" s="133">
        <f t="shared" ref="P645" si="858">IF(RIGHT($L645,8)="(Summer)",ROUND(P629*HLOOKUP(P641,P615:V620,3,FALSE),0))+IF(RIGHT($L645,8)&lt;&gt;"(Summer)",ROUND(P629*HLOOKUP(P641,P615:V620,2,FALSE)/2,0))</f>
        <v>0</v>
      </c>
      <c r="Q645" s="133">
        <f t="shared" ref="Q645" si="859">IF(RIGHT($L645,8)="(Summer)",ROUND(Q629*HLOOKUP(Q641,Q615:W620,3,FALSE),0))+IF(RIGHT($L645,8)&lt;&gt;"(Summer)",ROUND(Q629*HLOOKUP(Q641,Q615:W620,2,FALSE)/2,0))</f>
        <v>0</v>
      </c>
    </row>
    <row r="646" spans="1:19" x14ac:dyDescent="0.25">
      <c r="A646" s="354" t="s">
        <v>21</v>
      </c>
      <c r="B646" s="716">
        <f>ROUND(+B642+B645,0)</f>
        <v>0</v>
      </c>
      <c r="C646" s="716">
        <f t="shared" ref="C646" si="860">ROUND(+C642+C645,0)</f>
        <v>0</v>
      </c>
      <c r="D646" s="716">
        <f t="shared" ref="D646" si="861">ROUND(+D642+D645,0)</f>
        <v>0</v>
      </c>
      <c r="E646" s="716">
        <f t="shared" ref="E646" si="862">ROUND(+E642+E645,0)</f>
        <v>0</v>
      </c>
      <c r="F646" s="716">
        <f t="shared" ref="F646" si="863">ROUND(+F642+F645,0)</f>
        <v>0</v>
      </c>
      <c r="K646" s="345"/>
      <c r="L646" s="134" t="str">
        <f t="shared" si="847"/>
        <v>Stipend (Fall)</v>
      </c>
      <c r="M646" s="133">
        <f>IF(RIGHT($L646,8)="(Summer)",ROUND(M630*HLOOKUP(M642,M615:S620,3,FALSE),0))+IF(RIGHT($L646,8)&lt;&gt;"(Summer)",ROUND(M630*HLOOKUP(M642,M615:S620,2,FALSE)/2,0))</f>
        <v>0</v>
      </c>
      <c r="N646" s="133">
        <f t="shared" ref="N646" si="864">IF(RIGHT($L646,8)="(Summer)",ROUND(N630*HLOOKUP(N642,N615:T620,3,FALSE),0))+IF(RIGHT($L646,8)&lt;&gt;"(Summer)",ROUND(N630*HLOOKUP(N642,N615:T620,2,FALSE)/2,0))</f>
        <v>0</v>
      </c>
      <c r="O646" s="133">
        <f t="shared" ref="O646" si="865">IF(RIGHT($L646,8)="(Summer)",ROUND(O630*HLOOKUP(O642,O615:U620,3,FALSE),0))+IF(RIGHT($L646,8)&lt;&gt;"(Summer)",ROUND(O630*HLOOKUP(O642,O615:U620,2,FALSE)/2,0))</f>
        <v>0</v>
      </c>
      <c r="P646" s="133">
        <f t="shared" ref="P646" si="866">IF(RIGHT($L646,8)="(Summer)",ROUND(P630*HLOOKUP(P642,P615:V620,3,FALSE),0))+IF(RIGHT($L646,8)&lt;&gt;"(Summer)",ROUND(P630*HLOOKUP(P642,P615:V620,2,FALSE)/2,0))</f>
        <v>0</v>
      </c>
      <c r="Q646" s="133">
        <f t="shared" ref="Q646" si="867">IF(RIGHT($L646,8)="(Summer)",ROUND(Q630*HLOOKUP(Q642,Q615:W620,3,FALSE),0))+IF(RIGHT($L646,8)&lt;&gt;"(Summer)",ROUND(Q630*HLOOKUP(Q642,Q615:W620,2,FALSE)/2,0))</f>
        <v>0</v>
      </c>
    </row>
    <row r="647" spans="1:19" x14ac:dyDescent="0.25">
      <c r="A647" s="345"/>
      <c r="H647" s="47"/>
      <c r="K647" s="345"/>
      <c r="L647" s="134" t="str">
        <f t="shared" si="847"/>
        <v>Tuition (Spring)</v>
      </c>
      <c r="M647" s="133">
        <f>IF(RIGHT($L647,8)="(Summer)",0,ROUND(M628*HLOOKUP(M640,M615:S620,5,FALSE)/2,0))</f>
        <v>0</v>
      </c>
      <c r="N647" s="133">
        <f t="shared" ref="N647" si="868">IF(RIGHT($L647,8)="(Summer)",0,ROUND(N628*HLOOKUP(N640,N615:T620,5,FALSE)/2,0))</f>
        <v>0</v>
      </c>
      <c r="O647" s="133">
        <f t="shared" ref="O647" si="869">IF(RIGHT($L647,8)="(Summer)",0,ROUND(O628*HLOOKUP(O640,O615:U620,5,FALSE)/2,0))</f>
        <v>0</v>
      </c>
      <c r="P647" s="133">
        <f t="shared" ref="P647" si="870">IF(RIGHT($L647,8)="(Summer)",0,ROUND(P628*HLOOKUP(P640,P615:V620,5,FALSE)/2,0))</f>
        <v>0</v>
      </c>
      <c r="Q647" s="133">
        <f t="shared" ref="Q647" si="871">IF(RIGHT($L647,8)="(Summer)",0,ROUND(Q628*HLOOKUP(Q640,Q615:W620,5,FALSE)/2,0))</f>
        <v>0</v>
      </c>
    </row>
    <row r="648" spans="1:19" x14ac:dyDescent="0.25">
      <c r="A648" s="356"/>
      <c r="B648" s="113" t="str">
        <f t="shared" ref="B648:H648" si="872">IF(AND(B649=$Z$5,$I650=9),$Z$3,IF(AND(B649=$AA$5,$I650=9),$AA$3,IF(AND(B649=$AB$5,$I650=9),$AB$3,IF(AND(B649=$AC$5,$I650=9),$AC$3,IF(AND(B649=$AD$5,$I650=9),$AD$3,IF(AND(B649=$Z$4,$I650=12),$Z$3,IF(AND(B649=$AA$4,$I650=12),$AA$3,IF(AND(B649=$AB$4,$I650=12),$AB$3,IF(AND(B649=$AC$4,$I650=12),$AC$3,IF(AND(B649=$AD$4,$I650=12),$AD$3," "))))))))))</f>
        <v>Year 1</v>
      </c>
      <c r="C648" s="113" t="str">
        <f t="shared" si="872"/>
        <v>Year 2</v>
      </c>
      <c r="D648" s="113" t="str">
        <f t="shared" si="872"/>
        <v>Year 3</v>
      </c>
      <c r="E648" s="113" t="str">
        <f t="shared" si="872"/>
        <v>Year 4</v>
      </c>
      <c r="F648" s="113" t="str">
        <f t="shared" si="872"/>
        <v>Year 5</v>
      </c>
      <c r="G648" s="113" t="str">
        <f t="shared" si="872"/>
        <v xml:space="preserve"> </v>
      </c>
      <c r="H648" s="113" t="str">
        <f t="shared" si="872"/>
        <v xml:space="preserve"> </v>
      </c>
      <c r="K648" s="345"/>
      <c r="L648" s="134" t="str">
        <f t="shared" si="847"/>
        <v>Tuition (Summer)</v>
      </c>
      <c r="M648" s="133">
        <f>IF(RIGHT($L648,8)="(Summer)",0,ROUND(M629*HLOOKUP(M641,M615:S620,5,FALSE)/2,0))</f>
        <v>0</v>
      </c>
      <c r="N648" s="133">
        <f t="shared" ref="N648" si="873">IF(RIGHT($L648,8)="(Summer)",0,ROUND(N629*HLOOKUP(N641,N615:T620,5,FALSE)/2,0))</f>
        <v>0</v>
      </c>
      <c r="O648" s="133">
        <f t="shared" ref="O648" si="874">IF(RIGHT($L648,8)="(Summer)",0,ROUND(O629*HLOOKUP(O641,O615:U620,5,FALSE)/2,0))</f>
        <v>0</v>
      </c>
      <c r="P648" s="133">
        <f t="shared" ref="P648" si="875">IF(RIGHT($L648,8)="(Summer)",0,ROUND(P629*HLOOKUP(P641,P615:V620,5,FALSE)/2,0))</f>
        <v>0</v>
      </c>
      <c r="Q648" s="133">
        <f t="shared" ref="Q648" si="876">IF(RIGHT($L648,8)="(Summer)",0,ROUND(Q629*HLOOKUP(Q641,Q615:W620,5,FALSE)/2,0))</f>
        <v>0</v>
      </c>
    </row>
    <row r="649" spans="1:19" x14ac:dyDescent="0.25">
      <c r="A649" s="353" t="s">
        <v>29</v>
      </c>
      <c r="B649" s="84" t="str">
        <f>+M$2</f>
        <v>FY2023</v>
      </c>
      <c r="C649" s="84" t="str">
        <f t="shared" ref="C649" si="877">+N$2</f>
        <v>FY2024</v>
      </c>
      <c r="D649" s="84" t="str">
        <f t="shared" ref="D649" si="878">+O$2</f>
        <v>FY2025</v>
      </c>
      <c r="E649" s="84" t="str">
        <f t="shared" ref="E649" si="879">+P$2</f>
        <v>FY2026</v>
      </c>
      <c r="F649" s="84" t="str">
        <f t="shared" ref="F649" si="880">+Q$2</f>
        <v>FY2027</v>
      </c>
      <c r="G649" s="84" t="str">
        <f t="shared" ref="G649" si="881">+R$2</f>
        <v>FY2028</v>
      </c>
      <c r="H649" s="84" t="str">
        <f t="shared" ref="H649" si="882">+S$2</f>
        <v>FY2029</v>
      </c>
      <c r="I649" s="56" t="s">
        <v>20</v>
      </c>
      <c r="J649" s="100" t="s">
        <v>77</v>
      </c>
      <c r="K649" s="357"/>
      <c r="L649" s="134" t="str">
        <f t="shared" si="847"/>
        <v>Tuition (Fall)</v>
      </c>
      <c r="M649" s="133">
        <f>IF(RIGHT($L649,8)="(Summer)",0,ROUND(M630*HLOOKUP(M642,M615:S620,5,FALSE)/2,0))</f>
        <v>0</v>
      </c>
      <c r="N649" s="133">
        <f t="shared" ref="N649" si="883">IF(RIGHT($L649,8)="(Summer)",0,ROUND(N630*HLOOKUP(N642,N615:T620,5,FALSE)/2,0))</f>
        <v>0</v>
      </c>
      <c r="O649" s="133">
        <f t="shared" ref="O649" si="884">IF(RIGHT($L649,8)="(Summer)",0,ROUND(O630*HLOOKUP(O642,O615:U620,5,FALSE)/2,0))</f>
        <v>0</v>
      </c>
      <c r="P649" s="133">
        <f t="shared" ref="P649" si="885">IF(RIGHT($L649,8)="(Summer)",0,ROUND(P630*HLOOKUP(P642,P615:V620,5,FALSE)/2,0))</f>
        <v>0</v>
      </c>
      <c r="Q649" s="133">
        <f t="shared" ref="Q649" si="886">IF(RIGHT($L649,8)="(Summer)",0,ROUND(Q630*HLOOKUP(Q642,Q615:W620,5,FALSE)/2,0))</f>
        <v>0</v>
      </c>
    </row>
    <row r="650" spans="1:19" x14ac:dyDescent="0.25">
      <c r="A650" s="354" t="str">
        <f>CONCATENATE("Base Salary: ",I650," month term")</f>
        <v>Base Salary: 12 month term</v>
      </c>
      <c r="B650" s="93">
        <v>0</v>
      </c>
      <c r="C650" s="118">
        <f>ROUND(+B650*(1+J650),0)</f>
        <v>0</v>
      </c>
      <c r="D650" s="118">
        <f>ROUND(+C650*(1+J650),0)</f>
        <v>0</v>
      </c>
      <c r="E650" s="118">
        <f>ROUND(+D650*(1+J650),0)</f>
        <v>0</v>
      </c>
      <c r="F650" s="118">
        <f>ROUND(+E650*(1+J650),0)</f>
        <v>0</v>
      </c>
      <c r="G650" s="118">
        <f>ROUND(+F650*(1+J650),0)</f>
        <v>0</v>
      </c>
      <c r="H650" s="118">
        <f>ROUND(+G650*(1+J650),0)</f>
        <v>0</v>
      </c>
      <c r="I650" s="74">
        <v>12</v>
      </c>
      <c r="J650" s="81">
        <v>0.03</v>
      </c>
      <c r="K650" s="359"/>
      <c r="L650" s="134" t="str">
        <f t="shared" si="847"/>
        <v>Health Insurance (Spring)</v>
      </c>
      <c r="M650" s="133">
        <f>IF(RIGHT($L650,8)="(Summer)",0,ROUND(M628*HLOOKUP(M640,M615:S620,6,FALSE)/2,0))</f>
        <v>0</v>
      </c>
      <c r="N650" s="133">
        <f t="shared" ref="N650" si="887">IF(RIGHT($L650,8)="(Summer)",0,ROUND(N628*HLOOKUP(N640,N615:T620,6,FALSE)/2,0))</f>
        <v>0</v>
      </c>
      <c r="O650" s="133">
        <f t="shared" ref="O650" si="888">IF(RIGHT($L650,8)="(Summer)",0,ROUND(O628*HLOOKUP(O640,O615:U620,6,FALSE)/2,0))</f>
        <v>0</v>
      </c>
      <c r="P650" s="133">
        <f t="shared" ref="P650" si="889">IF(RIGHT($L650,8)="(Summer)",0,ROUND(P628*HLOOKUP(P640,P615:V620,6,FALSE)/2,0))</f>
        <v>0</v>
      </c>
      <c r="Q650" s="133">
        <f t="shared" ref="Q650" si="890">IF(RIGHT($L650,8)="(Summer)",0,ROUND(Q628*HLOOKUP(Q640,Q615:W620,6,FALSE)/2,0))</f>
        <v>0</v>
      </c>
    </row>
    <row r="651" spans="1:19" x14ac:dyDescent="0.25">
      <c r="A651" s="354" t="s">
        <v>49</v>
      </c>
      <c r="B651" s="86">
        <v>0</v>
      </c>
      <c r="C651" s="86">
        <v>0</v>
      </c>
      <c r="D651" s="86">
        <v>0</v>
      </c>
      <c r="E651" s="86">
        <v>0</v>
      </c>
      <c r="F651" s="86">
        <v>0</v>
      </c>
      <c r="G651" s="86">
        <v>0</v>
      </c>
      <c r="H651" s="86">
        <v>0</v>
      </c>
      <c r="I651" s="49"/>
      <c r="J651" s="49"/>
      <c r="K651" s="354"/>
      <c r="L651" s="134" t="str">
        <f t="shared" si="847"/>
        <v>Health Insurance (Summer)</v>
      </c>
      <c r="M651" s="133">
        <f>IF(RIGHT($L651,8)="(Summer)",0,ROUND(M629*HLOOKUP(M641,M615:S620,6,FALSE)/2,0))</f>
        <v>0</v>
      </c>
      <c r="N651" s="133">
        <f t="shared" ref="N651" si="891">IF(RIGHT($L651,8)="(Summer)",0,ROUND(N629*HLOOKUP(N641,N615:T620,6,FALSE)/2,0))</f>
        <v>0</v>
      </c>
      <c r="O651" s="133">
        <f t="shared" ref="O651" si="892">IF(RIGHT($L651,8)="(Summer)",0,ROUND(O629*HLOOKUP(O641,O615:U620,6,FALSE)/2,0))</f>
        <v>0</v>
      </c>
      <c r="P651" s="133">
        <f t="shared" ref="P651" si="893">IF(RIGHT($L651,8)="(Summer)",0,ROUND(P629*HLOOKUP(P641,P615:V620,6,FALSE)/2,0))</f>
        <v>0</v>
      </c>
      <c r="Q651" s="133">
        <f t="shared" ref="Q651" si="894">IF(RIGHT($L651,8)="(Summer)",0,ROUND(Q629*HLOOKUP(Q641,Q615:W620,6,FALSE)/2,0))</f>
        <v>0</v>
      </c>
    </row>
    <row r="652" spans="1:19" x14ac:dyDescent="0.25">
      <c r="A652" s="354" t="str">
        <f>CONCATENATE("FTE for ",I650," Months")</f>
        <v>FTE for 12 Months</v>
      </c>
      <c r="B652" s="85">
        <f t="shared" ref="B652:H652" si="895">+B651/$I650</f>
        <v>0</v>
      </c>
      <c r="C652" s="85">
        <f t="shared" si="895"/>
        <v>0</v>
      </c>
      <c r="D652" s="85">
        <f t="shared" si="895"/>
        <v>0</v>
      </c>
      <c r="E652" s="85">
        <f t="shared" si="895"/>
        <v>0</v>
      </c>
      <c r="F652" s="85">
        <f t="shared" si="895"/>
        <v>0</v>
      </c>
      <c r="G652" s="85">
        <f t="shared" si="895"/>
        <v>0</v>
      </c>
      <c r="H652" s="85">
        <f t="shared" si="895"/>
        <v>0</v>
      </c>
      <c r="I652" s="100"/>
      <c r="J652" s="100"/>
      <c r="K652" s="357"/>
      <c r="L652" s="134" t="str">
        <f t="shared" si="847"/>
        <v>Health Insurance (Fall)</v>
      </c>
      <c r="M652" s="133">
        <f>IF(RIGHT($L652,8)="(Summer)",0,ROUND(M630*HLOOKUP(M642,M615:S620,6,FALSE)/2,0))</f>
        <v>0</v>
      </c>
      <c r="N652" s="133">
        <f t="shared" ref="N652" si="896">IF(RIGHT($L652,8)="(Summer)",0,ROUND(N630*HLOOKUP(N642,N615:T620,6,FALSE)/2,0))</f>
        <v>0</v>
      </c>
      <c r="O652" s="133">
        <f t="shared" ref="O652" si="897">IF(RIGHT($L652,8)="(Summer)",0,ROUND(O630*HLOOKUP(O642,O615:U620,6,FALSE)/2,0))</f>
        <v>0</v>
      </c>
      <c r="P652" s="133">
        <f t="shared" ref="P652" si="898">IF(RIGHT($L652,8)="(Summer)",0,ROUND(P630*HLOOKUP(P642,P615:V620,6,FALSE)/2,0))</f>
        <v>0</v>
      </c>
      <c r="Q652" s="133">
        <f t="shared" ref="Q652" si="899">IF(RIGHT($L652,8)="(Summer)",0,ROUND(Q630*HLOOKUP(Q642,Q615:W620,6,FALSE)/2,0))</f>
        <v>0</v>
      </c>
    </row>
    <row r="653" spans="1:19" ht="15.75" thickBot="1" x14ac:dyDescent="0.3">
      <c r="A653" s="354" t="s">
        <v>21</v>
      </c>
      <c r="B653" s="119">
        <f t="shared" ref="B653:H653" si="900">ROUND((B650*B652*$N$41)+(C650*B652*$N$42),0)</f>
        <v>0</v>
      </c>
      <c r="C653" s="119">
        <f t="shared" si="900"/>
        <v>0</v>
      </c>
      <c r="D653" s="119">
        <f t="shared" si="900"/>
        <v>0</v>
      </c>
      <c r="E653" s="119">
        <f t="shared" si="900"/>
        <v>0</v>
      </c>
      <c r="F653" s="119">
        <f t="shared" si="900"/>
        <v>0</v>
      </c>
      <c r="G653" s="119">
        <f t="shared" si="900"/>
        <v>0</v>
      </c>
      <c r="H653" s="119">
        <f t="shared" si="900"/>
        <v>0</v>
      </c>
      <c r="I653" s="100"/>
      <c r="J653" s="100"/>
      <c r="K653" s="357"/>
      <c r="L653" s="62" t="s">
        <v>31</v>
      </c>
      <c r="M653" s="63">
        <f>SUM(M644:M652)</f>
        <v>0</v>
      </c>
      <c r="N653" s="63">
        <f>SUM(N644:N652)</f>
        <v>0</v>
      </c>
      <c r="O653" s="63">
        <f>SUM(O644:O652)</f>
        <v>0</v>
      </c>
      <c r="P653" s="63">
        <f>SUM(P644:P652)</f>
        <v>0</v>
      </c>
      <c r="Q653" s="63">
        <f>SUM(Q644:Q652)</f>
        <v>0</v>
      </c>
    </row>
    <row r="654" spans="1:19" x14ac:dyDescent="0.25">
      <c r="A654" s="345"/>
      <c r="J654" s="100"/>
    </row>
    <row r="655" spans="1:19" x14ac:dyDescent="0.25">
      <c r="A655" s="356" t="s">
        <v>106</v>
      </c>
    </row>
    <row r="656" spans="1:19" x14ac:dyDescent="0.25">
      <c r="A656" s="353" t="s">
        <v>444</v>
      </c>
      <c r="B656" s="48" t="s">
        <v>1</v>
      </c>
      <c r="C656" s="48" t="s">
        <v>2</v>
      </c>
      <c r="D656" s="48" t="s">
        <v>3</v>
      </c>
      <c r="E656" s="48" t="s">
        <v>44</v>
      </c>
      <c r="F656" s="48" t="s">
        <v>50</v>
      </c>
      <c r="G656" s="84"/>
      <c r="H656" s="84"/>
      <c r="I656" s="56"/>
      <c r="J656" s="100" t="s">
        <v>77</v>
      </c>
    </row>
    <row r="657" spans="1:11" x14ac:dyDescent="0.25">
      <c r="A657" s="354" t="s">
        <v>318</v>
      </c>
      <c r="B657" s="86">
        <v>15</v>
      </c>
      <c r="C657" s="86">
        <f>ROUND(+B657*(1+J657),2)</f>
        <v>15</v>
      </c>
      <c r="D657" s="86">
        <f>ROUND(+C657*(1+J657),2)</f>
        <v>15</v>
      </c>
      <c r="E657" s="86">
        <f>ROUND(+D657*(1+J657),2)</f>
        <v>15</v>
      </c>
      <c r="F657" s="86">
        <f>ROUND(+E657*(1+J657),2)</f>
        <v>15</v>
      </c>
      <c r="G657" s="84"/>
      <c r="H657" s="84"/>
      <c r="I657" s="74"/>
      <c r="J657" s="81">
        <v>0</v>
      </c>
    </row>
    <row r="658" spans="1:11" x14ac:dyDescent="0.25">
      <c r="A658" s="354" t="s">
        <v>319</v>
      </c>
      <c r="B658" s="127">
        <v>0</v>
      </c>
      <c r="C658" s="127">
        <v>0</v>
      </c>
      <c r="D658" s="127">
        <v>0</v>
      </c>
      <c r="E658" s="127">
        <v>0</v>
      </c>
      <c r="F658" s="127">
        <v>0</v>
      </c>
      <c r="G658" s="84"/>
      <c r="H658" s="84"/>
      <c r="I658" s="49"/>
      <c r="J658" s="49"/>
    </row>
    <row r="659" spans="1:11" x14ac:dyDescent="0.25">
      <c r="A659" s="354" t="s">
        <v>21</v>
      </c>
      <c r="B659" s="119">
        <f>ROUND(B657*B658,0)</f>
        <v>0</v>
      </c>
      <c r="C659" s="119">
        <f t="shared" ref="C659" si="901">ROUND(C657*C658,0)</f>
        <v>0</v>
      </c>
      <c r="D659" s="119">
        <f t="shared" ref="D659" si="902">ROUND(D657*D658,0)</f>
        <v>0</v>
      </c>
      <c r="E659" s="119">
        <f t="shared" ref="E659" si="903">ROUND(E657*E658,0)</f>
        <v>0</v>
      </c>
      <c r="F659" s="119">
        <f t="shared" ref="F659" si="904">ROUND(F657*F658,0)</f>
        <v>0</v>
      </c>
      <c r="G659" s="84"/>
      <c r="H659" s="84"/>
      <c r="I659" s="100"/>
      <c r="J659" s="100"/>
    </row>
    <row r="662" spans="1:11" x14ac:dyDescent="0.25">
      <c r="A662" s="652" t="str">
        <f ca="1">+A24</f>
        <v>Co-PI Budget (6)</v>
      </c>
      <c r="B662" s="653"/>
      <c r="C662" s="653"/>
      <c r="D662" s="653"/>
      <c r="E662" s="653"/>
      <c r="F662" s="653"/>
      <c r="G662" s="653"/>
      <c r="H662" s="653"/>
      <c r="I662" s="653"/>
      <c r="J662" s="653"/>
    </row>
    <row r="663" spans="1:11" x14ac:dyDescent="0.25">
      <c r="A663" s="651" t="s">
        <v>54</v>
      </c>
      <c r="B663" s="654" t="str">
        <f>+B24</f>
        <v>Co-PI</v>
      </c>
      <c r="C663" s="653"/>
      <c r="D663" s="653"/>
      <c r="E663" s="653"/>
      <c r="F663" s="653"/>
      <c r="G663" s="653"/>
      <c r="H663" s="653"/>
      <c r="I663" s="653"/>
      <c r="J663" s="653"/>
    </row>
    <row r="664" spans="1:11" x14ac:dyDescent="0.25">
      <c r="A664" s="651" t="s">
        <v>57</v>
      </c>
      <c r="B664" s="655" t="s">
        <v>61</v>
      </c>
      <c r="C664" s="653"/>
      <c r="D664" s="653"/>
      <c r="E664" s="653"/>
      <c r="F664" s="653"/>
      <c r="G664" s="653"/>
      <c r="H664" s="653"/>
      <c r="I664" s="653"/>
      <c r="J664" s="653"/>
    </row>
    <row r="665" spans="1:11" x14ac:dyDescent="0.25">
      <c r="A665" s="651" t="s">
        <v>57</v>
      </c>
      <c r="B665" s="655" t="s">
        <v>61</v>
      </c>
      <c r="C665" s="653"/>
      <c r="D665" s="653"/>
      <c r="E665" s="653"/>
      <c r="F665" s="653"/>
      <c r="G665" s="653"/>
      <c r="H665" s="653"/>
      <c r="I665" s="653"/>
      <c r="J665" s="653"/>
    </row>
    <row r="666" spans="1:11" x14ac:dyDescent="0.25">
      <c r="A666" s="651" t="s">
        <v>138</v>
      </c>
      <c r="B666" s="656" t="s">
        <v>110</v>
      </c>
      <c r="C666" s="653"/>
      <c r="D666" s="657"/>
      <c r="E666" s="653"/>
      <c r="F666" s="653"/>
      <c r="G666" s="653"/>
      <c r="H666" s="653"/>
      <c r="I666" s="653"/>
      <c r="J666" s="653"/>
    </row>
    <row r="667" spans="1:11" x14ac:dyDescent="0.25">
      <c r="A667" s="651" t="s">
        <v>180</v>
      </c>
      <c r="B667" s="656" t="s">
        <v>178</v>
      </c>
      <c r="C667" s="653"/>
      <c r="D667" s="657"/>
      <c r="E667" s="653"/>
      <c r="F667" s="653"/>
      <c r="G667" s="653"/>
      <c r="H667" s="653"/>
      <c r="I667" s="653"/>
      <c r="J667" s="653"/>
    </row>
    <row r="668" spans="1:11" x14ac:dyDescent="0.25">
      <c r="A668" s="653"/>
      <c r="B668" s="653"/>
      <c r="C668" s="653"/>
      <c r="D668" s="653"/>
      <c r="E668" s="653"/>
      <c r="F668" s="653"/>
      <c r="G668" s="653"/>
      <c r="H668" s="653"/>
      <c r="I668" s="653"/>
      <c r="J668" s="653"/>
    </row>
    <row r="669" spans="1:11" x14ac:dyDescent="0.25">
      <c r="A669" s="651" t="s">
        <v>115</v>
      </c>
      <c r="B669" s="658" t="str">
        <f>IF(B666="Contract College","Contract College","Endowed College")</f>
        <v>Contract College</v>
      </c>
      <c r="C669" s="653"/>
      <c r="D669" s="653"/>
      <c r="E669" s="653"/>
      <c r="F669" s="653"/>
      <c r="G669" s="653"/>
      <c r="H669" s="653"/>
      <c r="I669" s="653"/>
      <c r="J669" s="653"/>
    </row>
    <row r="670" spans="1:11" x14ac:dyDescent="0.25">
      <c r="A670" s="651" t="s">
        <v>116</v>
      </c>
      <c r="B670" s="658" t="str">
        <f>IF(B666="Contract College","Contract College","Endowed College")</f>
        <v>Contract College</v>
      </c>
      <c r="C670" s="653"/>
      <c r="D670" s="653"/>
      <c r="E670" s="657"/>
      <c r="F670" s="653"/>
      <c r="G670" s="653"/>
      <c r="H670" s="653"/>
      <c r="I670" s="653"/>
      <c r="J670" s="653"/>
    </row>
    <row r="671" spans="1:11" x14ac:dyDescent="0.25">
      <c r="A671" s="653"/>
      <c r="B671" s="659"/>
      <c r="C671" s="653"/>
      <c r="D671" s="653"/>
      <c r="E671" s="653"/>
      <c r="F671" s="653"/>
      <c r="G671" s="653"/>
      <c r="H671" s="660"/>
      <c r="I671" s="660"/>
      <c r="J671" s="660"/>
      <c r="K671" s="111"/>
    </row>
    <row r="672" spans="1:11" x14ac:dyDescent="0.25">
      <c r="A672" s="651" t="s">
        <v>118</v>
      </c>
      <c r="B672" s="661" t="str">
        <f>+$B$36</f>
        <v>FY2023</v>
      </c>
      <c r="C672" s="661" t="str">
        <f>+$C$36</f>
        <v>FY2024</v>
      </c>
      <c r="D672" s="661" t="str">
        <f>+$D$36</f>
        <v>FY2025</v>
      </c>
      <c r="E672" s="661" t="str">
        <f>+$E$36</f>
        <v>FY2026</v>
      </c>
      <c r="F672" s="661" t="str">
        <f>+$F$36</f>
        <v>FY2027</v>
      </c>
      <c r="G672" s="661" t="str">
        <f>+$G$36</f>
        <v>FY2028</v>
      </c>
      <c r="H672" s="660"/>
      <c r="I672" s="660"/>
      <c r="J672" s="660"/>
      <c r="K672" s="111"/>
    </row>
    <row r="673" spans="1:11" x14ac:dyDescent="0.25">
      <c r="A673" s="651" t="str">
        <f>IF(AND(B666="Contract College",B$6="Federal"),"   Contract (Federal) - Senior Personnel",IF(AND(B666="Contract College",B$6="Non-federal"),"   Contract (Non-federal) - Senior Personnel","   Endowed - Senior Personnel"))</f>
        <v xml:space="preserve">   Contract (Federal) - Senior Personnel</v>
      </c>
      <c r="B673" s="651">
        <f t="shared" ref="B673:G673" si="905">IF(AND($B666="Contract College",$B$6="Federal"),HLOOKUP(B672,$M$2:$S$11,2,FALSE),IF(AND($B666="Contract College",$B$6="Non-Federal"),HLOOKUP(B672,$M$2:$S$11,3,FALSE),HLOOKUP(B672,$M$2:$S$11,4,FALSE)))</f>
        <v>0.68300000000000005</v>
      </c>
      <c r="C673" s="651">
        <f t="shared" si="905"/>
        <v>0.68300000000000005</v>
      </c>
      <c r="D673" s="651">
        <f t="shared" si="905"/>
        <v>0.68300000000000005</v>
      </c>
      <c r="E673" s="651">
        <f t="shared" si="905"/>
        <v>0.68300000000000005</v>
      </c>
      <c r="F673" s="651">
        <f t="shared" si="905"/>
        <v>0.68300000000000005</v>
      </c>
      <c r="G673" s="651">
        <f t="shared" si="905"/>
        <v>0.68300000000000005</v>
      </c>
      <c r="H673" s="660"/>
      <c r="I673" s="660"/>
      <c r="J673" s="660"/>
      <c r="K673" s="111"/>
    </row>
    <row r="674" spans="1:11" x14ac:dyDescent="0.25">
      <c r="A674" s="651" t="str">
        <f>IF(AND(B$6="Federal",B669="Contract College"),"   Contract (Federal) - Post Doc",IF(AND(B$6="Non-federal",B669="Contract College"),"   Contract (Non-federal) - Post Doc","   Endowed - Post Doc"))</f>
        <v xml:space="preserve">   Contract (Federal) - Post Doc</v>
      </c>
      <c r="B674" s="651">
        <f t="shared" ref="B674:G675" si="906">IF($B669="Endowed College",HLOOKUP(B$36,$M$2:$S$11,4,FALSE),IF($B$6="Federal",HLOOKUP(B$36,$M$2:$S$11,2,FALSE),IF($B$6="Non-Federal",HLOOKUP(B$36,$M$2:$S$11,3,FALSE))))</f>
        <v>0.68300000000000005</v>
      </c>
      <c r="C674" s="651">
        <f t="shared" si="906"/>
        <v>0.68300000000000005</v>
      </c>
      <c r="D674" s="651">
        <f t="shared" si="906"/>
        <v>0.68300000000000005</v>
      </c>
      <c r="E674" s="651">
        <f t="shared" si="906"/>
        <v>0.68300000000000005</v>
      </c>
      <c r="F674" s="651">
        <f t="shared" si="906"/>
        <v>0.68300000000000005</v>
      </c>
      <c r="G674" s="651">
        <f t="shared" si="906"/>
        <v>0.68300000000000005</v>
      </c>
      <c r="H674" s="660"/>
      <c r="I674" s="660"/>
      <c r="J674" s="660"/>
      <c r="K674" s="111"/>
    </row>
    <row r="675" spans="1:11" x14ac:dyDescent="0.25">
      <c r="A675" s="651" t="str">
        <f>IF(AND(B$6="Federal",B670="Contract College"),"   Contract (Federal) - Other Employee",IF(AND(B$6="Non-federal",B670="Contract College"),"   Contract (Non-federal) - Other Empolyee","   Endowed - Other Employee"))</f>
        <v xml:space="preserve">   Contract (Federal) - Other Employee</v>
      </c>
      <c r="B675" s="651">
        <f t="shared" si="906"/>
        <v>0.68300000000000005</v>
      </c>
      <c r="C675" s="651">
        <f t="shared" si="906"/>
        <v>0.68300000000000005</v>
      </c>
      <c r="D675" s="651">
        <f t="shared" si="906"/>
        <v>0.68300000000000005</v>
      </c>
      <c r="E675" s="651">
        <f t="shared" si="906"/>
        <v>0.68300000000000005</v>
      </c>
      <c r="F675" s="651">
        <f t="shared" si="906"/>
        <v>0.68300000000000005</v>
      </c>
      <c r="G675" s="651">
        <f t="shared" si="906"/>
        <v>0.68300000000000005</v>
      </c>
      <c r="H675" s="660"/>
      <c r="I675" s="660"/>
      <c r="J675" s="660"/>
      <c r="K675" s="111"/>
    </row>
    <row r="676" spans="1:11" x14ac:dyDescent="0.25">
      <c r="A676" s="651" t="s">
        <v>320</v>
      </c>
      <c r="B676" s="651">
        <f t="shared" ref="B676:G676" si="907">HLOOKUP(B$36,$M$2:$S$11,5,FALSE)</f>
        <v>0.1</v>
      </c>
      <c r="C676" s="651">
        <f t="shared" si="907"/>
        <v>0.1</v>
      </c>
      <c r="D676" s="651">
        <f t="shared" si="907"/>
        <v>0.1</v>
      </c>
      <c r="E676" s="651">
        <f t="shared" si="907"/>
        <v>0.1</v>
      </c>
      <c r="F676" s="651">
        <f t="shared" si="907"/>
        <v>0.1</v>
      </c>
      <c r="G676" s="651">
        <f t="shared" si="907"/>
        <v>0.1</v>
      </c>
      <c r="H676" s="660"/>
      <c r="I676" s="660"/>
      <c r="J676" s="660"/>
      <c r="K676" s="111"/>
    </row>
    <row r="677" spans="1:11" x14ac:dyDescent="0.25">
      <c r="A677" s="651" t="str">
        <f>CONCATENATE("Cornell IDC Rate - ",B666)</f>
        <v>Cornell IDC Rate - Contract College</v>
      </c>
      <c r="B677" s="651">
        <f>IF($B667="Off",(HLOOKUP(B$36,$M$2:$S$11,9,FALSE)),IF(AND($B$7="Other",$B667="On"),(HLOOKUP(B$36,$M$2:$S$11,8,FALSE)),IF(AND($B667="On",$B666="Contract College",$B$7="Research"),(HLOOKUP(B$36,$M$2:$S$11,6,FALSE)),(HLOOKUP(B$36,$M$2:$S$11,7,FALSE)))))</f>
        <v>0.56999999999999995</v>
      </c>
      <c r="C677" s="651">
        <f t="shared" ref="C677:G677" si="908">IF($B667="Off",(HLOOKUP(C$36,$M$2:$S$11,9,FALSE)),IF(AND($B$7="Other",$B667="On"),(HLOOKUP(C$36,$M$2:$S$11,8,FALSE)),IF(AND($B667="On",$B666="Contract College",$B$7="Research"),(HLOOKUP(C$36,$M$2:$S$11,6,FALSE)),(HLOOKUP(C$36,$M$2:$S$11,7,FALSE)))))</f>
        <v>0.56999999999999995</v>
      </c>
      <c r="D677" s="651">
        <f t="shared" si="908"/>
        <v>0.56999999999999995</v>
      </c>
      <c r="E677" s="651">
        <f t="shared" si="908"/>
        <v>0.56999999999999995</v>
      </c>
      <c r="F677" s="651">
        <f t="shared" si="908"/>
        <v>0.56999999999999995</v>
      </c>
      <c r="G677" s="651">
        <f t="shared" si="908"/>
        <v>0.56999999999999995</v>
      </c>
      <c r="H677" s="660"/>
      <c r="I677" s="660"/>
      <c r="J677" s="660"/>
      <c r="K677" s="111"/>
    </row>
    <row r="678" spans="1:11" x14ac:dyDescent="0.25">
      <c r="A678" s="651" t="str">
        <f>IF($B$11="Yes","","Rate Allowed by Sponsor:")</f>
        <v>Rate Allowed by Sponsor:</v>
      </c>
      <c r="B678" s="661">
        <f t="shared" ref="B678:G678" si="909">IF($B$11="Yes","",IF($B$11="No",HLOOKUP(B$36,$M$2:$S$11,10,FALSE),(HLOOKUP(B$36,$M$2:$S$11,10,FALSE))))</f>
        <v>0.2</v>
      </c>
      <c r="C678" s="661">
        <f t="shared" si="909"/>
        <v>0.2</v>
      </c>
      <c r="D678" s="661">
        <f t="shared" si="909"/>
        <v>0.2</v>
      </c>
      <c r="E678" s="661">
        <f t="shared" si="909"/>
        <v>0.2</v>
      </c>
      <c r="F678" s="661">
        <f t="shared" si="909"/>
        <v>0.2</v>
      </c>
      <c r="G678" s="661">
        <f t="shared" si="909"/>
        <v>0.2</v>
      </c>
      <c r="H678" s="662"/>
      <c r="I678" s="662"/>
      <c r="J678" s="662"/>
      <c r="K678" s="111"/>
    </row>
    <row r="679" spans="1:11" x14ac:dyDescent="0.25">
      <c r="B679" s="82"/>
      <c r="C679" s="82"/>
      <c r="D679" s="82"/>
      <c r="E679" s="82"/>
      <c r="F679" s="82"/>
      <c r="G679" s="82"/>
    </row>
    <row r="680" spans="1:11" ht="20.25" x14ac:dyDescent="0.3">
      <c r="A680" s="64" t="s">
        <v>59</v>
      </c>
      <c r="B680" s="113"/>
      <c r="C680" s="113"/>
      <c r="D680" s="113"/>
      <c r="E680" s="113"/>
      <c r="F680" s="113"/>
      <c r="G680" s="113"/>
      <c r="H680" s="113"/>
    </row>
    <row r="681" spans="1:11" ht="15.75" x14ac:dyDescent="0.25">
      <c r="A681" s="114" t="s">
        <v>102</v>
      </c>
      <c r="B681" s="115" t="str">
        <f t="shared" ref="B681:H681" si="910">IF(B684=$Z$5,$Z$9,IF(B684=$AA$5,$AA$9,IF(B684=$AB$5,$AB$9,IF(B684=$AC$5,$AC$9,IF(B684=$AD$5,$AD$9," ")))))</f>
        <v xml:space="preserve"> </v>
      </c>
      <c r="C681" s="115" t="str">
        <f t="shared" si="910"/>
        <v>2023-2023</v>
      </c>
      <c r="D681" s="115" t="str">
        <f t="shared" si="910"/>
        <v>2024-2024</v>
      </c>
      <c r="E681" s="115" t="str">
        <f t="shared" si="910"/>
        <v>2025-2025</v>
      </c>
      <c r="F681" s="115" t="str">
        <f t="shared" si="910"/>
        <v>2026-2026</v>
      </c>
      <c r="G681" s="115" t="str">
        <f t="shared" si="910"/>
        <v>2027-2027</v>
      </c>
      <c r="H681" s="115" t="str">
        <f t="shared" si="910"/>
        <v xml:space="preserve"> </v>
      </c>
    </row>
    <row r="683" spans="1:11" x14ac:dyDescent="0.25">
      <c r="A683" s="663" t="str">
        <f>CONCATENATE("Calculation based on ",I685," month salary")</f>
        <v>Calculation based on 9 month salary</v>
      </c>
      <c r="B683" s="113" t="str">
        <f t="shared" ref="B683:H683" si="911">IF(AND(B684=$Z$5,$I685=9),$Z$3,IF(AND(B684=$AA$5,$I685=9),$AA$3,IF(AND(B684=$AB$5,$I685=9),$AB$3,IF(AND(B684=$AC$5,$I685=9),$AC$3,IF(AND(B684=$AD$5,$I685=9),$AD$3,IF(AND(B684=$Z$4,$I685=12),$Z$3,IF(AND(B684=$AA$4,$I685=12),$AA$3,IF(AND(B684=$AB$4,$I685=12),$AB$3,IF(AND(B684=$AC$4,$I685=12),$AC$3,IF(AND(B684=$AD$4,$I685=12),$AD$3," "))))))))))</f>
        <v xml:space="preserve"> </v>
      </c>
      <c r="C683" s="113" t="str">
        <f t="shared" si="911"/>
        <v>Year 1</v>
      </c>
      <c r="D683" s="113" t="str">
        <f t="shared" si="911"/>
        <v>Year 2</v>
      </c>
      <c r="E683" s="113" t="str">
        <f t="shared" si="911"/>
        <v>Year 3</v>
      </c>
      <c r="F683" s="113" t="str">
        <f t="shared" si="911"/>
        <v>Year 4</v>
      </c>
      <c r="G683" s="113" t="str">
        <f t="shared" si="911"/>
        <v>Year 5</v>
      </c>
      <c r="H683" s="113" t="str">
        <f t="shared" si="911"/>
        <v xml:space="preserve"> </v>
      </c>
    </row>
    <row r="684" spans="1:11" x14ac:dyDescent="0.25">
      <c r="A684" s="664" t="str">
        <f>+B663</f>
        <v>Co-PI</v>
      </c>
      <c r="B684" s="84" t="str">
        <f>+M$2</f>
        <v>FY2023</v>
      </c>
      <c r="C684" s="84" t="str">
        <f t="shared" ref="C684" si="912">+N$2</f>
        <v>FY2024</v>
      </c>
      <c r="D684" s="84" t="str">
        <f t="shared" ref="D684" si="913">+O$2</f>
        <v>FY2025</v>
      </c>
      <c r="E684" s="84" t="str">
        <f t="shared" ref="E684" si="914">+P$2</f>
        <v>FY2026</v>
      </c>
      <c r="F684" s="84" t="str">
        <f t="shared" ref="F684" si="915">+Q$2</f>
        <v>FY2027</v>
      </c>
      <c r="G684" s="84" t="str">
        <f t="shared" ref="G684" si="916">+R$2</f>
        <v>FY2028</v>
      </c>
      <c r="H684" s="84" t="str">
        <f t="shared" ref="H684" si="917">+S$2</f>
        <v>FY2029</v>
      </c>
      <c r="I684" s="56" t="s">
        <v>20</v>
      </c>
      <c r="J684" s="100" t="s">
        <v>77</v>
      </c>
      <c r="K684" s="100"/>
    </row>
    <row r="685" spans="1:11" x14ac:dyDescent="0.25">
      <c r="A685" s="665" t="str">
        <f>CONCATENATE("Base Salary: ",I685," month term")</f>
        <v>Base Salary: 9 month term</v>
      </c>
      <c r="B685" s="93">
        <v>0</v>
      </c>
      <c r="C685" s="118">
        <f>ROUND(+B685*(1+J685),0)</f>
        <v>0</v>
      </c>
      <c r="D685" s="118">
        <f>ROUND(+C685*(1+J685),0)</f>
        <v>0</v>
      </c>
      <c r="E685" s="118">
        <f>ROUND(+D685*(1+J685),0)</f>
        <v>0</v>
      </c>
      <c r="F685" s="118">
        <f>ROUND(+E685*(1+J685),0)</f>
        <v>0</v>
      </c>
      <c r="G685" s="118">
        <f>ROUND(+F685*(1+J685),0)</f>
        <v>0</v>
      </c>
      <c r="H685" s="118">
        <f>ROUND(+G685*(1+J685),0)</f>
        <v>0</v>
      </c>
      <c r="I685" s="74">
        <v>9</v>
      </c>
      <c r="J685" s="81">
        <v>0.03</v>
      </c>
      <c r="K685" s="81"/>
    </row>
    <row r="686" spans="1:11" x14ac:dyDescent="0.25">
      <c r="A686" s="665" t="s">
        <v>49</v>
      </c>
      <c r="B686" s="86">
        <v>0</v>
      </c>
      <c r="C686" s="86">
        <v>0</v>
      </c>
      <c r="D686" s="86">
        <v>0</v>
      </c>
      <c r="E686" s="86">
        <v>0</v>
      </c>
      <c r="F686" s="86">
        <v>0</v>
      </c>
      <c r="G686" s="86">
        <v>0</v>
      </c>
      <c r="H686" s="86">
        <v>0</v>
      </c>
      <c r="I686" s="49"/>
      <c r="J686" s="49"/>
      <c r="K686" s="49"/>
    </row>
    <row r="687" spans="1:11" x14ac:dyDescent="0.25">
      <c r="A687" s="665" t="str">
        <f>CONCATENATE("FTE for ",I685," Months")</f>
        <v>FTE for 9 Months</v>
      </c>
      <c r="B687" s="85">
        <f t="shared" ref="B687:H687" si="918">+B686/$I685</f>
        <v>0</v>
      </c>
      <c r="C687" s="85">
        <f t="shared" si="918"/>
        <v>0</v>
      </c>
      <c r="D687" s="85">
        <f t="shared" si="918"/>
        <v>0</v>
      </c>
      <c r="E687" s="85">
        <f t="shared" si="918"/>
        <v>0</v>
      </c>
      <c r="F687" s="85">
        <f t="shared" si="918"/>
        <v>0</v>
      </c>
      <c r="G687" s="85">
        <f t="shared" si="918"/>
        <v>0</v>
      </c>
      <c r="H687" s="85">
        <f t="shared" si="918"/>
        <v>0</v>
      </c>
      <c r="I687" s="100"/>
      <c r="J687" s="100"/>
      <c r="K687" s="100"/>
    </row>
    <row r="688" spans="1:11" x14ac:dyDescent="0.25">
      <c r="A688" s="666" t="s">
        <v>60</v>
      </c>
      <c r="B688" s="124">
        <f t="shared" ref="B688:H688" si="919">+B686/12</f>
        <v>0</v>
      </c>
      <c r="C688" s="125">
        <f t="shared" si="919"/>
        <v>0</v>
      </c>
      <c r="D688" s="124">
        <f t="shared" si="919"/>
        <v>0</v>
      </c>
      <c r="E688" s="124">
        <f t="shared" si="919"/>
        <v>0</v>
      </c>
      <c r="F688" s="124">
        <f t="shared" si="919"/>
        <v>0</v>
      </c>
      <c r="G688" s="124">
        <f t="shared" si="919"/>
        <v>0</v>
      </c>
      <c r="H688" s="124">
        <f t="shared" si="919"/>
        <v>0</v>
      </c>
      <c r="I688" s="100"/>
      <c r="J688" s="100"/>
      <c r="K688" s="100"/>
    </row>
    <row r="689" spans="1:16" x14ac:dyDescent="0.25">
      <c r="A689" s="665" t="s">
        <v>21</v>
      </c>
      <c r="B689" s="485">
        <f t="shared" ref="B689:H689" si="920">IF($B$3="NIH",IF(IF($I685=9,ROUND(B685*B687,0),IF($I685=12,ROUND((B685*B687*$N$41)+(C685*B687*$N$42),0),0))&lt;IF($I685=9,ROUND($M$13*B687,0),IF($I685=12,ROUND(($M$14*B687*$N$41)+($M$14*B687*$N$42),0),0)),IF($I685=9,ROUND(B685*B687,0),IF($I685=12,ROUND((B685*B687*$N$41)+(C685*B687*$N$42),0),0)),IF($I685=9,ROUND($M$13*B687,0),IF($I685=12,ROUND(($M$14*B687*$N$41)+($M$14*B687*$N$42),0),0))),IF($I685=9,ROUND(B685*B687,0),IF($I685=12,ROUND((B685*B687*$N$41)+(C685*B687*$N$42),0),0)))</f>
        <v>0</v>
      </c>
      <c r="C689" s="485">
        <f t="shared" si="920"/>
        <v>0</v>
      </c>
      <c r="D689" s="485">
        <f t="shared" si="920"/>
        <v>0</v>
      </c>
      <c r="E689" s="485">
        <f t="shared" si="920"/>
        <v>0</v>
      </c>
      <c r="F689" s="485">
        <f t="shared" si="920"/>
        <v>0</v>
      </c>
      <c r="G689" s="485">
        <f t="shared" si="920"/>
        <v>0</v>
      </c>
      <c r="H689" s="485">
        <f t="shared" si="920"/>
        <v>0</v>
      </c>
      <c r="I689" s="100"/>
      <c r="J689" s="100"/>
      <c r="K689" s="100"/>
    </row>
    <row r="690" spans="1:16" x14ac:dyDescent="0.25">
      <c r="A690" s="725" t="str">
        <f>IF($B$3="NIH",IF(I685=9,CONCATENATE("NIH ",I685," Month Salary Cap = ",TEXT($M$13,"$0,000")),IF(I685=12,CONCATENATE("NIH ",I685," Month Salary Cap = ",TEXT($M$14,"$0,000")),"N/A"))," ")</f>
        <v xml:space="preserve"> </v>
      </c>
      <c r="I690" s="100"/>
      <c r="J690" s="100"/>
      <c r="K690" s="100"/>
    </row>
    <row r="691" spans="1:16" x14ac:dyDescent="0.25">
      <c r="A691" s="666" t="s">
        <v>189</v>
      </c>
      <c r="B691" s="86">
        <v>0</v>
      </c>
      <c r="C691" s="86">
        <v>0</v>
      </c>
      <c r="D691" s="86">
        <v>0</v>
      </c>
      <c r="E691" s="86">
        <v>0</v>
      </c>
      <c r="F691" s="86">
        <v>0</v>
      </c>
      <c r="G691" s="86">
        <v>0</v>
      </c>
      <c r="H691" s="86">
        <v>0</v>
      </c>
      <c r="I691" s="100"/>
      <c r="J691" s="100"/>
      <c r="K691" s="100"/>
    </row>
    <row r="692" spans="1:16" x14ac:dyDescent="0.25">
      <c r="A692" s="666" t="str">
        <f>CONCATENATE("FTE for ",I685," Months")</f>
        <v>FTE for 9 Months</v>
      </c>
      <c r="B692" s="85">
        <f t="shared" ref="B692:H692" si="921">+B691/$I685</f>
        <v>0</v>
      </c>
      <c r="C692" s="85">
        <f t="shared" si="921"/>
        <v>0</v>
      </c>
      <c r="D692" s="85">
        <f t="shared" si="921"/>
        <v>0</v>
      </c>
      <c r="E692" s="85">
        <f t="shared" si="921"/>
        <v>0</v>
      </c>
      <c r="F692" s="85">
        <f t="shared" si="921"/>
        <v>0</v>
      </c>
      <c r="G692" s="85">
        <f t="shared" si="921"/>
        <v>0</v>
      </c>
      <c r="H692" s="85">
        <f t="shared" si="921"/>
        <v>0</v>
      </c>
      <c r="I692" s="100"/>
      <c r="J692" s="100"/>
      <c r="K692" s="100"/>
    </row>
    <row r="693" spans="1:16" x14ac:dyDescent="0.25">
      <c r="A693" s="666" t="s">
        <v>60</v>
      </c>
      <c r="B693" s="124">
        <f t="shared" ref="B693:H693" si="922">+B691/12</f>
        <v>0</v>
      </c>
      <c r="C693" s="125">
        <f t="shared" si="922"/>
        <v>0</v>
      </c>
      <c r="D693" s="124">
        <f t="shared" si="922"/>
        <v>0</v>
      </c>
      <c r="E693" s="124">
        <f t="shared" si="922"/>
        <v>0</v>
      </c>
      <c r="F693" s="124">
        <f t="shared" si="922"/>
        <v>0</v>
      </c>
      <c r="G693" s="124">
        <f t="shared" si="922"/>
        <v>0</v>
      </c>
      <c r="H693" s="124">
        <f t="shared" si="922"/>
        <v>0</v>
      </c>
      <c r="I693" s="100"/>
      <c r="J693" s="100"/>
      <c r="K693" s="100"/>
    </row>
    <row r="694" spans="1:16" x14ac:dyDescent="0.25">
      <c r="A694" s="666" t="s">
        <v>204</v>
      </c>
      <c r="B694" s="119">
        <f t="shared" ref="B694:H694" si="923">IF($I685=9,ROUND(B685*B692,0),IF($I685=12,ROUND((B685*B692*$N$41)+(C685*B692*$N$42),0),0))</f>
        <v>0</v>
      </c>
      <c r="C694" s="119">
        <f t="shared" si="923"/>
        <v>0</v>
      </c>
      <c r="D694" s="119">
        <f t="shared" si="923"/>
        <v>0</v>
      </c>
      <c r="E694" s="119">
        <f t="shared" si="923"/>
        <v>0</v>
      </c>
      <c r="F694" s="119">
        <f t="shared" si="923"/>
        <v>0</v>
      </c>
      <c r="G694" s="119">
        <f t="shared" si="923"/>
        <v>0</v>
      </c>
      <c r="H694" s="119">
        <f t="shared" si="923"/>
        <v>0</v>
      </c>
      <c r="I694" s="100"/>
      <c r="J694" s="100"/>
      <c r="K694" s="100"/>
    </row>
    <row r="695" spans="1:16" x14ac:dyDescent="0.25">
      <c r="A695" s="666" t="str">
        <f>IF($B$3="NIH", "Over the Salary Limit", " ")</f>
        <v xml:space="preserve"> </v>
      </c>
      <c r="B695" s="486">
        <f>IF($B$3="NIH",IF(AND($I685=9,B685&lt;$M$13),0,IF(AND($I685=9,B685&gt;=$M$13),ROUND((B685*B687)-($M$13*B687),0),IF(AND($I685=12,B685&lt;$M$14),0,IF(AND($I685=12,B685&gt;=$M$14),ROUND(((B685*B687*$N$41)+(C685*B687*$N$42))-($M$14*B687),0))))),0)</f>
        <v>0</v>
      </c>
      <c r="C695" s="486">
        <f t="shared" ref="C695:H695" si="924">IF($B$3="NIH",IF(AND($I685=9,C685&lt;$M$13),0,IF(AND($I685=9,C685&gt;=$M$13),ROUND((C685*C687)-($M$13*C687),0),IF(AND($I685=12,C685&lt;$M$14),0,IF(AND($I685=12,C685&gt;=$M$14),ROUND(((C685*C687*$N$41)+(D685*C687*$N$42))-($M$14*C687),0))))),0)</f>
        <v>0</v>
      </c>
      <c r="D695" s="486">
        <f t="shared" si="924"/>
        <v>0</v>
      </c>
      <c r="E695" s="486">
        <f t="shared" si="924"/>
        <v>0</v>
      </c>
      <c r="F695" s="486">
        <f t="shared" si="924"/>
        <v>0</v>
      </c>
      <c r="G695" s="486">
        <f t="shared" si="924"/>
        <v>0</v>
      </c>
      <c r="H695" s="486">
        <f t="shared" si="924"/>
        <v>0</v>
      </c>
      <c r="I695" s="100"/>
      <c r="J695" s="100"/>
      <c r="K695" s="100"/>
    </row>
    <row r="696" spans="1:16" x14ac:dyDescent="0.25">
      <c r="A696" s="653"/>
      <c r="I696" s="100"/>
      <c r="J696" s="100"/>
      <c r="K696" s="100"/>
    </row>
    <row r="697" spans="1:16" x14ac:dyDescent="0.25">
      <c r="A697" s="663" t="str">
        <f>CONCATENATE("Calculation based on ",I699," month salary")</f>
        <v>Calculation based on 9 month salary</v>
      </c>
      <c r="B697" s="113" t="str">
        <f t="shared" ref="B697:H697" si="925">IF(AND(B698=$Z$5,$I699=9),$Z$3,IF(AND(B698=$AA$5,$I699=9),$AA$3,IF(AND(B698=$AB$5,$I699=9),$AB$3,IF(AND(B698=$AC$5,$I699=9),$AC$3,IF(AND(B698=$AD$5,$I699=9),$AD$3,IF(AND(B698=$Z$4,$I699=12),$Z$3,IF(AND(B698=$AA$4,$I699=12),$AA$3,IF(AND(B698=$AB$4,$I699=12),$AB$3,IF(AND(B698=$AC$4,$I699=12),$AC$3,IF(AND(B698=$AD$4,$I699=12),$AD$3," "))))))))))</f>
        <v xml:space="preserve"> </v>
      </c>
      <c r="C697" s="113" t="str">
        <f t="shared" si="925"/>
        <v>Year 1</v>
      </c>
      <c r="D697" s="113" t="str">
        <f t="shared" si="925"/>
        <v>Year 2</v>
      </c>
      <c r="E697" s="113" t="str">
        <f t="shared" si="925"/>
        <v>Year 3</v>
      </c>
      <c r="F697" s="113" t="str">
        <f t="shared" si="925"/>
        <v>Year 4</v>
      </c>
      <c r="G697" s="113" t="str">
        <f t="shared" si="925"/>
        <v>Year 5</v>
      </c>
      <c r="H697" s="113" t="str">
        <f t="shared" si="925"/>
        <v xml:space="preserve"> </v>
      </c>
      <c r="I697" s="100"/>
      <c r="J697" s="100"/>
      <c r="K697" s="100"/>
      <c r="P697" s="47"/>
    </row>
    <row r="698" spans="1:16" x14ac:dyDescent="0.25">
      <c r="A698" s="664" t="str">
        <f>+B664</f>
        <v>Co-PI</v>
      </c>
      <c r="B698" s="84" t="str">
        <f>+M$2</f>
        <v>FY2023</v>
      </c>
      <c r="C698" s="84" t="str">
        <f t="shared" ref="C698" si="926">+N$2</f>
        <v>FY2024</v>
      </c>
      <c r="D698" s="84" t="str">
        <f t="shared" ref="D698" si="927">+O$2</f>
        <v>FY2025</v>
      </c>
      <c r="E698" s="84" t="str">
        <f t="shared" ref="E698" si="928">+P$2</f>
        <v>FY2026</v>
      </c>
      <c r="F698" s="84" t="str">
        <f t="shared" ref="F698" si="929">+Q$2</f>
        <v>FY2027</v>
      </c>
      <c r="G698" s="84" t="str">
        <f t="shared" ref="G698" si="930">+R$2</f>
        <v>FY2028</v>
      </c>
      <c r="H698" s="84" t="str">
        <f t="shared" ref="H698" si="931">+S$2</f>
        <v>FY2029</v>
      </c>
      <c r="I698" s="56" t="s">
        <v>20</v>
      </c>
      <c r="J698" s="100" t="s">
        <v>77</v>
      </c>
      <c r="K698" s="100"/>
      <c r="P698" s="47"/>
    </row>
    <row r="699" spans="1:16" x14ac:dyDescent="0.25">
      <c r="A699" s="665" t="str">
        <f>CONCATENATE("Base Salary: ",I699," month term")</f>
        <v>Base Salary: 9 month term</v>
      </c>
      <c r="B699" s="93">
        <v>0</v>
      </c>
      <c r="C699" s="118">
        <f>ROUND(+B699*(1+J699),0)</f>
        <v>0</v>
      </c>
      <c r="D699" s="118">
        <f>ROUND(+C699*(1+J699),0)</f>
        <v>0</v>
      </c>
      <c r="E699" s="118">
        <f>ROUND(+D699*(1+J699),0)</f>
        <v>0</v>
      </c>
      <c r="F699" s="118">
        <f>ROUND(+E699*(1+J699),0)</f>
        <v>0</v>
      </c>
      <c r="G699" s="118">
        <f>ROUND(+F699*(1+J699),0)</f>
        <v>0</v>
      </c>
      <c r="H699" s="118">
        <f>ROUND(+G699*(1+J699),0)</f>
        <v>0</v>
      </c>
      <c r="I699" s="74">
        <v>9</v>
      </c>
      <c r="J699" s="81">
        <v>0.03</v>
      </c>
      <c r="K699" s="81"/>
      <c r="P699" s="47"/>
    </row>
    <row r="700" spans="1:16" x14ac:dyDescent="0.25">
      <c r="A700" s="665" t="s">
        <v>49</v>
      </c>
      <c r="B700" s="86">
        <v>0</v>
      </c>
      <c r="C700" s="86">
        <v>0</v>
      </c>
      <c r="D700" s="86">
        <v>0</v>
      </c>
      <c r="E700" s="86">
        <v>0</v>
      </c>
      <c r="F700" s="86">
        <v>0</v>
      </c>
      <c r="G700" s="86">
        <v>0</v>
      </c>
      <c r="H700" s="86">
        <v>0</v>
      </c>
      <c r="I700" s="49"/>
      <c r="J700" s="49"/>
      <c r="K700" s="49"/>
    </row>
    <row r="701" spans="1:16" x14ac:dyDescent="0.25">
      <c r="A701" s="665" t="str">
        <f>CONCATENATE("FTE for ",I699," Months")</f>
        <v>FTE for 9 Months</v>
      </c>
      <c r="B701" s="85">
        <f t="shared" ref="B701:H701" si="932">+B700/$I699</f>
        <v>0</v>
      </c>
      <c r="C701" s="85">
        <f t="shared" si="932"/>
        <v>0</v>
      </c>
      <c r="D701" s="85">
        <f t="shared" si="932"/>
        <v>0</v>
      </c>
      <c r="E701" s="85">
        <f t="shared" si="932"/>
        <v>0</v>
      </c>
      <c r="F701" s="85">
        <f t="shared" si="932"/>
        <v>0</v>
      </c>
      <c r="G701" s="85">
        <f t="shared" si="932"/>
        <v>0</v>
      </c>
      <c r="H701" s="85">
        <f t="shared" si="932"/>
        <v>0</v>
      </c>
      <c r="I701" s="100"/>
      <c r="J701" s="100"/>
      <c r="K701" s="100"/>
    </row>
    <row r="702" spans="1:16" x14ac:dyDescent="0.25">
      <c r="A702" s="666" t="s">
        <v>60</v>
      </c>
      <c r="B702" s="124">
        <f>+B700/12</f>
        <v>0</v>
      </c>
      <c r="C702" s="125">
        <f>+C700/12</f>
        <v>0</v>
      </c>
      <c r="D702" s="124">
        <f t="shared" ref="D702:H702" si="933">+D700/12</f>
        <v>0</v>
      </c>
      <c r="E702" s="124">
        <f t="shared" si="933"/>
        <v>0</v>
      </c>
      <c r="F702" s="124">
        <f t="shared" si="933"/>
        <v>0</v>
      </c>
      <c r="G702" s="124">
        <f t="shared" si="933"/>
        <v>0</v>
      </c>
      <c r="H702" s="124">
        <f t="shared" si="933"/>
        <v>0</v>
      </c>
      <c r="I702" s="100"/>
      <c r="J702" s="100"/>
      <c r="K702" s="100"/>
    </row>
    <row r="703" spans="1:16" x14ac:dyDescent="0.25">
      <c r="A703" s="665" t="s">
        <v>21</v>
      </c>
      <c r="B703" s="485">
        <f t="shared" ref="B703:H703" si="934">IF($B$3="NIH",IF(IF($I699=9,ROUND(B699*B701,0),IF($I699=12,ROUND((B699*B701*$N$41)+(C699*B701*$N$42),0),0))&lt;IF($I699=9,ROUND($M$13*B701,0),IF($I699=12,ROUND(($M$14*B701*$N$41)+($M$14*B701*$N$42),0),0)),IF($I699=9,ROUND(B699*B701,0),IF($I699=12,ROUND((B699*B701*$N$41)+(C699*B701*$N$42),0),0)),IF($I699=9,ROUND($M$13*B701,0),IF($I699=12,ROUND(($M$14*B701*$N$41)+($M$14*B701*$N$42),0),0))),IF($I699=9,ROUND(B699*B701,0),IF($I699=12,ROUND((B699*B701*$N$41)+(C699*B701*$N$42),0),0)))</f>
        <v>0</v>
      </c>
      <c r="C703" s="485">
        <f t="shared" si="934"/>
        <v>0</v>
      </c>
      <c r="D703" s="485">
        <f t="shared" si="934"/>
        <v>0</v>
      </c>
      <c r="E703" s="485">
        <f t="shared" si="934"/>
        <v>0</v>
      </c>
      <c r="F703" s="485">
        <f t="shared" si="934"/>
        <v>0</v>
      </c>
      <c r="G703" s="485">
        <f t="shared" si="934"/>
        <v>0</v>
      </c>
      <c r="H703" s="485">
        <f t="shared" si="934"/>
        <v>0</v>
      </c>
      <c r="I703" s="100"/>
      <c r="J703" s="100"/>
      <c r="K703" s="100"/>
    </row>
    <row r="704" spans="1:16" x14ac:dyDescent="0.25">
      <c r="A704" s="725" t="str">
        <f>IF($B$3="NIH",IF(I699=9,CONCATENATE("NIH ",I699," Month Salary Cap = ",TEXT($M$13,"$0,000")),IF(I699=12,CONCATENATE("NIH ",I699," Month Salary Cap = ",TEXT($M$14,"$0,000")),"N/A"))," ")</f>
        <v xml:space="preserve"> </v>
      </c>
      <c r="I704" s="100"/>
      <c r="J704" s="100"/>
      <c r="K704" s="100"/>
    </row>
    <row r="705" spans="1:17" x14ac:dyDescent="0.25">
      <c r="A705" s="666" t="s">
        <v>189</v>
      </c>
      <c r="B705" s="86">
        <v>0</v>
      </c>
      <c r="C705" s="86">
        <v>0</v>
      </c>
      <c r="D705" s="86">
        <v>0</v>
      </c>
      <c r="E705" s="86">
        <v>0</v>
      </c>
      <c r="F705" s="86">
        <v>0</v>
      </c>
      <c r="G705" s="86">
        <v>0</v>
      </c>
      <c r="H705" s="86">
        <v>0</v>
      </c>
      <c r="I705" s="100"/>
      <c r="J705" s="100"/>
      <c r="K705" s="100"/>
    </row>
    <row r="706" spans="1:17" x14ac:dyDescent="0.25">
      <c r="A706" s="666" t="str">
        <f>CONCATENATE("FTE for ",I699," Months")</f>
        <v>FTE for 9 Months</v>
      </c>
      <c r="B706" s="85">
        <f t="shared" ref="B706:H706" si="935">+B705/$I699</f>
        <v>0</v>
      </c>
      <c r="C706" s="85">
        <f t="shared" si="935"/>
        <v>0</v>
      </c>
      <c r="D706" s="85">
        <f t="shared" si="935"/>
        <v>0</v>
      </c>
      <c r="E706" s="85">
        <f t="shared" si="935"/>
        <v>0</v>
      </c>
      <c r="F706" s="85">
        <f t="shared" si="935"/>
        <v>0</v>
      </c>
      <c r="G706" s="85">
        <f t="shared" si="935"/>
        <v>0</v>
      </c>
      <c r="H706" s="85">
        <f t="shared" si="935"/>
        <v>0</v>
      </c>
      <c r="I706" s="100"/>
      <c r="J706" s="100"/>
      <c r="K706" s="100"/>
    </row>
    <row r="707" spans="1:17" x14ac:dyDescent="0.25">
      <c r="A707" s="666" t="s">
        <v>60</v>
      </c>
      <c r="B707" s="124">
        <f t="shared" ref="B707:H707" si="936">+B705/12</f>
        <v>0</v>
      </c>
      <c r="C707" s="125">
        <f t="shared" si="936"/>
        <v>0</v>
      </c>
      <c r="D707" s="124">
        <f t="shared" si="936"/>
        <v>0</v>
      </c>
      <c r="E707" s="124">
        <f t="shared" si="936"/>
        <v>0</v>
      </c>
      <c r="F707" s="124">
        <f t="shared" si="936"/>
        <v>0</v>
      </c>
      <c r="G707" s="124">
        <f t="shared" si="936"/>
        <v>0</v>
      </c>
      <c r="H707" s="124">
        <f t="shared" si="936"/>
        <v>0</v>
      </c>
      <c r="I707" s="100"/>
      <c r="J707" s="100"/>
      <c r="K707" s="100"/>
    </row>
    <row r="708" spans="1:17" x14ac:dyDescent="0.25">
      <c r="A708" s="666" t="s">
        <v>204</v>
      </c>
      <c r="B708" s="119">
        <f t="shared" ref="B708:H708" si="937">IF($I699=9,ROUND(B699*B706,0),IF($I699=12,ROUND((B699*B706*$N$41)+(C699*B706*$N$42),0),0))</f>
        <v>0</v>
      </c>
      <c r="C708" s="119">
        <f t="shared" si="937"/>
        <v>0</v>
      </c>
      <c r="D708" s="119">
        <f t="shared" si="937"/>
        <v>0</v>
      </c>
      <c r="E708" s="119">
        <f t="shared" si="937"/>
        <v>0</v>
      </c>
      <c r="F708" s="119">
        <f t="shared" si="937"/>
        <v>0</v>
      </c>
      <c r="G708" s="119">
        <f t="shared" si="937"/>
        <v>0</v>
      </c>
      <c r="H708" s="119">
        <f t="shared" si="937"/>
        <v>0</v>
      </c>
      <c r="I708" s="100"/>
      <c r="J708" s="100"/>
      <c r="K708" s="100"/>
    </row>
    <row r="709" spans="1:17" x14ac:dyDescent="0.25">
      <c r="A709" s="666" t="str">
        <f>IF($B$3="NIH", "Over the Salary Limit", " ")</f>
        <v xml:space="preserve"> </v>
      </c>
      <c r="B709" s="486">
        <f>IF($B$3="NIH",IF(AND($I699=9,B699&lt;$M$13),0,IF(AND($I699=9,B699&gt;=$M$13),ROUND((B699*B701)-($M$13*B701),0),IF(AND($I699=12,B699&lt;$M$14),0,IF(AND($I699=12,B699&gt;=$M$14),ROUND(((B699*B701*$N$41)+(C699*B701*$N$42))-($M$14*B701),0))))),0)</f>
        <v>0</v>
      </c>
      <c r="C709" s="486">
        <f t="shared" ref="C709:H709" si="938">IF($B$3="NIH",IF(AND($I699=9,C699&lt;$M$13),0,IF(AND($I699=9,C699&gt;=$M$13),ROUND((C699*C701)-($M$13*C701),0),IF(AND($I699=12,C699&lt;$M$14),0,IF(AND($I699=12,C699&gt;=$M$14),ROUND(((C699*C701*$N$41)+(D699*C701*$N$42))-($M$14*C701),0))))),0)</f>
        <v>0</v>
      </c>
      <c r="D709" s="486">
        <f t="shared" si="938"/>
        <v>0</v>
      </c>
      <c r="E709" s="486">
        <f t="shared" si="938"/>
        <v>0</v>
      </c>
      <c r="F709" s="486">
        <f t="shared" si="938"/>
        <v>0</v>
      </c>
      <c r="G709" s="486">
        <f t="shared" si="938"/>
        <v>0</v>
      </c>
      <c r="H709" s="486">
        <f t="shared" si="938"/>
        <v>0</v>
      </c>
      <c r="I709" s="100"/>
      <c r="J709" s="100"/>
      <c r="K709" s="100"/>
    </row>
    <row r="710" spans="1:17" x14ac:dyDescent="0.25">
      <c r="A710" s="665"/>
      <c r="B710" s="49"/>
      <c r="C710" s="49"/>
      <c r="D710" s="49"/>
      <c r="E710" s="49"/>
      <c r="F710" s="49"/>
      <c r="G710" s="49"/>
      <c r="H710" s="49"/>
      <c r="I710" s="100"/>
      <c r="J710" s="100"/>
      <c r="K710" s="100"/>
      <c r="L710" s="50"/>
      <c r="M710" s="47"/>
      <c r="N710" s="47"/>
      <c r="O710" s="47"/>
      <c r="P710" s="47"/>
      <c r="Q710" s="47"/>
    </row>
    <row r="711" spans="1:17" x14ac:dyDescent="0.25">
      <c r="A711" s="663" t="str">
        <f>CONCATENATE("Calculation based on ",I713," month salary")</f>
        <v>Calculation based on 9 month salary</v>
      </c>
      <c r="B711" s="113" t="str">
        <f t="shared" ref="B711:H711" si="939">IF(AND(B712=$Z$5,$I713=9),$Z$3,IF(AND(B712=$AA$5,$I713=9),$AA$3,IF(AND(B712=$AB$5,$I713=9),$AB$3,IF(AND(B712=$AC$5,$I713=9),$AC$3,IF(AND(B712=$AD$5,$I713=9),$AD$3,IF(AND(B712=$Z$4,$I713=12),$Z$3,IF(AND(B712=$AA$4,$I713=12),$AA$3,IF(AND(B712=$AB$4,$I713=12),$AB$3,IF(AND(B712=$AC$4,$I713=12),$AC$3,IF(AND(B712=$AD$4,$I713=12),$AD$3," "))))))))))</f>
        <v xml:space="preserve"> </v>
      </c>
      <c r="C711" s="113" t="str">
        <f t="shared" si="939"/>
        <v>Year 1</v>
      </c>
      <c r="D711" s="113" t="str">
        <f t="shared" si="939"/>
        <v>Year 2</v>
      </c>
      <c r="E711" s="113" t="str">
        <f t="shared" si="939"/>
        <v>Year 3</v>
      </c>
      <c r="F711" s="113" t="str">
        <f t="shared" si="939"/>
        <v>Year 4</v>
      </c>
      <c r="G711" s="113" t="str">
        <f t="shared" si="939"/>
        <v>Year 5</v>
      </c>
      <c r="H711" s="113" t="str">
        <f t="shared" si="939"/>
        <v xml:space="preserve"> </v>
      </c>
      <c r="I711" s="100"/>
      <c r="J711" s="100"/>
      <c r="K711" s="100"/>
      <c r="L711" s="50"/>
      <c r="M711" s="47"/>
      <c r="N711" s="47"/>
      <c r="O711" s="47"/>
      <c r="P711" s="47"/>
      <c r="Q711" s="47"/>
    </row>
    <row r="712" spans="1:17" x14ac:dyDescent="0.25">
      <c r="A712" s="664" t="str">
        <f>+B665</f>
        <v>Co-PI</v>
      </c>
      <c r="B712" s="84" t="str">
        <f>+M$2</f>
        <v>FY2023</v>
      </c>
      <c r="C712" s="84" t="str">
        <f t="shared" ref="C712" si="940">+N$2</f>
        <v>FY2024</v>
      </c>
      <c r="D712" s="84" t="str">
        <f t="shared" ref="D712" si="941">+O$2</f>
        <v>FY2025</v>
      </c>
      <c r="E712" s="84" t="str">
        <f t="shared" ref="E712" si="942">+P$2</f>
        <v>FY2026</v>
      </c>
      <c r="F712" s="84" t="str">
        <f t="shared" ref="F712" si="943">+Q$2</f>
        <v>FY2027</v>
      </c>
      <c r="G712" s="84" t="str">
        <f t="shared" ref="G712" si="944">+R$2</f>
        <v>FY2028</v>
      </c>
      <c r="H712" s="84" t="str">
        <f t="shared" ref="H712" si="945">+S$2</f>
        <v>FY2029</v>
      </c>
      <c r="I712" s="56" t="s">
        <v>20</v>
      </c>
      <c r="J712" s="100" t="s">
        <v>77</v>
      </c>
      <c r="K712" s="100"/>
      <c r="L712" s="50"/>
      <c r="M712" s="47"/>
      <c r="N712" s="47"/>
      <c r="O712" s="47"/>
      <c r="P712" s="47"/>
      <c r="Q712" s="47"/>
    </row>
    <row r="713" spans="1:17" x14ac:dyDescent="0.25">
      <c r="A713" s="665" t="str">
        <f>CONCATENATE("Base Salary: ",I713," month term")</f>
        <v>Base Salary: 9 month term</v>
      </c>
      <c r="B713" s="93">
        <v>0</v>
      </c>
      <c r="C713" s="118">
        <f>ROUND(+B713*(1+J713),0)</f>
        <v>0</v>
      </c>
      <c r="D713" s="118">
        <f>ROUND(+C713*(1+J713),0)</f>
        <v>0</v>
      </c>
      <c r="E713" s="118">
        <f>ROUND(+D713*(1+J713),0)</f>
        <v>0</v>
      </c>
      <c r="F713" s="118">
        <f>ROUND(+E713*(1+J713),0)</f>
        <v>0</v>
      </c>
      <c r="G713" s="118">
        <f>ROUND(+F713*(1+J713),0)</f>
        <v>0</v>
      </c>
      <c r="H713" s="118">
        <f>ROUND(+G713*(1+J713),0)</f>
        <v>0</v>
      </c>
      <c r="I713" s="74">
        <v>9</v>
      </c>
      <c r="J713" s="81">
        <v>0.03</v>
      </c>
      <c r="K713" s="100"/>
      <c r="L713" s="50"/>
      <c r="M713" s="47"/>
      <c r="N713" s="47"/>
      <c r="O713" s="47"/>
      <c r="P713" s="47"/>
      <c r="Q713" s="47"/>
    </row>
    <row r="714" spans="1:17" x14ac:dyDescent="0.25">
      <c r="A714" s="665" t="s">
        <v>49</v>
      </c>
      <c r="B714" s="86">
        <v>0</v>
      </c>
      <c r="C714" s="86">
        <v>0</v>
      </c>
      <c r="D714" s="86">
        <v>0</v>
      </c>
      <c r="E714" s="86">
        <v>0</v>
      </c>
      <c r="F714" s="86">
        <v>0</v>
      </c>
      <c r="G714" s="86">
        <v>0</v>
      </c>
      <c r="H714" s="86">
        <v>0</v>
      </c>
      <c r="I714" s="49"/>
      <c r="J714" s="49"/>
      <c r="K714" s="100"/>
      <c r="L714" s="50"/>
      <c r="M714" s="47"/>
      <c r="N714" s="47"/>
      <c r="O714" s="47"/>
      <c r="P714" s="47"/>
      <c r="Q714" s="47"/>
    </row>
    <row r="715" spans="1:17" x14ac:dyDescent="0.25">
      <c r="A715" s="665" t="str">
        <f>CONCATENATE("FTE for ",I713," Months")</f>
        <v>FTE for 9 Months</v>
      </c>
      <c r="B715" s="85">
        <f t="shared" ref="B715:H715" si="946">+B714/$I713</f>
        <v>0</v>
      </c>
      <c r="C715" s="85">
        <f t="shared" si="946"/>
        <v>0</v>
      </c>
      <c r="D715" s="85">
        <f t="shared" si="946"/>
        <v>0</v>
      </c>
      <c r="E715" s="85">
        <f t="shared" si="946"/>
        <v>0</v>
      </c>
      <c r="F715" s="85">
        <f t="shared" si="946"/>
        <v>0</v>
      </c>
      <c r="G715" s="85">
        <f t="shared" si="946"/>
        <v>0</v>
      </c>
      <c r="H715" s="85">
        <f t="shared" si="946"/>
        <v>0</v>
      </c>
      <c r="I715" s="100"/>
      <c r="J715" s="100"/>
      <c r="K715" s="100"/>
      <c r="L715" s="50"/>
      <c r="M715" s="47"/>
      <c r="N715" s="47"/>
      <c r="O715" s="47"/>
      <c r="P715" s="47"/>
      <c r="Q715" s="47"/>
    </row>
    <row r="716" spans="1:17" x14ac:dyDescent="0.25">
      <c r="A716" s="666" t="s">
        <v>60</v>
      </c>
      <c r="B716" s="124">
        <f>+B714/12</f>
        <v>0</v>
      </c>
      <c r="C716" s="125">
        <f>+C714/12</f>
        <v>0</v>
      </c>
      <c r="D716" s="124">
        <f t="shared" ref="D716:H716" si="947">+D714/12</f>
        <v>0</v>
      </c>
      <c r="E716" s="124">
        <f t="shared" si="947"/>
        <v>0</v>
      </c>
      <c r="F716" s="124">
        <f t="shared" si="947"/>
        <v>0</v>
      </c>
      <c r="G716" s="124">
        <f t="shared" si="947"/>
        <v>0</v>
      </c>
      <c r="H716" s="124">
        <f t="shared" si="947"/>
        <v>0</v>
      </c>
      <c r="I716" s="100"/>
      <c r="J716" s="100"/>
      <c r="K716" s="100"/>
      <c r="L716" s="50"/>
      <c r="M716" s="47"/>
      <c r="N716" s="47"/>
      <c r="O716" s="47"/>
      <c r="P716" s="47"/>
      <c r="Q716" s="47"/>
    </row>
    <row r="717" spans="1:17" x14ac:dyDescent="0.25">
      <c r="A717" s="665" t="s">
        <v>21</v>
      </c>
      <c r="B717" s="485">
        <f t="shared" ref="B717:H717" si="948">IF($B$3="NIH",IF(IF($I713=9,ROUND(B713*B715,0),IF($I713=12,ROUND((B713*B715*$N$41)+(C713*B715*$N$42),0),0))&lt;IF($I713=9,ROUND($M$13*B715,0),IF($I713=12,ROUND(($M$14*B715*$N$41)+($M$14*B715*$N$42),0),0)),IF($I713=9,ROUND(B713*B715,0),IF($I713=12,ROUND((B713*B715*$N$41)+(C713*B715*$N$42),0),0)),IF($I713=9,ROUND($M$13*B715,0),IF($I713=12,ROUND(($M$14*B715*$N$41)+($M$14*B715*$N$42),0),0))),IF($I713=9,ROUND(B713*B715,0),IF($I713=12,ROUND((B713*B715*$N$41)+(C713*B715*$N$42),0),0)))</f>
        <v>0</v>
      </c>
      <c r="C717" s="485">
        <f t="shared" si="948"/>
        <v>0</v>
      </c>
      <c r="D717" s="485">
        <f t="shared" si="948"/>
        <v>0</v>
      </c>
      <c r="E717" s="485">
        <f t="shared" si="948"/>
        <v>0</v>
      </c>
      <c r="F717" s="485">
        <f t="shared" si="948"/>
        <v>0</v>
      </c>
      <c r="G717" s="485">
        <f t="shared" si="948"/>
        <v>0</v>
      </c>
      <c r="H717" s="485">
        <f t="shared" si="948"/>
        <v>0</v>
      </c>
      <c r="I717" s="100"/>
      <c r="J717" s="100"/>
      <c r="K717" s="100"/>
    </row>
    <row r="718" spans="1:17" x14ac:dyDescent="0.25">
      <c r="A718" s="725" t="str">
        <f>IF($B$3="NIH",IF(I713=9,CONCATENATE("NIH ",I713," Month Salary Cap = ",TEXT($M$13,"$0,000")),IF(I713=12,CONCATENATE("NIH ",I713," Month Salary Cap = ",TEXT($M$14,"$0,000")),"N/A"))," ")</f>
        <v xml:space="preserve"> </v>
      </c>
      <c r="K718" s="100"/>
    </row>
    <row r="719" spans="1:17" x14ac:dyDescent="0.25">
      <c r="A719" s="666" t="s">
        <v>189</v>
      </c>
      <c r="B719" s="86">
        <v>0</v>
      </c>
      <c r="C719" s="86">
        <v>0</v>
      </c>
      <c r="D719" s="86">
        <v>0</v>
      </c>
      <c r="E719" s="86">
        <v>0</v>
      </c>
      <c r="F719" s="86">
        <v>0</v>
      </c>
      <c r="G719" s="86">
        <v>0</v>
      </c>
      <c r="H719" s="86">
        <v>0</v>
      </c>
      <c r="K719" s="81"/>
    </row>
    <row r="720" spans="1:17" x14ac:dyDescent="0.25">
      <c r="A720" s="666" t="str">
        <f>CONCATENATE("FTE for ",I713," Months")</f>
        <v>FTE for 9 Months</v>
      </c>
      <c r="B720" s="85">
        <f t="shared" ref="B720:H720" si="949">+B719/$I713</f>
        <v>0</v>
      </c>
      <c r="C720" s="85">
        <f t="shared" si="949"/>
        <v>0</v>
      </c>
      <c r="D720" s="85">
        <f t="shared" si="949"/>
        <v>0</v>
      </c>
      <c r="E720" s="85">
        <f t="shared" si="949"/>
        <v>0</v>
      </c>
      <c r="F720" s="85">
        <f t="shared" si="949"/>
        <v>0</v>
      </c>
      <c r="G720" s="85">
        <f t="shared" si="949"/>
        <v>0</v>
      </c>
      <c r="H720" s="85">
        <f t="shared" si="949"/>
        <v>0</v>
      </c>
      <c r="K720" s="668"/>
      <c r="L720" s="66" t="str">
        <f>+L$25</f>
        <v>Graduate Student (Stipend, Tuition, Health Ins) - Contract College Rates:</v>
      </c>
    </row>
    <row r="721" spans="1:20" x14ac:dyDescent="0.25">
      <c r="A721" s="666" t="s">
        <v>60</v>
      </c>
      <c r="B721" s="124">
        <f t="shared" ref="B721:H721" si="950">+B719/12</f>
        <v>0</v>
      </c>
      <c r="C721" s="125">
        <f t="shared" si="950"/>
        <v>0</v>
      </c>
      <c r="D721" s="124">
        <f t="shared" si="950"/>
        <v>0</v>
      </c>
      <c r="E721" s="124">
        <f t="shared" si="950"/>
        <v>0</v>
      </c>
      <c r="F721" s="124">
        <f t="shared" si="950"/>
        <v>0</v>
      </c>
      <c r="G721" s="124">
        <f t="shared" si="950"/>
        <v>0</v>
      </c>
      <c r="H721" s="124">
        <f t="shared" si="950"/>
        <v>0</v>
      </c>
      <c r="K721" s="668"/>
      <c r="L721" s="49"/>
      <c r="M721" s="122" t="str">
        <f>+$M$29</f>
        <v>FY2023</v>
      </c>
      <c r="N721" s="122" t="str">
        <f>+$N$29</f>
        <v>FY2024</v>
      </c>
      <c r="O721" s="122" t="str">
        <f>+$O$29</f>
        <v>FY2025</v>
      </c>
      <c r="P721" s="122" t="str">
        <f>+$P$29</f>
        <v>FY2026</v>
      </c>
      <c r="Q721" s="122" t="str">
        <f>+$Q$29</f>
        <v>FY2027</v>
      </c>
      <c r="R721" s="122" t="str">
        <f>+$R$29</f>
        <v>FY2028</v>
      </c>
      <c r="S721" s="122" t="str">
        <f>+$S$29</f>
        <v>FY2029</v>
      </c>
      <c r="T721" s="123" t="s">
        <v>119</v>
      </c>
    </row>
    <row r="722" spans="1:20" x14ac:dyDescent="0.25">
      <c r="A722" s="666" t="s">
        <v>204</v>
      </c>
      <c r="B722" s="119">
        <f t="shared" ref="B722:H722" si="951">IF($I713=9,ROUND(B713*B720,0),IF($I713=12,ROUND((B713*B720*$N$41)+(C713*B720*$N$42),0),0))</f>
        <v>0</v>
      </c>
      <c r="C722" s="119">
        <f t="shared" si="951"/>
        <v>0</v>
      </c>
      <c r="D722" s="119">
        <f t="shared" si="951"/>
        <v>0</v>
      </c>
      <c r="E722" s="119">
        <f t="shared" si="951"/>
        <v>0</v>
      </c>
      <c r="F722" s="119">
        <f t="shared" si="951"/>
        <v>0</v>
      </c>
      <c r="G722" s="119">
        <f t="shared" si="951"/>
        <v>0</v>
      </c>
      <c r="H722" s="119">
        <f t="shared" si="951"/>
        <v>0</v>
      </c>
      <c r="K722" s="668"/>
      <c r="L722" s="54" t="s">
        <v>35</v>
      </c>
      <c r="M722" s="110">
        <f>+$M$30</f>
        <v>30088</v>
      </c>
      <c r="N722" s="110">
        <f>ROUND(M722*(1+$T722),0)+1</f>
        <v>31593</v>
      </c>
      <c r="O722" s="110">
        <f t="shared" ref="O722:O723" si="952">ROUND(N722*(1+$T722),0)</f>
        <v>33173</v>
      </c>
      <c r="P722" s="110">
        <f t="shared" ref="P722:P723" si="953">ROUND(O722*(1+$T722),0)</f>
        <v>34832</v>
      </c>
      <c r="Q722" s="110">
        <f t="shared" ref="Q722:Q723" si="954">ROUND(P722*(1+$T722),0)</f>
        <v>36574</v>
      </c>
      <c r="R722" s="110">
        <f t="shared" ref="R722:R723" si="955">ROUND(Q722*(1+$T722),0)</f>
        <v>38403</v>
      </c>
      <c r="S722" s="110">
        <f t="shared" ref="S722:S723" si="956">ROUND(R722*(1+$T722),0)</f>
        <v>40323</v>
      </c>
      <c r="T722" s="55">
        <v>0.05</v>
      </c>
    </row>
    <row r="723" spans="1:20" x14ac:dyDescent="0.25">
      <c r="A723" s="666" t="str">
        <f>IF($B$3="NIH", "Over the Salary Limit", " ")</f>
        <v xml:space="preserve"> </v>
      </c>
      <c r="B723" s="486">
        <f>IF($B$3="NIH",IF(AND($I713=9,B713&lt;$M$13),0,IF(AND($I713=9,B713&gt;=$M$13),ROUND((B713*B715)-($M$13*B715),0),IF(AND($I713=12,B713&lt;$M$14),0,IF(AND($I713=12,B713&gt;=$M$14),ROUND(((B713*B715*$N$41)+(C713*B715*$N$42))-($M$14*B715),0))))),0)</f>
        <v>0</v>
      </c>
      <c r="C723" s="486">
        <f t="shared" ref="C723:H723" si="957">IF($B$3="NIH",IF(AND($I713=9,C713&lt;$M$13),0,IF(AND($I713=9,C713&gt;=$M$13),ROUND((C713*C715)-($M$13*C715),0),IF(AND($I713=12,C713&lt;$M$14),0,IF(AND($I713=12,C713&gt;=$M$14),ROUND(((C713*C715*$N$41)+(D713*C715*$N$42))-($M$14*C715),0))))),0)</f>
        <v>0</v>
      </c>
      <c r="D723" s="486">
        <f t="shared" si="957"/>
        <v>0</v>
      </c>
      <c r="E723" s="486">
        <f t="shared" si="957"/>
        <v>0</v>
      </c>
      <c r="F723" s="486">
        <f t="shared" si="957"/>
        <v>0</v>
      </c>
      <c r="G723" s="486">
        <f t="shared" si="957"/>
        <v>0</v>
      </c>
      <c r="H723" s="486">
        <f t="shared" si="957"/>
        <v>0</v>
      </c>
      <c r="K723" s="668"/>
      <c r="L723" s="54" t="s">
        <v>23</v>
      </c>
      <c r="M723" s="110">
        <f>+$M$31</f>
        <v>10029</v>
      </c>
      <c r="N723" s="110">
        <f t="shared" ref="N723" si="958">ROUND(M723*(1+$T723),0)</f>
        <v>10530</v>
      </c>
      <c r="O723" s="110">
        <f t="shared" si="952"/>
        <v>11057</v>
      </c>
      <c r="P723" s="110">
        <f t="shared" si="953"/>
        <v>11610</v>
      </c>
      <c r="Q723" s="110">
        <f t="shared" si="954"/>
        <v>12191</v>
      </c>
      <c r="R723" s="110">
        <f t="shared" si="955"/>
        <v>12801</v>
      </c>
      <c r="S723" s="110">
        <f t="shared" si="956"/>
        <v>13441</v>
      </c>
      <c r="T723" s="97">
        <v>0.05</v>
      </c>
    </row>
    <row r="724" spans="1:20" x14ac:dyDescent="0.25">
      <c r="A724" s="665"/>
      <c r="B724" s="89"/>
      <c r="C724" s="89"/>
      <c r="D724" s="89"/>
      <c r="E724" s="89"/>
      <c r="F724" s="89"/>
      <c r="G724" s="89"/>
      <c r="H724" s="89"/>
      <c r="I724" s="100"/>
      <c r="J724" s="100"/>
      <c r="K724" s="668"/>
      <c r="L724" s="54" t="s">
        <v>30</v>
      </c>
      <c r="M724" s="110">
        <f>+$M$32</f>
        <v>40117</v>
      </c>
      <c r="N724" s="110">
        <f>+N722+N723</f>
        <v>42123</v>
      </c>
      <c r="O724" s="110">
        <f t="shared" ref="O724:S724" si="959">+O722+O723</f>
        <v>44230</v>
      </c>
      <c r="P724" s="110">
        <f t="shared" si="959"/>
        <v>46442</v>
      </c>
      <c r="Q724" s="110">
        <f t="shared" si="959"/>
        <v>48765</v>
      </c>
      <c r="R724" s="110">
        <f t="shared" si="959"/>
        <v>51204</v>
      </c>
      <c r="S724" s="110">
        <f t="shared" si="959"/>
        <v>53764</v>
      </c>
      <c r="T724" s="55"/>
    </row>
    <row r="725" spans="1:20" x14ac:dyDescent="0.25">
      <c r="A725" s="665"/>
      <c r="B725" s="113" t="str">
        <f t="shared" ref="B725:H725" si="960">IF(B726=$Z$4,$Z$3,IF(B726=$AA$4,$AA$3,IF(B726=$AB$4,$AB$3,IF(B726=$AC$4,$AC$3,IF(B726=$AD$4,$AD$3," ")))))</f>
        <v>Year 1</v>
      </c>
      <c r="C725" s="113" t="str">
        <f t="shared" si="960"/>
        <v>Year 2</v>
      </c>
      <c r="D725" s="113" t="str">
        <f t="shared" si="960"/>
        <v>Year 3</v>
      </c>
      <c r="E725" s="113" t="str">
        <f t="shared" si="960"/>
        <v>Year 4</v>
      </c>
      <c r="F725" s="113" t="str">
        <f t="shared" si="960"/>
        <v>Year 5</v>
      </c>
      <c r="G725" s="113" t="str">
        <f t="shared" si="960"/>
        <v xml:space="preserve"> </v>
      </c>
      <c r="H725" s="113" t="str">
        <f t="shared" si="960"/>
        <v xml:space="preserve"> </v>
      </c>
      <c r="I725" s="100"/>
      <c r="J725" s="100"/>
      <c r="K725" s="668"/>
      <c r="L725" s="54" t="s">
        <v>8</v>
      </c>
      <c r="M725" s="110">
        <f>IF(B666="Contract College",$M$33,$M$34)</f>
        <v>10400</v>
      </c>
      <c r="N725" s="110">
        <f>ROUND(M725*(1+$T725),0)</f>
        <v>10400</v>
      </c>
      <c r="O725" s="110">
        <f t="shared" ref="O725:O726" si="961">ROUND(N725*(1+$T725),0)</f>
        <v>10400</v>
      </c>
      <c r="P725" s="110">
        <f t="shared" ref="P725:P726" si="962">ROUND(O725*(1+$T725),0)</f>
        <v>10400</v>
      </c>
      <c r="Q725" s="110">
        <f t="shared" ref="Q725:Q726" si="963">ROUND(P725*(1+$T725),0)</f>
        <v>10400</v>
      </c>
      <c r="R725" s="110">
        <f t="shared" ref="R725:R726" si="964">ROUND(Q725*(1+$T725),0)</f>
        <v>10400</v>
      </c>
      <c r="S725" s="110">
        <f t="shared" ref="S725:S726" si="965">ROUND(R725*(1+$T725),0)</f>
        <v>10400</v>
      </c>
      <c r="T725" s="55">
        <v>0</v>
      </c>
    </row>
    <row r="726" spans="1:20" x14ac:dyDescent="0.25">
      <c r="A726" s="664" t="s">
        <v>120</v>
      </c>
      <c r="B726" s="84" t="str">
        <f>+M$2</f>
        <v>FY2023</v>
      </c>
      <c r="C726" s="84" t="str">
        <f t="shared" ref="C726" si="966">+N$2</f>
        <v>FY2024</v>
      </c>
      <c r="D726" s="84" t="str">
        <f t="shared" ref="D726" si="967">+O$2</f>
        <v>FY2025</v>
      </c>
      <c r="E726" s="84" t="str">
        <f t="shared" ref="E726" si="968">+P$2</f>
        <v>FY2026</v>
      </c>
      <c r="F726" s="84" t="str">
        <f t="shared" ref="F726" si="969">+Q$2</f>
        <v>FY2027</v>
      </c>
      <c r="G726" s="84" t="str">
        <f t="shared" ref="G726" si="970">+R$2</f>
        <v>FY2028</v>
      </c>
      <c r="H726" s="84" t="str">
        <f t="shared" ref="H726" si="971">+S$2</f>
        <v>FY2029</v>
      </c>
      <c r="I726" s="56" t="s">
        <v>20</v>
      </c>
      <c r="J726" s="100" t="s">
        <v>77</v>
      </c>
      <c r="K726" s="668"/>
      <c r="L726" s="54" t="s">
        <v>24</v>
      </c>
      <c r="M726" s="110">
        <f>+$M$35</f>
        <v>4046</v>
      </c>
      <c r="N726" s="110">
        <f>IF(ROUND(M726*(1+$T726),0)=$N$35,ROUND(M726*(1+$T726),0),$N$35)</f>
        <v>4451</v>
      </c>
      <c r="O726" s="110">
        <f t="shared" si="961"/>
        <v>4896</v>
      </c>
      <c r="P726" s="110">
        <f t="shared" si="962"/>
        <v>5386</v>
      </c>
      <c r="Q726" s="110">
        <f t="shared" si="963"/>
        <v>5925</v>
      </c>
      <c r="R726" s="110">
        <f t="shared" si="964"/>
        <v>6518</v>
      </c>
      <c r="S726" s="110">
        <f t="shared" si="965"/>
        <v>7170</v>
      </c>
      <c r="T726" s="55">
        <v>0.1</v>
      </c>
    </row>
    <row r="727" spans="1:20" x14ac:dyDescent="0.25">
      <c r="A727" s="665" t="str">
        <f>CONCATENATE("Base Salary: ",I727," month term")</f>
        <v>Base Salary: 12 month term</v>
      </c>
      <c r="B727" s="93">
        <f>+$M$15</f>
        <v>54840</v>
      </c>
      <c r="C727" s="118">
        <f>ROUND(+B727*(1+J727),0)</f>
        <v>56759</v>
      </c>
      <c r="D727" s="118">
        <f>ROUND(+C727*(1+J727),0)</f>
        <v>58746</v>
      </c>
      <c r="E727" s="118">
        <f>ROUND(+D727*(1+J727),0)</f>
        <v>60802</v>
      </c>
      <c r="F727" s="118">
        <f>ROUND(+E727*(1+J727),0)</f>
        <v>62930</v>
      </c>
      <c r="G727" s="118">
        <f>ROUND(+F727*(1+J727),0)</f>
        <v>65133</v>
      </c>
      <c r="H727" s="118">
        <f>ROUND(+G727*(1+J727),0)</f>
        <v>67413</v>
      </c>
      <c r="I727" s="126">
        <v>12</v>
      </c>
      <c r="J727" s="97">
        <v>3.5000000000000003E-2</v>
      </c>
      <c r="K727" s="668"/>
      <c r="S727" s="47"/>
    </row>
    <row r="728" spans="1:20" x14ac:dyDescent="0.25">
      <c r="A728" s="665" t="s">
        <v>49</v>
      </c>
      <c r="B728" s="86">
        <v>0</v>
      </c>
      <c r="C728" s="86">
        <v>0</v>
      </c>
      <c r="D728" s="86">
        <v>0</v>
      </c>
      <c r="E728" s="86">
        <v>0</v>
      </c>
      <c r="F728" s="86">
        <v>0</v>
      </c>
      <c r="G728" s="86">
        <v>0</v>
      </c>
      <c r="H728" s="86">
        <v>0</v>
      </c>
      <c r="I728" s="49"/>
      <c r="J728" s="49"/>
      <c r="K728" s="668"/>
      <c r="L728" s="129"/>
      <c r="S728" s="47"/>
    </row>
    <row r="729" spans="1:20" x14ac:dyDescent="0.25">
      <c r="A729" s="665" t="str">
        <f>CONCATENATE("FTE for ",I727," Months")</f>
        <v>FTE for 12 Months</v>
      </c>
      <c r="B729" s="85">
        <f t="shared" ref="B729:H729" si="972">+B728/$I727</f>
        <v>0</v>
      </c>
      <c r="C729" s="85">
        <f t="shared" si="972"/>
        <v>0</v>
      </c>
      <c r="D729" s="85">
        <f t="shared" si="972"/>
        <v>0</v>
      </c>
      <c r="E729" s="85">
        <f t="shared" si="972"/>
        <v>0</v>
      </c>
      <c r="F729" s="85">
        <f t="shared" si="972"/>
        <v>0</v>
      </c>
      <c r="G729" s="85">
        <f t="shared" si="972"/>
        <v>0</v>
      </c>
      <c r="H729" s="85">
        <f t="shared" si="972"/>
        <v>0</v>
      </c>
      <c r="I729" s="100"/>
      <c r="J729" s="100"/>
      <c r="K729" s="668"/>
      <c r="M729" s="82" t="str">
        <f>+M93</f>
        <v>Spring 2023</v>
      </c>
      <c r="N729" s="82" t="str">
        <f t="shared" ref="N729:Q732" si="973">+N93</f>
        <v>Spring 2024</v>
      </c>
      <c r="O729" s="82" t="str">
        <f t="shared" si="973"/>
        <v>Spring 2025</v>
      </c>
      <c r="P729" s="82" t="str">
        <f t="shared" si="973"/>
        <v>Spring 2026</v>
      </c>
      <c r="Q729" s="82" t="str">
        <f t="shared" si="973"/>
        <v>Spring 2027</v>
      </c>
      <c r="S729" s="47"/>
    </row>
    <row r="730" spans="1:20" x14ac:dyDescent="0.25">
      <c r="A730" s="665" t="s">
        <v>21</v>
      </c>
      <c r="B730" s="119">
        <f t="shared" ref="B730" si="974">ROUND((B727*B729*$N$41)+(C727*B729*$N$42),0)</f>
        <v>0</v>
      </c>
      <c r="C730" s="119">
        <f t="shared" ref="C730" si="975">ROUND((C727*C729*$N$41)+(D727*C729*$N$42),0)</f>
        <v>0</v>
      </c>
      <c r="D730" s="119">
        <f t="shared" ref="D730" si="976">ROUND((D727*D729*$N$41)+(E727*D729*$N$42),0)</f>
        <v>0</v>
      </c>
      <c r="E730" s="119">
        <f t="shared" ref="E730" si="977">ROUND((E727*E729*$N$41)+(F727*E729*$N$42),0)</f>
        <v>0</v>
      </c>
      <c r="F730" s="119">
        <f t="shared" ref="F730" si="978">ROUND((F727*F729*$N$41)+(G727*F729*$N$42),0)</f>
        <v>0</v>
      </c>
      <c r="G730" s="119">
        <f t="shared" ref="G730" si="979">ROUND((G727*G729*$N$41)+(H727*G729*$N$42),0)</f>
        <v>0</v>
      </c>
      <c r="H730" s="119">
        <f t="shared" ref="H730" si="980">ROUND((H727*H729*$N$41)+(I727*H729*$N$42),0)</f>
        <v>0</v>
      </c>
      <c r="I730" s="100"/>
      <c r="J730" s="100"/>
      <c r="K730" s="668"/>
      <c r="M730" s="82" t="str">
        <f>+M94</f>
        <v>Summer 2023</v>
      </c>
      <c r="N730" s="82" t="str">
        <f t="shared" si="973"/>
        <v>Summer 2024</v>
      </c>
      <c r="O730" s="82" t="str">
        <f t="shared" si="973"/>
        <v>Summer 2025</v>
      </c>
      <c r="P730" s="82" t="str">
        <f t="shared" si="973"/>
        <v>Summer 2026</v>
      </c>
      <c r="Q730" s="82" t="str">
        <f t="shared" si="973"/>
        <v>Summer 2027</v>
      </c>
      <c r="S730" s="47"/>
    </row>
    <row r="731" spans="1:20" x14ac:dyDescent="0.25">
      <c r="A731" s="665"/>
      <c r="B731" s="49"/>
      <c r="C731" s="49"/>
      <c r="D731" s="49"/>
      <c r="E731" s="49"/>
      <c r="F731" s="49"/>
      <c r="G731" s="49"/>
      <c r="H731" s="49"/>
      <c r="I731" s="50"/>
      <c r="J731" s="50"/>
      <c r="K731" s="669"/>
      <c r="M731" s="82" t="str">
        <f>+M95</f>
        <v>Fall 2023</v>
      </c>
      <c r="N731" s="82" t="str">
        <f t="shared" si="973"/>
        <v>Fall 2024</v>
      </c>
      <c r="O731" s="82" t="str">
        <f t="shared" si="973"/>
        <v>Fall 2025</v>
      </c>
      <c r="P731" s="82" t="str">
        <f t="shared" si="973"/>
        <v>Fall 2026</v>
      </c>
      <c r="Q731" s="82" t="str">
        <f t="shared" si="973"/>
        <v>Fall 2027</v>
      </c>
      <c r="S731" s="47"/>
    </row>
    <row r="732" spans="1:20" x14ac:dyDescent="0.25">
      <c r="A732" s="665"/>
      <c r="B732" s="113" t="str">
        <f t="shared" ref="B732:H732" si="981">IF(B733=$Z$4,$Z$3,IF(B733=$AA$4,$AA$3,IF(B733=$AB$4,$AB$3,IF(B733=$AC$4,$AC$3,IF(B733=$AD$4,$AD$3," ")))))</f>
        <v>Year 1</v>
      </c>
      <c r="C732" s="113" t="str">
        <f t="shared" si="981"/>
        <v>Year 2</v>
      </c>
      <c r="D732" s="113" t="str">
        <f t="shared" si="981"/>
        <v>Year 3</v>
      </c>
      <c r="E732" s="113" t="str">
        <f t="shared" si="981"/>
        <v>Year 4</v>
      </c>
      <c r="F732" s="113" t="str">
        <f t="shared" si="981"/>
        <v>Year 5</v>
      </c>
      <c r="G732" s="113" t="str">
        <f t="shared" si="981"/>
        <v xml:space="preserve"> </v>
      </c>
      <c r="H732" s="113" t="str">
        <f t="shared" si="981"/>
        <v xml:space="preserve"> </v>
      </c>
      <c r="I732" s="50"/>
      <c r="J732" s="50"/>
      <c r="K732" s="669"/>
      <c r="M732" s="58" t="str">
        <f>+M96</f>
        <v>FY2023&amp;24</v>
      </c>
      <c r="N732" s="58" t="str">
        <f t="shared" si="973"/>
        <v>FY2024&amp;25</v>
      </c>
      <c r="O732" s="58" t="str">
        <f t="shared" si="973"/>
        <v>FY2025&amp;26</v>
      </c>
      <c r="P732" s="58" t="str">
        <f t="shared" si="973"/>
        <v>FY2026&amp;27</v>
      </c>
      <c r="Q732" s="58" t="str">
        <f t="shared" si="973"/>
        <v>FY2027&amp;28</v>
      </c>
      <c r="S732" s="47"/>
    </row>
    <row r="733" spans="1:20" ht="15.75" thickBot="1" x14ac:dyDescent="0.3">
      <c r="A733" s="664" t="s">
        <v>90</v>
      </c>
      <c r="B733" s="84" t="str">
        <f>+M$2</f>
        <v>FY2023</v>
      </c>
      <c r="C733" s="84" t="str">
        <f t="shared" ref="C733" si="982">+N$2</f>
        <v>FY2024</v>
      </c>
      <c r="D733" s="84" t="str">
        <f t="shared" ref="D733" si="983">+O$2</f>
        <v>FY2025</v>
      </c>
      <c r="E733" s="84" t="str">
        <f t="shared" ref="E733" si="984">+P$2</f>
        <v>FY2026</v>
      </c>
      <c r="F733" s="84" t="str">
        <f t="shared" ref="F733" si="985">+Q$2</f>
        <v>FY2027</v>
      </c>
      <c r="G733" s="84" t="str">
        <f t="shared" ref="G733" si="986">+R$2</f>
        <v>FY2028</v>
      </c>
      <c r="H733" s="84" t="str">
        <f t="shared" ref="H733" si="987">+S$2</f>
        <v>FY2029</v>
      </c>
      <c r="I733" s="56" t="s">
        <v>20</v>
      </c>
      <c r="J733" s="100" t="s">
        <v>77</v>
      </c>
      <c r="K733" s="668"/>
      <c r="L733" s="59" t="s">
        <v>86</v>
      </c>
      <c r="M733" s="75" t="s">
        <v>1</v>
      </c>
      <c r="N733" s="76" t="s">
        <v>2</v>
      </c>
      <c r="O733" s="76" t="s">
        <v>3</v>
      </c>
      <c r="P733" s="76" t="s">
        <v>44</v>
      </c>
      <c r="Q733" s="76" t="s">
        <v>50</v>
      </c>
      <c r="S733" s="47"/>
    </row>
    <row r="734" spans="1:20" x14ac:dyDescent="0.25">
      <c r="A734" s="665" t="str">
        <f>CONCATENATE("Base Salary: ",I734," month term")</f>
        <v>Base Salary: 12 month term</v>
      </c>
      <c r="B734" s="93">
        <f>+$M$16</f>
        <v>51480</v>
      </c>
      <c r="C734" s="118">
        <f>ROUND(+B734*(1+J734),0)</f>
        <v>53024</v>
      </c>
      <c r="D734" s="118">
        <f>ROUND(+C734*(1+J734),0)</f>
        <v>54615</v>
      </c>
      <c r="E734" s="118">
        <f>ROUND(+D734*(1+J734),0)</f>
        <v>56253</v>
      </c>
      <c r="F734" s="118">
        <f>ROUND(+E734*(1+J734),0)</f>
        <v>57941</v>
      </c>
      <c r="G734" s="118">
        <f>ROUND(+F734*(1+J734),0)</f>
        <v>59679</v>
      </c>
      <c r="H734" s="118">
        <f>ROUND(+G734*(1+J734),0)</f>
        <v>61469</v>
      </c>
      <c r="I734" s="126">
        <v>12</v>
      </c>
      <c r="J734" s="81">
        <v>0.03</v>
      </c>
      <c r="K734" s="670"/>
      <c r="L734" s="92" t="str">
        <f>CONCATENATE("Number of Students ",IF(AND($Y$2&gt;=7,$Y$2&lt;=9),CONCATENATE("(Fall)"),IF(AND($Y$2&gt;=7,$Y$2&lt;=10),CONCATENATE("(Spring)"),IF(OR($Y$2&gt;=10,$Y$2&lt;=2),CONCATENATE("(Spring)"),IF(AND($Y$2&gt;=7,$Y$2&lt;=10),CONCATENATE("(Summer)"),IF(OR($Y$2&gt;=10,$Y$2&lt;=2),CONCATENATE("(Summer)"),IF(AND($Y$2&gt;=3,$Y$2&lt;=6),CONCATENATE("(Summer)"),"N/A")))))))</f>
        <v>Number of Students (Spring)</v>
      </c>
      <c r="M734" s="91">
        <f t="shared" ref="M734:M736" si="988">+B740</f>
        <v>0</v>
      </c>
      <c r="N734" s="91">
        <f t="shared" ref="N734:N736" si="989">+C740</f>
        <v>0</v>
      </c>
      <c r="O734" s="91">
        <f t="shared" ref="O734:O736" si="990">+D740</f>
        <v>0</v>
      </c>
      <c r="P734" s="91">
        <f t="shared" ref="P734:P736" si="991">+E740</f>
        <v>0</v>
      </c>
      <c r="Q734" s="91">
        <f t="shared" ref="Q734:Q736" si="992">+F740</f>
        <v>0</v>
      </c>
      <c r="S734" s="47"/>
    </row>
    <row r="735" spans="1:20" x14ac:dyDescent="0.25">
      <c r="A735" s="665" t="s">
        <v>49</v>
      </c>
      <c r="B735" s="86">
        <v>0</v>
      </c>
      <c r="C735" s="86">
        <v>0</v>
      </c>
      <c r="D735" s="86">
        <v>0</v>
      </c>
      <c r="E735" s="86">
        <v>0</v>
      </c>
      <c r="F735" s="86">
        <v>0</v>
      </c>
      <c r="G735" s="86">
        <v>0</v>
      </c>
      <c r="H735" s="86">
        <v>0</v>
      </c>
      <c r="I735" s="49"/>
      <c r="J735" s="49"/>
      <c r="K735" s="665"/>
      <c r="L735" s="128" t="str">
        <f>CONCATENATE("Number of Students ",IF(AND($Y$2&gt;=7,$Y$2&lt;=9),CONCATENATE("(Spring)"),IF(AND($Y$2&gt;=7,$Y$2&lt;=10),CONCATENATE("(Summer)"),IF(OR($Y$2&gt;=10,$Y$2&lt;=2),CONCATENATE("(Summer)"),IF(AND($Y$2&gt;=7,$Y$2&lt;=10),CONCATENATE("(Fall)"),IF(OR($Y$2&gt;=10,$Y$2&lt;=2),CONCATENATE("(Fall) "),IF(AND($Y$2&gt;=3,$Y$2&lt;=6),CONCATENATE("(Fall)"),"N/A")))))))</f>
        <v>Number of Students (Summer)</v>
      </c>
      <c r="M735" s="91">
        <f t="shared" si="988"/>
        <v>0</v>
      </c>
      <c r="N735" s="91">
        <f t="shared" si="989"/>
        <v>0</v>
      </c>
      <c r="O735" s="91">
        <f t="shared" si="990"/>
        <v>0</v>
      </c>
      <c r="P735" s="91">
        <f t="shared" si="991"/>
        <v>0</v>
      </c>
      <c r="Q735" s="91">
        <f t="shared" si="992"/>
        <v>0</v>
      </c>
      <c r="S735" s="47"/>
    </row>
    <row r="736" spans="1:20" x14ac:dyDescent="0.25">
      <c r="A736" s="665" t="str">
        <f>CONCATENATE("FTE for ",I734," Months")</f>
        <v>FTE for 12 Months</v>
      </c>
      <c r="B736" s="85">
        <f t="shared" ref="B736:H736" si="993">+B735/$I734</f>
        <v>0</v>
      </c>
      <c r="C736" s="85">
        <f t="shared" si="993"/>
        <v>0</v>
      </c>
      <c r="D736" s="85">
        <f t="shared" si="993"/>
        <v>0</v>
      </c>
      <c r="E736" s="85">
        <f t="shared" si="993"/>
        <v>0</v>
      </c>
      <c r="F736" s="85">
        <f t="shared" si="993"/>
        <v>0</v>
      </c>
      <c r="G736" s="85">
        <f t="shared" si="993"/>
        <v>0</v>
      </c>
      <c r="H736" s="85">
        <f t="shared" si="993"/>
        <v>0</v>
      </c>
      <c r="I736" s="100"/>
      <c r="J736" s="100"/>
      <c r="K736" s="668"/>
      <c r="L736" s="128" t="str">
        <f>CONCATENATE("Number of Students ",IF(AND($Y$2&gt;=7,$Y$2&lt;=9),CONCATENATE("(Summer)"),IF(AND($Y$2&gt;=7,$Y$2&lt;=10),CONCATENATE("(Fall)"),IF(OR($Y$2&gt;=10,$Y$2&lt;=2),CONCATENATE("(Fall)"),IF(AND($Y$2&gt;=7,$Y$2&lt;=10),CONCATENATE("(Spring)"),IF(OR($Y$2&gt;=10,$Y$2&lt;=2),CONCATENATE("(Spring)"),IF(AND($Y$2&gt;=3,$Y$2&lt;=6),CONCATENATE("(Spring)"),"N/A")))))))</f>
        <v>Number of Students (Fall)</v>
      </c>
      <c r="M736" s="91">
        <f t="shared" si="988"/>
        <v>0</v>
      </c>
      <c r="N736" s="91">
        <f t="shared" si="989"/>
        <v>0</v>
      </c>
      <c r="O736" s="91">
        <f t="shared" si="990"/>
        <v>0</v>
      </c>
      <c r="P736" s="91">
        <f t="shared" si="991"/>
        <v>0</v>
      </c>
      <c r="Q736" s="91">
        <f t="shared" si="992"/>
        <v>0</v>
      </c>
      <c r="S736" s="47"/>
    </row>
    <row r="737" spans="1:19" x14ac:dyDescent="0.25">
      <c r="A737" s="665" t="s">
        <v>21</v>
      </c>
      <c r="B737" s="119">
        <f t="shared" ref="B737" si="994">ROUND((B734*B736*$N$41)+(C734*B736*$N$42),0)</f>
        <v>0</v>
      </c>
      <c r="C737" s="119">
        <f t="shared" ref="C737" si="995">ROUND((C734*C736*$N$41)+(D734*C736*$N$42),0)</f>
        <v>0</v>
      </c>
      <c r="D737" s="119">
        <f t="shared" ref="D737" si="996">ROUND((D734*D736*$N$41)+(E734*D736*$N$42),0)</f>
        <v>0</v>
      </c>
      <c r="E737" s="119">
        <f t="shared" ref="E737" si="997">ROUND((E734*E736*$N$41)+(F734*E736*$N$42),0)</f>
        <v>0</v>
      </c>
      <c r="F737" s="119">
        <f t="shared" ref="F737" si="998">ROUND((F734*F736*$N$41)+(G734*F736*$N$42),0)</f>
        <v>0</v>
      </c>
      <c r="G737" s="119">
        <f t="shared" ref="G737" si="999">ROUND((G734*G736*$N$41)+(H734*G736*$N$42),0)</f>
        <v>0</v>
      </c>
      <c r="H737" s="119">
        <f t="shared" ref="H737" si="1000">ROUND((H734*H736*$N$41)+(I734*H736*$N$42),0)</f>
        <v>0</v>
      </c>
      <c r="I737" s="100"/>
      <c r="J737" s="100"/>
      <c r="K737" s="668"/>
      <c r="L737" s="49"/>
      <c r="M737" s="57"/>
      <c r="N737" s="57"/>
      <c r="O737" s="57"/>
      <c r="P737" s="57"/>
      <c r="Q737" s="57"/>
      <c r="S737" s="47"/>
    </row>
    <row r="738" spans="1:19" x14ac:dyDescent="0.25">
      <c r="A738" s="665"/>
      <c r="B738" s="47"/>
      <c r="C738" s="47"/>
      <c r="D738" s="47"/>
      <c r="E738" s="47"/>
      <c r="F738" s="47"/>
      <c r="G738" s="47"/>
      <c r="H738" s="47"/>
      <c r="I738" s="100"/>
      <c r="J738" s="100"/>
      <c r="K738" s="668"/>
      <c r="L738" s="49"/>
      <c r="M738" s="57"/>
      <c r="N738" s="57"/>
      <c r="O738" s="57"/>
      <c r="P738" s="57"/>
      <c r="Q738" s="57"/>
      <c r="S738" s="47"/>
    </row>
    <row r="739" spans="1:19" ht="15.75" thickBot="1" x14ac:dyDescent="0.3">
      <c r="A739" s="664" t="s">
        <v>85</v>
      </c>
      <c r="B739" s="48" t="s">
        <v>1</v>
      </c>
      <c r="C739" s="48" t="s">
        <v>2</v>
      </c>
      <c r="D739" s="48" t="s">
        <v>3</v>
      </c>
      <c r="E739" s="48" t="s">
        <v>44</v>
      </c>
      <c r="F739" s="48" t="s">
        <v>50</v>
      </c>
      <c r="G739" s="47"/>
      <c r="H739" s="47"/>
      <c r="I739" s="100"/>
      <c r="J739" s="100"/>
      <c r="K739" s="668"/>
      <c r="L739" s="59" t="s">
        <v>123</v>
      </c>
      <c r="M739" s="75" t="s">
        <v>1</v>
      </c>
      <c r="N739" s="76" t="s">
        <v>2</v>
      </c>
      <c r="O739" s="76" t="s">
        <v>3</v>
      </c>
      <c r="P739" s="76" t="s">
        <v>44</v>
      </c>
      <c r="Q739" s="76" t="s">
        <v>50</v>
      </c>
      <c r="S739" s="47"/>
    </row>
    <row r="740" spans="1:19" x14ac:dyDescent="0.25">
      <c r="A740" s="665" t="str">
        <f>+L734</f>
        <v>Number of Students (Spring)</v>
      </c>
      <c r="B740" s="127">
        <v>0</v>
      </c>
      <c r="C740" s="127">
        <v>0</v>
      </c>
      <c r="D740" s="127">
        <v>0</v>
      </c>
      <c r="E740" s="127">
        <v>0</v>
      </c>
      <c r="F740" s="127">
        <v>0</v>
      </c>
      <c r="G740" s="47"/>
      <c r="H740" s="47"/>
      <c r="I740" s="100"/>
      <c r="J740" s="100"/>
      <c r="K740" s="668"/>
      <c r="L740" s="60" t="s">
        <v>22</v>
      </c>
      <c r="M740" s="61">
        <f>SUM(M750:M752)</f>
        <v>0</v>
      </c>
      <c r="N740" s="61">
        <f>SUM(N750:N752)</f>
        <v>0</v>
      </c>
      <c r="O740" s="61">
        <f>SUM(O750:O752)</f>
        <v>0</v>
      </c>
      <c r="P740" s="61">
        <f>SUM(P750:P752)</f>
        <v>0</v>
      </c>
      <c r="Q740" s="61">
        <f>SUM(Q750:Q752)</f>
        <v>0</v>
      </c>
      <c r="S740" s="47"/>
    </row>
    <row r="741" spans="1:19" x14ac:dyDescent="0.25">
      <c r="A741" s="665" t="str">
        <f>+L735</f>
        <v>Number of Students (Summer)</v>
      </c>
      <c r="B741" s="94">
        <f>+B740</f>
        <v>0</v>
      </c>
      <c r="C741" s="94">
        <f>+C740</f>
        <v>0</v>
      </c>
      <c r="D741" s="94">
        <f>+D740</f>
        <v>0</v>
      </c>
      <c r="E741" s="94">
        <f>+E740</f>
        <v>0</v>
      </c>
      <c r="F741" s="94">
        <f>+F740</f>
        <v>0</v>
      </c>
      <c r="G741" s="47"/>
      <c r="H741" s="47"/>
      <c r="I741" s="100"/>
      <c r="J741" s="100"/>
      <c r="K741" s="668"/>
      <c r="L741" s="60" t="s">
        <v>8</v>
      </c>
      <c r="M741" s="61">
        <f>SUM(M753:M755)</f>
        <v>0</v>
      </c>
      <c r="N741" s="61">
        <f>SUM(N753:N755)</f>
        <v>0</v>
      </c>
      <c r="O741" s="61">
        <f>SUM(O753:O755)</f>
        <v>0</v>
      </c>
      <c r="P741" s="61">
        <f>SUM(P753:P755)</f>
        <v>0</v>
      </c>
      <c r="Q741" s="61">
        <f>SUM(Q753:Q755)</f>
        <v>0</v>
      </c>
      <c r="S741" s="47"/>
    </row>
    <row r="742" spans="1:19" x14ac:dyDescent="0.25">
      <c r="A742" s="665" t="str">
        <f>+L736</f>
        <v>Number of Students (Fall)</v>
      </c>
      <c r="B742" s="94">
        <f>+B740</f>
        <v>0</v>
      </c>
      <c r="C742" s="94">
        <f>+C740</f>
        <v>0</v>
      </c>
      <c r="D742" s="94">
        <f>+D740</f>
        <v>0</v>
      </c>
      <c r="E742" s="94">
        <f>+E740</f>
        <v>0</v>
      </c>
      <c r="F742" s="94">
        <f>+F740</f>
        <v>0</v>
      </c>
      <c r="G742" s="47"/>
      <c r="H742" s="47"/>
      <c r="I742" s="100"/>
      <c r="J742" s="100"/>
      <c r="K742" s="668"/>
      <c r="L742" s="60" t="s">
        <v>9</v>
      </c>
      <c r="M742" s="61">
        <f>SUM(M756:M758)</f>
        <v>0</v>
      </c>
      <c r="N742" s="61">
        <f>SUM(N756:N758)</f>
        <v>0</v>
      </c>
      <c r="O742" s="61">
        <f>SUM(O756:O758)</f>
        <v>0</v>
      </c>
      <c r="P742" s="61">
        <f>SUM(P756:P758)</f>
        <v>0</v>
      </c>
      <c r="Q742" s="61">
        <f>SUM(Q756:Q758)</f>
        <v>0</v>
      </c>
      <c r="S742" s="47"/>
    </row>
    <row r="743" spans="1:19" ht="15.75" thickBot="1" x14ac:dyDescent="0.3">
      <c r="A743" s="665"/>
      <c r="B743" s="94"/>
      <c r="C743" s="94"/>
      <c r="D743" s="94"/>
      <c r="E743" s="94"/>
      <c r="F743" s="94"/>
      <c r="G743" s="47"/>
      <c r="H743" s="47"/>
      <c r="I743" s="100"/>
      <c r="J743" s="100"/>
      <c r="K743" s="668"/>
      <c r="L743" s="62" t="s">
        <v>31</v>
      </c>
      <c r="M743" s="63">
        <f>SUM(M740:M742)</f>
        <v>0</v>
      </c>
      <c r="N743" s="63">
        <f>SUM(N740:N742)</f>
        <v>0</v>
      </c>
      <c r="O743" s="63">
        <f>SUM(O740:O742)</f>
        <v>0</v>
      </c>
      <c r="P743" s="63">
        <f>SUM(P740:P742)</f>
        <v>0</v>
      </c>
      <c r="Q743" s="63">
        <f>SUM(Q740:Q742)</f>
        <v>0</v>
      </c>
      <c r="S743" s="47"/>
    </row>
    <row r="744" spans="1:19" x14ac:dyDescent="0.25">
      <c r="A744" s="664" t="s">
        <v>89</v>
      </c>
      <c r="B744" s="48" t="s">
        <v>1</v>
      </c>
      <c r="C744" s="48" t="s">
        <v>2</v>
      </c>
      <c r="D744" s="48" t="s">
        <v>3</v>
      </c>
      <c r="E744" s="48" t="s">
        <v>44</v>
      </c>
      <c r="F744" s="48" t="s">
        <v>50</v>
      </c>
      <c r="J744" s="100" t="s">
        <v>77</v>
      </c>
      <c r="K744" s="653"/>
      <c r="M744" s="129"/>
      <c r="S744" s="47"/>
    </row>
    <row r="745" spans="1:19" x14ac:dyDescent="0.25">
      <c r="A745" s="665" t="s">
        <v>84</v>
      </c>
      <c r="B745" s="86">
        <f>+$M$18</f>
        <v>13.2</v>
      </c>
      <c r="C745" s="86">
        <f>ROUND(+B745*(1+J745),2)</f>
        <v>13.2</v>
      </c>
      <c r="D745" s="86">
        <f>ROUND(+C745*(1+J745),2)</f>
        <v>13.2</v>
      </c>
      <c r="E745" s="86">
        <f>ROUND(+D745*(1+J745),2)</f>
        <v>13.2</v>
      </c>
      <c r="F745" s="86">
        <f>ROUND(+E745*(1+J745),2)</f>
        <v>13.2</v>
      </c>
      <c r="J745" s="81">
        <v>0</v>
      </c>
      <c r="K745" s="653"/>
      <c r="S745" s="47"/>
    </row>
    <row r="746" spans="1:19" x14ac:dyDescent="0.25">
      <c r="A746" s="665" t="s">
        <v>64</v>
      </c>
      <c r="B746" s="83">
        <v>0</v>
      </c>
      <c r="C746" s="83">
        <v>0</v>
      </c>
      <c r="D746" s="83">
        <v>0</v>
      </c>
      <c r="E746" s="83">
        <v>0</v>
      </c>
      <c r="F746" s="83">
        <v>0</v>
      </c>
      <c r="K746" s="653"/>
      <c r="L746" s="130"/>
      <c r="M746" s="82" t="str">
        <f>CONCATENATE("FY",$Y$3)</f>
        <v>FY2023</v>
      </c>
      <c r="N746" s="82" t="str">
        <f>CONCATENATE("FY",$Y$3+1)</f>
        <v>FY2024</v>
      </c>
      <c r="O746" s="82" t="str">
        <f>CONCATENATE("FY",$Y$3+2)</f>
        <v>FY2025</v>
      </c>
      <c r="P746" s="82" t="str">
        <f>CONCATENATE("FY",$Y$3+3)</f>
        <v>FY2026</v>
      </c>
      <c r="Q746" s="82" t="str">
        <f>CONCATENATE("FY",$Y$3+4)</f>
        <v>FY2027</v>
      </c>
      <c r="S746" s="47"/>
    </row>
    <row r="747" spans="1:19" x14ac:dyDescent="0.25">
      <c r="A747" s="665" t="s">
        <v>65</v>
      </c>
      <c r="B747" s="83">
        <v>0</v>
      </c>
      <c r="C747" s="83">
        <v>0</v>
      </c>
      <c r="D747" s="83">
        <v>0</v>
      </c>
      <c r="E747" s="83">
        <v>0</v>
      </c>
      <c r="F747" s="83">
        <v>0</v>
      </c>
      <c r="K747" s="653"/>
      <c r="L747" s="131"/>
      <c r="M747" s="82" t="str">
        <f>IF(OR($Y$2&gt;=7,$Y$2&lt;=2),CONCATENATE("FY",$Y$3),IF(AND($Y$2&gt;=3,$Y$2&lt;=6),CONCATENATE("FY",$Y$3+1),"N/A"))</f>
        <v>FY2023</v>
      </c>
      <c r="N747" s="82" t="str">
        <f>IF(OR($Y$2&gt;=7,$Y$2&lt;=2),CONCATENATE("FY",$Y$3+1),IF(AND($Y$2&gt;=3,$Y$2&lt;=6),CONCATENATE("FY",$Y$3+2),"N/A"))</f>
        <v>FY2024</v>
      </c>
      <c r="O747" s="82" t="str">
        <f>IF(OR($Y$2&gt;=7,$Y$2&lt;=2),CONCATENATE("FY",$Y$3+2),IF(AND($Y$2&gt;=3,$Y$2&lt;=6),CONCATENATE("FY",$Y$3+3),"N/A"))</f>
        <v>FY2025</v>
      </c>
      <c r="P747" s="82" t="str">
        <f>IF(OR($Y$2&gt;=7,$Y$2&lt;=2),CONCATENATE("FY",$Y$3+3),IF(AND($Y$2&gt;=3,$Y$2&lt;=6),CONCATENATE("FY",$Y$3+4),"N/A"))</f>
        <v>FY2026</v>
      </c>
      <c r="Q747" s="82" t="str">
        <f>IF(OR($Y$2&gt;=7,$Y$2&lt;=2),CONCATENATE("FY",$Y$3+4),IF(AND($Y$2&gt;=3,$Y$2&lt;=6),CONCATENATE("FY",$Y$3+5),"N/A"))</f>
        <v>FY2027</v>
      </c>
      <c r="S747" s="47"/>
    </row>
    <row r="748" spans="1:19" x14ac:dyDescent="0.25">
      <c r="A748" s="665" t="s">
        <v>79</v>
      </c>
      <c r="B748" s="714">
        <f>+B745*(B746*B747)</f>
        <v>0</v>
      </c>
      <c r="C748" s="714">
        <f t="shared" ref="C748" si="1001">+C745*(C746*C747)</f>
        <v>0</v>
      </c>
      <c r="D748" s="714">
        <f t="shared" ref="D748" si="1002">+D745*(D746*D747)</f>
        <v>0</v>
      </c>
      <c r="E748" s="714">
        <f t="shared" ref="E748" si="1003">+E745*(E746*E747)</f>
        <v>0</v>
      </c>
      <c r="F748" s="714">
        <f t="shared" ref="F748" si="1004">+F745*(F746*F747)</f>
        <v>0</v>
      </c>
      <c r="K748" s="653"/>
      <c r="L748" s="82"/>
      <c r="M748" s="82" t="str">
        <f>IF(AND($Y$2&gt;=1,$Y$2&lt;=6),CONCATENATE("FY",$Y$3+1),IF(AND($Y$2&gt;=7,$Y$2&lt;=9),CONCATENATE("FY",$Y$3),IF(AND($Y$2&gt;=10,$Y$2&lt;=126),CONCATENATE("FY",$Y$3+1),"N/A")))</f>
        <v>FY2024</v>
      </c>
      <c r="N748" s="82" t="str">
        <f>IF(AND($Y$2&gt;=1,$Y$2&lt;=6),CONCATENATE("FY",$Y$3+2),IF(AND($Y$2&gt;=7,$Y$2&lt;=9),CONCATENATE("FY",$Y$3+1),IF(AND($Y$2&gt;=10,$Y$2&lt;=126),CONCATENATE("FY",$Y$3+2),"N/A")))</f>
        <v>FY2025</v>
      </c>
      <c r="O748" s="82" t="str">
        <f>IF(AND($Y$2&gt;=1,$Y$2&lt;=6),CONCATENATE("FY",$Y$3+3),IF(AND($Y$2&gt;=7,$Y$2&lt;=9),CONCATENATE("FY",$Y$3+2),IF(AND($Y$2&gt;=10,$Y$2&lt;=126),CONCATENATE("FY",$Y$3+3),"N/A")))</f>
        <v>FY2026</v>
      </c>
      <c r="P748" s="82" t="str">
        <f>IF(AND($Y$2&gt;=1,$Y$2&lt;=6),CONCATENATE("FY",$Y$3+4),IF(AND($Y$2&gt;=7,$Y$2&lt;=9),CONCATENATE("FY",$Y$3+3),IF(AND($Y$2&gt;=10,$Y$2&lt;=126),CONCATENATE("FY",$Y$3+4),"N/A")))</f>
        <v>FY2027</v>
      </c>
      <c r="Q748" s="82" t="str">
        <f>IF(AND($Y$2&gt;=1,$Y$2&lt;=6),CONCATENATE("FY",$Y$3+5),IF(AND($Y$2&gt;=7,$Y$2&lt;=9),CONCATENATE("FY",$Y$3+4),IF(AND($Y$2&gt;=10,$Y$2&lt;=126),CONCATENATE("FY",$Y$3+5),"N/A")))</f>
        <v>FY2028</v>
      </c>
      <c r="S748" s="47"/>
    </row>
    <row r="749" spans="1:19" ht="15.75" thickBot="1" x14ac:dyDescent="0.3">
      <c r="A749" s="665" t="s">
        <v>62</v>
      </c>
      <c r="B749" s="83">
        <v>0</v>
      </c>
      <c r="C749" s="83">
        <v>0</v>
      </c>
      <c r="D749" s="83">
        <v>0</v>
      </c>
      <c r="E749" s="83">
        <v>0</v>
      </c>
      <c r="F749" s="83">
        <v>0</v>
      </c>
      <c r="K749" s="653"/>
      <c r="L749" s="59" t="s">
        <v>124</v>
      </c>
      <c r="M749" s="75" t="s">
        <v>1</v>
      </c>
      <c r="N749" s="76" t="s">
        <v>2</v>
      </c>
      <c r="O749" s="76" t="s">
        <v>3</v>
      </c>
      <c r="P749" s="76" t="s">
        <v>44</v>
      </c>
      <c r="Q749" s="76" t="s">
        <v>50</v>
      </c>
    </row>
    <row r="750" spans="1:19" x14ac:dyDescent="0.25">
      <c r="A750" s="665" t="s">
        <v>63</v>
      </c>
      <c r="B750" s="83">
        <v>0</v>
      </c>
      <c r="C750" s="83">
        <v>0</v>
      </c>
      <c r="D750" s="83">
        <v>0</v>
      </c>
      <c r="E750" s="83">
        <v>0</v>
      </c>
      <c r="F750" s="83">
        <v>0</v>
      </c>
      <c r="K750" s="653"/>
      <c r="L750" s="132" t="str">
        <f t="shared" ref="L750:L758" si="1005">+L220</f>
        <v>Stipend (Spring)</v>
      </c>
      <c r="M750" s="133">
        <f>IF(RIGHT($L750,8)="(Summer)",ROUND(M734*HLOOKUP(M746,M721:S726,3,FALSE),0))+IF(RIGHT($L750,8)&lt;&gt;"(Summer)",ROUND(M734*HLOOKUP(M746,M721:S726,2,FALSE)/2,0))</f>
        <v>0</v>
      </c>
      <c r="N750" s="133">
        <f t="shared" ref="N750" si="1006">IF(RIGHT($L750,8)="(Summer)",ROUND(N734*HLOOKUP(N746,N721:T726,3,FALSE),0))+IF(RIGHT($L750,8)&lt;&gt;"(Summer)",ROUND(N734*HLOOKUP(N746,N721:T726,2,FALSE)/2,0))</f>
        <v>0</v>
      </c>
      <c r="O750" s="133">
        <f t="shared" ref="O750" si="1007">IF(RIGHT($L750,8)="(Summer)",ROUND(O734*HLOOKUP(O746,O721:U726,3,FALSE),0))+IF(RIGHT($L750,8)&lt;&gt;"(Summer)",ROUND(O734*HLOOKUP(O746,O721:U726,2,FALSE)/2,0))</f>
        <v>0</v>
      </c>
      <c r="P750" s="133">
        <f t="shared" ref="P750" si="1008">IF(RIGHT($L750,8)="(Summer)",ROUND(P734*HLOOKUP(P746,P721:V726,3,FALSE),0))+IF(RIGHT($L750,8)&lt;&gt;"(Summer)",ROUND(P734*HLOOKUP(P746,P721:V726,2,FALSE)/2,0))</f>
        <v>0</v>
      </c>
      <c r="Q750" s="133">
        <f t="shared" ref="Q750" si="1009">IF(RIGHT($L750,8)="(Summer)",ROUND(Q734*HLOOKUP(Q746,Q721:W726,3,FALSE),0))+IF(RIGHT($L750,8)&lt;&gt;"(Summer)",ROUND(Q734*HLOOKUP(Q746,Q721:W726,2,FALSE)/2,0))</f>
        <v>0</v>
      </c>
    </row>
    <row r="751" spans="1:19" x14ac:dyDescent="0.25">
      <c r="A751" s="665" t="s">
        <v>80</v>
      </c>
      <c r="B751" s="714">
        <f>+B745*(B749*B750)</f>
        <v>0</v>
      </c>
      <c r="C751" s="714">
        <f t="shared" ref="C751" si="1010">+C745*(C749*C750)</f>
        <v>0</v>
      </c>
      <c r="D751" s="714">
        <f t="shared" ref="D751" si="1011">+D745*(D749*D750)</f>
        <v>0</v>
      </c>
      <c r="E751" s="714">
        <f t="shared" ref="E751" si="1012">+E745*(E749*E750)</f>
        <v>0</v>
      </c>
      <c r="F751" s="714">
        <f t="shared" ref="F751" si="1013">+F745*(F749*F750)</f>
        <v>0</v>
      </c>
      <c r="K751" s="653"/>
      <c r="L751" s="134" t="str">
        <f t="shared" si="1005"/>
        <v>Stipend (Summer)</v>
      </c>
      <c r="M751" s="133">
        <f>IF(RIGHT($L751,8)="(Summer)",ROUND(M735*HLOOKUP(M747,M721:S726,3,FALSE),0))+IF(RIGHT($L751,8)&lt;&gt;"(Summer)",ROUND(M735*HLOOKUP(M747,M721:S726,2,FALSE)/2,0))</f>
        <v>0</v>
      </c>
      <c r="N751" s="133">
        <f t="shared" ref="N751" si="1014">IF(RIGHT($L751,8)="(Summer)",ROUND(N735*HLOOKUP(N747,N721:T726,3,FALSE),0))+IF(RIGHT($L751,8)&lt;&gt;"(Summer)",ROUND(N735*HLOOKUP(N747,N721:T726,2,FALSE)/2,0))</f>
        <v>0</v>
      </c>
      <c r="O751" s="133">
        <f t="shared" ref="O751" si="1015">IF(RIGHT($L751,8)="(Summer)",ROUND(O735*HLOOKUP(O747,O721:U726,3,FALSE),0))+IF(RIGHT($L751,8)&lt;&gt;"(Summer)",ROUND(O735*HLOOKUP(O747,O721:U726,2,FALSE)/2,0))</f>
        <v>0</v>
      </c>
      <c r="P751" s="133">
        <f t="shared" ref="P751" si="1016">IF(RIGHT($L751,8)="(Summer)",ROUND(P735*HLOOKUP(P747,P721:V726,3,FALSE),0))+IF(RIGHT($L751,8)&lt;&gt;"(Summer)",ROUND(P735*HLOOKUP(P747,P721:V726,2,FALSE)/2,0))</f>
        <v>0</v>
      </c>
      <c r="Q751" s="133">
        <f t="shared" ref="Q751" si="1017">IF(RIGHT($L751,8)="(Summer)",ROUND(Q735*HLOOKUP(Q747,Q721:W726,3,FALSE),0))+IF(RIGHT($L751,8)&lt;&gt;"(Summer)",ROUND(Q735*HLOOKUP(Q747,Q721:W726,2,FALSE)/2,0))</f>
        <v>0</v>
      </c>
    </row>
    <row r="752" spans="1:19" x14ac:dyDescent="0.25">
      <c r="A752" s="665" t="s">
        <v>21</v>
      </c>
      <c r="B752" s="716">
        <f>ROUND(+B748+B751,0)</f>
        <v>0</v>
      </c>
      <c r="C752" s="716">
        <f t="shared" ref="C752" si="1018">ROUND(+C748+C751,0)</f>
        <v>0</v>
      </c>
      <c r="D752" s="716">
        <f t="shared" ref="D752" si="1019">ROUND(+D748+D751,0)</f>
        <v>0</v>
      </c>
      <c r="E752" s="716">
        <f t="shared" ref="E752" si="1020">ROUND(+E748+E751,0)</f>
        <v>0</v>
      </c>
      <c r="F752" s="716">
        <f t="shared" ref="F752" si="1021">ROUND(+F748+F751,0)</f>
        <v>0</v>
      </c>
      <c r="K752" s="653"/>
      <c r="L752" s="134" t="str">
        <f t="shared" si="1005"/>
        <v>Stipend (Fall)</v>
      </c>
      <c r="M752" s="133">
        <f>IF(RIGHT($L752,8)="(Summer)",ROUND(M736*HLOOKUP(M748,M721:S726,3,FALSE),0))+IF(RIGHT($L752,8)&lt;&gt;"(Summer)",ROUND(M736*HLOOKUP(M748,M721:S726,2,FALSE)/2,0))</f>
        <v>0</v>
      </c>
      <c r="N752" s="133">
        <f t="shared" ref="N752" si="1022">IF(RIGHT($L752,8)="(Summer)",ROUND(N736*HLOOKUP(N748,N721:T726,3,FALSE),0))+IF(RIGHT($L752,8)&lt;&gt;"(Summer)",ROUND(N736*HLOOKUP(N748,N721:T726,2,FALSE)/2,0))</f>
        <v>0</v>
      </c>
      <c r="O752" s="133">
        <f t="shared" ref="O752" si="1023">IF(RIGHT($L752,8)="(Summer)",ROUND(O736*HLOOKUP(O748,O721:U726,3,FALSE),0))+IF(RIGHT($L752,8)&lt;&gt;"(Summer)",ROUND(O736*HLOOKUP(O748,O721:U726,2,FALSE)/2,0))</f>
        <v>0</v>
      </c>
      <c r="P752" s="133">
        <f t="shared" ref="P752" si="1024">IF(RIGHT($L752,8)="(Summer)",ROUND(P736*HLOOKUP(P748,P721:V726,3,FALSE),0))+IF(RIGHT($L752,8)&lt;&gt;"(Summer)",ROUND(P736*HLOOKUP(P748,P721:V726,2,FALSE)/2,0))</f>
        <v>0</v>
      </c>
      <c r="Q752" s="133">
        <f t="shared" ref="Q752" si="1025">IF(RIGHT($L752,8)="(Summer)",ROUND(Q736*HLOOKUP(Q748,Q721:W726,3,FALSE),0))+IF(RIGHT($L752,8)&lt;&gt;"(Summer)",ROUND(Q736*HLOOKUP(Q748,Q721:W726,2,FALSE)/2,0))</f>
        <v>0</v>
      </c>
    </row>
    <row r="753" spans="1:17" x14ac:dyDescent="0.25">
      <c r="A753" s="653"/>
      <c r="H753" s="47"/>
      <c r="K753" s="653"/>
      <c r="L753" s="134" t="str">
        <f t="shared" si="1005"/>
        <v>Tuition (Spring)</v>
      </c>
      <c r="M753" s="133">
        <f>IF(RIGHT($L753,8)="(Summer)",0,ROUND(M734*HLOOKUP(M746,M721:S726,5,FALSE)/2,0))</f>
        <v>0</v>
      </c>
      <c r="N753" s="133">
        <f t="shared" ref="N753" si="1026">IF(RIGHT($L753,8)="(Summer)",0,ROUND(N734*HLOOKUP(N746,N721:T726,5,FALSE)/2,0))</f>
        <v>0</v>
      </c>
      <c r="O753" s="133">
        <f t="shared" ref="O753" si="1027">IF(RIGHT($L753,8)="(Summer)",0,ROUND(O734*HLOOKUP(O746,O721:U726,5,FALSE)/2,0))</f>
        <v>0</v>
      </c>
      <c r="P753" s="133">
        <f t="shared" ref="P753" si="1028">IF(RIGHT($L753,8)="(Summer)",0,ROUND(P734*HLOOKUP(P746,P721:V726,5,FALSE)/2,0))</f>
        <v>0</v>
      </c>
      <c r="Q753" s="133">
        <f t="shared" ref="Q753" si="1029">IF(RIGHT($L753,8)="(Summer)",0,ROUND(Q734*HLOOKUP(Q746,Q721:W726,5,FALSE)/2,0))</f>
        <v>0</v>
      </c>
    </row>
    <row r="754" spans="1:17" x14ac:dyDescent="0.25">
      <c r="A754" s="667"/>
      <c r="B754" s="113" t="str">
        <f t="shared" ref="B754:H754" si="1030">IF(AND(B755=$Z$5,$I756=9),$Z$3,IF(AND(B755=$AA$5,$I756=9),$AA$3,IF(AND(B755=$AB$5,$I756=9),$AB$3,IF(AND(B755=$AC$5,$I756=9),$AC$3,IF(AND(B755=$AD$5,$I756=9),$AD$3,IF(AND(B755=$Z$4,$I756=12),$Z$3,IF(AND(B755=$AA$4,$I756=12),$AA$3,IF(AND(B755=$AB$4,$I756=12),$AB$3,IF(AND(B755=$AC$4,$I756=12),$AC$3,IF(AND(B755=$AD$4,$I756=12),$AD$3," "))))))))))</f>
        <v>Year 1</v>
      </c>
      <c r="C754" s="113" t="str">
        <f t="shared" si="1030"/>
        <v>Year 2</v>
      </c>
      <c r="D754" s="113" t="str">
        <f t="shared" si="1030"/>
        <v>Year 3</v>
      </c>
      <c r="E754" s="113" t="str">
        <f t="shared" si="1030"/>
        <v>Year 4</v>
      </c>
      <c r="F754" s="113" t="str">
        <f t="shared" si="1030"/>
        <v>Year 5</v>
      </c>
      <c r="G754" s="113" t="str">
        <f t="shared" si="1030"/>
        <v xml:space="preserve"> </v>
      </c>
      <c r="H754" s="113" t="str">
        <f t="shared" si="1030"/>
        <v xml:space="preserve"> </v>
      </c>
      <c r="K754" s="653"/>
      <c r="L754" s="134" t="str">
        <f t="shared" si="1005"/>
        <v>Tuition (Summer)</v>
      </c>
      <c r="M754" s="133">
        <f>IF(RIGHT($L754,8)="(Summer)",0,ROUND(M735*HLOOKUP(M747,M721:S726,5,FALSE)/2,0))</f>
        <v>0</v>
      </c>
      <c r="N754" s="133">
        <f t="shared" ref="N754" si="1031">IF(RIGHT($L754,8)="(Summer)",0,ROUND(N735*HLOOKUP(N747,N721:T726,5,FALSE)/2,0))</f>
        <v>0</v>
      </c>
      <c r="O754" s="133">
        <f t="shared" ref="O754" si="1032">IF(RIGHT($L754,8)="(Summer)",0,ROUND(O735*HLOOKUP(O747,O721:U726,5,FALSE)/2,0))</f>
        <v>0</v>
      </c>
      <c r="P754" s="133">
        <f t="shared" ref="P754" si="1033">IF(RIGHT($L754,8)="(Summer)",0,ROUND(P735*HLOOKUP(P747,P721:V726,5,FALSE)/2,0))</f>
        <v>0</v>
      </c>
      <c r="Q754" s="133">
        <f t="shared" ref="Q754" si="1034">IF(RIGHT($L754,8)="(Summer)",0,ROUND(Q735*HLOOKUP(Q747,Q721:W726,5,FALSE)/2,0))</f>
        <v>0</v>
      </c>
    </row>
    <row r="755" spans="1:17" x14ac:dyDescent="0.25">
      <c r="A755" s="664" t="s">
        <v>29</v>
      </c>
      <c r="B755" s="84" t="str">
        <f>+M$2</f>
        <v>FY2023</v>
      </c>
      <c r="C755" s="84" t="str">
        <f t="shared" ref="C755" si="1035">+N$2</f>
        <v>FY2024</v>
      </c>
      <c r="D755" s="84" t="str">
        <f t="shared" ref="D755" si="1036">+O$2</f>
        <v>FY2025</v>
      </c>
      <c r="E755" s="84" t="str">
        <f t="shared" ref="E755" si="1037">+P$2</f>
        <v>FY2026</v>
      </c>
      <c r="F755" s="84" t="str">
        <f t="shared" ref="F755" si="1038">+Q$2</f>
        <v>FY2027</v>
      </c>
      <c r="G755" s="84" t="str">
        <f t="shared" ref="G755" si="1039">+R$2</f>
        <v>FY2028</v>
      </c>
      <c r="H755" s="84" t="str">
        <f t="shared" ref="H755" si="1040">+S$2</f>
        <v>FY2029</v>
      </c>
      <c r="I755" s="56" t="s">
        <v>20</v>
      </c>
      <c r="J755" s="100" t="s">
        <v>77</v>
      </c>
      <c r="K755" s="668"/>
      <c r="L755" s="134" t="str">
        <f t="shared" si="1005"/>
        <v>Tuition (Fall)</v>
      </c>
      <c r="M755" s="133">
        <f>IF(RIGHT($L755,8)="(Summer)",0,ROUND(M736*HLOOKUP(M748,M721:S726,5,FALSE)/2,0))</f>
        <v>0</v>
      </c>
      <c r="N755" s="133">
        <f t="shared" ref="N755" si="1041">IF(RIGHT($L755,8)="(Summer)",0,ROUND(N736*HLOOKUP(N748,N721:T726,5,FALSE)/2,0))</f>
        <v>0</v>
      </c>
      <c r="O755" s="133">
        <f t="shared" ref="O755" si="1042">IF(RIGHT($L755,8)="(Summer)",0,ROUND(O736*HLOOKUP(O748,O721:U726,5,FALSE)/2,0))</f>
        <v>0</v>
      </c>
      <c r="P755" s="133">
        <f t="shared" ref="P755" si="1043">IF(RIGHT($L755,8)="(Summer)",0,ROUND(P736*HLOOKUP(P748,P721:V726,5,FALSE)/2,0))</f>
        <v>0</v>
      </c>
      <c r="Q755" s="133">
        <f t="shared" ref="Q755" si="1044">IF(RIGHT($L755,8)="(Summer)",0,ROUND(Q736*HLOOKUP(Q748,Q721:W726,5,FALSE)/2,0))</f>
        <v>0</v>
      </c>
    </row>
    <row r="756" spans="1:17" x14ac:dyDescent="0.25">
      <c r="A756" s="665" t="str">
        <f>CONCATENATE("Base Salary: ",I756," month term")</f>
        <v>Base Salary: 12 month term</v>
      </c>
      <c r="B756" s="93">
        <v>0</v>
      </c>
      <c r="C756" s="118">
        <f>ROUND(+B756*(1+J756),0)</f>
        <v>0</v>
      </c>
      <c r="D756" s="118">
        <f>ROUND(+C756*(1+J756),0)</f>
        <v>0</v>
      </c>
      <c r="E756" s="118">
        <f>ROUND(+D756*(1+J756),0)</f>
        <v>0</v>
      </c>
      <c r="F756" s="118">
        <f>ROUND(+E756*(1+J756),0)</f>
        <v>0</v>
      </c>
      <c r="G756" s="118">
        <f>ROUND(+F756*(1+J756),0)</f>
        <v>0</v>
      </c>
      <c r="H756" s="118">
        <f>ROUND(+G756*(1+J756),0)</f>
        <v>0</v>
      </c>
      <c r="I756" s="74">
        <v>12</v>
      </c>
      <c r="J756" s="81">
        <v>0.03</v>
      </c>
      <c r="K756" s="670"/>
      <c r="L756" s="134" t="str">
        <f t="shared" si="1005"/>
        <v>Health Insurance (Spring)</v>
      </c>
      <c r="M756" s="133">
        <f>IF(RIGHT($L756,8)="(Summer)",0,ROUND(M734*HLOOKUP(M746,M721:S726,6,FALSE)/2,0))</f>
        <v>0</v>
      </c>
      <c r="N756" s="133">
        <f t="shared" ref="N756" si="1045">IF(RIGHT($L756,8)="(Summer)",0,ROUND(N734*HLOOKUP(N746,N721:T726,6,FALSE)/2,0))</f>
        <v>0</v>
      </c>
      <c r="O756" s="133">
        <f t="shared" ref="O756" si="1046">IF(RIGHT($L756,8)="(Summer)",0,ROUND(O734*HLOOKUP(O746,O721:U726,6,FALSE)/2,0))</f>
        <v>0</v>
      </c>
      <c r="P756" s="133">
        <f t="shared" ref="P756" si="1047">IF(RIGHT($L756,8)="(Summer)",0,ROUND(P734*HLOOKUP(P746,P721:V726,6,FALSE)/2,0))</f>
        <v>0</v>
      </c>
      <c r="Q756" s="133">
        <f t="shared" ref="Q756" si="1048">IF(RIGHT($L756,8)="(Summer)",0,ROUND(Q734*HLOOKUP(Q746,Q721:W726,6,FALSE)/2,0))</f>
        <v>0</v>
      </c>
    </row>
    <row r="757" spans="1:17" x14ac:dyDescent="0.25">
      <c r="A757" s="665" t="s">
        <v>49</v>
      </c>
      <c r="B757" s="86">
        <v>0</v>
      </c>
      <c r="C757" s="86">
        <v>0</v>
      </c>
      <c r="D757" s="86">
        <v>0</v>
      </c>
      <c r="E757" s="86">
        <v>0</v>
      </c>
      <c r="F757" s="86">
        <v>0</v>
      </c>
      <c r="G757" s="86">
        <v>0</v>
      </c>
      <c r="H757" s="86">
        <v>0</v>
      </c>
      <c r="I757" s="49"/>
      <c r="J757" s="49"/>
      <c r="K757" s="665"/>
      <c r="L757" s="134" t="str">
        <f t="shared" si="1005"/>
        <v>Health Insurance (Summer)</v>
      </c>
      <c r="M757" s="133">
        <f>IF(RIGHT($L757,8)="(Summer)",0,ROUND(M735*HLOOKUP(M747,M721:S726,6,FALSE)/2,0))</f>
        <v>0</v>
      </c>
      <c r="N757" s="133">
        <f t="shared" ref="N757" si="1049">IF(RIGHT($L757,8)="(Summer)",0,ROUND(N735*HLOOKUP(N747,N721:T726,6,FALSE)/2,0))</f>
        <v>0</v>
      </c>
      <c r="O757" s="133">
        <f t="shared" ref="O757" si="1050">IF(RIGHT($L757,8)="(Summer)",0,ROUND(O735*HLOOKUP(O747,O721:U726,6,FALSE)/2,0))</f>
        <v>0</v>
      </c>
      <c r="P757" s="133">
        <f t="shared" ref="P757" si="1051">IF(RIGHT($L757,8)="(Summer)",0,ROUND(P735*HLOOKUP(P747,P721:V726,6,FALSE)/2,0))</f>
        <v>0</v>
      </c>
      <c r="Q757" s="133">
        <f t="shared" ref="Q757" si="1052">IF(RIGHT($L757,8)="(Summer)",0,ROUND(Q735*HLOOKUP(Q747,Q721:W726,6,FALSE)/2,0))</f>
        <v>0</v>
      </c>
    </row>
    <row r="758" spans="1:17" x14ac:dyDescent="0.25">
      <c r="A758" s="665" t="str">
        <f>CONCATENATE("FTE for ",I756," Months")</f>
        <v>FTE for 12 Months</v>
      </c>
      <c r="B758" s="85">
        <f t="shared" ref="B758:H758" si="1053">+B757/$I756</f>
        <v>0</v>
      </c>
      <c r="C758" s="85">
        <f t="shared" si="1053"/>
        <v>0</v>
      </c>
      <c r="D758" s="85">
        <f t="shared" si="1053"/>
        <v>0</v>
      </c>
      <c r="E758" s="85">
        <f t="shared" si="1053"/>
        <v>0</v>
      </c>
      <c r="F758" s="85">
        <f t="shared" si="1053"/>
        <v>0</v>
      </c>
      <c r="G758" s="85">
        <f t="shared" si="1053"/>
        <v>0</v>
      </c>
      <c r="H758" s="85">
        <f t="shared" si="1053"/>
        <v>0</v>
      </c>
      <c r="I758" s="100"/>
      <c r="J758" s="100"/>
      <c r="K758" s="668"/>
      <c r="L758" s="134" t="str">
        <f t="shared" si="1005"/>
        <v>Health Insurance (Fall)</v>
      </c>
      <c r="M758" s="133">
        <f>IF(RIGHT($L758,8)="(Summer)",0,ROUND(M736*HLOOKUP(M748,M721:S726,6,FALSE)/2,0))</f>
        <v>0</v>
      </c>
      <c r="N758" s="133">
        <f t="shared" ref="N758" si="1054">IF(RIGHT($L758,8)="(Summer)",0,ROUND(N736*HLOOKUP(N748,N721:T726,6,FALSE)/2,0))</f>
        <v>0</v>
      </c>
      <c r="O758" s="133">
        <f t="shared" ref="O758" si="1055">IF(RIGHT($L758,8)="(Summer)",0,ROUND(O736*HLOOKUP(O748,O721:U726,6,FALSE)/2,0))</f>
        <v>0</v>
      </c>
      <c r="P758" s="133">
        <f t="shared" ref="P758" si="1056">IF(RIGHT($L758,8)="(Summer)",0,ROUND(P736*HLOOKUP(P748,P721:V726,6,FALSE)/2,0))</f>
        <v>0</v>
      </c>
      <c r="Q758" s="133">
        <f t="shared" ref="Q758" si="1057">IF(RIGHT($L758,8)="(Summer)",0,ROUND(Q736*HLOOKUP(Q748,Q721:W726,6,FALSE)/2,0))</f>
        <v>0</v>
      </c>
    </row>
    <row r="759" spans="1:17" ht="15.75" thickBot="1" x14ac:dyDescent="0.3">
      <c r="A759" s="665" t="s">
        <v>21</v>
      </c>
      <c r="B759" s="119">
        <f t="shared" ref="B759" si="1058">ROUND((B756*B758*$N$41)+(C756*B758*$N$42),0)</f>
        <v>0</v>
      </c>
      <c r="C759" s="119">
        <f t="shared" ref="C759" si="1059">ROUND((C756*C758*$N$41)+(D756*C758*$N$42),0)</f>
        <v>0</v>
      </c>
      <c r="D759" s="119">
        <f t="shared" ref="D759" si="1060">ROUND((D756*D758*$N$41)+(E756*D758*$N$42),0)</f>
        <v>0</v>
      </c>
      <c r="E759" s="119">
        <f t="shared" ref="E759" si="1061">ROUND((E756*E758*$N$41)+(F756*E758*$N$42),0)</f>
        <v>0</v>
      </c>
      <c r="F759" s="119">
        <f t="shared" ref="F759" si="1062">ROUND((F756*F758*$N$41)+(G756*F758*$N$42),0)</f>
        <v>0</v>
      </c>
      <c r="G759" s="119">
        <f t="shared" ref="G759" si="1063">ROUND((G756*G758*$N$41)+(H756*G758*$N$42),0)</f>
        <v>0</v>
      </c>
      <c r="H759" s="119">
        <f t="shared" ref="H759" si="1064">ROUND((H756*H758*$N$41)+(I756*H758*$N$42),0)</f>
        <v>0</v>
      </c>
      <c r="I759" s="100"/>
      <c r="J759" s="100"/>
      <c r="K759" s="668"/>
      <c r="L759" s="62" t="s">
        <v>31</v>
      </c>
      <c r="M759" s="63">
        <f>SUM(M750:M758)</f>
        <v>0</v>
      </c>
      <c r="N759" s="63">
        <f>SUM(N750:N758)</f>
        <v>0</v>
      </c>
      <c r="O759" s="63">
        <f>SUM(O750:O758)</f>
        <v>0</v>
      </c>
      <c r="P759" s="63">
        <f>SUM(P750:P758)</f>
        <v>0</v>
      </c>
      <c r="Q759" s="63">
        <f>SUM(Q750:Q758)</f>
        <v>0</v>
      </c>
    </row>
    <row r="760" spans="1:17" x14ac:dyDescent="0.25">
      <c r="A760" s="653"/>
      <c r="J760" s="100"/>
    </row>
    <row r="761" spans="1:17" x14ac:dyDescent="0.25">
      <c r="A761" s="667" t="s">
        <v>106</v>
      </c>
    </row>
    <row r="762" spans="1:17" x14ac:dyDescent="0.25">
      <c r="A762" s="664" t="s">
        <v>444</v>
      </c>
      <c r="B762" s="48" t="s">
        <v>1</v>
      </c>
      <c r="C762" s="48" t="s">
        <v>2</v>
      </c>
      <c r="D762" s="48" t="s">
        <v>3</v>
      </c>
      <c r="E762" s="48" t="s">
        <v>44</v>
      </c>
      <c r="F762" s="48" t="s">
        <v>50</v>
      </c>
      <c r="G762" s="84"/>
      <c r="H762" s="84"/>
      <c r="I762" s="56"/>
      <c r="J762" s="100" t="s">
        <v>77</v>
      </c>
    </row>
    <row r="763" spans="1:17" x14ac:dyDescent="0.25">
      <c r="A763" s="665" t="s">
        <v>318</v>
      </c>
      <c r="B763" s="86">
        <v>15</v>
      </c>
      <c r="C763" s="86">
        <f>ROUND(+B763*(1+J763),2)</f>
        <v>15</v>
      </c>
      <c r="D763" s="86">
        <f>ROUND(+C763*(1+J763),2)</f>
        <v>15</v>
      </c>
      <c r="E763" s="86">
        <f>ROUND(+D763*(1+J763),2)</f>
        <v>15</v>
      </c>
      <c r="F763" s="86">
        <f>ROUND(+E763*(1+J763),2)</f>
        <v>15</v>
      </c>
      <c r="G763" s="84"/>
      <c r="H763" s="84"/>
      <c r="I763" s="74"/>
      <c r="J763" s="81">
        <v>0</v>
      </c>
    </row>
    <row r="764" spans="1:17" x14ac:dyDescent="0.25">
      <c r="A764" s="665" t="s">
        <v>319</v>
      </c>
      <c r="B764" s="127">
        <v>0</v>
      </c>
      <c r="C764" s="127">
        <v>0</v>
      </c>
      <c r="D764" s="127">
        <v>0</v>
      </c>
      <c r="E764" s="127">
        <v>0</v>
      </c>
      <c r="F764" s="127">
        <v>0</v>
      </c>
      <c r="G764" s="84"/>
      <c r="H764" s="84"/>
      <c r="I764" s="49"/>
      <c r="J764" s="49"/>
    </row>
    <row r="765" spans="1:17" x14ac:dyDescent="0.25">
      <c r="A765" s="665" t="s">
        <v>21</v>
      </c>
      <c r="B765" s="119">
        <f>ROUND(B763*B764,0)</f>
        <v>0</v>
      </c>
      <c r="C765" s="119">
        <f t="shared" ref="C765:F765" si="1065">ROUND(C763*C764,0)</f>
        <v>0</v>
      </c>
      <c r="D765" s="119">
        <f t="shared" si="1065"/>
        <v>0</v>
      </c>
      <c r="E765" s="119">
        <f t="shared" si="1065"/>
        <v>0</v>
      </c>
      <c r="F765" s="119">
        <f t="shared" si="1065"/>
        <v>0</v>
      </c>
      <c r="G765" s="84"/>
      <c r="H765" s="84"/>
      <c r="I765" s="100"/>
      <c r="J765" s="100"/>
    </row>
  </sheetData>
  <mergeCells count="1">
    <mergeCell ref="F18:J18"/>
  </mergeCells>
  <conditionalFormatting sqref="B47:H47">
    <cfRule type="notContainsBlanks" dxfId="139" priority="111">
      <formula>LEN(TRIM(B47))&gt;0</formula>
    </cfRule>
  </conditionalFormatting>
  <conditionalFormatting sqref="B50:H50">
    <cfRule type="expression" dxfId="138" priority="110">
      <formula>LEFT(B47,4)="Year"</formula>
    </cfRule>
  </conditionalFormatting>
  <conditionalFormatting sqref="B61:H61">
    <cfRule type="notContainsBlanks" dxfId="137" priority="109">
      <formula>LEN(TRIM(B61))&gt;0</formula>
    </cfRule>
  </conditionalFormatting>
  <conditionalFormatting sqref="B75:H75">
    <cfRule type="notContainsBlanks" dxfId="136" priority="108">
      <formula>LEN(TRIM(B75))&gt;0</formula>
    </cfRule>
  </conditionalFormatting>
  <conditionalFormatting sqref="B89:H89">
    <cfRule type="notContainsBlanks" dxfId="135" priority="107">
      <formula>LEN(TRIM(B89))&gt;0</formula>
    </cfRule>
  </conditionalFormatting>
  <conditionalFormatting sqref="B96:H96">
    <cfRule type="notContainsBlanks" dxfId="134" priority="106">
      <formula>LEN(TRIM(B96))&gt;0</formula>
    </cfRule>
  </conditionalFormatting>
  <conditionalFormatting sqref="B118:H118">
    <cfRule type="notContainsBlanks" dxfId="133" priority="105">
      <formula>LEN(TRIM(B118))&gt;0</formula>
    </cfRule>
  </conditionalFormatting>
  <conditionalFormatting sqref="B64:H64">
    <cfRule type="expression" dxfId="132" priority="104">
      <formula>LEFT(B61,4)="Year"</formula>
    </cfRule>
  </conditionalFormatting>
  <conditionalFormatting sqref="B78:H78">
    <cfRule type="expression" dxfId="131" priority="103">
      <formula>LEFT(B75,4)="Year"</formula>
    </cfRule>
  </conditionalFormatting>
  <conditionalFormatting sqref="B92:H92">
    <cfRule type="expression" dxfId="130" priority="102">
      <formula>LEFT(B89,4)="Year"</formula>
    </cfRule>
  </conditionalFormatting>
  <conditionalFormatting sqref="B99:H99">
    <cfRule type="expression" dxfId="129" priority="101">
      <formula>LEFT(B96,4)="Year"</formula>
    </cfRule>
  </conditionalFormatting>
  <conditionalFormatting sqref="B121:H121">
    <cfRule type="expression" dxfId="128" priority="100">
      <formula>LEFT(B118,4)="Year"</formula>
    </cfRule>
  </conditionalFormatting>
  <conditionalFormatting sqref="B153:H153">
    <cfRule type="notContainsBlanks" dxfId="127" priority="99">
      <formula>LEN(TRIM(B153))&gt;0</formula>
    </cfRule>
  </conditionalFormatting>
  <conditionalFormatting sqref="B156:H156">
    <cfRule type="expression" dxfId="126" priority="98">
      <formula>LEFT(B153,4)="Year"</formula>
    </cfRule>
  </conditionalFormatting>
  <conditionalFormatting sqref="B167:H167">
    <cfRule type="notContainsBlanks" dxfId="125" priority="97">
      <formula>LEN(TRIM(B167))&gt;0</formula>
    </cfRule>
  </conditionalFormatting>
  <conditionalFormatting sqref="B181:H181">
    <cfRule type="notContainsBlanks" dxfId="124" priority="96">
      <formula>LEN(TRIM(B181))&gt;0</formula>
    </cfRule>
  </conditionalFormatting>
  <conditionalFormatting sqref="B195:H195">
    <cfRule type="notContainsBlanks" dxfId="123" priority="95">
      <formula>LEN(TRIM(B195))&gt;0</formula>
    </cfRule>
  </conditionalFormatting>
  <conditionalFormatting sqref="B202:H202">
    <cfRule type="notContainsBlanks" dxfId="122" priority="94">
      <formula>LEN(TRIM(B202))&gt;0</formula>
    </cfRule>
  </conditionalFormatting>
  <conditionalFormatting sqref="B224:H224">
    <cfRule type="notContainsBlanks" dxfId="121" priority="93">
      <formula>LEN(TRIM(B224))&gt;0</formula>
    </cfRule>
  </conditionalFormatting>
  <conditionalFormatting sqref="B170:H170">
    <cfRule type="expression" dxfId="120" priority="92">
      <formula>LEFT(B167,4)="Year"</formula>
    </cfRule>
  </conditionalFormatting>
  <conditionalFormatting sqref="B184:H184">
    <cfRule type="expression" dxfId="119" priority="91">
      <formula>LEFT(B181,4)="Year"</formula>
    </cfRule>
  </conditionalFormatting>
  <conditionalFormatting sqref="B198:H198">
    <cfRule type="expression" dxfId="118" priority="90">
      <formula>LEFT(B195,4)="Year"</formula>
    </cfRule>
  </conditionalFormatting>
  <conditionalFormatting sqref="B205:H205">
    <cfRule type="expression" dxfId="117" priority="89">
      <formula>LEFT(B202,4)="Year"</formula>
    </cfRule>
  </conditionalFormatting>
  <conditionalFormatting sqref="B227:H227">
    <cfRule type="expression" dxfId="116" priority="88">
      <formula>LEFT(B224,4)="Year"</formula>
    </cfRule>
  </conditionalFormatting>
  <conditionalFormatting sqref="B259:H259">
    <cfRule type="notContainsBlanks" dxfId="115" priority="87">
      <formula>LEN(TRIM(B259))&gt;0</formula>
    </cfRule>
  </conditionalFormatting>
  <conditionalFormatting sqref="B262:H262">
    <cfRule type="expression" dxfId="114" priority="86">
      <formula>LEFT(B259,4)="Year"</formula>
    </cfRule>
  </conditionalFormatting>
  <conditionalFormatting sqref="B273:H273">
    <cfRule type="notContainsBlanks" dxfId="113" priority="85">
      <formula>LEN(TRIM(B273))&gt;0</formula>
    </cfRule>
  </conditionalFormatting>
  <conditionalFormatting sqref="B287:H287">
    <cfRule type="notContainsBlanks" dxfId="112" priority="84">
      <formula>LEN(TRIM(B287))&gt;0</formula>
    </cfRule>
  </conditionalFormatting>
  <conditionalFormatting sqref="B301:H301">
    <cfRule type="notContainsBlanks" dxfId="111" priority="83">
      <formula>LEN(TRIM(B301))&gt;0</formula>
    </cfRule>
  </conditionalFormatting>
  <conditionalFormatting sqref="B308:H308">
    <cfRule type="notContainsBlanks" dxfId="110" priority="82">
      <formula>LEN(TRIM(B308))&gt;0</formula>
    </cfRule>
  </conditionalFormatting>
  <conditionalFormatting sqref="B330:H330">
    <cfRule type="notContainsBlanks" dxfId="109" priority="81">
      <formula>LEN(TRIM(B330))&gt;0</formula>
    </cfRule>
  </conditionalFormatting>
  <conditionalFormatting sqref="B276:H276">
    <cfRule type="expression" dxfId="108" priority="80">
      <formula>LEFT(B273,4)="Year"</formula>
    </cfRule>
  </conditionalFormatting>
  <conditionalFormatting sqref="B290:H290">
    <cfRule type="expression" dxfId="107" priority="79">
      <formula>LEFT(B287,4)="Year"</formula>
    </cfRule>
  </conditionalFormatting>
  <conditionalFormatting sqref="B304:H304">
    <cfRule type="expression" dxfId="106" priority="78">
      <formula>LEFT(B301,4)="Year"</formula>
    </cfRule>
  </conditionalFormatting>
  <conditionalFormatting sqref="B311:H311">
    <cfRule type="expression" dxfId="105" priority="77">
      <formula>LEFT(B308,4)="Year"</formula>
    </cfRule>
  </conditionalFormatting>
  <conditionalFormatting sqref="B333:H333">
    <cfRule type="expression" dxfId="104" priority="76">
      <formula>LEFT(B330,4)="Year"</formula>
    </cfRule>
  </conditionalFormatting>
  <conditionalFormatting sqref="B365:H365">
    <cfRule type="notContainsBlanks" dxfId="103" priority="75">
      <formula>LEN(TRIM(B365))&gt;0</formula>
    </cfRule>
  </conditionalFormatting>
  <conditionalFormatting sqref="B368:H368">
    <cfRule type="expression" dxfId="102" priority="74">
      <formula>LEFT(B365,4)="Year"</formula>
    </cfRule>
  </conditionalFormatting>
  <conditionalFormatting sqref="B379:H379">
    <cfRule type="notContainsBlanks" dxfId="101" priority="73">
      <formula>LEN(TRIM(B379))&gt;0</formula>
    </cfRule>
  </conditionalFormatting>
  <conditionalFormatting sqref="B393:H393">
    <cfRule type="notContainsBlanks" dxfId="100" priority="72">
      <formula>LEN(TRIM(B393))&gt;0</formula>
    </cfRule>
  </conditionalFormatting>
  <conditionalFormatting sqref="B407:H407">
    <cfRule type="notContainsBlanks" dxfId="99" priority="71">
      <formula>LEN(TRIM(B407))&gt;0</formula>
    </cfRule>
  </conditionalFormatting>
  <conditionalFormatting sqref="B414:H414">
    <cfRule type="notContainsBlanks" dxfId="98" priority="70">
      <formula>LEN(TRIM(B414))&gt;0</formula>
    </cfRule>
  </conditionalFormatting>
  <conditionalFormatting sqref="B436:H436">
    <cfRule type="notContainsBlanks" dxfId="97" priority="69">
      <formula>LEN(TRIM(B436))&gt;0</formula>
    </cfRule>
  </conditionalFormatting>
  <conditionalFormatting sqref="B382:H382">
    <cfRule type="expression" dxfId="96" priority="68">
      <formula>LEFT(B379,4)="Year"</formula>
    </cfRule>
  </conditionalFormatting>
  <conditionalFormatting sqref="B396:H396">
    <cfRule type="expression" dxfId="95" priority="67">
      <formula>LEFT(B393,4)="Year"</formula>
    </cfRule>
  </conditionalFormatting>
  <conditionalFormatting sqref="B410:H410">
    <cfRule type="expression" dxfId="94" priority="66">
      <formula>LEFT(B407,4)="Year"</formula>
    </cfRule>
  </conditionalFormatting>
  <conditionalFormatting sqref="B417:H417">
    <cfRule type="expression" dxfId="93" priority="65">
      <formula>LEFT(B414,4)="Year"</formula>
    </cfRule>
  </conditionalFormatting>
  <conditionalFormatting sqref="B439:H439">
    <cfRule type="expression" dxfId="92" priority="64">
      <formula>LEFT(B436,4)="Year"</formula>
    </cfRule>
  </conditionalFormatting>
  <conditionalFormatting sqref="B471:H471">
    <cfRule type="notContainsBlanks" dxfId="91" priority="63">
      <formula>LEN(TRIM(B471))&gt;0</formula>
    </cfRule>
  </conditionalFormatting>
  <conditionalFormatting sqref="B474:H474">
    <cfRule type="expression" dxfId="90" priority="62">
      <formula>LEFT(B471,4)="Year"</formula>
    </cfRule>
  </conditionalFormatting>
  <conditionalFormatting sqref="B485:H485">
    <cfRule type="notContainsBlanks" dxfId="89" priority="61">
      <formula>LEN(TRIM(B485))&gt;0</formula>
    </cfRule>
  </conditionalFormatting>
  <conditionalFormatting sqref="B499:H499">
    <cfRule type="notContainsBlanks" dxfId="88" priority="60">
      <formula>LEN(TRIM(B499))&gt;0</formula>
    </cfRule>
  </conditionalFormatting>
  <conditionalFormatting sqref="B513:H513">
    <cfRule type="notContainsBlanks" dxfId="87" priority="59">
      <formula>LEN(TRIM(B513))&gt;0</formula>
    </cfRule>
  </conditionalFormatting>
  <conditionalFormatting sqref="B520:H520">
    <cfRule type="notContainsBlanks" dxfId="86" priority="58">
      <formula>LEN(TRIM(B520))&gt;0</formula>
    </cfRule>
  </conditionalFormatting>
  <conditionalFormatting sqref="B542:H542">
    <cfRule type="notContainsBlanks" dxfId="85" priority="57">
      <formula>LEN(TRIM(B542))&gt;0</formula>
    </cfRule>
  </conditionalFormatting>
  <conditionalFormatting sqref="B488:H488">
    <cfRule type="expression" dxfId="84" priority="56">
      <formula>LEFT(B485,4)="Year"</formula>
    </cfRule>
  </conditionalFormatting>
  <conditionalFormatting sqref="B502:H502">
    <cfRule type="expression" dxfId="83" priority="55">
      <formula>LEFT(B499,4)="Year"</formula>
    </cfRule>
  </conditionalFormatting>
  <conditionalFormatting sqref="B516:H516">
    <cfRule type="expression" dxfId="82" priority="54">
      <formula>LEFT(B513,4)="Year"</formula>
    </cfRule>
  </conditionalFormatting>
  <conditionalFormatting sqref="B523:H523">
    <cfRule type="expression" dxfId="81" priority="53">
      <formula>LEFT(B520,4)="Year"</formula>
    </cfRule>
  </conditionalFormatting>
  <conditionalFormatting sqref="B545:H545">
    <cfRule type="expression" dxfId="80" priority="52">
      <formula>LEFT(B542,4)="Year"</formula>
    </cfRule>
  </conditionalFormatting>
  <conditionalFormatting sqref="B577:H577">
    <cfRule type="notContainsBlanks" dxfId="79" priority="51">
      <formula>LEN(TRIM(B577))&gt;0</formula>
    </cfRule>
  </conditionalFormatting>
  <conditionalFormatting sqref="B580:H580">
    <cfRule type="expression" dxfId="78" priority="50">
      <formula>LEFT(B577,4)="Year"</formula>
    </cfRule>
  </conditionalFormatting>
  <conditionalFormatting sqref="B591:H591">
    <cfRule type="notContainsBlanks" dxfId="77" priority="49">
      <formula>LEN(TRIM(B591))&gt;0</formula>
    </cfRule>
  </conditionalFormatting>
  <conditionalFormatting sqref="B605:H605">
    <cfRule type="notContainsBlanks" dxfId="76" priority="48">
      <formula>LEN(TRIM(B605))&gt;0</formula>
    </cfRule>
  </conditionalFormatting>
  <conditionalFormatting sqref="B619:H619">
    <cfRule type="notContainsBlanks" dxfId="75" priority="47">
      <formula>LEN(TRIM(B619))&gt;0</formula>
    </cfRule>
  </conditionalFormatting>
  <conditionalFormatting sqref="B626:H626">
    <cfRule type="notContainsBlanks" dxfId="74" priority="46">
      <formula>LEN(TRIM(B626))&gt;0</formula>
    </cfRule>
  </conditionalFormatting>
  <conditionalFormatting sqref="B648:H648">
    <cfRule type="notContainsBlanks" dxfId="73" priority="45">
      <formula>LEN(TRIM(B648))&gt;0</formula>
    </cfRule>
  </conditionalFormatting>
  <conditionalFormatting sqref="B594:H594">
    <cfRule type="expression" dxfId="72" priority="44">
      <formula>LEFT(B591,4)="Year"</formula>
    </cfRule>
  </conditionalFormatting>
  <conditionalFormatting sqref="B608:H608">
    <cfRule type="expression" dxfId="71" priority="43">
      <formula>LEFT(B605,4)="Year"</formula>
    </cfRule>
  </conditionalFormatting>
  <conditionalFormatting sqref="B622:H622">
    <cfRule type="expression" dxfId="70" priority="42">
      <formula>LEFT(B619,4)="Year"</formula>
    </cfRule>
  </conditionalFormatting>
  <conditionalFormatting sqref="B629:H629">
    <cfRule type="expression" dxfId="69" priority="41">
      <formula>LEFT(B626,4)="Year"</formula>
    </cfRule>
  </conditionalFormatting>
  <conditionalFormatting sqref="B651:H651">
    <cfRule type="expression" dxfId="68" priority="40">
      <formula>LEFT(B648,4)="Year"</formula>
    </cfRule>
  </conditionalFormatting>
  <conditionalFormatting sqref="B55:H55">
    <cfRule type="expression" dxfId="67" priority="37">
      <formula>LEFT(B47,4)="Year"</formula>
    </cfRule>
  </conditionalFormatting>
  <conditionalFormatting sqref="B69:H69">
    <cfRule type="expression" dxfId="66" priority="36">
      <formula>LEFT(B61,4)="Year"</formula>
    </cfRule>
  </conditionalFormatting>
  <conditionalFormatting sqref="B83:H83">
    <cfRule type="expression" dxfId="65" priority="35">
      <formula>LEFT(B75,4)="Year"</formula>
    </cfRule>
  </conditionalFormatting>
  <conditionalFormatting sqref="B161:H161">
    <cfRule type="expression" dxfId="64" priority="34">
      <formula>LEFT(B153,4)="Year"</formula>
    </cfRule>
  </conditionalFormatting>
  <conditionalFormatting sqref="B175:H175">
    <cfRule type="expression" dxfId="63" priority="33">
      <formula>LEFT(B167,4)="Year"</formula>
    </cfRule>
  </conditionalFormatting>
  <conditionalFormatting sqref="B189:H189">
    <cfRule type="expression" dxfId="62" priority="32">
      <formula>LEFT(B181,4)="Year"</formula>
    </cfRule>
  </conditionalFormatting>
  <conditionalFormatting sqref="B267:H267">
    <cfRule type="expression" dxfId="61" priority="31">
      <formula>LEFT(B259,4)="Year"</formula>
    </cfRule>
  </conditionalFormatting>
  <conditionalFormatting sqref="B281:H281">
    <cfRule type="expression" dxfId="60" priority="30">
      <formula>LEFT(B273,4)="Year"</formula>
    </cfRule>
  </conditionalFormatting>
  <conditionalFormatting sqref="B295:H295">
    <cfRule type="expression" dxfId="59" priority="29">
      <formula>LEFT(B287,4)="Year"</formula>
    </cfRule>
  </conditionalFormatting>
  <conditionalFormatting sqref="B373:H373">
    <cfRule type="expression" dxfId="58" priority="28">
      <formula>LEFT(B365,4)="Year"</formula>
    </cfRule>
  </conditionalFormatting>
  <conditionalFormatting sqref="B387:H387">
    <cfRule type="expression" dxfId="57" priority="27">
      <formula>LEFT(B379,4)="Year"</formula>
    </cfRule>
  </conditionalFormatting>
  <conditionalFormatting sqref="B401:H401">
    <cfRule type="expression" dxfId="56" priority="26">
      <formula>LEFT(B393,4)="Year"</formula>
    </cfRule>
  </conditionalFormatting>
  <conditionalFormatting sqref="B479:H479">
    <cfRule type="expression" dxfId="55" priority="25">
      <formula>LEFT(B471,4)="Year"</formula>
    </cfRule>
  </conditionalFormatting>
  <conditionalFormatting sqref="B493:H493">
    <cfRule type="expression" dxfId="54" priority="24">
      <formula>LEFT(B485,4)="Year"</formula>
    </cfRule>
  </conditionalFormatting>
  <conditionalFormatting sqref="B507:H507">
    <cfRule type="expression" dxfId="53" priority="23">
      <formula>LEFT(B499,4)="Year"</formula>
    </cfRule>
  </conditionalFormatting>
  <conditionalFormatting sqref="B585:H585">
    <cfRule type="expression" dxfId="52" priority="22">
      <formula>LEFT(B577,4)="Year"</formula>
    </cfRule>
  </conditionalFormatting>
  <conditionalFormatting sqref="B599:H599">
    <cfRule type="expression" dxfId="51" priority="21">
      <formula>LEFT(B591,4)="Year"</formula>
    </cfRule>
  </conditionalFormatting>
  <conditionalFormatting sqref="B613:H613">
    <cfRule type="expression" dxfId="50" priority="20">
      <formula>LEFT(B605,4)="Year"</formula>
    </cfRule>
  </conditionalFormatting>
  <conditionalFormatting sqref="G125:H125">
    <cfRule type="notContainsBlanks" dxfId="49" priority="19">
      <formula>LEN(TRIM(G125))&gt;0</formula>
    </cfRule>
  </conditionalFormatting>
  <conditionalFormatting sqref="B683:H683">
    <cfRule type="notContainsBlanks" dxfId="48" priority="15">
      <formula>LEN(TRIM(B683))&gt;0</formula>
    </cfRule>
  </conditionalFormatting>
  <conditionalFormatting sqref="B686:H686">
    <cfRule type="expression" dxfId="47" priority="14">
      <formula>LEFT(B683,4)="Year"</formula>
    </cfRule>
  </conditionalFormatting>
  <conditionalFormatting sqref="B697:H697">
    <cfRule type="notContainsBlanks" dxfId="46" priority="13">
      <formula>LEN(TRIM(B697))&gt;0</formula>
    </cfRule>
  </conditionalFormatting>
  <conditionalFormatting sqref="B711:H711">
    <cfRule type="notContainsBlanks" dxfId="45" priority="12">
      <formula>LEN(TRIM(B711))&gt;0</formula>
    </cfRule>
  </conditionalFormatting>
  <conditionalFormatting sqref="B725:H725">
    <cfRule type="notContainsBlanks" dxfId="44" priority="11">
      <formula>LEN(TRIM(B725))&gt;0</formula>
    </cfRule>
  </conditionalFormatting>
  <conditionalFormatting sqref="B732:H732">
    <cfRule type="notContainsBlanks" dxfId="43" priority="10">
      <formula>LEN(TRIM(B732))&gt;0</formula>
    </cfRule>
  </conditionalFormatting>
  <conditionalFormatting sqref="B754:H754">
    <cfRule type="notContainsBlanks" dxfId="42" priority="9">
      <formula>LEN(TRIM(B754))&gt;0</formula>
    </cfRule>
  </conditionalFormatting>
  <conditionalFormatting sqref="B700:H700">
    <cfRule type="expression" dxfId="41" priority="8">
      <formula>LEFT(B697,4)="Year"</formula>
    </cfRule>
  </conditionalFormatting>
  <conditionalFormatting sqref="B714:H714">
    <cfRule type="expression" dxfId="40" priority="7">
      <formula>LEFT(B711,4)="Year"</formula>
    </cfRule>
  </conditionalFormatting>
  <conditionalFormatting sqref="B728:H728">
    <cfRule type="expression" dxfId="39" priority="6">
      <formula>LEFT(B725,4)="Year"</formula>
    </cfRule>
  </conditionalFormatting>
  <conditionalFormatting sqref="B735:H735">
    <cfRule type="expression" dxfId="38" priority="5">
      <formula>LEFT(B732,4)="Year"</formula>
    </cfRule>
  </conditionalFormatting>
  <conditionalFormatting sqref="B757:H757">
    <cfRule type="expression" dxfId="37" priority="4">
      <formula>LEFT(B754,4)="Year"</formula>
    </cfRule>
  </conditionalFormatting>
  <conditionalFormatting sqref="B691:H691">
    <cfRule type="expression" dxfId="36" priority="3">
      <formula>LEFT(B683,4)="Year"</formula>
    </cfRule>
  </conditionalFormatting>
  <conditionalFormatting sqref="B705:H705">
    <cfRule type="expression" dxfId="35" priority="2">
      <formula>LEFT(B697,4)="Year"</formula>
    </cfRule>
  </conditionalFormatting>
  <conditionalFormatting sqref="B719:H719">
    <cfRule type="expression" dxfId="34" priority="1">
      <formula>LEFT(B711,4)="Year"</formula>
    </cfRule>
  </conditionalFormatting>
  <dataValidations count="8">
    <dataValidation type="list" allowBlank="1" showInputMessage="1" sqref="B3" xr:uid="{00000000-0002-0000-0000-000000000000}">
      <formula1>$AT$2:$AT$5</formula1>
    </dataValidation>
    <dataValidation type="list" allowBlank="1" showInputMessage="1" showErrorMessage="1" sqref="B9" xr:uid="{00000000-0002-0000-0000-000001000000}">
      <formula1>$AU$2:$AU$5</formula1>
    </dataValidation>
    <dataValidation type="list" allowBlank="1" showInputMessage="1" showErrorMessage="1" sqref="B33:B34 B669:B670 B666 B30 B139:B140 B136 B351:B352 B348 B563:B564 B454 B457:B458 B245:B246 B242 B560" xr:uid="{00000000-0002-0000-0000-000002000000}">
      <formula1>$Z$13:$Z$14</formula1>
    </dataValidation>
    <dataValidation type="list" allowBlank="1" showInputMessage="1" showErrorMessage="1" sqref="B8 B11" xr:uid="{00000000-0002-0000-0000-000003000000}">
      <formula1>$Y$13:$Y$14</formula1>
    </dataValidation>
    <dataValidation type="list" allowBlank="1" showInputMessage="1" showErrorMessage="1" sqref="B6" xr:uid="{00000000-0002-0000-0000-000004000000}">
      <formula1>$X$13:$X$14</formula1>
    </dataValidation>
    <dataValidation type="list" allowBlank="1" showInputMessage="1" sqref="B12" xr:uid="{00000000-0002-0000-0000-000005000000}">
      <formula1>$AB$13:$AB$14</formula1>
    </dataValidation>
    <dataValidation type="list" allowBlank="1" showInputMessage="1" showErrorMessage="1" sqref="B7" xr:uid="{00000000-0002-0000-0000-000006000000}">
      <formula1>$AC$13:$AC$14</formula1>
    </dataValidation>
    <dataValidation type="list" allowBlank="1" showInputMessage="1" showErrorMessage="1" sqref="B31 B667 B243 B349 B455 B561 B137" xr:uid="{00000000-0002-0000-0000-000007000000}">
      <formula1>$AE$13:$AE$14</formula1>
    </dataValidation>
  </dataValidations>
  <hyperlinks>
    <hyperlink ref="M1" r:id="rId1" xr:uid="{00000000-0004-0000-0000-000000000000}"/>
    <hyperlink ref="N13" r:id="rId2" xr:uid="{00000000-0004-0000-0000-000001000000}"/>
    <hyperlink ref="N15" r:id="rId3" xr:uid="{00000000-0004-0000-0000-000002000000}"/>
    <hyperlink ref="N18" r:id="rId4" xr:uid="{0E89B0A8-8E59-49F4-ADF8-49EFFC0914F1}"/>
    <hyperlink ref="N16" r:id="rId5" xr:uid="{FAAEB81E-4018-48BB-85B6-53FA9B47D08F}"/>
    <hyperlink ref="N17" r:id="rId6" xr:uid="{33BF5A37-6255-41B8-B398-3080D205F0A2}"/>
    <hyperlink ref="R15" r:id="rId7" xr:uid="{622FB1A8-9418-4A60-8983-4D168AC04FC5}"/>
  </hyperlinks>
  <printOptions headings="1" gridLines="1"/>
  <pageMargins left="0.7" right="0.7" top="0.75" bottom="0.75" header="0.3" footer="0.3"/>
  <pageSetup scale="65" fitToHeight="0" orientation="portrait" r:id="rId8"/>
  <legacyDrawing r:id="rId9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'RASS Input'!$V$1:$V$54</xm:f>
          </x14:formula1>
          <xm:sqref>F18:J18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>
    <tabColor theme="4" tint="0.39997558519241921"/>
    <pageSetUpPr fitToPage="1"/>
  </sheetPr>
  <dimension ref="A1:O99"/>
  <sheetViews>
    <sheetView zoomScale="130" zoomScaleNormal="130" workbookViewId="0">
      <selection activeCell="A14" sqref="A14"/>
    </sheetView>
  </sheetViews>
  <sheetFormatPr defaultColWidth="9.28515625" defaultRowHeight="11.25" x14ac:dyDescent="0.2"/>
  <cols>
    <col min="1" max="1" width="33.42578125" style="2" customWidth="1"/>
    <col min="2" max="6" width="8.42578125" style="2" customWidth="1"/>
    <col min="7" max="7" width="9.5703125" style="3" bestFit="1" customWidth="1"/>
    <col min="8" max="8" width="11" style="3" customWidth="1"/>
    <col min="9" max="9" width="29.28515625" style="3" customWidth="1"/>
    <col min="10" max="11" width="9.7109375" style="3" customWidth="1"/>
    <col min="12" max="13" width="9.7109375" style="2" customWidth="1"/>
    <col min="14" max="16384" width="9.28515625" style="2"/>
  </cols>
  <sheetData>
    <row r="1" spans="1:14" ht="12.75" x14ac:dyDescent="0.2">
      <c r="A1" s="1" t="str">
        <f>+'rates, dates, etc'!B4</f>
        <v>Assessing the Potential for Demand Response to Manage Generation Shortfalls in a Zero-Carbon Electricity Grid”</v>
      </c>
      <c r="D1" s="87"/>
    </row>
    <row r="2" spans="1:14" ht="12.75" x14ac:dyDescent="0.2">
      <c r="A2" s="1" t="str">
        <f>+'rates, dates, etc'!B3</f>
        <v>USDA</v>
      </c>
      <c r="H2" s="87"/>
    </row>
    <row r="3" spans="1:14" ht="12.75" customHeight="1" thickBot="1" x14ac:dyDescent="0.25"/>
    <row r="4" spans="1:14" x14ac:dyDescent="0.2">
      <c r="A4" s="4" t="str">
        <f ca="1">CONCATENATE("Cornell University - ",'rates, dates, etc'!A18)</f>
        <v>Cornell University - Lead Budget</v>
      </c>
      <c r="B4" s="5" t="s">
        <v>1</v>
      </c>
      <c r="C4" s="5" t="s">
        <v>2</v>
      </c>
      <c r="D4" s="5" t="s">
        <v>3</v>
      </c>
      <c r="E4" s="5" t="s">
        <v>44</v>
      </c>
      <c r="F4" s="5" t="s">
        <v>50</v>
      </c>
      <c r="G4" s="23"/>
    </row>
    <row r="5" spans="1:14" ht="12" thickBot="1" x14ac:dyDescent="0.25">
      <c r="A5" s="4" t="str">
        <f>CONCATENATE("PI: ",'rates, dates, etc'!B18)</f>
        <v>PI: Vivek Srikrishnan</v>
      </c>
      <c r="B5" s="6">
        <f>+'rates, dates, etc'!B5</f>
        <v>44927</v>
      </c>
      <c r="C5" s="6">
        <f>+B6+1</f>
        <v>45292</v>
      </c>
      <c r="D5" s="6">
        <f t="shared" ref="D5:F5" si="0">+C6+1</f>
        <v>45658</v>
      </c>
      <c r="E5" s="6">
        <f t="shared" si="0"/>
        <v>46023</v>
      </c>
      <c r="F5" s="6">
        <f t="shared" si="0"/>
        <v>46388</v>
      </c>
      <c r="G5" s="24"/>
    </row>
    <row r="6" spans="1:14" ht="12" thickBot="1" x14ac:dyDescent="0.25">
      <c r="A6" s="7" t="s">
        <v>4</v>
      </c>
      <c r="B6" s="8">
        <f>DATE(YEAR(B5), MONTH(B5) + 12, DAY(B5))-1</f>
        <v>45291</v>
      </c>
      <c r="C6" s="8">
        <f t="shared" ref="C6:F6" si="1">DATE(YEAR(C5), MONTH(C5) + 12, DAY(C5))-1</f>
        <v>45657</v>
      </c>
      <c r="D6" s="8">
        <f t="shared" si="1"/>
        <v>46022</v>
      </c>
      <c r="E6" s="8">
        <f t="shared" si="1"/>
        <v>46387</v>
      </c>
      <c r="F6" s="8">
        <f t="shared" si="1"/>
        <v>46752</v>
      </c>
      <c r="G6" s="25" t="s">
        <v>5</v>
      </c>
    </row>
    <row r="7" spans="1:14" x14ac:dyDescent="0.2">
      <c r="A7" s="9" t="s">
        <v>136</v>
      </c>
      <c r="G7" s="26" t="s">
        <v>6</v>
      </c>
    </row>
    <row r="8" spans="1:14" x14ac:dyDescent="0.2">
      <c r="A8" s="10" t="str">
        <f>+'rates, dates, etc'!A48</f>
        <v>Vivek Srikrishnan</v>
      </c>
      <c r="B8" s="586">
        <f>HLOOKUP(B$4,'rates, dates, etc'!B47:H53,7,FALSE)</f>
        <v>5894</v>
      </c>
      <c r="C8" s="11">
        <f>HLOOKUP(C$4,'rates, dates, etc'!C47:I53,7,FALSE)</f>
        <v>6071</v>
      </c>
      <c r="D8" s="11">
        <f>HLOOKUP(D$4,'rates, dates, etc'!D47:J53,7,FALSE)</f>
        <v>0</v>
      </c>
      <c r="E8" s="11">
        <f>HLOOKUP(E$4,'rates, dates, etc'!E47:K53,7,FALSE)</f>
        <v>0</v>
      </c>
      <c r="F8" s="11">
        <f>HLOOKUP(F$4,'rates, dates, etc'!F47:L53,7,FALSE)</f>
        <v>0</v>
      </c>
      <c r="G8" s="27">
        <f>SUM(B8:F8)</f>
        <v>11965</v>
      </c>
    </row>
    <row r="9" spans="1:14" x14ac:dyDescent="0.2">
      <c r="A9" s="10" t="str">
        <f>+'rates, dates, etc'!A62</f>
        <v>S. Steinschneider</v>
      </c>
      <c r="B9" s="586">
        <f>HLOOKUP(B$4,'rates, dates, etc'!B61:H67,7,FALSE)</f>
        <v>3229</v>
      </c>
      <c r="C9" s="11">
        <f>HLOOKUP(C$4,'rates, dates, etc'!C61:I67,7,FALSE)</f>
        <v>3325</v>
      </c>
      <c r="D9" s="11">
        <f>HLOOKUP(D$4,'rates, dates, etc'!D61:J67,7,FALSE)</f>
        <v>0</v>
      </c>
      <c r="E9" s="11">
        <f>HLOOKUP(E$4,'rates, dates, etc'!E61:K67,7,FALSE)</f>
        <v>0</v>
      </c>
      <c r="F9" s="11">
        <f>HLOOKUP(F$4,'rates, dates, etc'!F61:L67,7,FALSE)</f>
        <v>0</v>
      </c>
      <c r="G9" s="27">
        <f>SUM(B9:F9)</f>
        <v>6554</v>
      </c>
    </row>
    <row r="10" spans="1:14" x14ac:dyDescent="0.2">
      <c r="A10" s="10" t="str">
        <f>+'rates, dates, etc'!A76</f>
        <v>Co-PI</v>
      </c>
      <c r="B10" s="586">
        <f>HLOOKUP(B$4,'rates, dates, etc'!B75:H81,7,FALSE)</f>
        <v>0</v>
      </c>
      <c r="C10" s="11">
        <f>HLOOKUP(C$4,'rates, dates, etc'!C75:I81,7,FALSE)</f>
        <v>0</v>
      </c>
      <c r="D10" s="11">
        <f>HLOOKUP(D$4,'rates, dates, etc'!D75:J81,7,FALSE)</f>
        <v>0</v>
      </c>
      <c r="E10" s="11">
        <f>HLOOKUP(E$4,'rates, dates, etc'!E75:K81,7,FALSE)</f>
        <v>0</v>
      </c>
      <c r="F10" s="11">
        <f>HLOOKUP(F$4,'rates, dates, etc'!F75:L81,7,FALSE)</f>
        <v>0</v>
      </c>
      <c r="G10" s="27">
        <f>SUM(B10:F10)</f>
        <v>0</v>
      </c>
    </row>
    <row r="11" spans="1:14" ht="12" thickBot="1" x14ac:dyDescent="0.25">
      <c r="A11" s="15" t="str">
        <f>CONCATENATE("Total ",A7)</f>
        <v>Total Senior Personnel Salary</v>
      </c>
      <c r="B11" s="16">
        <f>SUM(B7:B10)</f>
        <v>9123</v>
      </c>
      <c r="C11" s="16">
        <f t="shared" ref="C11:F11" si="2">SUM(C7:C10)</f>
        <v>9396</v>
      </c>
      <c r="D11" s="16">
        <f t="shared" si="2"/>
        <v>0</v>
      </c>
      <c r="E11" s="16">
        <f t="shared" si="2"/>
        <v>0</v>
      </c>
      <c r="F11" s="16">
        <f t="shared" si="2"/>
        <v>0</v>
      </c>
      <c r="G11" s="28">
        <f>SUM(G7:G10)</f>
        <v>18519</v>
      </c>
    </row>
    <row r="12" spans="1:14" ht="12" thickBot="1" x14ac:dyDescent="0.25">
      <c r="A12" s="14" t="s">
        <v>137</v>
      </c>
      <c r="B12" s="13"/>
      <c r="C12" s="13"/>
      <c r="D12" s="13"/>
      <c r="E12" s="13"/>
      <c r="F12" s="13"/>
      <c r="G12" s="27"/>
      <c r="I12" s="67" t="s">
        <v>86</v>
      </c>
      <c r="J12" s="31" t="str">
        <f>+'rates, dates, etc'!B103</f>
        <v>Year 1</v>
      </c>
      <c r="K12" s="31" t="str">
        <f>+'rates, dates, etc'!C103</f>
        <v>Year 2</v>
      </c>
      <c r="L12" s="31" t="str">
        <f>+'rates, dates, etc'!D103</f>
        <v>Year 3</v>
      </c>
      <c r="M12" s="31" t="str">
        <f>+'rates, dates, etc'!E103</f>
        <v>Year 4</v>
      </c>
      <c r="N12" s="31" t="str">
        <f>+'rates, dates, etc'!F103</f>
        <v>Year 5</v>
      </c>
    </row>
    <row r="13" spans="1:14" x14ac:dyDescent="0.2">
      <c r="A13" s="10" t="str">
        <f>+'rates, dates, etc'!A90</f>
        <v>Post Doctoral Scholar(s)</v>
      </c>
      <c r="B13" s="13">
        <f>HLOOKUP(B$4,'rates, dates, etc'!B89:H94,6,FALSE)</f>
        <v>23250</v>
      </c>
      <c r="C13" s="13">
        <f>HLOOKUP(C$4,'rates, dates, etc'!C89:I94,6,FALSE)</f>
        <v>24064</v>
      </c>
      <c r="D13" s="13">
        <f>HLOOKUP(D$4,'rates, dates, etc'!D89:J94,6,FALSE)</f>
        <v>0</v>
      </c>
      <c r="E13" s="13">
        <f>HLOOKUP(E$4,'rates, dates, etc'!E89:K94,6,FALSE)</f>
        <v>0</v>
      </c>
      <c r="F13" s="13">
        <f>HLOOKUP(F$4,'rates, dates, etc'!F89:L94,6,FALSE)</f>
        <v>0</v>
      </c>
      <c r="G13" s="27">
        <f>SUM(B13:F13)</f>
        <v>47314</v>
      </c>
      <c r="I13" s="36" t="s">
        <v>32</v>
      </c>
      <c r="J13" s="37">
        <f>SUM('rates, dates, etc'!M98:M100)/3</f>
        <v>0</v>
      </c>
      <c r="K13" s="37">
        <f>SUM('rates, dates, etc'!N98:N100)/3</f>
        <v>0</v>
      </c>
      <c r="L13" s="37">
        <f>SUM('rates, dates, etc'!O98:O100)/3</f>
        <v>0</v>
      </c>
      <c r="M13" s="37">
        <f>SUM('rates, dates, etc'!P98:P100)/3</f>
        <v>0</v>
      </c>
      <c r="N13" s="37">
        <f>SUM('rates, dates, etc'!Q98:Q100)/3</f>
        <v>0</v>
      </c>
    </row>
    <row r="14" spans="1:14" x14ac:dyDescent="0.2">
      <c r="A14" s="10" t="str">
        <f>+'rates, dates, etc'!A97</f>
        <v>Research Associate (KB Walsh)</v>
      </c>
      <c r="B14" s="13">
        <f>HLOOKUP(B$4,'rates, dates, etc'!B96:H101,6,FALSE)</f>
        <v>0</v>
      </c>
      <c r="C14" s="13">
        <f>HLOOKUP(C$4,'rates, dates, etc'!C96:I101,6,FALSE)</f>
        <v>0</v>
      </c>
      <c r="D14" s="13">
        <f>HLOOKUP(D$4,'rates, dates, etc'!D96:J101,6,FALSE)</f>
        <v>0</v>
      </c>
      <c r="E14" s="13">
        <f>HLOOKUP(E$4,'rates, dates, etc'!E96:K101,6,FALSE)</f>
        <v>0</v>
      </c>
      <c r="F14" s="13">
        <f>HLOOKUP(F$4,'rates, dates, etc'!F96:L101,6,FALSE)</f>
        <v>0</v>
      </c>
      <c r="G14" s="27">
        <f>SUM(B14:F14)</f>
        <v>0</v>
      </c>
      <c r="I14" s="10" t="s">
        <v>22</v>
      </c>
      <c r="J14" s="12">
        <f>+'rates, dates, etc'!M104</f>
        <v>0</v>
      </c>
      <c r="K14" s="12">
        <f>+'rates, dates, etc'!N104</f>
        <v>0</v>
      </c>
      <c r="L14" s="12">
        <f>+'rates, dates, etc'!O104</f>
        <v>0</v>
      </c>
      <c r="M14" s="12">
        <f>+'rates, dates, etc'!P104</f>
        <v>0</v>
      </c>
      <c r="N14" s="12">
        <f>+'rates, dates, etc'!Q104</f>
        <v>0</v>
      </c>
    </row>
    <row r="15" spans="1:14" x14ac:dyDescent="0.2">
      <c r="A15" s="10" t="str">
        <f>+'rates, dates, etc'!A103</f>
        <v>Graduate Student(s)</v>
      </c>
      <c r="B15" s="13">
        <f>+J14</f>
        <v>0</v>
      </c>
      <c r="C15" s="13">
        <f>+K14</f>
        <v>0</v>
      </c>
      <c r="D15" s="13">
        <f>+L14</f>
        <v>0</v>
      </c>
      <c r="E15" s="13">
        <f>+M14</f>
        <v>0</v>
      </c>
      <c r="F15" s="13">
        <f>+N14</f>
        <v>0</v>
      </c>
      <c r="G15" s="27">
        <f>SUM(B15:F15)</f>
        <v>0</v>
      </c>
      <c r="I15" s="10" t="s">
        <v>8</v>
      </c>
      <c r="J15" s="12">
        <f>+'rates, dates, etc'!M105</f>
        <v>0</v>
      </c>
      <c r="K15" s="12">
        <f>+'rates, dates, etc'!N105</f>
        <v>0</v>
      </c>
      <c r="L15" s="12">
        <f>+'rates, dates, etc'!O105</f>
        <v>0</v>
      </c>
      <c r="M15" s="12">
        <f>+'rates, dates, etc'!P105</f>
        <v>0</v>
      </c>
      <c r="N15" s="12">
        <f>+'rates, dates, etc'!Q105</f>
        <v>0</v>
      </c>
    </row>
    <row r="16" spans="1:14" x14ac:dyDescent="0.2">
      <c r="A16" s="10" t="str">
        <f>+'rates, dates, etc'!A108</f>
        <v>Undergraduate Student(s)</v>
      </c>
      <c r="B16" s="13">
        <f>+'rates, dates, etc'!B116</f>
        <v>0</v>
      </c>
      <c r="C16" s="13">
        <f>+'rates, dates, etc'!C116</f>
        <v>0</v>
      </c>
      <c r="D16" s="13">
        <f>+'rates, dates, etc'!D116</f>
        <v>0</v>
      </c>
      <c r="E16" s="13">
        <f>+'rates, dates, etc'!E116</f>
        <v>0</v>
      </c>
      <c r="F16" s="13">
        <f>+'rates, dates, etc'!F116</f>
        <v>0</v>
      </c>
      <c r="G16" s="27">
        <f t="shared" ref="G16:G17" si="3">SUM(B16:F16)</f>
        <v>0</v>
      </c>
      <c r="I16" s="10" t="s">
        <v>9</v>
      </c>
      <c r="J16" s="12">
        <f>+'rates, dates, etc'!M106</f>
        <v>0</v>
      </c>
      <c r="K16" s="12">
        <f>+'rates, dates, etc'!N106</f>
        <v>0</v>
      </c>
      <c r="L16" s="12">
        <f>+'rates, dates, etc'!O106</f>
        <v>0</v>
      </c>
      <c r="M16" s="12">
        <f>+'rates, dates, etc'!P106</f>
        <v>0</v>
      </c>
      <c r="N16" s="12">
        <f>+'rates, dates, etc'!Q106</f>
        <v>0</v>
      </c>
    </row>
    <row r="17" spans="1:15" ht="12" thickBot="1" x14ac:dyDescent="0.25">
      <c r="A17" s="10" t="str">
        <f>+'rates, dates, etc'!A119</f>
        <v>Research Associate: Sungwook Wi</v>
      </c>
      <c r="B17" s="13">
        <f>HLOOKUP(B$4,'rates, dates, etc'!B118:H123,6,FALSE)</f>
        <v>6158</v>
      </c>
      <c r="C17" s="13">
        <f>HLOOKUP(C$4,'rates, dates, etc'!C118:I123,6,FALSE)</f>
        <v>0</v>
      </c>
      <c r="D17" s="13">
        <f>HLOOKUP(D$4,'rates, dates, etc'!D118:J123,6,FALSE)</f>
        <v>0</v>
      </c>
      <c r="E17" s="13">
        <f>HLOOKUP(E$4,'rates, dates, etc'!E118:K123,6,FALSE)</f>
        <v>0</v>
      </c>
      <c r="F17" s="13">
        <f>HLOOKUP(F$4,'rates, dates, etc'!F118:L123,6,FALSE)</f>
        <v>0</v>
      </c>
      <c r="G17" s="27">
        <f t="shared" si="3"/>
        <v>6158</v>
      </c>
      <c r="I17" s="35" t="s">
        <v>31</v>
      </c>
      <c r="J17" s="38">
        <f>SUM(J14:J16)</f>
        <v>0</v>
      </c>
      <c r="K17" s="38">
        <f>SUM(K14:K16)</f>
        <v>0</v>
      </c>
      <c r="L17" s="38">
        <f>SUM(L14:L16)</f>
        <v>0</v>
      </c>
      <c r="M17" s="38">
        <f>SUM(M14:M16)</f>
        <v>0</v>
      </c>
      <c r="N17" s="38">
        <f>SUM(N14:N16)</f>
        <v>0</v>
      </c>
    </row>
    <row r="18" spans="1:15" x14ac:dyDescent="0.2">
      <c r="A18" s="10" t="str">
        <f>+'rates, dates, etc'!A126</f>
        <v>Other - Temp Employee (Endowed)</v>
      </c>
      <c r="B18" s="13">
        <f>+'rates, dates, etc'!B129</f>
        <v>0</v>
      </c>
      <c r="C18" s="13">
        <f>+'rates, dates, etc'!C129</f>
        <v>0</v>
      </c>
      <c r="D18" s="13">
        <f>+'rates, dates, etc'!D129</f>
        <v>0</v>
      </c>
      <c r="E18" s="13">
        <f>+'rates, dates, etc'!E129</f>
        <v>0</v>
      </c>
      <c r="F18" s="13">
        <f>+'rates, dates, etc'!F129</f>
        <v>0</v>
      </c>
      <c r="G18" s="27">
        <f>SUM(B18:F18)</f>
        <v>0</v>
      </c>
    </row>
    <row r="19" spans="1:15" ht="12" thickBot="1" x14ac:dyDescent="0.25">
      <c r="A19" s="15" t="str">
        <f>CONCATENATE("Total ",A12)</f>
        <v>Total Other Personnel Salary</v>
      </c>
      <c r="B19" s="16">
        <f>SUM(B12:B18)</f>
        <v>29408</v>
      </c>
      <c r="C19" s="16">
        <f>SUM(C12:C18)</f>
        <v>24064</v>
      </c>
      <c r="D19" s="16">
        <f t="shared" ref="D19:F19" si="4">SUM(D12:D18)</f>
        <v>0</v>
      </c>
      <c r="E19" s="16">
        <f>SUM(E12:E18)</f>
        <v>0</v>
      </c>
      <c r="F19" s="16">
        <f t="shared" si="4"/>
        <v>0</v>
      </c>
      <c r="G19" s="28">
        <f>SUM(G12:G18)</f>
        <v>53472</v>
      </c>
    </row>
    <row r="20" spans="1:15" x14ac:dyDescent="0.2">
      <c r="A20" s="17" t="s">
        <v>7</v>
      </c>
      <c r="B20" s="11" t="s">
        <v>6</v>
      </c>
      <c r="C20" s="11"/>
      <c r="D20" s="11"/>
      <c r="E20" s="11"/>
      <c r="F20" s="11"/>
      <c r="G20" s="27"/>
    </row>
    <row r="21" spans="1:15" x14ac:dyDescent="0.2">
      <c r="A21" s="10" t="str">
        <f>+A8</f>
        <v>Vivek Srikrishnan</v>
      </c>
      <c r="B21" s="11">
        <f>IF('rates, dates, etc'!$I49=9,ROUND((+B8*J$23),0),ROUND((+B8*J$26*$K$35)+(B8*K$26*$K$36),0))</f>
        <v>4026</v>
      </c>
      <c r="C21" s="11">
        <f>IF('rates, dates, etc'!$I49=9,ROUND((+C8*K$23),0),ROUND((+C8*K$26*$K$35)+(C8*L$26*$K$36),0))</f>
        <v>4146</v>
      </c>
      <c r="D21" s="11">
        <f>IF('rates, dates, etc'!$I49=9,ROUND((+D8*L$23),0),ROUND((+D8*L$26*$K$35)+(D8*M$26*$K$36),0))</f>
        <v>0</v>
      </c>
      <c r="E21" s="11">
        <f>IF('rates, dates, etc'!$I49=9,ROUND((+E8*M$23),0),ROUND((+E8*M$26*$K$35)+(E8*N$26*$K$36),0))</f>
        <v>0</v>
      </c>
      <c r="F21" s="11">
        <f>IF('rates, dates, etc'!$I49=9,ROUND((+F8*N$23),0),ROUND((+F8*N$26*$K$35)+(F8*O$26*$K$36),0))</f>
        <v>0</v>
      </c>
      <c r="G21" s="27">
        <f t="shared" ref="G21:G27" si="5">SUM(B21:F21)</f>
        <v>8172</v>
      </c>
      <c r="I21" s="68" t="s">
        <v>33</v>
      </c>
    </row>
    <row r="22" spans="1:15" x14ac:dyDescent="0.2">
      <c r="A22" s="10" t="str">
        <f>+A9</f>
        <v>S. Steinschneider</v>
      </c>
      <c r="B22" s="11">
        <f>IF('rates, dates, etc'!$I63=9,ROUND((+B9*J$23),0),ROUND((+B9*J$26*$K$35)+(B9*K$26*$K$36),0))</f>
        <v>2205</v>
      </c>
      <c r="C22" s="11">
        <f>IF('rates, dates, etc'!$I63=9,ROUND((+C9*K$23),0),ROUND((+C9*K$26*$K$35)+(C9*L$26*$K$36),0))</f>
        <v>2271</v>
      </c>
      <c r="D22" s="11">
        <f>IF('rates, dates, etc'!$I63=9,ROUND((+D9*L$23),0),ROUND((+D9*L$26*$K$35)+(D9*M$26*$K$36),0))</f>
        <v>0</v>
      </c>
      <c r="E22" s="11">
        <f>IF('rates, dates, etc'!$I63=9,ROUND((+E9*M$23),0),ROUND((+E9*M$26*$K$35)+(E9*N$26*$K$36),0))</f>
        <v>0</v>
      </c>
      <c r="F22" s="11">
        <f>IF('rates, dates, etc'!$I63=9,ROUND((+F9*N$23),0),ROUND((+F9*N$26*$K$35)+(F9*O$26*$K$36),0))</f>
        <v>0</v>
      </c>
      <c r="G22" s="27">
        <f t="shared" si="5"/>
        <v>4476</v>
      </c>
      <c r="I22" s="95" t="s">
        <v>121</v>
      </c>
      <c r="J22" s="96" t="str">
        <f>+'rates, dates, etc'!Z5</f>
        <v>FY2024</v>
      </c>
      <c r="K22" s="96" t="str">
        <f>+'rates, dates, etc'!AA5</f>
        <v>FY2025</v>
      </c>
      <c r="L22" s="96" t="str">
        <f>+'rates, dates, etc'!AB5</f>
        <v>FY2026</v>
      </c>
      <c r="M22" s="96" t="str">
        <f>+'rates, dates, etc'!AC5</f>
        <v>FY2027</v>
      </c>
      <c r="N22" s="96" t="str">
        <f>+'rates, dates, etc'!AD5</f>
        <v>FY2028</v>
      </c>
    </row>
    <row r="23" spans="1:15" x14ac:dyDescent="0.2">
      <c r="A23" s="10" t="str">
        <f>+A10</f>
        <v>Co-PI</v>
      </c>
      <c r="B23" s="11">
        <f>IF('rates, dates, etc'!$I77=9,ROUND((+B10*J$23),0),ROUND((+B10*J$26*$K$35)+(B10*K$26*$K$36),0))</f>
        <v>0</v>
      </c>
      <c r="C23" s="11">
        <f>IF('rates, dates, etc'!$I77=9,ROUND((+C10*K$23),0),ROUND((+C10*K$26*$K$35)+(C10*L$26*$K$36),0))</f>
        <v>0</v>
      </c>
      <c r="D23" s="11">
        <f>IF('rates, dates, etc'!$I77=9,ROUND((+D10*L$23),0),ROUND((+D10*L$26*$K$35)+(D10*M$26*$K$36),0))</f>
        <v>0</v>
      </c>
      <c r="E23" s="11">
        <f>IF('rates, dates, etc'!$I77=9,ROUND((+E10*M$23),0),ROUND((+E10*M$26*$K$35)+(E10*N$26*$K$36),0))</f>
        <v>0</v>
      </c>
      <c r="F23" s="11">
        <f>IF('rates, dates, etc'!$I77=9,ROUND((+F10*N$23),0),ROUND((+F10*N$26*$K$35)+(F10*O$26*$K$36),0))</f>
        <v>0</v>
      </c>
      <c r="G23" s="27">
        <f t="shared" si="5"/>
        <v>0</v>
      </c>
      <c r="I23" s="3" t="str">
        <f>+'rates, dates, etc'!A37</f>
        <v xml:space="preserve">   Contract (Federal) - Senior Personnel</v>
      </c>
      <c r="J23" s="31">
        <f>IF('rates, dates, etc'!B36='rates, dates, etc'!Z5,'rates, dates, etc'!B37,'rates, dates, etc'!C37)</f>
        <v>0.68300000000000005</v>
      </c>
      <c r="K23" s="31">
        <f>IF('rates, dates, etc'!C36='rates, dates, etc'!AA5,'rates, dates, etc'!C37,'rates, dates, etc'!D37)</f>
        <v>0.68300000000000005</v>
      </c>
      <c r="L23" s="31">
        <f>IF('rates, dates, etc'!D36='rates, dates, etc'!AB5,'rates, dates, etc'!D37,'rates, dates, etc'!E37)</f>
        <v>0.68300000000000005</v>
      </c>
      <c r="M23" s="31">
        <f>IF('rates, dates, etc'!E36='rates, dates, etc'!AC5,'rates, dates, etc'!E37,'rates, dates, etc'!F37)</f>
        <v>0.68300000000000005</v>
      </c>
      <c r="N23" s="31">
        <f>IF('rates, dates, etc'!F36='rates, dates, etc'!AD5,'rates, dates, etc'!F37,'rates, dates, etc'!G37)</f>
        <v>0.68300000000000005</v>
      </c>
    </row>
    <row r="24" spans="1:15" x14ac:dyDescent="0.2">
      <c r="A24" s="10" t="str">
        <f>+A13</f>
        <v>Post Doctoral Scholar(s)</v>
      </c>
      <c r="B24" s="11">
        <f t="shared" ref="B24:F25" si="6">ROUND((+B13*J27*$K$35)+(B13*K27*$K$36),0)</f>
        <v>15880</v>
      </c>
      <c r="C24" s="11">
        <f t="shared" si="6"/>
        <v>16436</v>
      </c>
      <c r="D24" s="11">
        <f t="shared" si="6"/>
        <v>0</v>
      </c>
      <c r="E24" s="11">
        <f t="shared" si="6"/>
        <v>0</v>
      </c>
      <c r="F24" s="11">
        <f t="shared" si="6"/>
        <v>0</v>
      </c>
      <c r="G24" s="27">
        <f t="shared" si="5"/>
        <v>32316</v>
      </c>
      <c r="J24" s="2"/>
      <c r="K24" s="2"/>
    </row>
    <row r="25" spans="1:15" x14ac:dyDescent="0.2">
      <c r="A25" s="10" t="str">
        <f>+A14</f>
        <v>Research Associate (KB Walsh)</v>
      </c>
      <c r="B25" s="11">
        <f t="shared" si="6"/>
        <v>0</v>
      </c>
      <c r="C25" s="11">
        <f t="shared" si="6"/>
        <v>0</v>
      </c>
      <c r="D25" s="11">
        <f t="shared" si="6"/>
        <v>0</v>
      </c>
      <c r="E25" s="11">
        <f t="shared" si="6"/>
        <v>0</v>
      </c>
      <c r="F25" s="11">
        <f t="shared" si="6"/>
        <v>0</v>
      </c>
      <c r="G25" s="27">
        <f t="shared" si="5"/>
        <v>0</v>
      </c>
      <c r="I25" s="95" t="s">
        <v>122</v>
      </c>
      <c r="J25" s="69" t="str">
        <f>+'rates, dates, etc'!Z4</f>
        <v>FY2023</v>
      </c>
      <c r="K25" s="69" t="str">
        <f>+'rates, dates, etc'!AA4</f>
        <v>FY2024</v>
      </c>
      <c r="L25" s="69" t="str">
        <f>+'rates, dates, etc'!AB4</f>
        <v>FY2025</v>
      </c>
      <c r="M25" s="69" t="str">
        <f>+'rates, dates, etc'!AC4</f>
        <v>FY2026</v>
      </c>
      <c r="N25" s="69" t="str">
        <f>+'rates, dates, etc'!AD4</f>
        <v>FY2027</v>
      </c>
      <c r="O25" s="69" t="str">
        <f>+'rates, dates, etc'!AE4</f>
        <v>FY2028</v>
      </c>
    </row>
    <row r="26" spans="1:15" x14ac:dyDescent="0.2">
      <c r="A26" s="10" t="str">
        <f>+A17</f>
        <v>Research Associate: Sungwook Wi</v>
      </c>
      <c r="B26" s="11">
        <f>IF('rates, dates, etc'!$I120=9,ROUND((+B17*J$23),0),ROUND((+B17*J$28*$K$35)+(B17*K$28*$K$36),0))</f>
        <v>4206</v>
      </c>
      <c r="C26" s="11">
        <f>IF('rates, dates, etc'!$I120=9,ROUND((+C17*K$23),0),ROUND((+C17*K$28*$K$35)+(C17*L$28*$K$36),0))</f>
        <v>0</v>
      </c>
      <c r="D26" s="11">
        <f>IF('rates, dates, etc'!$I120=9,ROUND((+D17*L$23),0),ROUND((+D17*L$28*$K$35)+(D17*M$28*$K$36),0))</f>
        <v>0</v>
      </c>
      <c r="E26" s="11">
        <f>IF('rates, dates, etc'!$I120=9,ROUND((+E17*M$23),0),ROUND((+E17*M$28*$K$35)+(E17*N$28*$K$36),0))</f>
        <v>0</v>
      </c>
      <c r="F26" s="11">
        <f>IF('rates, dates, etc'!$I120=9,ROUND((+F17*N$23),0),ROUND((+F17*N$28*$K$35)+(F17*O$28*$K$36),0))</f>
        <v>0</v>
      </c>
      <c r="G26" s="27">
        <f t="shared" si="5"/>
        <v>4206</v>
      </c>
      <c r="I26" s="3" t="str">
        <f>+'rates, dates, etc'!A37</f>
        <v xml:space="preserve">   Contract (Federal) - Senior Personnel</v>
      </c>
      <c r="J26" s="136">
        <f>+'rates, dates, etc'!B37</f>
        <v>0.68300000000000005</v>
      </c>
      <c r="K26" s="136">
        <f>+'rates, dates, etc'!C37</f>
        <v>0.68300000000000005</v>
      </c>
      <c r="L26" s="136">
        <f>+'rates, dates, etc'!D37</f>
        <v>0.68300000000000005</v>
      </c>
      <c r="M26" s="136">
        <f>+'rates, dates, etc'!E37</f>
        <v>0.68300000000000005</v>
      </c>
      <c r="N26" s="136">
        <f>+'rates, dates, etc'!F37</f>
        <v>0.68300000000000005</v>
      </c>
      <c r="O26" s="136">
        <f>+'rates, dates, etc'!G37</f>
        <v>0.68300000000000005</v>
      </c>
    </row>
    <row r="27" spans="1:15" x14ac:dyDescent="0.2">
      <c r="A27" s="10" t="str">
        <f>+A18</f>
        <v>Other - Temp Employee (Endowed)</v>
      </c>
      <c r="B27" s="11">
        <f>ROUND((+B18*J$29*$K$35)+(B18*K$29*$K$36),0)</f>
        <v>0</v>
      </c>
      <c r="C27" s="11">
        <f t="shared" ref="C27:E27" si="7">ROUND((+C18*K$29*$K$35)+(C18*L$29*$K$36),0)</f>
        <v>0</v>
      </c>
      <c r="D27" s="11">
        <f t="shared" si="7"/>
        <v>0</v>
      </c>
      <c r="E27" s="11">
        <f t="shared" si="7"/>
        <v>0</v>
      </c>
      <c r="F27" s="11">
        <f>ROUND((+F18*N$29*$K$35)+(F18*O$29*$K$36),0)</f>
        <v>0</v>
      </c>
      <c r="G27" s="27">
        <f t="shared" si="5"/>
        <v>0</v>
      </c>
      <c r="I27" s="2" t="str">
        <f>+'rates, dates, etc'!A38</f>
        <v xml:space="preserve">   Contract (Federal) - Post Doc</v>
      </c>
      <c r="J27" s="2">
        <f>+'rates, dates, etc'!B38</f>
        <v>0.68300000000000005</v>
      </c>
      <c r="K27" s="2">
        <f>+'rates, dates, etc'!C38</f>
        <v>0.68300000000000005</v>
      </c>
      <c r="L27" s="2">
        <f>+'rates, dates, etc'!D38</f>
        <v>0.68300000000000005</v>
      </c>
      <c r="M27" s="2">
        <f>+'rates, dates, etc'!E38</f>
        <v>0.68300000000000005</v>
      </c>
      <c r="N27" s="2">
        <f>+'rates, dates, etc'!F38</f>
        <v>0.68300000000000005</v>
      </c>
      <c r="O27" s="2">
        <f>+'rates, dates, etc'!G38</f>
        <v>0.68300000000000005</v>
      </c>
    </row>
    <row r="28" spans="1:15" ht="12" thickBot="1" x14ac:dyDescent="0.25">
      <c r="A28" s="15" t="str">
        <f>CONCATENATE("Total ",A20)</f>
        <v>Total Fringe Benefits</v>
      </c>
      <c r="B28" s="16">
        <f>SUM(B20:B27)</f>
        <v>26317</v>
      </c>
      <c r="C28" s="16">
        <f t="shared" ref="C28:F28" si="8">SUM(C20:C27)</f>
        <v>22853</v>
      </c>
      <c r="D28" s="16">
        <f t="shared" si="8"/>
        <v>0</v>
      </c>
      <c r="E28" s="16">
        <f t="shared" si="8"/>
        <v>0</v>
      </c>
      <c r="F28" s="16">
        <f t="shared" si="8"/>
        <v>0</v>
      </c>
      <c r="G28" s="28">
        <f>SUM(G20:G27)</f>
        <v>49170</v>
      </c>
      <c r="I28" s="2" t="str">
        <f>+'rates, dates, etc'!A39</f>
        <v xml:space="preserve">   Contract (Federal) - Other Employee</v>
      </c>
      <c r="J28" s="2">
        <f>+'rates, dates, etc'!B39</f>
        <v>0.68300000000000005</v>
      </c>
      <c r="K28" s="2">
        <f>+'rates, dates, etc'!C39</f>
        <v>0.68300000000000005</v>
      </c>
      <c r="L28" s="2">
        <f>+'rates, dates, etc'!D39</f>
        <v>0.68300000000000005</v>
      </c>
      <c r="M28" s="2">
        <f>+'rates, dates, etc'!E39</f>
        <v>0.68300000000000005</v>
      </c>
      <c r="N28" s="2">
        <f>+'rates, dates, etc'!F39</f>
        <v>0.68300000000000005</v>
      </c>
      <c r="O28" s="2">
        <f>+'rates, dates, etc'!G39</f>
        <v>0.68300000000000005</v>
      </c>
    </row>
    <row r="29" spans="1:15" ht="12" thickBot="1" x14ac:dyDescent="0.25">
      <c r="A29" s="143" t="s">
        <v>131</v>
      </c>
      <c r="B29" s="144">
        <f>+B11+B19+B28</f>
        <v>64848</v>
      </c>
      <c r="C29" s="144">
        <f t="shared" ref="C29:F29" si="9">+C11+C19+C28</f>
        <v>56313</v>
      </c>
      <c r="D29" s="144">
        <f t="shared" si="9"/>
        <v>0</v>
      </c>
      <c r="E29" s="144">
        <f t="shared" si="9"/>
        <v>0</v>
      </c>
      <c r="F29" s="144">
        <f t="shared" si="9"/>
        <v>0</v>
      </c>
      <c r="G29" s="145">
        <f>SUM(B29:F29)</f>
        <v>121161</v>
      </c>
      <c r="I29" s="2" t="str">
        <f>+'rates, dates, etc'!A40</f>
        <v xml:space="preserve">   Temp Employee</v>
      </c>
      <c r="J29" s="2">
        <f>+'rates, dates, etc'!B40</f>
        <v>0.1</v>
      </c>
      <c r="K29" s="2">
        <f>+'rates, dates, etc'!C40</f>
        <v>0.1</v>
      </c>
      <c r="L29" s="2">
        <f>+'rates, dates, etc'!D40</f>
        <v>0.1</v>
      </c>
      <c r="M29" s="2">
        <f>+'rates, dates, etc'!E40</f>
        <v>0.1</v>
      </c>
      <c r="N29" s="2">
        <f>+'rates, dates, etc'!F40</f>
        <v>0.1</v>
      </c>
      <c r="O29" s="2">
        <f>+'rates, dates, etc'!G40</f>
        <v>0.1</v>
      </c>
    </row>
    <row r="30" spans="1:15" x14ac:dyDescent="0.2">
      <c r="A30" s="17" t="s">
        <v>25</v>
      </c>
      <c r="B30" s="11"/>
      <c r="C30" s="11"/>
      <c r="D30" s="11"/>
      <c r="E30" s="11"/>
      <c r="F30" s="11"/>
      <c r="G30" s="27"/>
    </row>
    <row r="31" spans="1:15" x14ac:dyDescent="0.2">
      <c r="A31" s="10" t="s">
        <v>66</v>
      </c>
      <c r="B31" s="11">
        <f>+'Expense Details'!D6</f>
        <v>0</v>
      </c>
      <c r="C31" s="11">
        <f>+'Expense Details'!E6</f>
        <v>0</v>
      </c>
      <c r="D31" s="11">
        <f>+'Expense Details'!F6</f>
        <v>0</v>
      </c>
      <c r="E31" s="11">
        <f>+'Expense Details'!G6</f>
        <v>0</v>
      </c>
      <c r="F31" s="11">
        <f>+'Expense Details'!H6</f>
        <v>0</v>
      </c>
      <c r="G31" s="27">
        <f>SUM(B31:F31)</f>
        <v>0</v>
      </c>
      <c r="I31" s="95" t="str">
        <f>+'rates, dates, etc'!A42</f>
        <v>Rate Allowed by Sponsor:</v>
      </c>
      <c r="J31" s="31">
        <f>+'rates, dates, etc'!B42</f>
        <v>0.2</v>
      </c>
      <c r="K31" s="31">
        <f>+'rates, dates, etc'!C42</f>
        <v>0.2</v>
      </c>
      <c r="L31" s="31">
        <f>+'rates, dates, etc'!D42</f>
        <v>0.2</v>
      </c>
      <c r="M31" s="31">
        <f>+'rates, dates, etc'!E42</f>
        <v>0.2</v>
      </c>
      <c r="N31" s="31">
        <f>+'rates, dates, etc'!F42</f>
        <v>0.2</v>
      </c>
      <c r="O31" s="31">
        <f>+'rates, dates, etc'!G42</f>
        <v>0.2</v>
      </c>
    </row>
    <row r="32" spans="1:15" x14ac:dyDescent="0.2">
      <c r="A32" s="10"/>
      <c r="B32" s="11"/>
      <c r="C32" s="11"/>
      <c r="D32" s="11"/>
      <c r="E32" s="11"/>
      <c r="F32" s="11"/>
      <c r="G32" s="27">
        <f>SUM(B32:F32)</f>
        <v>0</v>
      </c>
      <c r="I32" s="95" t="str">
        <f>+'rates, dates, etc'!A41</f>
        <v>Cornell IDC Rate - Contract College</v>
      </c>
      <c r="J32" s="2">
        <f>+'rates, dates, etc'!B41</f>
        <v>0.56999999999999995</v>
      </c>
      <c r="K32" s="2">
        <f>+'rates, dates, etc'!C41</f>
        <v>0.56999999999999995</v>
      </c>
      <c r="L32" s="2">
        <f>+'rates, dates, etc'!D41</f>
        <v>0.56999999999999995</v>
      </c>
      <c r="M32" s="2">
        <f>+'rates, dates, etc'!E41</f>
        <v>0.56999999999999995</v>
      </c>
      <c r="N32" s="2">
        <f>+'rates, dates, etc'!F41</f>
        <v>0.56999999999999995</v>
      </c>
      <c r="O32" s="2">
        <f>+'rates, dates, etc'!G41</f>
        <v>0.56999999999999995</v>
      </c>
    </row>
    <row r="33" spans="1:15" ht="12" thickBot="1" x14ac:dyDescent="0.25">
      <c r="A33" s="15" t="str">
        <f>CONCATENATE("Total ",A30)</f>
        <v>Total Equipment</v>
      </c>
      <c r="B33" s="16">
        <f>SUM(B30:B32)</f>
        <v>0</v>
      </c>
      <c r="C33" s="16">
        <f>SUM(C30:C32)</f>
        <v>0</v>
      </c>
      <c r="D33" s="16">
        <f t="shared" ref="D33:F33" si="10">SUM(D30:D32)</f>
        <v>0</v>
      </c>
      <c r="E33" s="16">
        <f t="shared" si="10"/>
        <v>0</v>
      </c>
      <c r="F33" s="16">
        <f t="shared" si="10"/>
        <v>0</v>
      </c>
      <c r="G33" s="28">
        <f>SUM(G30:G32)</f>
        <v>0</v>
      </c>
      <c r="N33" s="13"/>
      <c r="O33" s="13"/>
    </row>
    <row r="34" spans="1:15" x14ac:dyDescent="0.2">
      <c r="A34" s="17" t="s">
        <v>34</v>
      </c>
      <c r="B34" s="11"/>
      <c r="C34" s="11"/>
      <c r="D34" s="11"/>
      <c r="E34" s="11"/>
      <c r="F34" s="11"/>
      <c r="G34" s="27"/>
      <c r="I34" s="71" t="str">
        <f>+'rates, dates, etc'!L39</f>
        <v>Pro-rating factor for 12 month appts.:</v>
      </c>
      <c r="J34" s="31" t="s">
        <v>36</v>
      </c>
      <c r="K34" s="31" t="s">
        <v>56</v>
      </c>
      <c r="N34" s="13"/>
      <c r="O34" s="13"/>
    </row>
    <row r="35" spans="1:15" x14ac:dyDescent="0.2">
      <c r="A35" s="10" t="s">
        <v>10</v>
      </c>
      <c r="B35" s="11">
        <f>+'Expense Details'!H19</f>
        <v>0</v>
      </c>
      <c r="C35" s="11">
        <f>+'Expense Details'!I19</f>
        <v>0</v>
      </c>
      <c r="D35" s="11">
        <f>+'Expense Details'!J19</f>
        <v>0</v>
      </c>
      <c r="E35" s="11">
        <f>+'Expense Details'!K19</f>
        <v>0</v>
      </c>
      <c r="F35" s="11">
        <f>+'Expense Details'!L19</f>
        <v>0</v>
      </c>
      <c r="G35" s="27">
        <f>SUM(B35:F35)</f>
        <v>0</v>
      </c>
      <c r="I35" s="72" t="s">
        <v>51</v>
      </c>
      <c r="J35" s="68">
        <f>+'rates, dates, etc'!M41</f>
        <v>6</v>
      </c>
      <c r="K35" s="68">
        <f>+'rates, dates, etc'!N41</f>
        <v>0.5</v>
      </c>
      <c r="N35" s="13"/>
      <c r="O35" s="13"/>
    </row>
    <row r="36" spans="1:15" x14ac:dyDescent="0.2">
      <c r="A36" s="10" t="s">
        <v>11</v>
      </c>
      <c r="B36" s="11">
        <f>+'Expense Details'!H31</f>
        <v>0</v>
      </c>
      <c r="C36" s="11">
        <f>+'Expense Details'!I31</f>
        <v>0</v>
      </c>
      <c r="D36" s="11">
        <f>+'Expense Details'!J31</f>
        <v>0</v>
      </c>
      <c r="E36" s="11">
        <f>+'Expense Details'!K31</f>
        <v>0</v>
      </c>
      <c r="F36" s="11">
        <f>+'Expense Details'!L31</f>
        <v>0</v>
      </c>
      <c r="G36" s="27">
        <f>SUM(B36:F36)</f>
        <v>0</v>
      </c>
      <c r="I36" s="72" t="s">
        <v>52</v>
      </c>
      <c r="J36" s="68">
        <f>+'rates, dates, etc'!M42</f>
        <v>6</v>
      </c>
      <c r="K36" s="68">
        <f>+'rates, dates, etc'!N42</f>
        <v>0.5</v>
      </c>
    </row>
    <row r="37" spans="1:15" ht="12" thickBot="1" x14ac:dyDescent="0.25">
      <c r="A37" s="15" t="str">
        <f>CONCATENATE("Total ",A34)</f>
        <v>Total Travel</v>
      </c>
      <c r="B37" s="16">
        <f>SUM(B34:B36)</f>
        <v>0</v>
      </c>
      <c r="C37" s="16">
        <f>SUM(C34:C36)</f>
        <v>0</v>
      </c>
      <c r="D37" s="16">
        <f t="shared" ref="D37:F37" si="11">SUM(D34:D36)</f>
        <v>0</v>
      </c>
      <c r="E37" s="16">
        <f t="shared" si="11"/>
        <v>0</v>
      </c>
      <c r="F37" s="16">
        <f t="shared" si="11"/>
        <v>0</v>
      </c>
      <c r="G37" s="28">
        <f>SUM(G34:G36)</f>
        <v>0</v>
      </c>
      <c r="I37" s="70"/>
      <c r="J37" s="73">
        <f>SUM(J35:J36)</f>
        <v>12</v>
      </c>
      <c r="K37" s="2" t="s">
        <v>97</v>
      </c>
    </row>
    <row r="38" spans="1:15" x14ac:dyDescent="0.2">
      <c r="A38" s="17" t="s">
        <v>27</v>
      </c>
      <c r="B38" s="11"/>
      <c r="C38" s="11"/>
      <c r="D38" s="11"/>
      <c r="E38" s="11"/>
      <c r="F38" s="11"/>
      <c r="G38" s="27"/>
      <c r="I38" s="2"/>
      <c r="J38" s="2"/>
      <c r="K38" s="2"/>
    </row>
    <row r="39" spans="1:15" x14ac:dyDescent="0.2">
      <c r="A39" s="10" t="s">
        <v>91</v>
      </c>
      <c r="B39" s="11">
        <f>+'Expense Details'!F37</f>
        <v>0</v>
      </c>
      <c r="C39" s="11">
        <f>+'Expense Details'!G37</f>
        <v>0</v>
      </c>
      <c r="D39" s="11">
        <f>+'Expense Details'!H37</f>
        <v>0</v>
      </c>
      <c r="E39" s="11">
        <f>+'Expense Details'!I37</f>
        <v>0</v>
      </c>
      <c r="F39" s="11">
        <f>+'Expense Details'!J37</f>
        <v>0</v>
      </c>
      <c r="G39" s="27">
        <f>SUM(B39:F39)</f>
        <v>0</v>
      </c>
      <c r="I39" s="2"/>
      <c r="J39" s="2"/>
      <c r="K39" s="2"/>
    </row>
    <row r="40" spans="1:15" x14ac:dyDescent="0.2">
      <c r="A40" s="10" t="s">
        <v>47</v>
      </c>
      <c r="B40" s="11">
        <f>+'Expense Details'!F38</f>
        <v>0</v>
      </c>
      <c r="C40" s="11">
        <f>+'Expense Details'!G38</f>
        <v>0</v>
      </c>
      <c r="D40" s="11">
        <f>+'Expense Details'!H38</f>
        <v>0</v>
      </c>
      <c r="E40" s="11">
        <f>+'Expense Details'!I38</f>
        <v>0</v>
      </c>
      <c r="F40" s="11">
        <f>+'Expense Details'!J38</f>
        <v>0</v>
      </c>
      <c r="G40" s="27">
        <f t="shared" ref="G40:G42" si="12">SUM(B40:F40)</f>
        <v>0</v>
      </c>
      <c r="I40" s="2"/>
      <c r="J40" s="2"/>
      <c r="K40" s="2"/>
    </row>
    <row r="41" spans="1:15" x14ac:dyDescent="0.2">
      <c r="A41" s="10" t="s">
        <v>34</v>
      </c>
      <c r="B41" s="11">
        <f>+'Expense Details'!F39</f>
        <v>0</v>
      </c>
      <c r="C41" s="11">
        <f>+'Expense Details'!G39</f>
        <v>0</v>
      </c>
      <c r="D41" s="11">
        <f>+'Expense Details'!H39</f>
        <v>0</v>
      </c>
      <c r="E41" s="11">
        <f>+'Expense Details'!I39</f>
        <v>0</v>
      </c>
      <c r="F41" s="11">
        <f>+'Expense Details'!J39</f>
        <v>0</v>
      </c>
      <c r="G41" s="27">
        <f t="shared" si="12"/>
        <v>0</v>
      </c>
      <c r="K41" s="2"/>
    </row>
    <row r="42" spans="1:15" x14ac:dyDescent="0.2">
      <c r="A42" s="10" t="s">
        <v>48</v>
      </c>
      <c r="B42" s="11">
        <f>+'Expense Details'!F40</f>
        <v>0</v>
      </c>
      <c r="C42" s="11">
        <f>+'Expense Details'!G40</f>
        <v>0</v>
      </c>
      <c r="D42" s="11">
        <f>+'Expense Details'!H40</f>
        <v>0</v>
      </c>
      <c r="E42" s="11">
        <f>+'Expense Details'!I40</f>
        <v>0</v>
      </c>
      <c r="F42" s="11">
        <f>+'Expense Details'!J40</f>
        <v>0</v>
      </c>
      <c r="G42" s="27">
        <f t="shared" si="12"/>
        <v>0</v>
      </c>
    </row>
    <row r="43" spans="1:15" x14ac:dyDescent="0.2">
      <c r="A43" s="10" t="s">
        <v>29</v>
      </c>
      <c r="B43" s="11">
        <f>+'Expense Details'!F41</f>
        <v>0</v>
      </c>
      <c r="C43" s="11">
        <f>+'Expense Details'!G41</f>
        <v>0</v>
      </c>
      <c r="D43" s="11">
        <f>+'Expense Details'!H41</f>
        <v>0</v>
      </c>
      <c r="E43" s="11">
        <f>+'Expense Details'!I41</f>
        <v>0</v>
      </c>
      <c r="F43" s="11">
        <f>+'Expense Details'!J41</f>
        <v>0</v>
      </c>
      <c r="G43" s="27">
        <f>SUM(B43:F43)</f>
        <v>0</v>
      </c>
    </row>
    <row r="44" spans="1:15" ht="12" thickBot="1" x14ac:dyDescent="0.25">
      <c r="A44" s="15" t="str">
        <f>CONCATENATE("Total ",A38)</f>
        <v>Total Participant Support Costs</v>
      </c>
      <c r="B44" s="16">
        <f>SUM(B38:B43)</f>
        <v>0</v>
      </c>
      <c r="C44" s="16">
        <f>SUM(C38:C43)</f>
        <v>0</v>
      </c>
      <c r="D44" s="16">
        <f t="shared" ref="D44:F44" si="13">SUM(D38:D43)</f>
        <v>0</v>
      </c>
      <c r="E44" s="16">
        <f t="shared" si="13"/>
        <v>0</v>
      </c>
      <c r="F44" s="16">
        <f t="shared" si="13"/>
        <v>0</v>
      </c>
      <c r="G44" s="28">
        <f>SUM(G38:G43)</f>
        <v>0</v>
      </c>
    </row>
    <row r="45" spans="1:15" x14ac:dyDescent="0.2">
      <c r="A45" s="17" t="s">
        <v>13</v>
      </c>
      <c r="B45" s="11"/>
      <c r="C45" s="11"/>
      <c r="D45" s="11"/>
      <c r="E45" s="11"/>
      <c r="F45" s="11"/>
      <c r="G45" s="27"/>
    </row>
    <row r="46" spans="1:15" x14ac:dyDescent="0.2">
      <c r="A46" s="10" t="str">
        <f>+'Expense Details'!A46</f>
        <v>Materials &amp; Supplies</v>
      </c>
      <c r="B46" s="18">
        <f>+'Expense Details'!F50</f>
        <v>0</v>
      </c>
      <c r="C46" s="18">
        <f>+'Expense Details'!G50</f>
        <v>0</v>
      </c>
      <c r="D46" s="18">
        <f>+'Expense Details'!H50</f>
        <v>0</v>
      </c>
      <c r="E46" s="18">
        <f>+'Expense Details'!I50</f>
        <v>0</v>
      </c>
      <c r="F46" s="18">
        <f>+'Expense Details'!J50</f>
        <v>0</v>
      </c>
      <c r="G46" s="27">
        <f t="shared" ref="G46:G54" si="14">SUM(B46:F46)</f>
        <v>0</v>
      </c>
    </row>
    <row r="47" spans="1:15" x14ac:dyDescent="0.2">
      <c r="A47" s="10" t="str">
        <f>+'Expense Details'!A54</f>
        <v>Publication Costs</v>
      </c>
      <c r="B47" s="11">
        <f>+'Expense Details'!F58</f>
        <v>0</v>
      </c>
      <c r="C47" s="11">
        <f>+'Expense Details'!G58</f>
        <v>0</v>
      </c>
      <c r="D47" s="11">
        <f>+'Expense Details'!H58</f>
        <v>0</v>
      </c>
      <c r="E47" s="11">
        <f>+'Expense Details'!I58</f>
        <v>0</v>
      </c>
      <c r="F47" s="11">
        <f>+'Expense Details'!J58</f>
        <v>0</v>
      </c>
      <c r="G47" s="27">
        <f t="shared" si="14"/>
        <v>0</v>
      </c>
    </row>
    <row r="48" spans="1:15" x14ac:dyDescent="0.2">
      <c r="A48" s="10" t="str">
        <f>+'Expense Details'!A62</f>
        <v>Consultant Services</v>
      </c>
      <c r="B48" s="11">
        <f>+'Expense Details'!F66</f>
        <v>0</v>
      </c>
      <c r="C48" s="11">
        <f>+'Expense Details'!G66</f>
        <v>0</v>
      </c>
      <c r="D48" s="11">
        <f>+'Expense Details'!H66</f>
        <v>0</v>
      </c>
      <c r="E48" s="11">
        <f>+'Expense Details'!I66</f>
        <v>0</v>
      </c>
      <c r="F48" s="11">
        <f>+'Expense Details'!J66</f>
        <v>0</v>
      </c>
      <c r="G48" s="27">
        <f t="shared" si="14"/>
        <v>0</v>
      </c>
    </row>
    <row r="49" spans="1:15" x14ac:dyDescent="0.2">
      <c r="A49" s="10" t="str">
        <f>+'Expense Details'!A70</f>
        <v>ADP/Computer Services</v>
      </c>
      <c r="B49" s="11">
        <f>+'Expense Details'!F74</f>
        <v>0</v>
      </c>
      <c r="C49" s="11">
        <f>+'Expense Details'!G74</f>
        <v>0</v>
      </c>
      <c r="D49" s="11">
        <f>+'Expense Details'!H74</f>
        <v>0</v>
      </c>
      <c r="E49" s="11">
        <f>+'Expense Details'!I74</f>
        <v>0</v>
      </c>
      <c r="F49" s="11">
        <f>+'Expense Details'!J74</f>
        <v>0</v>
      </c>
      <c r="G49" s="27">
        <f t="shared" si="14"/>
        <v>0</v>
      </c>
    </row>
    <row r="50" spans="1:15" x14ac:dyDescent="0.2">
      <c r="A50" s="10" t="s">
        <v>46</v>
      </c>
      <c r="B50" s="11">
        <f>+'Consortium 1'!B57+'Consortium 2'!B57+'Consortium 3'!B57+'Consortium 4'!B57+'Consortium 5'!B57+'Consortium 6'!B57+'Consortium 7'!B57+'Consortium 8'!B57+'Consortium 9'!B57+'Consortium 10'!B57</f>
        <v>0</v>
      </c>
      <c r="C50" s="11">
        <f>+'Consortium 1'!C57+'Consortium 2'!C57+'Consortium 3'!C57+'Consortium 4'!C57+'Consortium 5'!C57+'Consortium 6'!C57+'Consortium 7'!C57+'Consortium 8'!C57+'Consortium 9'!C57+'Consortium 10'!C57</f>
        <v>0</v>
      </c>
      <c r="D50" s="11">
        <f>+'Consortium 1'!D57+'Consortium 2'!D57+'Consortium 3'!D57+'Consortium 4'!D57+'Consortium 5'!D57+'Consortium 6'!D57+'Consortium 7'!D57+'Consortium 8'!D57+'Consortium 9'!D57+'Consortium 10'!D57</f>
        <v>0</v>
      </c>
      <c r="E50" s="11">
        <f>+'Consortium 1'!E57+'Consortium 2'!E57+'Consortium 3'!E57+'Consortium 4'!E57+'Consortium 5'!E57+'Consortium 6'!E57+'Consortium 7'!E57+'Consortium 8'!E57+'Consortium 9'!E57+'Consortium 10'!E57</f>
        <v>0</v>
      </c>
      <c r="F50" s="11">
        <f>+'Consortium 1'!F57+'Consortium 2'!F57+'Consortium 3'!F57+'Consortium 4'!F57+'Consortium 5'!F57+'Consortium 6'!F57+'Consortium 7'!F57+'Consortium 8'!F57+'Consortium 9'!F57+'Consortium 10'!F57</f>
        <v>0</v>
      </c>
      <c r="G50" s="27">
        <f t="shared" si="14"/>
        <v>0</v>
      </c>
    </row>
    <row r="51" spans="1:15" x14ac:dyDescent="0.2">
      <c r="A51" s="10" t="str">
        <f>+'Expense Details'!A78</f>
        <v xml:space="preserve">Equipment or Facility Rental/User Fees </v>
      </c>
      <c r="B51" s="11">
        <f>+'Expense Details'!F82</f>
        <v>0</v>
      </c>
      <c r="C51" s="11">
        <f>+'Expense Details'!G82</f>
        <v>0</v>
      </c>
      <c r="D51" s="11">
        <f>+'Expense Details'!H82</f>
        <v>0</v>
      </c>
      <c r="E51" s="11">
        <f>+'Expense Details'!I82</f>
        <v>0</v>
      </c>
      <c r="F51" s="11">
        <f>+'Expense Details'!J82</f>
        <v>0</v>
      </c>
      <c r="G51" s="27">
        <f t="shared" si="14"/>
        <v>0</v>
      </c>
    </row>
    <row r="52" spans="1:15" x14ac:dyDescent="0.2">
      <c r="A52" s="10" t="s">
        <v>190</v>
      </c>
      <c r="B52" s="11">
        <f t="shared" ref="B52:F53" si="15">+J15</f>
        <v>0</v>
      </c>
      <c r="C52" s="11">
        <f t="shared" si="15"/>
        <v>0</v>
      </c>
      <c r="D52" s="11">
        <f t="shared" si="15"/>
        <v>0</v>
      </c>
      <c r="E52" s="11">
        <f t="shared" si="15"/>
        <v>0</v>
      </c>
      <c r="F52" s="11">
        <f t="shared" si="15"/>
        <v>0</v>
      </c>
      <c r="G52" s="27">
        <f t="shared" si="14"/>
        <v>0</v>
      </c>
    </row>
    <row r="53" spans="1:15" x14ac:dyDescent="0.2">
      <c r="A53" s="10" t="s">
        <v>191</v>
      </c>
      <c r="B53" s="11">
        <f t="shared" si="15"/>
        <v>0</v>
      </c>
      <c r="C53" s="11">
        <f t="shared" si="15"/>
        <v>0</v>
      </c>
      <c r="D53" s="11">
        <f t="shared" si="15"/>
        <v>0</v>
      </c>
      <c r="E53" s="11">
        <f t="shared" si="15"/>
        <v>0</v>
      </c>
      <c r="F53" s="11">
        <f t="shared" si="15"/>
        <v>0</v>
      </c>
      <c r="G53" s="27">
        <f t="shared" si="14"/>
        <v>0</v>
      </c>
    </row>
    <row r="54" spans="1:15" x14ac:dyDescent="0.2">
      <c r="A54" s="10" t="str">
        <f>+'Expense Details'!A86</f>
        <v>Other</v>
      </c>
      <c r="B54" s="11">
        <f>+'Expense Details'!F90</f>
        <v>0</v>
      </c>
      <c r="C54" s="11">
        <f>+'Expense Details'!G90</f>
        <v>0</v>
      </c>
      <c r="D54" s="11">
        <f>+'Expense Details'!H90</f>
        <v>0</v>
      </c>
      <c r="E54" s="11">
        <f>+'Expense Details'!I90</f>
        <v>0</v>
      </c>
      <c r="F54" s="11">
        <f>+'Expense Details'!J90</f>
        <v>0</v>
      </c>
      <c r="G54" s="27">
        <f t="shared" si="14"/>
        <v>0</v>
      </c>
      <c r="K54" s="2"/>
      <c r="N54" s="13"/>
      <c r="O54" s="13"/>
    </row>
    <row r="55" spans="1:15" ht="12" thickBot="1" x14ac:dyDescent="0.25">
      <c r="A55" s="15" t="str">
        <f>CONCATENATE("Total ",A45)</f>
        <v>Total Other Direct Costs</v>
      </c>
      <c r="B55" s="28">
        <f t="shared" ref="B55:G55" si="16">SUM(B45:B54)</f>
        <v>0</v>
      </c>
      <c r="C55" s="16">
        <f t="shared" si="16"/>
        <v>0</v>
      </c>
      <c r="D55" s="16">
        <f t="shared" si="16"/>
        <v>0</v>
      </c>
      <c r="E55" s="16">
        <f t="shared" si="16"/>
        <v>0</v>
      </c>
      <c r="F55" s="16">
        <f t="shared" si="16"/>
        <v>0</v>
      </c>
      <c r="G55" s="28">
        <f t="shared" si="16"/>
        <v>0</v>
      </c>
      <c r="N55" s="13"/>
      <c r="O55" s="13"/>
    </row>
    <row r="56" spans="1:15" ht="12" thickBot="1" x14ac:dyDescent="0.25">
      <c r="A56" s="99" t="s">
        <v>16</v>
      </c>
      <c r="B56" s="137">
        <f t="shared" ref="B56:G56" si="17">SUM(+B11+B19+B28+B33+B37+B44+B55)</f>
        <v>64848</v>
      </c>
      <c r="C56" s="137">
        <f t="shared" si="17"/>
        <v>56313</v>
      </c>
      <c r="D56" s="137">
        <f t="shared" si="17"/>
        <v>0</v>
      </c>
      <c r="E56" s="137">
        <f t="shared" si="17"/>
        <v>0</v>
      </c>
      <c r="F56" s="137">
        <f t="shared" si="17"/>
        <v>0</v>
      </c>
      <c r="G56" s="138">
        <f t="shared" si="17"/>
        <v>121161</v>
      </c>
      <c r="N56" s="13"/>
      <c r="O56" s="13"/>
    </row>
    <row r="57" spans="1:15" ht="12" thickBot="1" x14ac:dyDescent="0.25">
      <c r="A57" s="7" t="s">
        <v>17</v>
      </c>
      <c r="B57" s="21">
        <f>+B56-(+J15+J16+B44+B63+B33)</f>
        <v>64848</v>
      </c>
      <c r="C57" s="21">
        <f>+C56-(+K15+K16+C44+C63+C33)</f>
        <v>56313</v>
      </c>
      <c r="D57" s="21">
        <f>+D56-(+L15+L16+D44+D63+D33)</f>
        <v>0</v>
      </c>
      <c r="E57" s="21">
        <f>+E56-(+M15+M16+E44+E63+E33)</f>
        <v>0</v>
      </c>
      <c r="F57" s="21">
        <f>+F56-(+N15+N16+F44+F63+F33)</f>
        <v>0</v>
      </c>
      <c r="G57" s="20">
        <f>SUM(B57:F57)</f>
        <v>121161</v>
      </c>
      <c r="H57" s="117"/>
      <c r="N57" s="13"/>
      <c r="O57" s="13"/>
    </row>
    <row r="58" spans="1:15" ht="12" thickBot="1" x14ac:dyDescent="0.25">
      <c r="A58" s="108" t="s">
        <v>18</v>
      </c>
      <c r="B58" s="139">
        <f>IF(AND('rates, dates, etc'!$B$11="no",'Budget Summary'!$G$102&lt;'Budget Summary'!$G$103),B65,B66)</f>
        <v>12970</v>
      </c>
      <c r="C58" s="139">
        <f>IF(AND('rates, dates, etc'!$B$11="no",'Budget Summary'!$G$102&lt;'Budget Summary'!$G$103),C65,C66)</f>
        <v>11263</v>
      </c>
      <c r="D58" s="139">
        <f>IF(AND('rates, dates, etc'!$B$11="no",'Budget Summary'!$G$102&lt;'Budget Summary'!$G$103),D65,D66)</f>
        <v>0</v>
      </c>
      <c r="E58" s="139">
        <f>IF(AND('rates, dates, etc'!$B$11="no",'Budget Summary'!$G$102&lt;'Budget Summary'!$G$103),E65,E66)</f>
        <v>0</v>
      </c>
      <c r="F58" s="139">
        <f>IF(AND('rates, dates, etc'!$B$11="no",'Budget Summary'!$G$102&lt;'Budget Summary'!$G$103),F65,F66)</f>
        <v>0</v>
      </c>
      <c r="G58" s="140">
        <f>SUM(B58:F58)</f>
        <v>24233</v>
      </c>
      <c r="H58" s="116"/>
      <c r="N58" s="13"/>
      <c r="O58" s="13"/>
    </row>
    <row r="59" spans="1:15" ht="12" thickBot="1" x14ac:dyDescent="0.25">
      <c r="A59" s="109" t="s">
        <v>19</v>
      </c>
      <c r="B59" s="141">
        <f>+B56+B58</f>
        <v>77818</v>
      </c>
      <c r="C59" s="141">
        <f t="shared" ref="C59:F59" si="18">+C56+C58</f>
        <v>67576</v>
      </c>
      <c r="D59" s="141">
        <f t="shared" si="18"/>
        <v>0</v>
      </c>
      <c r="E59" s="141">
        <f t="shared" si="18"/>
        <v>0</v>
      </c>
      <c r="F59" s="141">
        <f t="shared" si="18"/>
        <v>0</v>
      </c>
      <c r="G59" s="142">
        <f>SUM(B59:F59)</f>
        <v>145394</v>
      </c>
      <c r="N59" s="13"/>
      <c r="O59" s="13"/>
    </row>
    <row r="60" spans="1:15" x14ac:dyDescent="0.2">
      <c r="A60" s="22"/>
      <c r="B60" s="12"/>
      <c r="C60" s="12"/>
      <c r="D60" s="12"/>
      <c r="E60" s="12"/>
      <c r="F60" s="12"/>
      <c r="L60" s="12"/>
      <c r="N60" s="13"/>
      <c r="O60" s="13"/>
    </row>
    <row r="61" spans="1:15" x14ac:dyDescent="0.2">
      <c r="A61" s="22"/>
      <c r="B61" s="12"/>
      <c r="C61" s="12"/>
      <c r="D61" s="12"/>
      <c r="E61" s="12"/>
      <c r="F61" s="12"/>
      <c r="K61" s="39"/>
      <c r="L61" s="39"/>
      <c r="M61" s="39"/>
      <c r="N61" s="13"/>
      <c r="O61" s="13"/>
    </row>
    <row r="62" spans="1:15" ht="12" thickBot="1" x14ac:dyDescent="0.25">
      <c r="A62" s="44"/>
      <c r="B62" s="45"/>
      <c r="C62" s="45"/>
      <c r="D62" s="45"/>
      <c r="E62" s="45"/>
      <c r="F62" s="45"/>
      <c r="G62" s="45"/>
    </row>
    <row r="63" spans="1:15" ht="12" thickBot="1" x14ac:dyDescent="0.25">
      <c r="A63" s="41" t="s">
        <v>45</v>
      </c>
      <c r="B63" s="42">
        <f>+'Consortium 1'!B64+'Consortium 2'!B64+'Consortium 3'!B64+'Consortium 4'!B64+'Consortium 5'!B64+'Consortium 6'!B64+'Consortium 7'!B64+'Consortium 8'!B64+'Consortium 9'!B64+'Consortium 10'!B64</f>
        <v>0</v>
      </c>
      <c r="C63" s="42">
        <f>+'Consortium 1'!C64+'Consortium 2'!C64+'Consortium 3'!C64+'Consortium 4'!C64+'Consortium 5'!C64+'Consortium 6'!C64+'Consortium 7'!C64+'Consortium 8'!C64+'Consortium 9'!C64+'Consortium 10'!C64</f>
        <v>0</v>
      </c>
      <c r="D63" s="42">
        <f>+'Consortium 1'!D64+'Consortium 2'!D64+'Consortium 3'!D64+'Consortium 4'!D64+'Consortium 5'!D64+'Consortium 6'!D64+'Consortium 7'!D64+'Consortium 8'!D64+'Consortium 9'!D64+'Consortium 10'!D64</f>
        <v>0</v>
      </c>
      <c r="E63" s="42">
        <f>+'Consortium 1'!E64+'Consortium 2'!E64+'Consortium 3'!E64+'Consortium 4'!E64+'Consortium 5'!E64+'Consortium 6'!E64+'Consortium 7'!E64+'Consortium 8'!E64+'Consortium 9'!E64+'Consortium 10'!E64</f>
        <v>0</v>
      </c>
      <c r="F63" s="42">
        <f>+'Consortium 1'!F64+'Consortium 2'!F64+'Consortium 3'!F64+'Consortium 4'!F64+'Consortium 5'!F64+'Consortium 6'!F64+'Consortium 7'!F64+'Consortium 8'!F64+'Consortium 9'!F64+'Consortium 10'!F64</f>
        <v>0</v>
      </c>
      <c r="G63" s="43">
        <f>SUM(B63:F63)</f>
        <v>0</v>
      </c>
      <c r="J63" s="481"/>
    </row>
    <row r="64" spans="1:15" ht="12" thickBot="1" x14ac:dyDescent="0.25">
      <c r="A64" s="44"/>
      <c r="B64" s="45"/>
      <c r="C64" s="45"/>
      <c r="D64" s="45"/>
      <c r="E64" s="45"/>
      <c r="F64" s="45"/>
      <c r="G64" s="45"/>
    </row>
    <row r="65" spans="1:13" ht="12" thickBot="1" x14ac:dyDescent="0.25">
      <c r="A65" s="101" t="s">
        <v>135</v>
      </c>
      <c r="B65" s="103">
        <f>IF('rates, dates, etc'!$B$11="Yes",0,IF(AND('rates, dates, etc'!$B$11="No",'rates, dates, etc'!$B$16="No"),IF(AND('rates, dates, etc'!$B$11="No",'rates, dates, etc'!$B$16="No"),ROUND(((B56-B50+B69)*J31*$K$35)+((B56-B50+B69)*K31*$K$36),0))-(+B70),ROUND((B56*J31*$K$35)+(B56*K31*$K$36),0)))</f>
        <v>12970</v>
      </c>
      <c r="C65" s="104">
        <f>IF('rates, dates, etc'!$B$11="Yes",0,IF(AND('rates, dates, etc'!$B$11="No",'rates, dates, etc'!$B$16="No"),IF(AND('rates, dates, etc'!$B$11="No",'rates, dates, etc'!$B$16="No"),ROUND(((C56-C50+C69)*K31*$K$35)+((C56-C50+C69)*L31*$K$36),0))-(+C70),ROUND((C56*K31*$K$35)+(C56*L31*$K$36),0)))</f>
        <v>11263</v>
      </c>
      <c r="D65" s="104">
        <f>IF('rates, dates, etc'!$B$11="Yes",0,IF(AND('rates, dates, etc'!$B$11="No",'rates, dates, etc'!$B$16="No"),IF(AND('rates, dates, etc'!$B$11="No",'rates, dates, etc'!$B$16="No"),ROUND(((D56-D50+D69)*L31*$K$35)+((D56-D50+D69)*M31*$K$36),0))-(+D70),ROUND((D56*L31*$K$35)+(D56*M31*$K$36),0)))</f>
        <v>0</v>
      </c>
      <c r="E65" s="104">
        <f>IF('rates, dates, etc'!$B$11="Yes",0,IF(AND('rates, dates, etc'!$B$11="No",'rates, dates, etc'!$B$16="No"),IF(AND('rates, dates, etc'!$B$11="No",'rates, dates, etc'!$B$16="No"),ROUND(((E56-E50+E69)*M31*$K$35)+((E56-E50+E69)*N31*$K$36),0))-(+E70),ROUND((E56*M31*$K$35)+(E56*N31*$K$36),0)))</f>
        <v>0</v>
      </c>
      <c r="F65" s="416">
        <f>IF('rates, dates, etc'!$B$11="Yes",0,IF(AND('rates, dates, etc'!$B$11="No",'rates, dates, etc'!$B$16="No"),IF(AND('rates, dates, etc'!$B$11="No",'rates, dates, etc'!$B$16="No"),ROUND(((F56-F50+F69)*N31*$K$35)+((F56-F50+F69)*O31*$K$36),0))-(+F70),ROUND((F56*N31*$K$35)+(F56*O31*$K$36),0)))</f>
        <v>0</v>
      </c>
      <c r="G65" s="103">
        <f>SUM(B65:F65)</f>
        <v>24233</v>
      </c>
    </row>
    <row r="66" spans="1:13" ht="12" thickBot="1" x14ac:dyDescent="0.25">
      <c r="A66" s="102" t="s">
        <v>145</v>
      </c>
      <c r="B66" s="103">
        <f>ROUND((B57*J32*$K$35)+(B57*K32*$K$36),0)</f>
        <v>36963</v>
      </c>
      <c r="C66" s="104">
        <f>ROUND((C57*K32*$K$35)+(C57*L32*$K$36),0)</f>
        <v>32098</v>
      </c>
      <c r="D66" s="104">
        <f>ROUND((D57*L32*$K$35)+(D57*M32*$K$36),0)</f>
        <v>0</v>
      </c>
      <c r="E66" s="104">
        <f>ROUND((E57*M32*$K$35)+(E57*N32*$K$36),0)</f>
        <v>0</v>
      </c>
      <c r="F66" s="104">
        <f>ROUND((F57*N32*$K$35)+(F57*O32*$K$36),0)</f>
        <v>0</v>
      </c>
      <c r="G66" s="103">
        <f>SUM(B66:F66)</f>
        <v>69061</v>
      </c>
      <c r="J66" s="408"/>
    </row>
    <row r="67" spans="1:13" x14ac:dyDescent="0.2">
      <c r="J67" s="408"/>
    </row>
    <row r="68" spans="1:13" ht="12" thickBot="1" x14ac:dyDescent="0.25">
      <c r="B68" s="87"/>
    </row>
    <row r="69" spans="1:13" ht="12" thickBot="1" x14ac:dyDescent="0.25">
      <c r="A69" s="622" t="s">
        <v>285</v>
      </c>
      <c r="B69" s="21">
        <f>+'Consortium 1'!B53+'Consortium 2'!B53+'Consortium 3'!B53+'Consortium 4'!B53+'Consortium 5'!B53+'Consortium 6'!B53+'Consortium 7'!B53+'Consortium 8'!B53+'Consortium 9'!B53+'Consortium 10'!B53</f>
        <v>0</v>
      </c>
      <c r="C69" s="21">
        <f>+'Consortium 1'!C53+'Consortium 2'!C53+'Consortium 3'!C53+'Consortium 4'!C53+'Consortium 5'!C53+'Consortium 6'!C53+'Consortium 7'!C53+'Consortium 8'!C53+'Consortium 9'!C53+'Consortium 10'!C53</f>
        <v>0</v>
      </c>
      <c r="D69" s="21">
        <f>+'Consortium 1'!D53+'Consortium 2'!D53+'Consortium 3'!D53+'Consortium 4'!D53+'Consortium 5'!D53+'Consortium 6'!D53+'Consortium 7'!D53+'Consortium 8'!D53+'Consortium 9'!D53+'Consortium 10'!D53</f>
        <v>0</v>
      </c>
      <c r="E69" s="21">
        <f>+'Consortium 1'!E53+'Consortium 2'!E53+'Consortium 3'!E53+'Consortium 4'!E53+'Consortium 5'!E53+'Consortium 6'!E53+'Consortium 7'!E53+'Consortium 8'!E53+'Consortium 9'!E53+'Consortium 10'!E53</f>
        <v>0</v>
      </c>
      <c r="F69" s="21">
        <f>+'Consortium 1'!F53+'Consortium 2'!F53+'Consortium 3'!F53+'Consortium 4'!F53+'Consortium 5'!F53+'Consortium 6'!F53+'Consortium 7'!F53+'Consortium 8'!F53+'Consortium 9'!F53+'Consortium 10'!F53</f>
        <v>0</v>
      </c>
      <c r="G69" s="20">
        <f>SUM(B69:F69)</f>
        <v>0</v>
      </c>
      <c r="J69" s="408"/>
    </row>
    <row r="70" spans="1:13" ht="12" thickBot="1" x14ac:dyDescent="0.25">
      <c r="A70" s="622" t="s">
        <v>286</v>
      </c>
      <c r="B70" s="21">
        <f>+'Consortium 1'!B56+'Consortium 2'!B56+'Consortium 3'!B56+'Consortium 4'!B56+'Consortium 5'!B56+'Consortium 6'!B56+'Consortium 7'!B56+'Consortium 8'!B56+'Consortium 9'!B56+'Consortium 10'!B56</f>
        <v>0</v>
      </c>
      <c r="C70" s="21">
        <f>+'Consortium 1'!C56+'Consortium 2'!C56+'Consortium 3'!C56+'Consortium 4'!C56+'Consortium 5'!C56+'Consortium 6'!C56+'Consortium 7'!C56+'Consortium 8'!C56+'Consortium 9'!C56+'Consortium 10'!C56</f>
        <v>0</v>
      </c>
      <c r="D70" s="21">
        <f>+'Consortium 1'!D56+'Consortium 2'!D56+'Consortium 3'!D56+'Consortium 4'!D56+'Consortium 5'!D56+'Consortium 6'!D56+'Consortium 7'!D56+'Consortium 8'!D56+'Consortium 9'!D56+'Consortium 10'!D56</f>
        <v>0</v>
      </c>
      <c r="E70" s="21">
        <f>+'Consortium 1'!E56+'Consortium 2'!E56+'Consortium 3'!E56+'Consortium 4'!E56+'Consortium 5'!E56+'Consortium 6'!E56+'Consortium 7'!E56+'Consortium 8'!E56+'Consortium 9'!E56+'Consortium 10'!E56</f>
        <v>0</v>
      </c>
      <c r="F70" s="21">
        <f>+'Consortium 1'!F56+'Consortium 2'!F56+'Consortium 3'!F56+'Consortium 4'!F56+'Consortium 5'!F56+'Consortium 6'!F56+'Consortium 7'!F56+'Consortium 8'!F56+'Consortium 9'!F56+'Consortium 10'!F56</f>
        <v>0</v>
      </c>
      <c r="G70" s="20">
        <f t="shared" ref="G70:G71" si="19">SUM(B70:F70)</f>
        <v>0</v>
      </c>
      <c r="J70" s="408"/>
      <c r="M70" s="3"/>
    </row>
    <row r="71" spans="1:13" ht="12" thickBot="1" x14ac:dyDescent="0.25">
      <c r="A71" s="622" t="s">
        <v>287</v>
      </c>
      <c r="B71" s="21">
        <f>SUM(B69:B70)</f>
        <v>0</v>
      </c>
      <c r="C71" s="21">
        <f>SUM(C69:C70)</f>
        <v>0</v>
      </c>
      <c r="D71" s="21">
        <f t="shared" ref="D71:F71" si="20">SUM(D69:D70)</f>
        <v>0</v>
      </c>
      <c r="E71" s="21">
        <f t="shared" si="20"/>
        <v>0</v>
      </c>
      <c r="F71" s="21">
        <f t="shared" si="20"/>
        <v>0</v>
      </c>
      <c r="G71" s="20">
        <f t="shared" si="19"/>
        <v>0</v>
      </c>
      <c r="J71" s="408"/>
      <c r="M71" s="3"/>
    </row>
    <row r="72" spans="1:13" x14ac:dyDescent="0.2">
      <c r="J72" s="408"/>
      <c r="M72" s="3"/>
    </row>
    <row r="73" spans="1:13" x14ac:dyDescent="0.2">
      <c r="J73" s="408"/>
      <c r="L73" s="3"/>
      <c r="M73" s="3"/>
    </row>
    <row r="74" spans="1:13" x14ac:dyDescent="0.2">
      <c r="J74" s="408"/>
      <c r="M74" s="3"/>
    </row>
    <row r="75" spans="1:13" x14ac:dyDescent="0.2">
      <c r="J75" s="408"/>
      <c r="L75" s="3"/>
      <c r="M75" s="3"/>
    </row>
    <row r="76" spans="1:13" x14ac:dyDescent="0.2">
      <c r="J76" s="408"/>
      <c r="M76" s="3"/>
    </row>
    <row r="77" spans="1:13" x14ac:dyDescent="0.2">
      <c r="J77" s="408"/>
      <c r="M77" s="3"/>
    </row>
    <row r="78" spans="1:13" x14ac:dyDescent="0.2">
      <c r="J78" s="408"/>
      <c r="M78" s="3"/>
    </row>
    <row r="79" spans="1:13" x14ac:dyDescent="0.2">
      <c r="J79" s="408"/>
      <c r="M79" s="3"/>
    </row>
    <row r="80" spans="1:13" x14ac:dyDescent="0.2">
      <c r="J80" s="408"/>
      <c r="M80" s="3"/>
    </row>
    <row r="81" spans="1:15" x14ac:dyDescent="0.2">
      <c r="J81" s="408"/>
      <c r="M81" s="3"/>
    </row>
    <row r="82" spans="1:15" x14ac:dyDescent="0.2">
      <c r="J82" s="408"/>
    </row>
    <row r="83" spans="1:15" x14ac:dyDescent="0.2">
      <c r="J83" s="408"/>
    </row>
    <row r="84" spans="1:15" x14ac:dyDescent="0.2">
      <c r="J84" s="408"/>
      <c r="L84" s="3"/>
      <c r="M84" s="3"/>
      <c r="N84" s="3"/>
      <c r="O84" s="3"/>
    </row>
    <row r="85" spans="1:15" x14ac:dyDescent="0.2">
      <c r="J85" s="408"/>
      <c r="L85" s="3"/>
      <c r="M85" s="3"/>
      <c r="N85" s="3"/>
      <c r="O85" s="3"/>
    </row>
    <row r="86" spans="1:15" x14ac:dyDescent="0.2">
      <c r="J86" s="408"/>
    </row>
    <row r="87" spans="1:15" x14ac:dyDescent="0.2">
      <c r="J87" s="408"/>
    </row>
    <row r="93" spans="1:15" x14ac:dyDescent="0.2">
      <c r="A93" s="3"/>
      <c r="B93" s="3"/>
      <c r="C93" s="3"/>
      <c r="D93" s="3"/>
      <c r="E93" s="3"/>
      <c r="F93" s="3"/>
    </row>
    <row r="94" spans="1:15" x14ac:dyDescent="0.2">
      <c r="A94" s="3"/>
      <c r="B94" s="3"/>
      <c r="C94" s="3"/>
      <c r="D94" s="3"/>
      <c r="E94" s="3"/>
      <c r="F94" s="3"/>
    </row>
    <row r="98" spans="12:14" x14ac:dyDescent="0.2">
      <c r="L98" s="3"/>
      <c r="M98" s="3"/>
      <c r="N98" s="3"/>
    </row>
    <row r="99" spans="12:14" x14ac:dyDescent="0.2">
      <c r="L99" s="3"/>
      <c r="M99" s="3"/>
      <c r="N99" s="3"/>
    </row>
  </sheetData>
  <pageMargins left="0.75" right="0.53" top="0.7" bottom="0.64" header="0.5" footer="0.5"/>
  <pageSetup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stopIfTrue="1" id="{3E31303A-6918-418E-BDAF-10B64EF3ECC9}">
            <xm:f>'rates, dates, etc'!$B$11="Yes"</xm:f>
            <x14:dxf>
              <font>
                <color rgb="FFFF0000"/>
              </font>
            </x14:dxf>
          </x14:cfRule>
          <xm:sqref>A66:G66</xm:sqref>
        </x14:conditionalFormatting>
        <x14:conditionalFormatting xmlns:xm="http://schemas.microsoft.com/office/excel/2006/main">
          <x14:cfRule type="expression" priority="1" stopIfTrue="1" id="{10377508-12E6-45B8-B59E-4D3CBAB326FE}">
            <xm:f>'rates, dates, etc'!$B$11="Yes"</xm:f>
            <x14:dxf/>
          </x14:cfRule>
          <xm:sqref>A65:G65</xm:sqref>
        </x14:conditionalFormatting>
        <x14:conditionalFormatting xmlns:xm="http://schemas.microsoft.com/office/excel/2006/main">
          <x14:cfRule type="expression" priority="93" id="{9EB93BAC-44FD-407A-827D-67F2B1A59F09}">
            <xm:f>'Budget Summary'!$G$103&lt;'Budget Summary'!$G$102</xm:f>
            <x14:dxf>
              <font>
                <color rgb="FFFF0000"/>
              </font>
            </x14:dxf>
          </x14:cfRule>
          <xm:sqref>A66:G66</xm:sqref>
        </x14:conditionalFormatting>
        <x14:conditionalFormatting xmlns:xm="http://schemas.microsoft.com/office/excel/2006/main">
          <x14:cfRule type="expression" priority="94" id="{65184439-F2A6-4007-A85F-C38B0B9D9F8A}">
            <xm:f>'Budget Summary'!$G$102&lt;'Budget Summary'!$G$103</xm:f>
            <x14:dxf>
              <font>
                <color rgb="FFFF0000"/>
              </font>
            </x14:dxf>
          </x14:cfRule>
          <xm:sqref>A65:G65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6">
    <pageSetUpPr fitToPage="1"/>
  </sheetPr>
  <dimension ref="A1:S107"/>
  <sheetViews>
    <sheetView workbookViewId="0">
      <selection activeCell="P9" sqref="P9"/>
    </sheetView>
  </sheetViews>
  <sheetFormatPr defaultRowHeight="15" x14ac:dyDescent="0.25"/>
  <cols>
    <col min="1" max="1" width="20.28515625" customWidth="1"/>
    <col min="2" max="2" width="34.28515625" bestFit="1" customWidth="1"/>
    <col min="5" max="5" width="10.28515625" customWidth="1"/>
    <col min="6" max="6" width="11.5703125" customWidth="1"/>
    <col min="7" max="7" width="8.7109375" customWidth="1"/>
    <col min="10" max="10" width="10.28515625" customWidth="1"/>
  </cols>
  <sheetData>
    <row r="1" spans="1:13" ht="18.75" x14ac:dyDescent="0.3">
      <c r="A1" s="146" t="s">
        <v>25</v>
      </c>
      <c r="B1" s="147"/>
      <c r="C1" s="147"/>
      <c r="D1" s="148" t="s">
        <v>37</v>
      </c>
      <c r="E1" s="148" t="s">
        <v>38</v>
      </c>
      <c r="F1" s="148" t="s">
        <v>39</v>
      </c>
      <c r="G1" s="148" t="s">
        <v>81</v>
      </c>
      <c r="H1" s="148" t="s">
        <v>82</v>
      </c>
    </row>
    <row r="2" spans="1:13" x14ac:dyDescent="0.25">
      <c r="A2" s="149"/>
      <c r="B2" s="150"/>
      <c r="C2" s="150"/>
      <c r="D2" s="151"/>
      <c r="E2" s="151"/>
      <c r="F2" s="151"/>
      <c r="G2" s="151"/>
      <c r="H2" s="151"/>
    </row>
    <row r="3" spans="1:13" x14ac:dyDescent="0.25">
      <c r="A3" s="150"/>
      <c r="B3" s="150"/>
      <c r="C3" s="150"/>
      <c r="D3" s="151"/>
      <c r="E3" s="152"/>
      <c r="F3" s="152"/>
      <c r="G3" s="152"/>
      <c r="H3" s="152"/>
    </row>
    <row r="4" spans="1:13" x14ac:dyDescent="0.25">
      <c r="A4" s="150"/>
      <c r="B4" s="150"/>
      <c r="C4" s="150"/>
      <c r="D4" s="151"/>
      <c r="E4" s="152"/>
      <c r="F4" s="152"/>
      <c r="G4" s="152"/>
      <c r="H4" s="152"/>
    </row>
    <row r="5" spans="1:13" x14ac:dyDescent="0.25">
      <c r="A5" s="150"/>
      <c r="B5" s="150"/>
      <c r="C5" s="150"/>
      <c r="D5" s="151"/>
      <c r="E5" s="152"/>
      <c r="F5" s="152"/>
      <c r="G5" s="152"/>
      <c r="H5" s="152"/>
    </row>
    <row r="6" spans="1:13" ht="15.75" thickBot="1" x14ac:dyDescent="0.3">
      <c r="A6" s="153" t="s">
        <v>5</v>
      </c>
      <c r="B6" s="154"/>
      <c r="C6" s="154"/>
      <c r="D6" s="155">
        <f>ROUND(SUM(D2:D5),0)</f>
        <v>0</v>
      </c>
      <c r="E6" s="155">
        <f t="shared" ref="E6:H6" si="0">ROUND(SUM(E2:E5),0)</f>
        <v>0</v>
      </c>
      <c r="F6" s="155">
        <f t="shared" si="0"/>
        <v>0</v>
      </c>
      <c r="G6" s="155">
        <f t="shared" si="0"/>
        <v>0</v>
      </c>
      <c r="H6" s="155">
        <f t="shared" si="0"/>
        <v>0</v>
      </c>
    </row>
    <row r="7" spans="1:13" ht="15.75" thickTop="1" x14ac:dyDescent="0.25"/>
    <row r="10" spans="1:13" ht="18.75" x14ac:dyDescent="0.3">
      <c r="A10" s="156" t="s">
        <v>40</v>
      </c>
      <c r="B10" s="157"/>
      <c r="C10" s="158" t="s">
        <v>67</v>
      </c>
      <c r="D10" s="158" t="s">
        <v>70</v>
      </c>
      <c r="E10" s="158" t="s">
        <v>103</v>
      </c>
      <c r="F10" s="158" t="s">
        <v>126</v>
      </c>
      <c r="G10" s="158"/>
      <c r="H10" s="159" t="s">
        <v>37</v>
      </c>
      <c r="I10" s="159" t="s">
        <v>38</v>
      </c>
      <c r="J10" s="159" t="s">
        <v>39</v>
      </c>
      <c r="K10" s="159" t="s">
        <v>81</v>
      </c>
      <c r="L10" s="159" t="s">
        <v>82</v>
      </c>
    </row>
    <row r="11" spans="1:13" x14ac:dyDescent="0.25">
      <c r="A11" s="160" t="s">
        <v>71</v>
      </c>
      <c r="B11" s="161"/>
      <c r="C11" s="161"/>
      <c r="D11" s="161"/>
      <c r="E11" s="160"/>
      <c r="F11" s="160"/>
      <c r="G11" s="160"/>
      <c r="H11" s="162"/>
      <c r="I11" s="162"/>
      <c r="J11" s="162"/>
      <c r="K11" s="162"/>
      <c r="L11" s="162"/>
    </row>
    <row r="12" spans="1:13" x14ac:dyDescent="0.25">
      <c r="A12" s="160"/>
      <c r="B12" s="160" t="s">
        <v>68</v>
      </c>
      <c r="C12" s="163">
        <v>650</v>
      </c>
      <c r="D12" s="164">
        <v>0</v>
      </c>
      <c r="E12" s="164">
        <v>1</v>
      </c>
      <c r="F12" s="165" t="s">
        <v>104</v>
      </c>
      <c r="G12" s="160"/>
      <c r="H12" s="166">
        <f>ROUND(+C12*D12*E12,0)</f>
        <v>0</v>
      </c>
      <c r="I12" s="166">
        <f>ROUND(+C12*D12*E12,0)</f>
        <v>0</v>
      </c>
      <c r="J12" s="166">
        <f>ROUND(+C12*D12*E12,0)</f>
        <v>0</v>
      </c>
      <c r="K12" s="166">
        <f>ROUND(+C12*D12*E12,0)</f>
        <v>0</v>
      </c>
      <c r="L12" s="166">
        <f>ROUND(+C12*D12*E12,0)</f>
        <v>0</v>
      </c>
    </row>
    <row r="13" spans="1:13" x14ac:dyDescent="0.25">
      <c r="A13" s="160"/>
      <c r="B13" s="160" t="s">
        <v>69</v>
      </c>
      <c r="C13" s="163">
        <v>500</v>
      </c>
      <c r="D13" s="164">
        <v>0</v>
      </c>
      <c r="E13" s="164">
        <v>1</v>
      </c>
      <c r="F13" s="165" t="s">
        <v>104</v>
      </c>
      <c r="G13" s="160"/>
      <c r="H13" s="166">
        <f>ROUND(+C13*D13*E13,0)</f>
        <v>0</v>
      </c>
      <c r="I13" s="166">
        <f>ROUND(+C13*D13*E13,0)</f>
        <v>0</v>
      </c>
      <c r="J13" s="166">
        <f>ROUND(+C13*D13*E13,0)</f>
        <v>0</v>
      </c>
      <c r="K13" s="166">
        <f>ROUND(+C13*D13*E13,0)</f>
        <v>0</v>
      </c>
      <c r="L13" s="166">
        <f>ROUND(+C13*D13*E13,0)</f>
        <v>0</v>
      </c>
    </row>
    <row r="14" spans="1:13" x14ac:dyDescent="0.25">
      <c r="A14" s="160"/>
      <c r="B14" s="160" t="s">
        <v>129</v>
      </c>
      <c r="C14" s="163">
        <v>175</v>
      </c>
      <c r="D14" s="164">
        <v>0</v>
      </c>
      <c r="E14" s="164">
        <v>1</v>
      </c>
      <c r="F14" s="165">
        <v>3</v>
      </c>
      <c r="G14" s="160"/>
      <c r="H14" s="166">
        <f>ROUND(+C14*D14*(E14*F14),0)</f>
        <v>0</v>
      </c>
      <c r="I14" s="166">
        <f>ROUND(+C14*D14*(E14*F14),0)</f>
        <v>0</v>
      </c>
      <c r="J14" s="166">
        <f>ROUND(+C14*D14*(E14*F14),0)</f>
        <v>0</v>
      </c>
      <c r="K14" s="166">
        <f>ROUND(+C14*D14*(E14*F14),0)</f>
        <v>0</v>
      </c>
      <c r="L14" s="166">
        <f>ROUND(+C14*D14*(E14*F14),0)</f>
        <v>0</v>
      </c>
    </row>
    <row r="15" spans="1:13" x14ac:dyDescent="0.25">
      <c r="A15" s="160"/>
      <c r="B15" s="160" t="s">
        <v>72</v>
      </c>
      <c r="C15" s="163">
        <v>40</v>
      </c>
      <c r="D15" s="164">
        <v>0</v>
      </c>
      <c r="E15" s="164">
        <v>1</v>
      </c>
      <c r="F15" s="165">
        <v>5</v>
      </c>
      <c r="G15" s="160"/>
      <c r="H15" s="166">
        <v>0</v>
      </c>
      <c r="I15" s="166">
        <f>ROUND(+C15*D15*(E15*F15),0)</f>
        <v>0</v>
      </c>
      <c r="J15" s="166">
        <v>0</v>
      </c>
      <c r="K15" s="166">
        <v>0</v>
      </c>
      <c r="L15" s="166">
        <v>0</v>
      </c>
      <c r="M15" s="166">
        <v>523</v>
      </c>
    </row>
    <row r="16" spans="1:13" x14ac:dyDescent="0.25">
      <c r="A16" s="160"/>
      <c r="B16" s="160" t="s">
        <v>130</v>
      </c>
      <c r="C16" s="163">
        <v>50</v>
      </c>
      <c r="D16" s="164">
        <v>0</v>
      </c>
      <c r="E16" s="164">
        <v>1</v>
      </c>
      <c r="F16" s="165" t="s">
        <v>104</v>
      </c>
      <c r="G16" s="160"/>
      <c r="H16" s="166">
        <f>ROUND(+C16*D16*E16,0)</f>
        <v>0</v>
      </c>
      <c r="I16" s="166">
        <f>ROUND(+C16*D16*E16,0)</f>
        <v>0</v>
      </c>
      <c r="J16" s="166">
        <f>ROUND(+C16*D16*E16,0)</f>
        <v>0</v>
      </c>
      <c r="K16" s="166">
        <f>ROUND(+C16*D16*E16,0)</f>
        <v>0</v>
      </c>
      <c r="L16" s="166">
        <f>ROUND(+C16*D16*E16,0)</f>
        <v>0</v>
      </c>
    </row>
    <row r="17" spans="1:12" x14ac:dyDescent="0.25">
      <c r="A17" s="160"/>
      <c r="B17" s="160" t="s">
        <v>128</v>
      </c>
      <c r="C17" s="415">
        <v>0.16</v>
      </c>
      <c r="D17" s="164">
        <v>0</v>
      </c>
      <c r="E17" s="164">
        <v>1</v>
      </c>
      <c r="F17" s="165">
        <v>490</v>
      </c>
      <c r="G17" s="160"/>
      <c r="H17" s="166">
        <v>0</v>
      </c>
      <c r="I17" s="166">
        <f>ROUND(+C17*D17*(E17*F17),0)</f>
        <v>0</v>
      </c>
      <c r="J17" s="166">
        <v>0</v>
      </c>
      <c r="K17" s="166">
        <v>0</v>
      </c>
      <c r="L17" s="166">
        <v>0</v>
      </c>
    </row>
    <row r="18" spans="1:12" x14ac:dyDescent="0.25">
      <c r="A18" s="160"/>
      <c r="B18" s="160" t="s">
        <v>498</v>
      </c>
      <c r="C18" s="739">
        <v>49</v>
      </c>
      <c r="D18" s="160">
        <v>0</v>
      </c>
      <c r="E18" s="160">
        <v>1</v>
      </c>
      <c r="F18" s="160">
        <v>5</v>
      </c>
      <c r="G18" s="160"/>
      <c r="H18" s="166"/>
      <c r="I18" s="166">
        <f>ROUND(+C18*D18*(E18*F18),0)</f>
        <v>0</v>
      </c>
      <c r="J18" s="166"/>
      <c r="K18" s="166"/>
      <c r="L18" s="166"/>
    </row>
    <row r="19" spans="1:12" ht="15.75" thickBot="1" x14ac:dyDescent="0.3">
      <c r="A19" s="167" t="s">
        <v>5</v>
      </c>
      <c r="B19" s="168"/>
      <c r="C19" s="167"/>
      <c r="D19" s="167"/>
      <c r="E19" s="168"/>
      <c r="F19" s="168"/>
      <c r="G19" s="168"/>
      <c r="H19" s="169">
        <f>ROUND(SUM(H11:H18),0)</f>
        <v>0</v>
      </c>
      <c r="I19" s="169">
        <f t="shared" ref="I19:L19" si="1">ROUND(SUM(I11:I18),0)</f>
        <v>0</v>
      </c>
      <c r="J19" s="169">
        <f t="shared" si="1"/>
        <v>0</v>
      </c>
      <c r="K19" s="169">
        <f t="shared" si="1"/>
        <v>0</v>
      </c>
      <c r="L19" s="169">
        <f t="shared" si="1"/>
        <v>0</v>
      </c>
    </row>
    <row r="20" spans="1:12" ht="15.75" thickTop="1" x14ac:dyDescent="0.25">
      <c r="B20" s="717" t="s">
        <v>456</v>
      </c>
      <c r="D20" s="628" t="s">
        <v>455</v>
      </c>
    </row>
    <row r="23" spans="1:12" ht="18.75" x14ac:dyDescent="0.3">
      <c r="A23" s="170" t="s">
        <v>41</v>
      </c>
      <c r="B23" s="171"/>
      <c r="C23" s="172" t="s">
        <v>67</v>
      </c>
      <c r="D23" s="172" t="s">
        <v>70</v>
      </c>
      <c r="E23" s="172" t="s">
        <v>105</v>
      </c>
      <c r="F23" s="172" t="s">
        <v>127</v>
      </c>
      <c r="G23" s="171"/>
      <c r="H23" s="173" t="s">
        <v>37</v>
      </c>
      <c r="I23" s="173" t="s">
        <v>38</v>
      </c>
      <c r="J23" s="173" t="s">
        <v>39</v>
      </c>
      <c r="K23" s="173" t="s">
        <v>81</v>
      </c>
      <c r="L23" s="173" t="s">
        <v>82</v>
      </c>
    </row>
    <row r="24" spans="1:12" x14ac:dyDescent="0.25">
      <c r="A24" s="174" t="s">
        <v>76</v>
      </c>
      <c r="B24" s="174"/>
      <c r="C24" s="175"/>
      <c r="D24" s="174"/>
      <c r="E24" s="174"/>
      <c r="F24" s="174"/>
      <c r="G24" s="174"/>
      <c r="H24" s="176"/>
      <c r="I24" s="176"/>
      <c r="J24" s="176"/>
      <c r="K24" s="176"/>
      <c r="L24" s="176"/>
    </row>
    <row r="25" spans="1:12" x14ac:dyDescent="0.25">
      <c r="A25" s="174"/>
      <c r="B25" s="174" t="s">
        <v>68</v>
      </c>
      <c r="C25" s="177">
        <v>1200</v>
      </c>
      <c r="D25" s="178">
        <v>0</v>
      </c>
      <c r="E25" s="178">
        <v>1</v>
      </c>
      <c r="F25" s="179" t="s">
        <v>104</v>
      </c>
      <c r="G25" s="174"/>
      <c r="H25" s="176">
        <f t="shared" ref="H25:H26" si="2">ROUND(+C25*D25*E25,0)</f>
        <v>0</v>
      </c>
      <c r="I25" s="176">
        <f t="shared" ref="I25:I26" si="3">ROUND(+C25*D25*E25,0)</f>
        <v>0</v>
      </c>
      <c r="J25" s="176">
        <f t="shared" ref="J25:J26" si="4">ROUND(+C25*D25*E25,0)</f>
        <v>0</v>
      </c>
      <c r="K25" s="176">
        <f t="shared" ref="K25:K26" si="5">ROUND(+C25*D25*E25,0)</f>
        <v>0</v>
      </c>
      <c r="L25" s="176">
        <f t="shared" ref="L25:L26" si="6">ROUND(+C25*D25*E25,0)</f>
        <v>0</v>
      </c>
    </row>
    <row r="26" spans="1:12" x14ac:dyDescent="0.25">
      <c r="A26" s="174"/>
      <c r="B26" s="174" t="s">
        <v>69</v>
      </c>
      <c r="C26" s="177">
        <v>500</v>
      </c>
      <c r="D26" s="178">
        <v>0</v>
      </c>
      <c r="E26" s="178">
        <v>1</v>
      </c>
      <c r="F26" s="179" t="s">
        <v>104</v>
      </c>
      <c r="G26" s="174"/>
      <c r="H26" s="176">
        <f t="shared" si="2"/>
        <v>0</v>
      </c>
      <c r="I26" s="176">
        <f t="shared" si="3"/>
        <v>0</v>
      </c>
      <c r="J26" s="176">
        <f t="shared" si="4"/>
        <v>0</v>
      </c>
      <c r="K26" s="176">
        <f t="shared" si="5"/>
        <v>0</v>
      </c>
      <c r="L26" s="176">
        <f t="shared" si="6"/>
        <v>0</v>
      </c>
    </row>
    <row r="27" spans="1:12" x14ac:dyDescent="0.25">
      <c r="A27" s="174"/>
      <c r="B27" s="174" t="s">
        <v>129</v>
      </c>
      <c r="C27" s="177">
        <v>200</v>
      </c>
      <c r="D27" s="178">
        <v>0</v>
      </c>
      <c r="E27" s="178">
        <v>1</v>
      </c>
      <c r="F27" s="179">
        <v>3</v>
      </c>
      <c r="G27" s="174"/>
      <c r="H27" s="176">
        <f t="shared" ref="H27:H28" si="7">ROUND(+C27*D27*(E27*F27),0)</f>
        <v>0</v>
      </c>
      <c r="I27" s="176">
        <f t="shared" ref="I27:I28" si="8">ROUND(+C27*D27*(E27*F27),0)</f>
        <v>0</v>
      </c>
      <c r="J27" s="176">
        <f t="shared" ref="J27:J28" si="9">ROUND(+C27*D27*(E27*F27),0)</f>
        <v>0</v>
      </c>
      <c r="K27" s="176">
        <f t="shared" ref="K27:K28" si="10">ROUND(+C27*D27*(E27*F27),0)</f>
        <v>0</v>
      </c>
      <c r="L27" s="176">
        <f t="shared" ref="L27:L28" si="11">ROUND(+C27*D27*(E27*F27),0)</f>
        <v>0</v>
      </c>
    </row>
    <row r="28" spans="1:12" x14ac:dyDescent="0.25">
      <c r="A28" s="174"/>
      <c r="B28" s="174" t="s">
        <v>72</v>
      </c>
      <c r="C28" s="177">
        <v>75</v>
      </c>
      <c r="D28" s="178">
        <v>0</v>
      </c>
      <c r="E28" s="178">
        <v>1</v>
      </c>
      <c r="F28" s="179">
        <v>4</v>
      </c>
      <c r="G28" s="174"/>
      <c r="H28" s="176">
        <f t="shared" si="7"/>
        <v>0</v>
      </c>
      <c r="I28" s="176">
        <f t="shared" si="8"/>
        <v>0</v>
      </c>
      <c r="J28" s="176">
        <f t="shared" si="9"/>
        <v>0</v>
      </c>
      <c r="K28" s="176">
        <f t="shared" si="10"/>
        <v>0</v>
      </c>
      <c r="L28" s="176">
        <f t="shared" si="11"/>
        <v>0</v>
      </c>
    </row>
    <row r="29" spans="1:12" x14ac:dyDescent="0.25">
      <c r="A29" s="174"/>
      <c r="B29" s="174" t="s">
        <v>98</v>
      </c>
      <c r="C29" s="177">
        <v>50</v>
      </c>
      <c r="D29" s="178">
        <v>0</v>
      </c>
      <c r="E29" s="178">
        <v>1</v>
      </c>
      <c r="F29" s="179" t="s">
        <v>104</v>
      </c>
      <c r="G29" s="174"/>
      <c r="H29" s="176">
        <f>+C29*D29*E29</f>
        <v>0</v>
      </c>
      <c r="I29" s="176">
        <f>+C29*D29*E29</f>
        <v>0</v>
      </c>
      <c r="J29" s="176">
        <f>+C29*D29*E29</f>
        <v>0</v>
      </c>
      <c r="K29" s="176">
        <f>+C29*D29*E29</f>
        <v>0</v>
      </c>
      <c r="L29" s="176">
        <f>+C29*D29*E29</f>
        <v>0</v>
      </c>
    </row>
    <row r="30" spans="1:12" x14ac:dyDescent="0.25">
      <c r="A30" s="174"/>
      <c r="B30" s="174"/>
      <c r="C30" s="175"/>
      <c r="D30" s="174"/>
      <c r="E30" s="174"/>
      <c r="F30" s="174"/>
      <c r="G30" s="174"/>
      <c r="H30" s="176">
        <v>0</v>
      </c>
      <c r="I30" s="176"/>
      <c r="J30" s="176"/>
      <c r="K30" s="176"/>
      <c r="L30" s="176"/>
    </row>
    <row r="31" spans="1:12" ht="15.75" thickBot="1" x14ac:dyDescent="0.3">
      <c r="A31" s="180" t="s">
        <v>5</v>
      </c>
      <c r="B31" s="181"/>
      <c r="C31" s="180"/>
      <c r="D31" s="180"/>
      <c r="E31" s="181"/>
      <c r="F31" s="181"/>
      <c r="G31" s="181"/>
      <c r="H31" s="182">
        <f>ROUND(SUM(H25:H30),0)</f>
        <v>0</v>
      </c>
      <c r="I31" s="182">
        <f t="shared" ref="I31:L31" si="12">ROUND(SUM(I25:I30),0)</f>
        <v>0</v>
      </c>
      <c r="J31" s="182">
        <f t="shared" si="12"/>
        <v>0</v>
      </c>
      <c r="K31" s="182">
        <f t="shared" si="12"/>
        <v>0</v>
      </c>
      <c r="L31" s="182">
        <f t="shared" si="12"/>
        <v>0</v>
      </c>
    </row>
    <row r="32" spans="1:12" ht="15.75" thickTop="1" x14ac:dyDescent="0.25"/>
    <row r="35" spans="1:12" ht="18.75" x14ac:dyDescent="0.3">
      <c r="A35" s="183" t="s">
        <v>27</v>
      </c>
      <c r="B35" s="184"/>
      <c r="C35" s="185"/>
      <c r="D35" s="185"/>
      <c r="E35" s="185"/>
      <c r="F35" s="186" t="s">
        <v>37</v>
      </c>
      <c r="G35" s="186" t="s">
        <v>38</v>
      </c>
      <c r="H35" s="186" t="s">
        <v>39</v>
      </c>
      <c r="I35" s="186" t="s">
        <v>81</v>
      </c>
      <c r="J35" s="186" t="s">
        <v>82</v>
      </c>
    </row>
    <row r="36" spans="1:12" x14ac:dyDescent="0.25">
      <c r="A36" s="187" t="s">
        <v>132</v>
      </c>
      <c r="B36" s="193" t="s">
        <v>133</v>
      </c>
      <c r="C36" s="188"/>
      <c r="D36" s="188"/>
      <c r="E36" s="188"/>
      <c r="F36" s="189"/>
      <c r="G36" s="189"/>
      <c r="H36" s="189"/>
      <c r="I36" s="189"/>
      <c r="J36" s="189"/>
    </row>
    <row r="37" spans="1:12" x14ac:dyDescent="0.25">
      <c r="A37" s="187"/>
      <c r="B37" s="187" t="s">
        <v>91</v>
      </c>
      <c r="C37" s="188"/>
      <c r="D37" s="188"/>
      <c r="E37" s="188"/>
      <c r="F37" s="189">
        <v>0</v>
      </c>
      <c r="G37" s="189">
        <v>0</v>
      </c>
      <c r="H37" s="189">
        <v>0</v>
      </c>
      <c r="I37" s="189">
        <v>0</v>
      </c>
      <c r="J37" s="189">
        <v>0</v>
      </c>
    </row>
    <row r="38" spans="1:12" x14ac:dyDescent="0.25">
      <c r="A38" s="187"/>
      <c r="B38" s="187" t="s">
        <v>47</v>
      </c>
      <c r="C38" s="188"/>
      <c r="D38" s="188"/>
      <c r="E38" s="188"/>
      <c r="F38" s="189">
        <v>0</v>
      </c>
      <c r="G38" s="189">
        <v>0</v>
      </c>
      <c r="H38" s="189">
        <v>0</v>
      </c>
      <c r="I38" s="189">
        <v>0</v>
      </c>
      <c r="J38" s="189">
        <v>0</v>
      </c>
    </row>
    <row r="39" spans="1:12" x14ac:dyDescent="0.25">
      <c r="A39" s="187"/>
      <c r="B39" s="187" t="s">
        <v>34</v>
      </c>
      <c r="C39" s="188"/>
      <c r="D39" s="188"/>
      <c r="E39" s="188"/>
      <c r="F39" s="189">
        <v>0</v>
      </c>
      <c r="G39" s="189">
        <v>0</v>
      </c>
      <c r="H39" s="189">
        <v>0</v>
      </c>
      <c r="I39" s="189">
        <v>0</v>
      </c>
      <c r="J39" s="189">
        <v>0</v>
      </c>
    </row>
    <row r="40" spans="1:12" x14ac:dyDescent="0.25">
      <c r="A40" s="187"/>
      <c r="B40" s="187" t="s">
        <v>48</v>
      </c>
      <c r="C40" s="188"/>
      <c r="D40" s="188"/>
      <c r="E40" s="188"/>
      <c r="F40" s="189">
        <v>0</v>
      </c>
      <c r="G40" s="189">
        <v>0</v>
      </c>
      <c r="H40" s="189">
        <v>0</v>
      </c>
      <c r="I40" s="189">
        <v>0</v>
      </c>
      <c r="J40" s="189">
        <v>0</v>
      </c>
    </row>
    <row r="41" spans="1:12" x14ac:dyDescent="0.25">
      <c r="A41" s="187"/>
      <c r="B41" s="187" t="s">
        <v>29</v>
      </c>
      <c r="C41" s="188"/>
      <c r="D41" s="188"/>
      <c r="E41" s="188"/>
      <c r="F41" s="189">
        <v>0</v>
      </c>
      <c r="G41" s="189">
        <v>0</v>
      </c>
      <c r="H41" s="189">
        <v>0</v>
      </c>
      <c r="I41" s="189">
        <v>0</v>
      </c>
      <c r="J41" s="189">
        <v>0</v>
      </c>
    </row>
    <row r="42" spans="1:12" ht="15.75" thickBot="1" x14ac:dyDescent="0.3">
      <c r="A42" s="190" t="s">
        <v>5</v>
      </c>
      <c r="B42" s="191"/>
      <c r="C42" s="190"/>
      <c r="D42" s="190"/>
      <c r="E42" s="191"/>
      <c r="F42" s="192">
        <f>ROUND(SUM(F36:F41),0)</f>
        <v>0</v>
      </c>
      <c r="G42" s="192">
        <f t="shared" ref="G42:J42" si="13">ROUND(SUM(G36:G41),0)</f>
        <v>0</v>
      </c>
      <c r="H42" s="192">
        <f t="shared" si="13"/>
        <v>0</v>
      </c>
      <c r="I42" s="192">
        <f t="shared" si="13"/>
        <v>0</v>
      </c>
      <c r="J42" s="192">
        <f t="shared" si="13"/>
        <v>0</v>
      </c>
    </row>
    <row r="43" spans="1:12" ht="15.75" thickTop="1" x14ac:dyDescent="0.25"/>
    <row r="46" spans="1:12" ht="18.75" x14ac:dyDescent="0.3">
      <c r="A46" s="194" t="s">
        <v>14</v>
      </c>
      <c r="B46" s="195"/>
      <c r="C46" s="196"/>
      <c r="D46" s="196"/>
      <c r="E46" s="196"/>
      <c r="F46" s="197" t="s">
        <v>37</v>
      </c>
      <c r="G46" s="197" t="s">
        <v>38</v>
      </c>
      <c r="H46" s="197" t="s">
        <v>39</v>
      </c>
      <c r="I46" s="197" t="s">
        <v>81</v>
      </c>
      <c r="J46" s="197" t="s">
        <v>82</v>
      </c>
      <c r="L46" s="77" t="s">
        <v>74</v>
      </c>
    </row>
    <row r="47" spans="1:12" x14ac:dyDescent="0.25">
      <c r="A47" s="198" t="s">
        <v>73</v>
      </c>
      <c r="B47" s="198"/>
      <c r="C47" s="198"/>
      <c r="D47" s="198"/>
      <c r="E47" s="198"/>
      <c r="F47" s="199">
        <v>0</v>
      </c>
      <c r="G47" s="199">
        <f>ROUND(F47*(1+$L47),0)</f>
        <v>0</v>
      </c>
      <c r="H47" s="199">
        <f>ROUND(G47*(1+$L47),0)</f>
        <v>0</v>
      </c>
      <c r="I47" s="199">
        <f>ROUND(H47*(1+$L47),0)</f>
        <v>0</v>
      </c>
      <c r="J47" s="199">
        <f>ROUND(I47*(1+$L47),0)</f>
        <v>0</v>
      </c>
      <c r="L47" s="80">
        <v>0.05</v>
      </c>
    </row>
    <row r="48" spans="1:12" x14ac:dyDescent="0.25">
      <c r="A48" s="198"/>
      <c r="B48" s="198"/>
      <c r="C48" s="198"/>
      <c r="D48" s="198"/>
      <c r="E48" s="198"/>
      <c r="F48" s="199"/>
      <c r="G48" s="199"/>
      <c r="H48" s="199"/>
      <c r="I48" s="199"/>
      <c r="J48" s="199"/>
    </row>
    <row r="49" spans="1:19" x14ac:dyDescent="0.25">
      <c r="A49" s="198"/>
      <c r="B49" s="198"/>
      <c r="C49" s="198"/>
      <c r="D49" s="198"/>
      <c r="E49" s="198"/>
      <c r="F49" s="199"/>
      <c r="G49" s="199"/>
      <c r="H49" s="199"/>
      <c r="I49" s="199"/>
      <c r="J49" s="199"/>
    </row>
    <row r="50" spans="1:19" ht="15.75" thickBot="1" x14ac:dyDescent="0.3">
      <c r="A50" s="200" t="s">
        <v>5</v>
      </c>
      <c r="B50" s="201"/>
      <c r="C50" s="200"/>
      <c r="D50" s="200"/>
      <c r="E50" s="201"/>
      <c r="F50" s="202">
        <f>ROUND(SUM(F47:F49),0)</f>
        <v>0</v>
      </c>
      <c r="G50" s="202">
        <f t="shared" ref="G50:J50" si="14">ROUND(SUM(G47:G49),0)</f>
        <v>0</v>
      </c>
      <c r="H50" s="202">
        <f t="shared" si="14"/>
        <v>0</v>
      </c>
      <c r="I50" s="202">
        <f t="shared" si="14"/>
        <v>0</v>
      </c>
      <c r="J50" s="202">
        <f t="shared" si="14"/>
        <v>0</v>
      </c>
    </row>
    <row r="51" spans="1:19" ht="15.75" thickTop="1" x14ac:dyDescent="0.25"/>
    <row r="54" spans="1:19" ht="18.75" x14ac:dyDescent="0.3">
      <c r="A54" s="203" t="str">
        <f>IF('rates, dates, etc'!$B$3="USDA","Publication Costs","Publication/Documentation/Dissemination")</f>
        <v>Publication Costs</v>
      </c>
      <c r="B54" s="204"/>
      <c r="C54" s="205"/>
      <c r="D54" s="205"/>
      <c r="E54" s="205"/>
      <c r="F54" s="206" t="s">
        <v>37</v>
      </c>
      <c r="G54" s="206" t="s">
        <v>38</v>
      </c>
      <c r="H54" s="206" t="s">
        <v>39</v>
      </c>
      <c r="I54" s="206" t="s">
        <v>81</v>
      </c>
      <c r="J54" s="206" t="s">
        <v>82</v>
      </c>
      <c r="L54" s="77" t="s">
        <v>74</v>
      </c>
    </row>
    <row r="55" spans="1:19" x14ac:dyDescent="0.25">
      <c r="A55" s="207"/>
      <c r="B55" s="207"/>
      <c r="C55" s="207"/>
      <c r="D55" s="207"/>
      <c r="E55" s="207"/>
      <c r="F55" s="208">
        <v>0</v>
      </c>
      <c r="G55" s="208">
        <f>ROUND(F55*(1+$L55),0)</f>
        <v>0</v>
      </c>
      <c r="H55" s="208">
        <f>ROUND(G55*(1+$L55),0)</f>
        <v>0</v>
      </c>
      <c r="I55" s="208">
        <f>ROUND(H55*(1+$L55),0)</f>
        <v>0</v>
      </c>
      <c r="J55" s="208">
        <f>ROUND(I55*(1+$L55),0)</f>
        <v>0</v>
      </c>
      <c r="L55" s="80">
        <v>0.05</v>
      </c>
    </row>
    <row r="56" spans="1:19" x14ac:dyDescent="0.25">
      <c r="A56" s="207"/>
      <c r="B56" s="207"/>
      <c r="C56" s="207"/>
      <c r="D56" s="207"/>
      <c r="E56" s="207"/>
      <c r="F56" s="208"/>
      <c r="G56" s="208"/>
      <c r="H56" s="208"/>
      <c r="I56" s="208"/>
      <c r="J56" s="208"/>
    </row>
    <row r="57" spans="1:19" x14ac:dyDescent="0.25">
      <c r="A57" s="207"/>
      <c r="B57" s="207"/>
      <c r="C57" s="207"/>
      <c r="D57" s="207"/>
      <c r="E57" s="207"/>
      <c r="F57" s="208"/>
      <c r="G57" s="208"/>
      <c r="H57" s="208"/>
      <c r="I57" s="208"/>
      <c r="J57" s="208"/>
    </row>
    <row r="58" spans="1:19" ht="15.75" thickBot="1" x14ac:dyDescent="0.3">
      <c r="A58" s="209" t="s">
        <v>5</v>
      </c>
      <c r="B58" s="210"/>
      <c r="C58" s="209"/>
      <c r="D58" s="209"/>
      <c r="E58" s="210"/>
      <c r="F58" s="211">
        <f>ROUND(SUM(F55:F57),0)</f>
        <v>0</v>
      </c>
      <c r="G58" s="211">
        <f t="shared" ref="G58:J58" si="15">ROUND(SUM(G55:G57),0)</f>
        <v>0</v>
      </c>
      <c r="H58" s="211">
        <f t="shared" si="15"/>
        <v>0</v>
      </c>
      <c r="I58" s="211">
        <f t="shared" si="15"/>
        <v>0</v>
      </c>
      <c r="J58" s="211">
        <f t="shared" si="15"/>
        <v>0</v>
      </c>
    </row>
    <row r="59" spans="1:19" ht="15.75" thickTop="1" x14ac:dyDescent="0.25"/>
    <row r="62" spans="1:19" ht="18.75" x14ac:dyDescent="0.3">
      <c r="A62" s="212" t="s">
        <v>15</v>
      </c>
      <c r="B62" s="213"/>
      <c r="C62" s="214" t="s">
        <v>67</v>
      </c>
      <c r="D62" s="214" t="s">
        <v>75</v>
      </c>
      <c r="E62" s="214"/>
      <c r="F62" s="215" t="s">
        <v>37</v>
      </c>
      <c r="G62" s="215" t="s">
        <v>38</v>
      </c>
      <c r="H62" s="215" t="s">
        <v>39</v>
      </c>
      <c r="I62" s="215" t="s">
        <v>81</v>
      </c>
      <c r="J62" s="215" t="s">
        <v>82</v>
      </c>
      <c r="L62" s="77"/>
    </row>
    <row r="63" spans="1:19" x14ac:dyDescent="0.25">
      <c r="A63" s="216"/>
      <c r="B63" s="216"/>
      <c r="C63" s="217">
        <v>0</v>
      </c>
      <c r="D63" s="218">
        <v>0</v>
      </c>
      <c r="E63" s="216"/>
      <c r="F63" s="219">
        <f>+C63*D63</f>
        <v>0</v>
      </c>
      <c r="G63" s="219">
        <f>ROUND(F63*(1+$L63),0)</f>
        <v>0</v>
      </c>
      <c r="H63" s="219">
        <f>ROUND(G63*(1+$L63),0)</f>
        <v>0</v>
      </c>
      <c r="I63" s="219">
        <f>ROUND(H63*(1+$L63),0)</f>
        <v>0</v>
      </c>
      <c r="J63" s="219">
        <f>ROUND(I63*(1+$L63),0)</f>
        <v>0</v>
      </c>
      <c r="L63" s="80"/>
    </row>
    <row r="64" spans="1:19" x14ac:dyDescent="0.25">
      <c r="A64" s="216"/>
      <c r="B64" s="216"/>
      <c r="C64" s="220"/>
      <c r="D64" s="216"/>
      <c r="E64" s="216"/>
      <c r="F64" s="219"/>
      <c r="G64" s="219"/>
      <c r="H64" s="219"/>
      <c r="I64" s="219"/>
      <c r="J64" s="219"/>
      <c r="L64" s="3"/>
      <c r="P64" s="2"/>
      <c r="Q64" s="2"/>
      <c r="R64" s="2"/>
      <c r="S64" s="2"/>
    </row>
    <row r="65" spans="1:12" x14ac:dyDescent="0.25">
      <c r="A65" s="216"/>
      <c r="B65" s="216"/>
      <c r="C65" s="220"/>
      <c r="D65" s="216"/>
      <c r="E65" s="216"/>
      <c r="F65" s="219"/>
      <c r="G65" s="219"/>
      <c r="H65" s="219"/>
      <c r="I65" s="219"/>
      <c r="J65" s="219"/>
    </row>
    <row r="66" spans="1:12" ht="15.75" thickBot="1" x14ac:dyDescent="0.3">
      <c r="A66" s="221" t="s">
        <v>5</v>
      </c>
      <c r="B66" s="222"/>
      <c r="C66" s="221"/>
      <c r="D66" s="221"/>
      <c r="E66" s="222"/>
      <c r="F66" s="223">
        <f>ROUND(SUM(F63:F65),0)</f>
        <v>0</v>
      </c>
      <c r="G66" s="223">
        <f t="shared" ref="G66:J66" si="16">ROUND(SUM(G63:G65),0)</f>
        <v>0</v>
      </c>
      <c r="H66" s="223">
        <f t="shared" si="16"/>
        <v>0</v>
      </c>
      <c r="I66" s="223">
        <f t="shared" si="16"/>
        <v>0</v>
      </c>
      <c r="J66" s="223">
        <f t="shared" si="16"/>
        <v>0</v>
      </c>
    </row>
    <row r="67" spans="1:12" ht="15.75" thickTop="1" x14ac:dyDescent="0.25">
      <c r="E67" s="30"/>
      <c r="F67" s="30"/>
      <c r="G67" s="30"/>
      <c r="H67" s="30"/>
      <c r="I67" s="30"/>
      <c r="J67" s="30"/>
    </row>
    <row r="68" spans="1:12" x14ac:dyDescent="0.25">
      <c r="E68" s="30"/>
      <c r="F68" s="30"/>
      <c r="G68" s="30"/>
      <c r="H68" s="30"/>
      <c r="I68" s="30"/>
      <c r="J68" s="30"/>
    </row>
    <row r="69" spans="1:12" x14ac:dyDescent="0.25">
      <c r="E69" s="30"/>
      <c r="F69" s="30"/>
      <c r="G69" s="30"/>
      <c r="H69" s="30"/>
      <c r="I69" s="30"/>
      <c r="J69" s="30"/>
    </row>
    <row r="70" spans="1:12" ht="18.75" x14ac:dyDescent="0.3">
      <c r="A70" s="224" t="str">
        <f>IF('rates, dates, etc'!$B$3="USDA","ADP/Computer Services","Computer Services")</f>
        <v>ADP/Computer Services</v>
      </c>
      <c r="B70" s="225"/>
      <c r="C70" s="226"/>
      <c r="D70" s="226"/>
      <c r="E70" s="226"/>
      <c r="F70" s="227" t="s">
        <v>37</v>
      </c>
      <c r="G70" s="227" t="s">
        <v>38</v>
      </c>
      <c r="H70" s="227" t="s">
        <v>39</v>
      </c>
      <c r="I70" s="227" t="s">
        <v>81</v>
      </c>
      <c r="J70" s="227" t="s">
        <v>82</v>
      </c>
      <c r="L70" s="77"/>
    </row>
    <row r="71" spans="1:12" x14ac:dyDescent="0.25">
      <c r="A71" s="228"/>
      <c r="B71" s="228"/>
      <c r="C71" s="229"/>
      <c r="D71" s="228"/>
      <c r="E71" s="228"/>
      <c r="F71" s="230"/>
      <c r="G71" s="230"/>
      <c r="H71" s="230"/>
      <c r="I71" s="230"/>
      <c r="J71" s="230"/>
      <c r="K71" s="3"/>
      <c r="L71" s="78"/>
    </row>
    <row r="72" spans="1:12" x14ac:dyDescent="0.25">
      <c r="A72" s="228"/>
      <c r="B72" s="228"/>
      <c r="C72" s="229"/>
      <c r="D72" s="228"/>
      <c r="E72" s="228"/>
      <c r="F72" s="230"/>
      <c r="G72" s="230"/>
      <c r="H72" s="230"/>
      <c r="I72" s="230"/>
      <c r="J72" s="230"/>
      <c r="K72" s="3"/>
      <c r="L72" s="3"/>
    </row>
    <row r="73" spans="1:12" x14ac:dyDescent="0.25">
      <c r="A73" s="228"/>
      <c r="B73" s="228"/>
      <c r="C73" s="229"/>
      <c r="D73" s="228"/>
      <c r="E73" s="228"/>
      <c r="F73" s="230"/>
      <c r="G73" s="230"/>
      <c r="H73" s="230"/>
      <c r="I73" s="230"/>
      <c r="J73" s="230"/>
    </row>
    <row r="74" spans="1:12" ht="15.75" thickBot="1" x14ac:dyDescent="0.3">
      <c r="A74" s="231" t="s">
        <v>5</v>
      </c>
      <c r="B74" s="232"/>
      <c r="C74" s="231"/>
      <c r="D74" s="231"/>
      <c r="E74" s="232"/>
      <c r="F74" s="233">
        <f>ROUND(SUM(F71:F73),0)</f>
        <v>0</v>
      </c>
      <c r="G74" s="233">
        <f t="shared" ref="G74:J74" si="17">ROUND(SUM(G71:G73),0)</f>
        <v>0</v>
      </c>
      <c r="H74" s="233">
        <f t="shared" si="17"/>
        <v>0</v>
      </c>
      <c r="I74" s="233">
        <f t="shared" si="17"/>
        <v>0</v>
      </c>
      <c r="J74" s="233">
        <f t="shared" si="17"/>
        <v>0</v>
      </c>
    </row>
    <row r="75" spans="1:12" ht="15.75" thickTop="1" x14ac:dyDescent="0.25">
      <c r="E75" s="30"/>
      <c r="F75" s="30"/>
      <c r="G75" s="30"/>
      <c r="H75" s="30"/>
      <c r="I75" s="30"/>
      <c r="J75" s="30"/>
    </row>
    <row r="76" spans="1:12" x14ac:dyDescent="0.25">
      <c r="E76" s="30"/>
      <c r="F76" s="30"/>
      <c r="G76" s="30"/>
      <c r="H76" s="30"/>
      <c r="I76" s="30"/>
      <c r="J76" s="30"/>
    </row>
    <row r="77" spans="1:12" x14ac:dyDescent="0.25">
      <c r="E77" s="30"/>
      <c r="F77" s="30"/>
      <c r="G77" s="30"/>
      <c r="H77" s="30"/>
      <c r="I77" s="30"/>
      <c r="J77" s="30"/>
    </row>
    <row r="78" spans="1:12" ht="18.75" x14ac:dyDescent="0.3">
      <c r="A78" s="246" t="str">
        <f>IF('rates, dates, etc'!$B$3="USDA","Equipment or Facility Rental/User Fees ","Other")</f>
        <v xml:space="preserve">Equipment or Facility Rental/User Fees </v>
      </c>
      <c r="B78" s="247"/>
      <c r="C78" s="248"/>
      <c r="D78" s="248"/>
      <c r="E78" s="248"/>
      <c r="F78" s="249" t="s">
        <v>37</v>
      </c>
      <c r="G78" s="249" t="s">
        <v>38</v>
      </c>
      <c r="H78" s="249" t="s">
        <v>39</v>
      </c>
      <c r="I78" s="249" t="s">
        <v>81</v>
      </c>
      <c r="J78" s="249" t="s">
        <v>82</v>
      </c>
      <c r="L78" s="77"/>
    </row>
    <row r="79" spans="1:12" x14ac:dyDescent="0.25">
      <c r="A79" s="253"/>
      <c r="B79" s="253"/>
      <c r="C79" s="254"/>
      <c r="D79" s="253"/>
      <c r="E79" s="253"/>
      <c r="F79" s="380"/>
      <c r="G79" s="380"/>
      <c r="H79" s="380"/>
      <c r="I79" s="380"/>
      <c r="J79" s="380"/>
      <c r="K79" s="3"/>
      <c r="L79" s="78"/>
    </row>
    <row r="80" spans="1:12" x14ac:dyDescent="0.25">
      <c r="A80" s="253"/>
      <c r="B80" s="253"/>
      <c r="C80" s="254"/>
      <c r="D80" s="253"/>
      <c r="E80" s="253"/>
      <c r="F80" s="380"/>
      <c r="G80" s="380"/>
      <c r="H80" s="380"/>
      <c r="I80" s="380"/>
      <c r="J80" s="380"/>
      <c r="K80" s="3"/>
      <c r="L80" s="3"/>
    </row>
    <row r="81" spans="1:13" x14ac:dyDescent="0.25">
      <c r="A81" s="253"/>
      <c r="B81" s="253"/>
      <c r="C81" s="254"/>
      <c r="D81" s="253"/>
      <c r="E81" s="253"/>
      <c r="F81" s="380"/>
      <c r="G81" s="380"/>
      <c r="H81" s="380"/>
      <c r="I81" s="380"/>
      <c r="J81" s="380"/>
    </row>
    <row r="82" spans="1:13" ht="15.75" thickBot="1" x14ac:dyDescent="0.3">
      <c r="A82" s="250" t="s">
        <v>5</v>
      </c>
      <c r="B82" s="251"/>
      <c r="C82" s="250"/>
      <c r="D82" s="250"/>
      <c r="E82" s="251"/>
      <c r="F82" s="252">
        <f>ROUND(SUM(F79:F81),0)</f>
        <v>0</v>
      </c>
      <c r="G82" s="252">
        <f t="shared" ref="G82:J82" si="18">ROUND(SUM(G79:G81),0)</f>
        <v>0</v>
      </c>
      <c r="H82" s="252">
        <f t="shared" si="18"/>
        <v>0</v>
      </c>
      <c r="I82" s="252">
        <f t="shared" si="18"/>
        <v>0</v>
      </c>
      <c r="J82" s="252">
        <f t="shared" si="18"/>
        <v>0</v>
      </c>
    </row>
    <row r="83" spans="1:13" ht="15.75" thickTop="1" x14ac:dyDescent="0.25">
      <c r="E83" s="30"/>
      <c r="F83" s="30"/>
      <c r="G83" s="30"/>
      <c r="H83" s="30"/>
      <c r="I83" s="30"/>
      <c r="J83" s="30"/>
    </row>
    <row r="84" spans="1:13" x14ac:dyDescent="0.25">
      <c r="E84" s="30"/>
      <c r="F84" s="30"/>
      <c r="G84" s="30"/>
      <c r="H84" s="30"/>
      <c r="I84" s="30"/>
      <c r="J84" s="30"/>
    </row>
    <row r="85" spans="1:13" x14ac:dyDescent="0.25">
      <c r="E85" s="30"/>
      <c r="F85" s="30"/>
      <c r="G85" s="30"/>
      <c r="H85" s="30"/>
      <c r="I85" s="30"/>
      <c r="J85" s="30"/>
    </row>
    <row r="86" spans="1:13" ht="18.75" x14ac:dyDescent="0.3">
      <c r="A86" s="234" t="s">
        <v>29</v>
      </c>
      <c r="B86" s="235"/>
      <c r="C86" s="236" t="s">
        <v>67</v>
      </c>
      <c r="D86" s="236" t="s">
        <v>278</v>
      </c>
      <c r="E86" s="236" t="s">
        <v>75</v>
      </c>
      <c r="F86" s="237" t="s">
        <v>37</v>
      </c>
      <c r="G86" s="237" t="s">
        <v>38</v>
      </c>
      <c r="H86" s="237" t="s">
        <v>39</v>
      </c>
      <c r="I86" s="237" t="s">
        <v>81</v>
      </c>
      <c r="J86" s="237" t="s">
        <v>82</v>
      </c>
    </row>
    <row r="87" spans="1:13" x14ac:dyDescent="0.25">
      <c r="A87" s="238"/>
      <c r="B87" s="238"/>
      <c r="C87" s="242">
        <v>0</v>
      </c>
      <c r="D87" s="238">
        <v>0</v>
      </c>
      <c r="E87" s="238">
        <v>0</v>
      </c>
      <c r="F87" s="239"/>
      <c r="G87" s="239"/>
      <c r="H87" s="239"/>
      <c r="I87" s="239"/>
      <c r="J87" s="239"/>
      <c r="K87" s="79"/>
      <c r="L87" s="79"/>
      <c r="M87" s="3"/>
    </row>
    <row r="88" spans="1:13" x14ac:dyDescent="0.25">
      <c r="A88" s="240"/>
      <c r="B88" s="241"/>
      <c r="C88" s="242">
        <v>0</v>
      </c>
      <c r="D88" s="238">
        <v>0</v>
      </c>
      <c r="E88" s="238">
        <v>0</v>
      </c>
      <c r="F88" s="239"/>
      <c r="G88" s="239"/>
      <c r="H88" s="239"/>
      <c r="I88" s="239"/>
      <c r="J88" s="239"/>
      <c r="K88" s="79"/>
      <c r="L88" s="79"/>
    </row>
    <row r="89" spans="1:13" x14ac:dyDescent="0.25">
      <c r="A89" s="238"/>
      <c r="B89" s="238"/>
      <c r="C89" s="242"/>
      <c r="D89" s="238"/>
      <c r="E89" s="238"/>
      <c r="F89" s="239"/>
      <c r="G89" s="239"/>
      <c r="H89" s="239"/>
      <c r="I89" s="239"/>
      <c r="J89" s="239"/>
      <c r="K89" s="79"/>
      <c r="L89" s="79"/>
    </row>
    <row r="90" spans="1:13" ht="15.75" thickBot="1" x14ac:dyDescent="0.3">
      <c r="A90" s="243" t="s">
        <v>5</v>
      </c>
      <c r="B90" s="244"/>
      <c r="C90" s="243"/>
      <c r="D90" s="243"/>
      <c r="E90" s="244"/>
      <c r="F90" s="245">
        <f>ROUND(SUM(F87:F89),0)</f>
        <v>0</v>
      </c>
      <c r="G90" s="245">
        <f t="shared" ref="G90:J90" si="19">ROUND(SUM(G87:G89),0)</f>
        <v>0</v>
      </c>
      <c r="H90" s="245">
        <f t="shared" si="19"/>
        <v>0</v>
      </c>
      <c r="I90" s="245">
        <f t="shared" si="19"/>
        <v>0</v>
      </c>
      <c r="J90" s="245">
        <f t="shared" si="19"/>
        <v>0</v>
      </c>
    </row>
    <row r="91" spans="1:13" ht="15.75" thickTop="1" x14ac:dyDescent="0.25">
      <c r="E91" s="30"/>
      <c r="F91" s="30"/>
      <c r="G91" s="30"/>
      <c r="H91" s="30"/>
      <c r="I91" s="30"/>
      <c r="J91" s="30"/>
    </row>
    <row r="92" spans="1:13" x14ac:dyDescent="0.25">
      <c r="E92" s="30"/>
      <c r="F92" s="30"/>
      <c r="G92" s="30"/>
      <c r="H92" s="30"/>
      <c r="I92" s="30"/>
      <c r="J92" s="30"/>
    </row>
    <row r="93" spans="1:13" x14ac:dyDescent="0.25">
      <c r="E93" s="30"/>
      <c r="F93" s="30"/>
      <c r="G93" s="30"/>
      <c r="H93" s="30"/>
      <c r="I93" s="30"/>
      <c r="J93" s="30"/>
    </row>
    <row r="94" spans="1:13" x14ac:dyDescent="0.25">
      <c r="E94" s="30"/>
      <c r="F94" s="30"/>
      <c r="G94" s="30"/>
      <c r="H94" s="30"/>
      <c r="I94" s="30"/>
      <c r="J94" s="30"/>
    </row>
    <row r="95" spans="1:13" x14ac:dyDescent="0.25">
      <c r="E95" s="30"/>
      <c r="F95" s="30"/>
      <c r="G95" s="30"/>
      <c r="H95" s="30"/>
      <c r="I95" s="30"/>
      <c r="J95" s="30"/>
    </row>
    <row r="96" spans="1:13" x14ac:dyDescent="0.25">
      <c r="E96" s="30"/>
      <c r="F96" s="30"/>
      <c r="G96" s="30"/>
      <c r="H96" s="30"/>
      <c r="I96" s="30"/>
      <c r="J96" s="30"/>
    </row>
    <row r="97" spans="5:10" x14ac:dyDescent="0.25">
      <c r="E97" s="29"/>
      <c r="F97" s="29"/>
      <c r="G97" s="29"/>
      <c r="H97" s="29"/>
      <c r="I97" s="29"/>
      <c r="J97" s="29"/>
    </row>
    <row r="98" spans="5:10" x14ac:dyDescent="0.25">
      <c r="E98" s="29"/>
      <c r="F98" s="29"/>
      <c r="G98" s="29"/>
      <c r="H98" s="29"/>
      <c r="I98" s="29"/>
      <c r="J98" s="29"/>
    </row>
    <row r="99" spans="5:10" x14ac:dyDescent="0.25">
      <c r="E99" s="29"/>
      <c r="F99" s="29"/>
      <c r="G99" s="29"/>
      <c r="H99" s="29"/>
      <c r="I99" s="29"/>
      <c r="J99" s="29"/>
    </row>
    <row r="105" spans="5:10" x14ac:dyDescent="0.25">
      <c r="E105" s="30"/>
      <c r="F105" s="30"/>
      <c r="G105" s="30"/>
      <c r="H105" s="30"/>
      <c r="I105" s="30"/>
      <c r="J105" s="30"/>
    </row>
    <row r="106" spans="5:10" x14ac:dyDescent="0.25">
      <c r="E106" s="30"/>
      <c r="F106" s="30"/>
      <c r="G106" s="30"/>
      <c r="H106" s="30"/>
      <c r="I106" s="30"/>
      <c r="J106" s="30"/>
    </row>
    <row r="107" spans="5:10" x14ac:dyDescent="0.25">
      <c r="E107" s="30"/>
      <c r="F107" s="30"/>
      <c r="G107" s="30"/>
      <c r="H107" s="30"/>
      <c r="I107" s="30"/>
      <c r="J107" s="30"/>
    </row>
  </sheetData>
  <hyperlinks>
    <hyperlink ref="D20" r:id="rId1" display="https://www.irs.gov/newsroom/irs-issues-standard-mileage-rates-for-2022" xr:uid="{C610D99F-9EB0-44D5-B62D-AE43F7F83BBA}"/>
  </hyperlinks>
  <pageMargins left="0.7" right="0.7" top="0.75" bottom="0.75" header="0.3" footer="0.3"/>
  <pageSetup scale="77" fitToHeight="0" orientation="landscape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C54"/>
  <sheetViews>
    <sheetView zoomScale="130" zoomScaleNormal="130" workbookViewId="0">
      <selection activeCell="B13" sqref="B13"/>
    </sheetView>
  </sheetViews>
  <sheetFormatPr defaultColWidth="9.28515625" defaultRowHeight="11.25" x14ac:dyDescent="0.2"/>
  <cols>
    <col min="1" max="1" width="36" style="2" customWidth="1"/>
    <col min="2" max="2" width="14.28515625" style="2" customWidth="1"/>
    <col min="3" max="3" width="7.28515625" style="2" bestFit="1" customWidth="1"/>
    <col min="4" max="16384" width="9.28515625" style="2"/>
  </cols>
  <sheetData>
    <row r="1" spans="1:3" x14ac:dyDescent="0.2">
      <c r="A1" s="2" t="s">
        <v>153</v>
      </c>
      <c r="B1" s="385">
        <v>0.18</v>
      </c>
    </row>
    <row r="2" spans="1:3" x14ac:dyDescent="0.2">
      <c r="A2" s="31" t="s">
        <v>154</v>
      </c>
      <c r="B2" s="386">
        <f>+'Lead Budget'!G57</f>
        <v>121161</v>
      </c>
    </row>
    <row r="3" spans="1:3" x14ac:dyDescent="0.2">
      <c r="A3" s="31" t="s">
        <v>155</v>
      </c>
      <c r="B3" s="386">
        <f>+'Lead Budget'!G58</f>
        <v>24233</v>
      </c>
    </row>
    <row r="4" spans="1:3" x14ac:dyDescent="0.2">
      <c r="A4" s="31"/>
      <c r="B4" s="386"/>
    </row>
    <row r="5" spans="1:3" x14ac:dyDescent="0.2">
      <c r="A5" s="31" t="s">
        <v>156</v>
      </c>
      <c r="B5" s="386">
        <f>+'Lead Budget'!G8</f>
        <v>11965</v>
      </c>
    </row>
    <row r="6" spans="1:3" x14ac:dyDescent="0.2">
      <c r="A6" s="31" t="s">
        <v>157</v>
      </c>
      <c r="B6" s="386">
        <f>+'Lead Budget'!G9</f>
        <v>6554</v>
      </c>
    </row>
    <row r="7" spans="1:3" x14ac:dyDescent="0.2">
      <c r="A7" s="31" t="s">
        <v>157</v>
      </c>
      <c r="B7" s="386">
        <f>+'Lead Budget'!G10</f>
        <v>0</v>
      </c>
    </row>
    <row r="8" spans="1:3" x14ac:dyDescent="0.2">
      <c r="C8" s="385"/>
    </row>
    <row r="10" spans="1:3" ht="13.5" thickBot="1" x14ac:dyDescent="0.25">
      <c r="A10" s="737" t="s">
        <v>158</v>
      </c>
      <c r="B10" s="738"/>
    </row>
    <row r="11" spans="1:3" ht="12" customHeight="1" x14ac:dyDescent="0.2">
      <c r="A11" s="387" t="s">
        <v>159</v>
      </c>
      <c r="B11" s="388"/>
    </row>
    <row r="12" spans="1:3" ht="12" customHeight="1" x14ac:dyDescent="0.25">
      <c r="A12" s="389" t="s">
        <v>160</v>
      </c>
      <c r="B12" s="390">
        <f>+B2</f>
        <v>121161</v>
      </c>
      <c r="C12" s="565" t="s">
        <v>322</v>
      </c>
    </row>
    <row r="13" spans="1:3" ht="12.75" customHeight="1" x14ac:dyDescent="0.2">
      <c r="A13" s="389" t="s">
        <v>161</v>
      </c>
      <c r="B13" s="673">
        <f>'rates, dates, etc'!B13</f>
        <v>0.2</v>
      </c>
    </row>
    <row r="14" spans="1:3" ht="12" customHeight="1" x14ac:dyDescent="0.2">
      <c r="A14" s="389" t="s">
        <v>162</v>
      </c>
      <c r="B14" s="391">
        <f>+B1</f>
        <v>0.18</v>
      </c>
    </row>
    <row r="15" spans="1:3" x14ac:dyDescent="0.2">
      <c r="A15" s="389" t="s">
        <v>163</v>
      </c>
      <c r="B15" s="392" t="str">
        <f>IF(B14-B13&gt;0,B14-B13,"0%")</f>
        <v>0%</v>
      </c>
    </row>
    <row r="16" spans="1:3" x14ac:dyDescent="0.2">
      <c r="A16" s="389" t="s">
        <v>164</v>
      </c>
      <c r="B16" s="393">
        <f>+B12*B13</f>
        <v>24232.2</v>
      </c>
    </row>
    <row r="17" spans="1:2" x14ac:dyDescent="0.2">
      <c r="A17" s="394" t="s">
        <v>165</v>
      </c>
      <c r="B17" s="395">
        <f>+B12*B14</f>
        <v>21808.98</v>
      </c>
    </row>
    <row r="18" spans="1:2" x14ac:dyDescent="0.2">
      <c r="A18" s="389" t="s">
        <v>166</v>
      </c>
      <c r="B18" s="393">
        <f>IF(B16&lt;B17,B16-B17,0)</f>
        <v>0</v>
      </c>
    </row>
    <row r="19" spans="1:2" x14ac:dyDescent="0.2">
      <c r="A19" s="396"/>
      <c r="B19" s="397"/>
    </row>
    <row r="20" spans="1:2" x14ac:dyDescent="0.2">
      <c r="A20" s="398" t="s">
        <v>167</v>
      </c>
      <c r="B20" s="397"/>
    </row>
    <row r="21" spans="1:2" x14ac:dyDescent="0.2">
      <c r="A21" s="396" t="s">
        <v>168</v>
      </c>
      <c r="B21" s="393">
        <f>SUM(B5:B7)</f>
        <v>18519</v>
      </c>
    </row>
    <row r="22" spans="1:2" x14ac:dyDescent="0.2">
      <c r="A22" s="396" t="s">
        <v>169</v>
      </c>
      <c r="B22" s="393">
        <f>+B21*0.65</f>
        <v>12037.35</v>
      </c>
    </row>
    <row r="23" spans="1:2" x14ac:dyDescent="0.2">
      <c r="A23" s="396"/>
      <c r="B23" s="393"/>
    </row>
    <row r="24" spans="1:2" x14ac:dyDescent="0.2">
      <c r="A24" s="398" t="s">
        <v>170</v>
      </c>
      <c r="B24" s="393">
        <f>+B22</f>
        <v>12037.35</v>
      </c>
    </row>
    <row r="25" spans="1:2" x14ac:dyDescent="0.2">
      <c r="A25" s="398"/>
      <c r="B25" s="393"/>
    </row>
    <row r="26" spans="1:2" x14ac:dyDescent="0.2">
      <c r="A26" s="396" t="s">
        <v>171</v>
      </c>
      <c r="B26" s="393">
        <f>+B18+B24</f>
        <v>12037.35</v>
      </c>
    </row>
    <row r="27" spans="1:2" ht="12" thickBot="1" x14ac:dyDescent="0.25">
      <c r="A27" s="399" t="s">
        <v>172</v>
      </c>
      <c r="B27" s="400">
        <f>IF(+B26&gt;=0,0,+B26*-1)</f>
        <v>0</v>
      </c>
    </row>
    <row r="34" spans="3:3" x14ac:dyDescent="0.2">
      <c r="C34" s="13"/>
    </row>
    <row r="35" spans="3:3" x14ac:dyDescent="0.2">
      <c r="C35" s="13"/>
    </row>
    <row r="54" spans="2:2" x14ac:dyDescent="0.2">
      <c r="B54" s="401"/>
    </row>
  </sheetData>
  <mergeCells count="1">
    <mergeCell ref="A10:B10"/>
  </mergeCells>
  <dataValidations count="1">
    <dataValidation type="list" allowBlank="1" showInputMessage="1" showErrorMessage="1" sqref="C8" xr:uid="{00000000-0002-0000-0B00-000000000000}">
      <formula1>$R$13:$R$14</formula1>
    </dataValidation>
  </dataValidations>
  <pageMargins left="0.75" right="0.53" top="0.7" bottom="0.64" header="0.5" footer="0.5"/>
  <pageSetup scale="9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6" tint="0.59999389629810485"/>
    <pageSetUpPr fitToPage="1"/>
  </sheetPr>
  <dimension ref="A1:O80"/>
  <sheetViews>
    <sheetView topLeftCell="A50" zoomScale="130" zoomScaleNormal="130" workbookViewId="0">
      <selection activeCell="I42" sqref="I42"/>
    </sheetView>
  </sheetViews>
  <sheetFormatPr defaultColWidth="9.28515625" defaultRowHeight="11.25" x14ac:dyDescent="0.2"/>
  <cols>
    <col min="1" max="1" width="33.42578125" style="2" customWidth="1"/>
    <col min="2" max="6" width="8.42578125" style="2" customWidth="1"/>
    <col min="7" max="7" width="9.5703125" style="3" bestFit="1" customWidth="1"/>
    <col min="8" max="8" width="11" style="3" customWidth="1"/>
    <col min="9" max="9" width="29.28515625" style="3" customWidth="1"/>
    <col min="10" max="11" width="9.7109375" style="3" customWidth="1"/>
    <col min="12" max="13" width="9.7109375" style="2" customWidth="1"/>
    <col min="14" max="16384" width="9.28515625" style="2"/>
  </cols>
  <sheetData>
    <row r="1" spans="1:14" ht="12.75" x14ac:dyDescent="0.2">
      <c r="A1" s="1" t="str">
        <f>+'rates, dates, etc'!B4</f>
        <v>Assessing the Potential for Demand Response to Manage Generation Shortfalls in a Zero-Carbon Electricity Grid”</v>
      </c>
      <c r="D1" s="87"/>
    </row>
    <row r="2" spans="1:14" ht="12.75" x14ac:dyDescent="0.2">
      <c r="A2" s="1" t="str">
        <f>+'rates, dates, etc'!B3</f>
        <v>USDA</v>
      </c>
      <c r="H2" s="87"/>
    </row>
    <row r="3" spans="1:14" ht="12.75" customHeight="1" thickBot="1" x14ac:dyDescent="0.25"/>
    <row r="4" spans="1:14" x14ac:dyDescent="0.2">
      <c r="A4" s="4" t="str">
        <f ca="1">CONCATENATE("Cornell University - ",'rates, dates, etc'!A19)</f>
        <v>Cornell University - Stedman</v>
      </c>
      <c r="B4" s="5" t="s">
        <v>1</v>
      </c>
      <c r="C4" s="5" t="s">
        <v>2</v>
      </c>
      <c r="D4" s="5" t="s">
        <v>3</v>
      </c>
      <c r="E4" s="5" t="s">
        <v>44</v>
      </c>
      <c r="F4" s="5" t="s">
        <v>50</v>
      </c>
      <c r="G4" s="23"/>
    </row>
    <row r="5" spans="1:14" ht="12" thickBot="1" x14ac:dyDescent="0.25">
      <c r="A5" s="4" t="str">
        <f>CONCATENATE("Co-PI: ",'rates, dates, etc'!B19)</f>
        <v>Co-PI: R Stedman</v>
      </c>
      <c r="B5" s="6">
        <f>+'rates, dates, etc'!B5</f>
        <v>44927</v>
      </c>
      <c r="C5" s="6">
        <f>+B6+1</f>
        <v>45292</v>
      </c>
      <c r="D5" s="6">
        <f t="shared" ref="D5:F5" si="0">+C6+1</f>
        <v>45658</v>
      </c>
      <c r="E5" s="6">
        <f t="shared" si="0"/>
        <v>46023</v>
      </c>
      <c r="F5" s="6">
        <f t="shared" si="0"/>
        <v>46388</v>
      </c>
      <c r="G5" s="24"/>
    </row>
    <row r="6" spans="1:14" ht="12" thickBot="1" x14ac:dyDescent="0.25">
      <c r="A6" s="7" t="s">
        <v>4</v>
      </c>
      <c r="B6" s="8">
        <f>DATE(YEAR(B5), MONTH(B5) + 12, DAY(B5))-1</f>
        <v>45291</v>
      </c>
      <c r="C6" s="8">
        <f t="shared" ref="C6:F6" si="1">DATE(YEAR(C5), MONTH(C5) + 12, DAY(C5))-1</f>
        <v>45657</v>
      </c>
      <c r="D6" s="8">
        <f t="shared" si="1"/>
        <v>46022</v>
      </c>
      <c r="E6" s="8">
        <f t="shared" si="1"/>
        <v>46387</v>
      </c>
      <c r="F6" s="8">
        <f t="shared" si="1"/>
        <v>46752</v>
      </c>
      <c r="G6" s="25" t="s">
        <v>5</v>
      </c>
    </row>
    <row r="7" spans="1:14" x14ac:dyDescent="0.2">
      <c r="A7" s="9" t="s">
        <v>136</v>
      </c>
      <c r="G7" s="26" t="s">
        <v>6</v>
      </c>
    </row>
    <row r="8" spans="1:14" x14ac:dyDescent="0.2">
      <c r="A8" s="10" t="str">
        <f>+'rates, dates, etc'!A154</f>
        <v>R Stedman</v>
      </c>
      <c r="B8" s="586">
        <f>HLOOKUP(B$4,'rates, dates, etc'!B153:H159,7,FALSE)</f>
        <v>3428</v>
      </c>
      <c r="C8" s="11">
        <f>HLOOKUP(C$4,'rates, dates, etc'!C153:I159,7,FALSE)</f>
        <v>6179</v>
      </c>
      <c r="D8" s="11">
        <f>HLOOKUP(D$4,'rates, dates, etc'!D153:J159,7,FALSE)</f>
        <v>0</v>
      </c>
      <c r="E8" s="11">
        <f>HLOOKUP(E$4,'rates, dates, etc'!E153:K159,7,FALSE)</f>
        <v>0</v>
      </c>
      <c r="F8" s="11">
        <f>HLOOKUP(F$4,'rates, dates, etc'!F153:L159,7,FALSE)</f>
        <v>0</v>
      </c>
      <c r="G8" s="27">
        <f>SUM(B8:F8)</f>
        <v>9607</v>
      </c>
    </row>
    <row r="9" spans="1:14" x14ac:dyDescent="0.2">
      <c r="A9" s="10" t="str">
        <f>+'rates, dates, etc'!A168</f>
        <v>T. B. Lauber</v>
      </c>
      <c r="B9" s="586">
        <f>HLOOKUP(B$4,'rates, dates, etc'!B167:H173,7,FALSE)</f>
        <v>3422</v>
      </c>
      <c r="C9" s="11">
        <f>HLOOKUP(C$4,'rates, dates, etc'!C167:I173,7,FALSE)</f>
        <v>6055</v>
      </c>
      <c r="D9" s="11">
        <f>HLOOKUP(D$4,'rates, dates, etc'!D167:J173,7,FALSE)</f>
        <v>0</v>
      </c>
      <c r="E9" s="11">
        <f>HLOOKUP(E$4,'rates, dates, etc'!E167:K173,7,FALSE)</f>
        <v>0</v>
      </c>
      <c r="F9" s="11">
        <f>HLOOKUP(F$4,'rates, dates, etc'!F167:L173,7,FALSE)</f>
        <v>0</v>
      </c>
      <c r="G9" s="27">
        <f>SUM(B9:F9)</f>
        <v>9477</v>
      </c>
    </row>
    <row r="10" spans="1:14" x14ac:dyDescent="0.2">
      <c r="A10" s="10" t="str">
        <f>+'rates, dates, etc'!A182</f>
        <v>Co-PI</v>
      </c>
      <c r="B10" s="586">
        <f>HLOOKUP(B$4,'rates, dates, etc'!B181:H187,7,FALSE)</f>
        <v>0</v>
      </c>
      <c r="C10" s="11">
        <f>HLOOKUP(C$4,'rates, dates, etc'!C181:I187,7,FALSE)</f>
        <v>0</v>
      </c>
      <c r="D10" s="11">
        <f>HLOOKUP(D$4,'rates, dates, etc'!D181:J187,7,FALSE)</f>
        <v>0</v>
      </c>
      <c r="E10" s="11">
        <f>HLOOKUP(E$4,'rates, dates, etc'!E181:K187,7,FALSE)</f>
        <v>0</v>
      </c>
      <c r="F10" s="11">
        <f>HLOOKUP(F$4,'rates, dates, etc'!F181:L187,7,FALSE)</f>
        <v>0</v>
      </c>
      <c r="G10" s="27">
        <f>SUM(B10:F10)</f>
        <v>0</v>
      </c>
    </row>
    <row r="11" spans="1:14" ht="12" thickBot="1" x14ac:dyDescent="0.25">
      <c r="A11" s="15" t="str">
        <f>CONCATENATE("Total ",A7)</f>
        <v>Total Senior Personnel Salary</v>
      </c>
      <c r="B11" s="16">
        <f>SUM(B7:B10)</f>
        <v>6850</v>
      </c>
      <c r="C11" s="16">
        <f t="shared" ref="C11:F11" si="2">SUM(C7:C10)</f>
        <v>12234</v>
      </c>
      <c r="D11" s="16">
        <f t="shared" si="2"/>
        <v>0</v>
      </c>
      <c r="E11" s="16">
        <f t="shared" si="2"/>
        <v>0</v>
      </c>
      <c r="F11" s="16">
        <f t="shared" si="2"/>
        <v>0</v>
      </c>
      <c r="G11" s="28">
        <f>SUM(G7:G10)</f>
        <v>19084</v>
      </c>
    </row>
    <row r="12" spans="1:14" ht="12" thickBot="1" x14ac:dyDescent="0.25">
      <c r="A12" s="14" t="s">
        <v>137</v>
      </c>
      <c r="B12" s="13"/>
      <c r="C12" s="13"/>
      <c r="D12" s="13"/>
      <c r="E12" s="13"/>
      <c r="F12" s="13"/>
      <c r="G12" s="27"/>
      <c r="I12" s="67" t="s">
        <v>86</v>
      </c>
      <c r="J12" s="31" t="str">
        <f>+'rates, dates, etc'!B103</f>
        <v>Year 1</v>
      </c>
      <c r="K12" s="31" t="str">
        <f>+'rates, dates, etc'!C103</f>
        <v>Year 2</v>
      </c>
      <c r="L12" s="31" t="str">
        <f>+'rates, dates, etc'!D103</f>
        <v>Year 3</v>
      </c>
      <c r="M12" s="31" t="str">
        <f>+'rates, dates, etc'!E103</f>
        <v>Year 4</v>
      </c>
      <c r="N12" s="31" t="str">
        <f>+'rates, dates, etc'!F103</f>
        <v>Year 5</v>
      </c>
    </row>
    <row r="13" spans="1:14" x14ac:dyDescent="0.2">
      <c r="A13" s="10" t="str">
        <f>+'rates, dates, etc'!A196</f>
        <v>Post Doctoral Scholar(s)</v>
      </c>
      <c r="B13" s="13">
        <f>HLOOKUP(B$4,'rates, dates, etc'!B195:H200,6,FALSE)</f>
        <v>0</v>
      </c>
      <c r="C13" s="13">
        <f>HLOOKUP(C$4,'rates, dates, etc'!C195:I200,6,FALSE)</f>
        <v>0</v>
      </c>
      <c r="D13" s="13">
        <f>HLOOKUP(D$4,'rates, dates, etc'!D195:J200,6,FALSE)</f>
        <v>0</v>
      </c>
      <c r="E13" s="13">
        <f>HLOOKUP(E$4,'rates, dates, etc'!E195:K200,6,FALSE)</f>
        <v>0</v>
      </c>
      <c r="F13" s="13">
        <f>HLOOKUP(F$4,'rates, dates, etc'!F195:L200,6,FALSE)</f>
        <v>0</v>
      </c>
      <c r="G13" s="27">
        <f>SUM(B13:F13)</f>
        <v>0</v>
      </c>
      <c r="I13" s="36" t="s">
        <v>32</v>
      </c>
      <c r="J13" s="37">
        <f>SUM('rates, dates, etc'!M204:M206)/3</f>
        <v>0</v>
      </c>
      <c r="K13" s="37">
        <f>SUM('rates, dates, etc'!N204:N206)/3</f>
        <v>0</v>
      </c>
      <c r="L13" s="37">
        <f>SUM('rates, dates, etc'!O204:O206)/3</f>
        <v>0</v>
      </c>
      <c r="M13" s="37">
        <f>SUM('rates, dates, etc'!P204:P206)/3</f>
        <v>0</v>
      </c>
      <c r="N13" s="37">
        <f>SUM('rates, dates, etc'!Q204:Q206)/3</f>
        <v>0</v>
      </c>
    </row>
    <row r="14" spans="1:14" x14ac:dyDescent="0.2">
      <c r="A14" s="10" t="str">
        <f>+'rates, dates, etc'!A203</f>
        <v>Research Associate: KB Walsh</v>
      </c>
      <c r="B14" s="13">
        <f>HLOOKUP(B$4,'rates, dates, etc'!B202:H207,6,FALSE)</f>
        <v>10068</v>
      </c>
      <c r="C14" s="13">
        <f>HLOOKUP(C$4,'rates, dates, etc'!C202:I207,6,FALSE)</f>
        <v>12978</v>
      </c>
      <c r="D14" s="13">
        <f>HLOOKUP(D$4,'rates, dates, etc'!D202:J207,6,FALSE)</f>
        <v>0</v>
      </c>
      <c r="E14" s="13">
        <f>HLOOKUP(E$4,'rates, dates, etc'!E202:K207,6,FALSE)</f>
        <v>0</v>
      </c>
      <c r="F14" s="13">
        <f>HLOOKUP(F$4,'rates, dates, etc'!F202:L207,6,FALSE)</f>
        <v>0</v>
      </c>
      <c r="G14" s="27">
        <f>SUM(B14:F14)</f>
        <v>23046</v>
      </c>
      <c r="I14" s="10" t="s">
        <v>22</v>
      </c>
      <c r="J14" s="12">
        <f>+'rates, dates, etc'!M210</f>
        <v>0</v>
      </c>
      <c r="K14" s="12">
        <f>+'rates, dates, etc'!N210</f>
        <v>0</v>
      </c>
      <c r="L14" s="12">
        <f>+'rates, dates, etc'!O210</f>
        <v>0</v>
      </c>
      <c r="M14" s="12">
        <f>+'rates, dates, etc'!P210</f>
        <v>0</v>
      </c>
      <c r="N14" s="12">
        <f>+'rates, dates, etc'!Q210</f>
        <v>0</v>
      </c>
    </row>
    <row r="15" spans="1:14" x14ac:dyDescent="0.2">
      <c r="A15" s="10" t="str">
        <f>+'rates, dates, etc'!A209</f>
        <v>Graduate Student(s)</v>
      </c>
      <c r="B15" s="13">
        <f>+J14</f>
        <v>0</v>
      </c>
      <c r="C15" s="13">
        <f t="shared" ref="C15:F15" si="3">+K14</f>
        <v>0</v>
      </c>
      <c r="D15" s="13">
        <f t="shared" si="3"/>
        <v>0</v>
      </c>
      <c r="E15" s="13">
        <f t="shared" si="3"/>
        <v>0</v>
      </c>
      <c r="F15" s="13">
        <f t="shared" si="3"/>
        <v>0</v>
      </c>
      <c r="G15" s="27">
        <f>SUM(B15:F15)</f>
        <v>0</v>
      </c>
      <c r="I15" s="10" t="s">
        <v>8</v>
      </c>
      <c r="J15" s="12">
        <f>+'rates, dates, etc'!M211</f>
        <v>0</v>
      </c>
      <c r="K15" s="12">
        <f>+'rates, dates, etc'!N211</f>
        <v>0</v>
      </c>
      <c r="L15" s="12">
        <f>+'rates, dates, etc'!O211</f>
        <v>0</v>
      </c>
      <c r="M15" s="12">
        <f>+'rates, dates, etc'!P211</f>
        <v>0</v>
      </c>
      <c r="N15" s="12">
        <f>+'rates, dates, etc'!Q211</f>
        <v>0</v>
      </c>
    </row>
    <row r="16" spans="1:14" x14ac:dyDescent="0.2">
      <c r="A16" s="10" t="str">
        <f>+'rates, dates, etc'!A214</f>
        <v>Undergraduate Student(s)</v>
      </c>
      <c r="B16" s="13">
        <f>+'rates, dates, etc'!B222</f>
        <v>0</v>
      </c>
      <c r="C16" s="13">
        <f>+'rates, dates, etc'!C222</f>
        <v>0</v>
      </c>
      <c r="D16" s="13">
        <f>+'rates, dates, etc'!D222</f>
        <v>0</v>
      </c>
      <c r="E16" s="13">
        <f>+'rates, dates, etc'!E222</f>
        <v>0</v>
      </c>
      <c r="F16" s="13">
        <f>+'rates, dates, etc'!F222</f>
        <v>0</v>
      </c>
      <c r="G16" s="27">
        <f t="shared" ref="G16:G18" si="4">SUM(B16:F16)</f>
        <v>0</v>
      </c>
      <c r="I16" s="10" t="s">
        <v>9</v>
      </c>
      <c r="J16" s="12">
        <f>+'rates, dates, etc'!M212</f>
        <v>0</v>
      </c>
      <c r="K16" s="12">
        <f>+'rates, dates, etc'!N212</f>
        <v>0</v>
      </c>
      <c r="L16" s="12">
        <f>+'rates, dates, etc'!O212</f>
        <v>0</v>
      </c>
      <c r="M16" s="12">
        <f>+'rates, dates, etc'!P212</f>
        <v>0</v>
      </c>
      <c r="N16" s="12">
        <f>+'rates, dates, etc'!Q212</f>
        <v>0</v>
      </c>
    </row>
    <row r="17" spans="1:15" ht="12" thickBot="1" x14ac:dyDescent="0.25">
      <c r="A17" s="10" t="str">
        <f>+'rates, dates, etc'!A225</f>
        <v>Research Aid</v>
      </c>
      <c r="B17" s="13">
        <f>HLOOKUP(B$4,'rates, dates, etc'!B224:H229,6,FALSE)</f>
        <v>4224</v>
      </c>
      <c r="C17" s="13">
        <f>HLOOKUP(C$4,'rates, dates, etc'!C224:I229,6,FALSE)</f>
        <v>0</v>
      </c>
      <c r="D17" s="13">
        <f>HLOOKUP(D$4,'rates, dates, etc'!D224:J229,6,FALSE)</f>
        <v>0</v>
      </c>
      <c r="E17" s="13">
        <f>HLOOKUP(E$4,'rates, dates, etc'!E224:K229,6,FALSE)</f>
        <v>0</v>
      </c>
      <c r="F17" s="13">
        <f>HLOOKUP(F$4,'rates, dates, etc'!F224:L229,6,FALSE)</f>
        <v>0</v>
      </c>
      <c r="G17" s="27">
        <f t="shared" si="4"/>
        <v>4224</v>
      </c>
      <c r="I17" s="35" t="s">
        <v>31</v>
      </c>
      <c r="J17" s="38">
        <f>SUM(J14:J16)</f>
        <v>0</v>
      </c>
      <c r="K17" s="38">
        <f>SUM(K14:K16)</f>
        <v>0</v>
      </c>
      <c r="L17" s="38">
        <f>SUM(L14:L16)</f>
        <v>0</v>
      </c>
      <c r="M17" s="38">
        <f>SUM(M14:M16)</f>
        <v>0</v>
      </c>
      <c r="N17" s="38">
        <f>SUM(N14:N16)</f>
        <v>0</v>
      </c>
    </row>
    <row r="18" spans="1:15" x14ac:dyDescent="0.2">
      <c r="A18" s="10" t="str">
        <f>+'rates, dates, etc'!A232</f>
        <v>Other - Temp Employee (Endowed)</v>
      </c>
      <c r="B18" s="13">
        <f>+'rates, dates, etc'!B235</f>
        <v>0</v>
      </c>
      <c r="C18" s="13">
        <f>+'rates, dates, etc'!C235</f>
        <v>0</v>
      </c>
      <c r="D18" s="13">
        <f>+'rates, dates, etc'!D235</f>
        <v>0</v>
      </c>
      <c r="E18" s="13">
        <f>+'rates, dates, etc'!E235</f>
        <v>0</v>
      </c>
      <c r="F18" s="13">
        <f>+'rates, dates, etc'!F235</f>
        <v>0</v>
      </c>
      <c r="G18" s="27">
        <f t="shared" si="4"/>
        <v>0</v>
      </c>
    </row>
    <row r="19" spans="1:15" ht="12" thickBot="1" x14ac:dyDescent="0.25">
      <c r="A19" s="15" t="str">
        <f>CONCATENATE("Total ",A12)</f>
        <v>Total Other Personnel Salary</v>
      </c>
      <c r="B19" s="16">
        <f>SUM(B12:B18)</f>
        <v>14292</v>
      </c>
      <c r="C19" s="16">
        <f>SUM(C12:C18)</f>
        <v>12978</v>
      </c>
      <c r="D19" s="16">
        <f t="shared" ref="D19:F19" si="5">SUM(D12:D18)</f>
        <v>0</v>
      </c>
      <c r="E19" s="16">
        <f>SUM(E12:E18)</f>
        <v>0</v>
      </c>
      <c r="F19" s="16">
        <f t="shared" si="5"/>
        <v>0</v>
      </c>
      <c r="G19" s="28">
        <f>SUM(G12:G18)</f>
        <v>27270</v>
      </c>
      <c r="L19" s="3"/>
      <c r="M19" s="3"/>
      <c r="N19" s="3">
        <f>+F23-'Lead Budget'!F23</f>
        <v>0</v>
      </c>
    </row>
    <row r="20" spans="1:15" x14ac:dyDescent="0.2">
      <c r="A20" s="17" t="s">
        <v>7</v>
      </c>
      <c r="B20" s="11" t="s">
        <v>6</v>
      </c>
      <c r="C20" s="11"/>
      <c r="D20" s="11"/>
      <c r="E20" s="11"/>
      <c r="F20" s="11"/>
      <c r="G20" s="27"/>
    </row>
    <row r="21" spans="1:15" x14ac:dyDescent="0.2">
      <c r="A21" s="10" t="str">
        <f>+A8</f>
        <v>R Stedman</v>
      </c>
      <c r="B21" s="11">
        <f>IF('rates, dates, etc'!$I155=9,ROUND((+B8*J$23),0),ROUND((+B8*J$26*$K$35)+(B8*K$26*$K$36),0))</f>
        <v>2341</v>
      </c>
      <c r="C21" s="11">
        <f>IF('rates, dates, etc'!$I155=9,ROUND((+C8*K$23),0),ROUND((+C8*K$26*$K$35)+(C8*L$26*$K$36),0))</f>
        <v>4220</v>
      </c>
      <c r="D21" s="11">
        <f>IF('rates, dates, etc'!$I155=9,ROUND((+D8*L$23),0),ROUND((+D8*L$26*$K$35)+(D8*M$26*$K$36),0))</f>
        <v>0</v>
      </c>
      <c r="E21" s="11">
        <f>IF('rates, dates, etc'!$I155=9,ROUND((+E8*M$23),0),ROUND((+E8*M$26*$K$35)+(E8*N$26*$K$36),0))</f>
        <v>0</v>
      </c>
      <c r="F21" s="11">
        <f>IF('rates, dates, etc'!$I155=9,ROUND((+F8*N$23),0),ROUND((+F8*N$26*$K$35)+(F8*O$26*$K$36),0))</f>
        <v>0</v>
      </c>
      <c r="G21" s="27">
        <f t="shared" ref="G21:G27" si="6">SUM(B21:F21)</f>
        <v>6561</v>
      </c>
      <c r="I21" s="68" t="s">
        <v>33</v>
      </c>
    </row>
    <row r="22" spans="1:15" x14ac:dyDescent="0.2">
      <c r="A22" s="10" t="str">
        <f>+A9</f>
        <v>T. B. Lauber</v>
      </c>
      <c r="B22" s="11">
        <f>IF('rates, dates, etc'!$I169=9,ROUND((+B9*J$23),0),ROUND((+B9*J$26*$K$35)+(B9*K$26*$K$36),0))</f>
        <v>2337</v>
      </c>
      <c r="C22" s="11">
        <f>IF('rates, dates, etc'!$I169=9,ROUND((+C9*K$23),0),ROUND((+C9*K$26*$K$35)+(C9*L$26*$K$36),0))</f>
        <v>4136</v>
      </c>
      <c r="D22" s="11">
        <f>IF('rates, dates, etc'!$I169=9,ROUND((+D9*L$23),0),ROUND((+D9*L$26*$K$35)+(D9*M$26*$K$36),0))</f>
        <v>0</v>
      </c>
      <c r="E22" s="11">
        <f>IF('rates, dates, etc'!$I169=9,ROUND((+E9*M$23),0),ROUND((+E9*M$26*$K$35)+(E9*N$26*$K$36),0))</f>
        <v>0</v>
      </c>
      <c r="F22" s="11">
        <f>IF('rates, dates, etc'!$I169=9,ROUND((+F9*N$23),0),ROUND((+F9*N$26*$K$35)+(F9*O$26*$K$36),0))</f>
        <v>0</v>
      </c>
      <c r="G22" s="27">
        <f t="shared" si="6"/>
        <v>6473</v>
      </c>
      <c r="I22" s="95" t="s">
        <v>121</v>
      </c>
      <c r="J22" s="96" t="str">
        <f>+'rates, dates, etc'!Z5</f>
        <v>FY2024</v>
      </c>
      <c r="K22" s="96" t="str">
        <f>+'rates, dates, etc'!AA5</f>
        <v>FY2025</v>
      </c>
      <c r="L22" s="96" t="str">
        <f>+'rates, dates, etc'!AB5</f>
        <v>FY2026</v>
      </c>
      <c r="M22" s="96" t="str">
        <f>+'rates, dates, etc'!AC5</f>
        <v>FY2027</v>
      </c>
      <c r="N22" s="96" t="str">
        <f>+'rates, dates, etc'!AD5</f>
        <v>FY2028</v>
      </c>
    </row>
    <row r="23" spans="1:15" x14ac:dyDescent="0.2">
      <c r="A23" s="10" t="str">
        <f>+A10</f>
        <v>Co-PI</v>
      </c>
      <c r="B23" s="11">
        <f>IF('rates, dates, etc'!$I183=9,ROUND((+B10*J$23),0),ROUND((+B10*J$26*$K$35)+(B10*K$26*$K$36),0))</f>
        <v>0</v>
      </c>
      <c r="C23" s="11">
        <f>IF('rates, dates, etc'!$I183=9,ROUND((+C10*K$23),0),ROUND((+C10*K$26*$K$35)+(C10*L$26*$K$36),0))</f>
        <v>0</v>
      </c>
      <c r="D23" s="11">
        <f>IF('rates, dates, etc'!$I183=9,ROUND((+D10*L$23),0),ROUND((+D10*L$26*$K$35)+(D10*M$26*$K$36),0))</f>
        <v>0</v>
      </c>
      <c r="E23" s="11">
        <f>IF('rates, dates, etc'!$I183=9,ROUND((+E10*M$23),0),ROUND((+E10*M$26*$K$35)+(E10*N$26*$K$36),0))</f>
        <v>0</v>
      </c>
      <c r="F23" s="11">
        <f>IF('rates, dates, etc'!$I183=9,ROUND((+F10*N$23),0),ROUND((+F10*N$26*$K$35)+(F10*O$26*$K$36),0))</f>
        <v>0</v>
      </c>
      <c r="G23" s="27">
        <f t="shared" si="6"/>
        <v>0</v>
      </c>
      <c r="I23" s="3" t="str">
        <f>+'rates, dates, etc'!A143</f>
        <v xml:space="preserve">   Contract (Federal) - Senior Personnel</v>
      </c>
      <c r="J23" s="31">
        <f>IF('rates, dates, etc'!B142='rates, dates, etc'!Z5,'rates, dates, etc'!B143,'rates, dates, etc'!C143)</f>
        <v>0.68300000000000005</v>
      </c>
      <c r="K23" s="31">
        <f>IF('rates, dates, etc'!C142='rates, dates, etc'!AA5,'rates, dates, etc'!C143,'rates, dates, etc'!D143)</f>
        <v>0.68300000000000005</v>
      </c>
      <c r="L23" s="31">
        <f>IF('rates, dates, etc'!D142='rates, dates, etc'!AB5,'rates, dates, etc'!D143,'rates, dates, etc'!E143)</f>
        <v>0.68300000000000005</v>
      </c>
      <c r="M23" s="31">
        <f>IF('rates, dates, etc'!E142='rates, dates, etc'!AC5,'rates, dates, etc'!E143,'rates, dates, etc'!F143)</f>
        <v>0.68300000000000005</v>
      </c>
      <c r="N23" s="31">
        <f>IF('rates, dates, etc'!F142='rates, dates, etc'!AD5,'rates, dates, etc'!F143,'rates, dates, etc'!G143)</f>
        <v>0.68300000000000005</v>
      </c>
    </row>
    <row r="24" spans="1:15" x14ac:dyDescent="0.2">
      <c r="A24" s="10" t="str">
        <f>+A13</f>
        <v>Post Doctoral Scholar(s)</v>
      </c>
      <c r="B24" s="11">
        <f t="shared" ref="B24:F25" si="7">ROUND((+B13*J27*$K$35)+(B13*K27*$K$36),0)</f>
        <v>0</v>
      </c>
      <c r="C24" s="11">
        <f t="shared" si="7"/>
        <v>0</v>
      </c>
      <c r="D24" s="11">
        <f t="shared" si="7"/>
        <v>0</v>
      </c>
      <c r="E24" s="11">
        <f t="shared" si="7"/>
        <v>0</v>
      </c>
      <c r="F24" s="11">
        <f t="shared" si="7"/>
        <v>0</v>
      </c>
      <c r="G24" s="27">
        <f t="shared" si="6"/>
        <v>0</v>
      </c>
      <c r="J24" s="2"/>
      <c r="K24" s="2"/>
    </row>
    <row r="25" spans="1:15" x14ac:dyDescent="0.2">
      <c r="A25" s="10" t="str">
        <f>+A14</f>
        <v>Research Associate: KB Walsh</v>
      </c>
      <c r="B25" s="11">
        <f t="shared" si="7"/>
        <v>6876</v>
      </c>
      <c r="C25" s="11">
        <f t="shared" si="7"/>
        <v>8864</v>
      </c>
      <c r="D25" s="11">
        <f t="shared" si="7"/>
        <v>0</v>
      </c>
      <c r="E25" s="11">
        <f t="shared" si="7"/>
        <v>0</v>
      </c>
      <c r="F25" s="11">
        <f t="shared" si="7"/>
        <v>0</v>
      </c>
      <c r="G25" s="27">
        <f t="shared" si="6"/>
        <v>15740</v>
      </c>
      <c r="I25" s="95" t="s">
        <v>122</v>
      </c>
      <c r="J25" s="69" t="str">
        <f>+'rates, dates, etc'!Z4</f>
        <v>FY2023</v>
      </c>
      <c r="K25" s="69" t="str">
        <f>+'rates, dates, etc'!AA4</f>
        <v>FY2024</v>
      </c>
      <c r="L25" s="69" t="str">
        <f>+'rates, dates, etc'!AB4</f>
        <v>FY2025</v>
      </c>
      <c r="M25" s="69" t="str">
        <f>+'rates, dates, etc'!AC4</f>
        <v>FY2026</v>
      </c>
      <c r="N25" s="69" t="str">
        <f>+'rates, dates, etc'!AD4</f>
        <v>FY2027</v>
      </c>
      <c r="O25" s="69" t="str">
        <f>+'rates, dates, etc'!AE4</f>
        <v>FY2028</v>
      </c>
    </row>
    <row r="26" spans="1:15" x14ac:dyDescent="0.2">
      <c r="A26" s="10" t="str">
        <f>+A17</f>
        <v>Research Aid</v>
      </c>
      <c r="B26" s="11">
        <f>IF('rates, dates, etc'!$I226=9,ROUND((+B17*J$23),0),ROUND((+B17*J$28*$K$35)+(B17*K$28*$K$36),0))</f>
        <v>2885</v>
      </c>
      <c r="C26" s="11">
        <f>IF('rates, dates, etc'!$I226=9,ROUND((+C17*K$23),0),ROUND((+C17*K$28*$K$35)+(C17*L$28*$K$36),0))</f>
        <v>0</v>
      </c>
      <c r="D26" s="11">
        <f>IF('rates, dates, etc'!$I226=9,ROUND((+D17*L$23),0),ROUND((+D17*L$28*$K$35)+(D17*M$28*$K$36),0))</f>
        <v>0</v>
      </c>
      <c r="E26" s="11">
        <f>IF('rates, dates, etc'!$I226=9,ROUND((+E17*M$23),0),ROUND((+E17*M$28*$K$35)+(E17*N$28*$K$36),0))</f>
        <v>0</v>
      </c>
      <c r="F26" s="11">
        <f>IF('rates, dates, etc'!$I226=9,ROUND((+F17*N$23),0),ROUND((+F17*N$28*$K$35)+(F17*O$28*$K$36),0))</f>
        <v>0</v>
      </c>
      <c r="G26" s="27">
        <f t="shared" si="6"/>
        <v>2885</v>
      </c>
      <c r="I26" s="3" t="str">
        <f>+'rates, dates, etc'!A143</f>
        <v xml:space="preserve">   Contract (Federal) - Senior Personnel</v>
      </c>
      <c r="J26" s="136">
        <f>+'rates, dates, etc'!B143</f>
        <v>0.68300000000000005</v>
      </c>
      <c r="K26" s="136">
        <f>+'rates, dates, etc'!C143</f>
        <v>0.68300000000000005</v>
      </c>
      <c r="L26" s="136">
        <f>+'rates, dates, etc'!D143</f>
        <v>0.68300000000000005</v>
      </c>
      <c r="M26" s="136">
        <f>+'rates, dates, etc'!E143</f>
        <v>0.68300000000000005</v>
      </c>
      <c r="N26" s="136">
        <f>+'rates, dates, etc'!F143</f>
        <v>0.68300000000000005</v>
      </c>
      <c r="O26" s="136">
        <f>+'rates, dates, etc'!G143</f>
        <v>0.68300000000000005</v>
      </c>
    </row>
    <row r="27" spans="1:15" x14ac:dyDescent="0.2">
      <c r="A27" s="10" t="str">
        <f>+A18</f>
        <v>Other - Temp Employee (Endowed)</v>
      </c>
      <c r="B27" s="11">
        <f>ROUND((+B18*J$29*$K$35)+(B18*K$29*$K$36),0)</f>
        <v>0</v>
      </c>
      <c r="C27" s="11">
        <f t="shared" ref="C27:E27" si="8">ROUND((+C18*K$29*$K$35)+(C18*L$29*$K$36),0)</f>
        <v>0</v>
      </c>
      <c r="D27" s="11">
        <f>ROUND((+D18*L$29*$K$35)+(D18*M$29*$K$36),0)</f>
        <v>0</v>
      </c>
      <c r="E27" s="11">
        <f t="shared" si="8"/>
        <v>0</v>
      </c>
      <c r="F27" s="11">
        <f>ROUND((+F18*N$29*$K$35)+(F18*O$29*$K$36),0)</f>
        <v>0</v>
      </c>
      <c r="G27" s="27">
        <f t="shared" si="6"/>
        <v>0</v>
      </c>
      <c r="I27" s="3" t="str">
        <f>+'rates, dates, etc'!A144</f>
        <v xml:space="preserve">   Contract (Federal) - Post Doc</v>
      </c>
      <c r="J27" s="2">
        <f>+'rates, dates, etc'!B144</f>
        <v>0.68300000000000005</v>
      </c>
      <c r="K27" s="2">
        <f>+'rates, dates, etc'!C144</f>
        <v>0.68300000000000005</v>
      </c>
      <c r="L27" s="2">
        <f>+'rates, dates, etc'!D144</f>
        <v>0.68300000000000005</v>
      </c>
      <c r="M27" s="2">
        <f>+'rates, dates, etc'!E144</f>
        <v>0.68300000000000005</v>
      </c>
      <c r="N27" s="2">
        <f>+'rates, dates, etc'!F144</f>
        <v>0.68300000000000005</v>
      </c>
      <c r="O27" s="2">
        <f>+'rates, dates, etc'!G144</f>
        <v>0.68300000000000005</v>
      </c>
    </row>
    <row r="28" spans="1:15" ht="12" thickBot="1" x14ac:dyDescent="0.25">
      <c r="A28" s="15" t="str">
        <f>CONCATENATE("Total ",A20)</f>
        <v>Total Fringe Benefits</v>
      </c>
      <c r="B28" s="16">
        <f>SUM(B20:B27)</f>
        <v>14439</v>
      </c>
      <c r="C28" s="16">
        <f t="shared" ref="C28:F28" si="9">SUM(C20:C27)</f>
        <v>17220</v>
      </c>
      <c r="D28" s="16">
        <f t="shared" si="9"/>
        <v>0</v>
      </c>
      <c r="E28" s="16">
        <f t="shared" si="9"/>
        <v>0</v>
      </c>
      <c r="F28" s="16">
        <f t="shared" si="9"/>
        <v>0</v>
      </c>
      <c r="G28" s="28">
        <f>SUM(G20:G27)</f>
        <v>31659</v>
      </c>
      <c r="I28" s="3" t="str">
        <f>+'rates, dates, etc'!A145</f>
        <v xml:space="preserve">   Contract (Federal) - Other Employee</v>
      </c>
      <c r="J28" s="2">
        <f>+'rates, dates, etc'!B145</f>
        <v>0.68300000000000005</v>
      </c>
      <c r="K28" s="2">
        <f>+'rates, dates, etc'!C145</f>
        <v>0.68300000000000005</v>
      </c>
      <c r="L28" s="2">
        <f>+'rates, dates, etc'!D145</f>
        <v>0.68300000000000005</v>
      </c>
      <c r="M28" s="2">
        <f>+'rates, dates, etc'!E145</f>
        <v>0.68300000000000005</v>
      </c>
      <c r="N28" s="2">
        <f>+'rates, dates, etc'!F145</f>
        <v>0.68300000000000005</v>
      </c>
      <c r="O28" s="2">
        <f>+'rates, dates, etc'!G145</f>
        <v>0.68300000000000005</v>
      </c>
    </row>
    <row r="29" spans="1:15" ht="12" thickBot="1" x14ac:dyDescent="0.25">
      <c r="A29" s="143" t="s">
        <v>131</v>
      </c>
      <c r="B29" s="144">
        <f>+B11+B19+B28</f>
        <v>35581</v>
      </c>
      <c r="C29" s="144">
        <f t="shared" ref="C29:F29" si="10">+C11+C19+C28</f>
        <v>42432</v>
      </c>
      <c r="D29" s="144">
        <f t="shared" si="10"/>
        <v>0</v>
      </c>
      <c r="E29" s="144">
        <f t="shared" si="10"/>
        <v>0</v>
      </c>
      <c r="F29" s="144">
        <f t="shared" si="10"/>
        <v>0</v>
      </c>
      <c r="G29" s="145">
        <f>SUM(B29:F29)</f>
        <v>78013</v>
      </c>
      <c r="I29" s="3" t="str">
        <f>+'rates, dates, etc'!A146</f>
        <v xml:space="preserve">   Temp Employee</v>
      </c>
      <c r="J29" s="2">
        <f>+'rates, dates, etc'!B146</f>
        <v>0.1</v>
      </c>
      <c r="K29" s="2">
        <f>+'rates, dates, etc'!C146</f>
        <v>0.1</v>
      </c>
      <c r="L29" s="2">
        <f>+'rates, dates, etc'!D146</f>
        <v>0.1</v>
      </c>
      <c r="M29" s="2">
        <f>+'rates, dates, etc'!E146</f>
        <v>0.1</v>
      </c>
      <c r="N29" s="2">
        <f>+'rates, dates, etc'!F146</f>
        <v>0.1</v>
      </c>
      <c r="O29" s="2">
        <f>+'rates, dates, etc'!G146</f>
        <v>0.1</v>
      </c>
    </row>
    <row r="30" spans="1:15" x14ac:dyDescent="0.2">
      <c r="A30" s="17" t="s">
        <v>25</v>
      </c>
      <c r="B30" s="11"/>
      <c r="C30" s="11"/>
      <c r="D30" s="11"/>
      <c r="E30" s="11"/>
      <c r="F30" s="11"/>
      <c r="G30" s="27"/>
    </row>
    <row r="31" spans="1:15" x14ac:dyDescent="0.2">
      <c r="A31" s="10" t="s">
        <v>66</v>
      </c>
      <c r="B31" s="11"/>
      <c r="C31" s="11"/>
      <c r="D31" s="11"/>
      <c r="E31" s="11"/>
      <c r="F31" s="11"/>
      <c r="G31" s="27">
        <f>SUM(B31:F31)</f>
        <v>0</v>
      </c>
      <c r="I31" s="95" t="str">
        <f>+'rates, dates, etc'!A42</f>
        <v>Rate Allowed by Sponsor:</v>
      </c>
      <c r="J31" s="2">
        <f>+'rates, dates, etc'!B42</f>
        <v>0.2</v>
      </c>
      <c r="K31" s="2">
        <f>+'rates, dates, etc'!C42</f>
        <v>0.2</v>
      </c>
      <c r="L31" s="2">
        <f>+'rates, dates, etc'!D42</f>
        <v>0.2</v>
      </c>
      <c r="M31" s="2">
        <f>+'rates, dates, etc'!E42</f>
        <v>0.2</v>
      </c>
      <c r="N31" s="2">
        <f>+'rates, dates, etc'!F42</f>
        <v>0.2</v>
      </c>
      <c r="O31" s="2">
        <f>+'rates, dates, etc'!G42</f>
        <v>0.2</v>
      </c>
    </row>
    <row r="32" spans="1:15" x14ac:dyDescent="0.2">
      <c r="A32" s="10"/>
      <c r="B32" s="11"/>
      <c r="C32" s="11"/>
      <c r="D32" s="11"/>
      <c r="E32" s="11"/>
      <c r="F32" s="11"/>
      <c r="G32" s="27">
        <f>SUM(B32:F32)</f>
        <v>0</v>
      </c>
      <c r="I32" s="95" t="str">
        <f>+'rates, dates, etc'!A147</f>
        <v>Cornell IDC Rate - Contract College</v>
      </c>
      <c r="J32" s="2">
        <f>+'rates, dates, etc'!B147</f>
        <v>0.56999999999999995</v>
      </c>
      <c r="K32" s="2">
        <f>+'rates, dates, etc'!C147</f>
        <v>0.56999999999999995</v>
      </c>
      <c r="L32" s="2">
        <f>+'rates, dates, etc'!D147</f>
        <v>0.56999999999999995</v>
      </c>
      <c r="M32" s="2">
        <f>+'rates, dates, etc'!E147</f>
        <v>0.56999999999999995</v>
      </c>
      <c r="N32" s="2">
        <f>+'rates, dates, etc'!F147</f>
        <v>0.56999999999999995</v>
      </c>
      <c r="O32" s="2">
        <f>+'rates, dates, etc'!G147</f>
        <v>0.56999999999999995</v>
      </c>
    </row>
    <row r="33" spans="1:15" ht="12" thickBot="1" x14ac:dyDescent="0.25">
      <c r="A33" s="15" t="str">
        <f>CONCATENATE("Total ",A30)</f>
        <v>Total Equipment</v>
      </c>
      <c r="B33" s="16">
        <f>SUM(B30:B32)</f>
        <v>0</v>
      </c>
      <c r="C33" s="16">
        <f>SUM(C30:C32)</f>
        <v>0</v>
      </c>
      <c r="D33" s="16">
        <f t="shared" ref="D33:F33" si="11">SUM(D30:D32)</f>
        <v>0</v>
      </c>
      <c r="E33" s="16">
        <f t="shared" si="11"/>
        <v>0</v>
      </c>
      <c r="F33" s="16">
        <f t="shared" si="11"/>
        <v>0</v>
      </c>
      <c r="G33" s="28">
        <f>SUM(G30:G32)</f>
        <v>0</v>
      </c>
      <c r="N33" s="13"/>
      <c r="O33" s="13"/>
    </row>
    <row r="34" spans="1:15" x14ac:dyDescent="0.2">
      <c r="A34" s="17" t="s">
        <v>34</v>
      </c>
      <c r="B34" s="11"/>
      <c r="C34" s="11"/>
      <c r="D34" s="11"/>
      <c r="E34" s="11"/>
      <c r="F34" s="11"/>
      <c r="G34" s="27"/>
      <c r="I34" s="71" t="str">
        <f>+'rates, dates, etc'!L39</f>
        <v>Pro-rating factor for 12 month appts.:</v>
      </c>
      <c r="J34" s="31" t="s">
        <v>36</v>
      </c>
      <c r="K34" s="31" t="s">
        <v>56</v>
      </c>
      <c r="N34" s="13"/>
      <c r="O34" s="13"/>
    </row>
    <row r="35" spans="1:15" x14ac:dyDescent="0.2">
      <c r="A35" s="10" t="s">
        <v>499</v>
      </c>
      <c r="B35" s="11"/>
      <c r="C35" s="11">
        <v>523</v>
      </c>
      <c r="D35" s="11"/>
      <c r="E35" s="11"/>
      <c r="F35" s="11"/>
      <c r="G35" s="27">
        <f>SUM(B35:F35)</f>
        <v>523</v>
      </c>
      <c r="I35" s="72" t="s">
        <v>51</v>
      </c>
      <c r="J35" s="68">
        <f>+'rates, dates, etc'!M41</f>
        <v>6</v>
      </c>
      <c r="K35" s="68">
        <f>+'rates, dates, etc'!N41</f>
        <v>0.5</v>
      </c>
      <c r="N35" s="13"/>
      <c r="O35" s="13"/>
    </row>
    <row r="36" spans="1:15" x14ac:dyDescent="0.2">
      <c r="A36" s="10" t="s">
        <v>11</v>
      </c>
      <c r="B36" s="11"/>
      <c r="C36" s="11"/>
      <c r="D36" s="11"/>
      <c r="E36" s="11"/>
      <c r="F36" s="11"/>
      <c r="G36" s="27">
        <f>SUM(B36:F36)</f>
        <v>0</v>
      </c>
      <c r="I36" s="72" t="s">
        <v>52</v>
      </c>
      <c r="J36" s="68">
        <f>+'rates, dates, etc'!M42</f>
        <v>6</v>
      </c>
      <c r="K36" s="68">
        <f>+'rates, dates, etc'!N42</f>
        <v>0.5</v>
      </c>
    </row>
    <row r="37" spans="1:15" ht="12" thickBot="1" x14ac:dyDescent="0.25">
      <c r="A37" s="15" t="str">
        <f>CONCATENATE("Total ",A34)</f>
        <v>Total Travel</v>
      </c>
      <c r="B37" s="16">
        <f>SUM(B34:B36)</f>
        <v>0</v>
      </c>
      <c r="C37" s="16">
        <f>SUM(C34:C36)</f>
        <v>523</v>
      </c>
      <c r="D37" s="16">
        <f t="shared" ref="D37:F37" si="12">SUM(D34:D36)</f>
        <v>0</v>
      </c>
      <c r="E37" s="16">
        <f t="shared" si="12"/>
        <v>0</v>
      </c>
      <c r="F37" s="16">
        <f t="shared" si="12"/>
        <v>0</v>
      </c>
      <c r="G37" s="28">
        <f>SUM(G34:G36)</f>
        <v>523</v>
      </c>
      <c r="I37" s="70"/>
      <c r="J37" s="73">
        <f>SUM(J35:J36)</f>
        <v>12</v>
      </c>
      <c r="K37" s="2" t="s">
        <v>97</v>
      </c>
    </row>
    <row r="38" spans="1:15" x14ac:dyDescent="0.2">
      <c r="A38" s="17" t="s">
        <v>27</v>
      </c>
      <c r="B38" s="11"/>
      <c r="C38" s="11"/>
      <c r="D38" s="11"/>
      <c r="E38" s="11"/>
      <c r="F38" s="11"/>
      <c r="G38" s="27"/>
      <c r="I38" s="2"/>
      <c r="J38" s="2"/>
      <c r="K38" s="2"/>
    </row>
    <row r="39" spans="1:15" x14ac:dyDescent="0.2">
      <c r="A39" s="10" t="s">
        <v>91</v>
      </c>
      <c r="B39" s="11"/>
      <c r="C39" s="11"/>
      <c r="D39" s="11"/>
      <c r="E39" s="11"/>
      <c r="F39" s="11"/>
      <c r="G39" s="27">
        <f>SUM(B39:F39)</f>
        <v>0</v>
      </c>
      <c r="I39" s="2"/>
      <c r="J39" s="2"/>
      <c r="K39" s="2"/>
    </row>
    <row r="40" spans="1:15" x14ac:dyDescent="0.2">
      <c r="A40" s="10" t="s">
        <v>47</v>
      </c>
      <c r="B40" s="11"/>
      <c r="C40" s="11"/>
      <c r="D40" s="11"/>
      <c r="E40" s="11"/>
      <c r="F40" s="11"/>
      <c r="G40" s="27">
        <f t="shared" ref="G40:G42" si="13">SUM(B40:F40)</f>
        <v>0</v>
      </c>
      <c r="I40" s="2"/>
      <c r="J40" s="2"/>
      <c r="K40" s="2"/>
    </row>
    <row r="41" spans="1:15" x14ac:dyDescent="0.2">
      <c r="A41" s="10" t="s">
        <v>34</v>
      </c>
      <c r="B41" s="11"/>
      <c r="C41" s="11"/>
      <c r="D41" s="11"/>
      <c r="E41" s="11"/>
      <c r="F41" s="11"/>
      <c r="G41" s="27">
        <f t="shared" si="13"/>
        <v>0</v>
      </c>
      <c r="K41" s="2"/>
    </row>
    <row r="42" spans="1:15" x14ac:dyDescent="0.2">
      <c r="A42" s="10" t="s">
        <v>48</v>
      </c>
      <c r="B42" s="11"/>
      <c r="C42" s="11"/>
      <c r="D42" s="11"/>
      <c r="E42" s="11"/>
      <c r="F42" s="11"/>
      <c r="G42" s="27">
        <f t="shared" si="13"/>
        <v>0</v>
      </c>
    </row>
    <row r="43" spans="1:15" x14ac:dyDescent="0.2">
      <c r="A43" s="10" t="s">
        <v>29</v>
      </c>
      <c r="B43" s="11"/>
      <c r="C43" s="11"/>
      <c r="D43" s="11"/>
      <c r="E43" s="11"/>
      <c r="F43" s="11"/>
      <c r="G43" s="27">
        <f>SUM(B43:F43)</f>
        <v>0</v>
      </c>
    </row>
    <row r="44" spans="1:15" ht="12" thickBot="1" x14ac:dyDescent="0.25">
      <c r="A44" s="15" t="str">
        <f>CONCATENATE("Total ",A38)</f>
        <v>Total Participant Support Costs</v>
      </c>
      <c r="B44" s="16">
        <f>SUM(B38:B43)</f>
        <v>0</v>
      </c>
      <c r="C44" s="16">
        <f>SUM(C38:C43)</f>
        <v>0</v>
      </c>
      <c r="D44" s="16">
        <f t="shared" ref="D44:F44" si="14">SUM(D38:D43)</f>
        <v>0</v>
      </c>
      <c r="E44" s="16">
        <f t="shared" si="14"/>
        <v>0</v>
      </c>
      <c r="F44" s="16">
        <f t="shared" si="14"/>
        <v>0</v>
      </c>
      <c r="G44" s="28">
        <f>SUM(G38:G43)</f>
        <v>0</v>
      </c>
    </row>
    <row r="45" spans="1:15" x14ac:dyDescent="0.2">
      <c r="A45" s="17" t="s">
        <v>13</v>
      </c>
      <c r="B45" s="11"/>
      <c r="C45" s="11"/>
      <c r="D45" s="11"/>
      <c r="E45" s="11"/>
      <c r="F45" s="11"/>
      <c r="G45" s="27"/>
    </row>
    <row r="46" spans="1:15" x14ac:dyDescent="0.2">
      <c r="A46" s="10" t="str">
        <f>+'Lead Budget'!A46</f>
        <v>Materials &amp; Supplies</v>
      </c>
      <c r="B46" s="18">
        <v>353</v>
      </c>
      <c r="C46" s="18"/>
      <c r="D46" s="18"/>
      <c r="E46" s="18"/>
      <c r="F46" s="18"/>
      <c r="G46" s="27">
        <f t="shared" ref="G46:G54" si="15">SUM(B46:F46)</f>
        <v>353</v>
      </c>
    </row>
    <row r="47" spans="1:15" x14ac:dyDescent="0.2">
      <c r="A47" s="10" t="str">
        <f>+'Lead Budget'!A47</f>
        <v>Publication Costs</v>
      </c>
      <c r="B47" s="18">
        <v>0</v>
      </c>
      <c r="C47" s="18"/>
      <c r="D47" s="18"/>
      <c r="E47" s="18"/>
      <c r="F47" s="18"/>
      <c r="G47" s="27">
        <f t="shared" si="15"/>
        <v>0</v>
      </c>
    </row>
    <row r="48" spans="1:15" x14ac:dyDescent="0.2">
      <c r="A48" s="10" t="str">
        <f>+'Lead Budget'!A48</f>
        <v>Consultant Services</v>
      </c>
      <c r="B48" s="18"/>
      <c r="C48" s="18"/>
      <c r="D48" s="18"/>
      <c r="E48" s="18"/>
      <c r="F48" s="18"/>
      <c r="G48" s="27">
        <f t="shared" si="15"/>
        <v>0</v>
      </c>
    </row>
    <row r="49" spans="1:15" x14ac:dyDescent="0.2">
      <c r="A49" s="10" t="str">
        <f>+'Lead Budget'!A49</f>
        <v>ADP/Computer Services</v>
      </c>
      <c r="B49" s="18"/>
      <c r="C49" s="18"/>
      <c r="D49" s="18"/>
      <c r="E49" s="18"/>
      <c r="F49" s="18"/>
      <c r="G49" s="27">
        <f t="shared" si="15"/>
        <v>0</v>
      </c>
    </row>
    <row r="50" spans="1:15" x14ac:dyDescent="0.2">
      <c r="A50" s="10" t="str">
        <f>+'Lead Budget'!A50</f>
        <v xml:space="preserve">SubContracts </v>
      </c>
      <c r="B50" s="18"/>
      <c r="C50" s="18"/>
      <c r="D50" s="18"/>
      <c r="E50" s="18"/>
      <c r="F50" s="18"/>
      <c r="G50" s="27">
        <f t="shared" si="15"/>
        <v>0</v>
      </c>
      <c r="J50" s="3">
        <v>1818</v>
      </c>
      <c r="K50" s="3" t="s">
        <v>496</v>
      </c>
    </row>
    <row r="51" spans="1:15" x14ac:dyDescent="0.2">
      <c r="A51" s="10" t="str">
        <f>+'Lead Budget'!A51</f>
        <v xml:space="preserve">Equipment or Facility Rental/User Fees </v>
      </c>
      <c r="B51" s="18"/>
      <c r="C51" s="18"/>
      <c r="D51" s="18"/>
      <c r="E51" s="18"/>
      <c r="F51" s="18"/>
      <c r="G51" s="27">
        <f t="shared" si="15"/>
        <v>0</v>
      </c>
      <c r="J51" s="3">
        <v>4215</v>
      </c>
      <c r="K51" s="3" t="s">
        <v>497</v>
      </c>
    </row>
    <row r="52" spans="1:15" x14ac:dyDescent="0.2">
      <c r="A52" s="10" t="str">
        <f>+'Lead Budget'!A52</f>
        <v>Other: Tuition</v>
      </c>
      <c r="B52" s="18">
        <f>+J15</f>
        <v>0</v>
      </c>
      <c r="C52" s="18">
        <f t="shared" ref="C52:F52" si="16">+K15</f>
        <v>0</v>
      </c>
      <c r="D52" s="18">
        <f t="shared" si="16"/>
        <v>0</v>
      </c>
      <c r="E52" s="18">
        <f t="shared" si="16"/>
        <v>0</v>
      </c>
      <c r="F52" s="18">
        <f t="shared" si="16"/>
        <v>0</v>
      </c>
      <c r="G52" s="27">
        <f t="shared" si="15"/>
        <v>0</v>
      </c>
      <c r="J52" s="3">
        <f>SUM(J50:J51)</f>
        <v>6033</v>
      </c>
    </row>
    <row r="53" spans="1:15" x14ac:dyDescent="0.2">
      <c r="A53" s="10" t="str">
        <f>+'Lead Budget'!A53</f>
        <v>Other: Health Insurance</v>
      </c>
      <c r="B53" s="18">
        <f>+J16</f>
        <v>0</v>
      </c>
      <c r="C53" s="18">
        <f t="shared" ref="C53:F53" si="17">+K16</f>
        <v>0</v>
      </c>
      <c r="D53" s="18">
        <f t="shared" si="17"/>
        <v>0</v>
      </c>
      <c r="E53" s="18">
        <f t="shared" si="17"/>
        <v>0</v>
      </c>
      <c r="F53" s="18">
        <f t="shared" si="17"/>
        <v>0</v>
      </c>
      <c r="G53" s="27">
        <f t="shared" si="15"/>
        <v>0</v>
      </c>
    </row>
    <row r="54" spans="1:15" x14ac:dyDescent="0.2">
      <c r="A54" s="10" t="str">
        <f>+'Lead Budget'!A54</f>
        <v>Other</v>
      </c>
      <c r="B54" s="18">
        <v>6033</v>
      </c>
      <c r="C54" s="18">
        <v>889</v>
      </c>
      <c r="D54" s="18"/>
      <c r="E54" s="18"/>
      <c r="F54" s="18"/>
      <c r="G54" s="27">
        <f t="shared" si="15"/>
        <v>6922</v>
      </c>
      <c r="K54" s="2"/>
      <c r="N54" s="13"/>
      <c r="O54" s="13"/>
    </row>
    <row r="55" spans="1:15" ht="12" thickBot="1" x14ac:dyDescent="0.25">
      <c r="A55" s="15" t="str">
        <f>CONCATENATE("Total ",A45)</f>
        <v>Total Other Direct Costs</v>
      </c>
      <c r="B55" s="28">
        <f t="shared" ref="B55:G55" si="18">SUM(B45:B54)</f>
        <v>6386</v>
      </c>
      <c r="C55" s="16">
        <f t="shared" si="18"/>
        <v>889</v>
      </c>
      <c r="D55" s="16">
        <f t="shared" si="18"/>
        <v>0</v>
      </c>
      <c r="E55" s="16">
        <f t="shared" si="18"/>
        <v>0</v>
      </c>
      <c r="F55" s="16">
        <f t="shared" si="18"/>
        <v>0</v>
      </c>
      <c r="G55" s="28">
        <f t="shared" si="18"/>
        <v>7275</v>
      </c>
      <c r="N55" s="13"/>
      <c r="O55" s="13"/>
    </row>
    <row r="56" spans="1:15" ht="12" thickBot="1" x14ac:dyDescent="0.25">
      <c r="A56" s="99" t="s">
        <v>16</v>
      </c>
      <c r="B56" s="137">
        <f t="shared" ref="B56:G56" si="19">SUM(+B11+B19+B28+B33+B37+B44+B55)</f>
        <v>41967</v>
      </c>
      <c r="C56" s="137">
        <f t="shared" si="19"/>
        <v>43844</v>
      </c>
      <c r="D56" s="137">
        <f t="shared" si="19"/>
        <v>0</v>
      </c>
      <c r="E56" s="137">
        <f t="shared" ref="E56:F56" si="20">SUM(+E11+E19+E28+E33+E37+E44+E55)</f>
        <v>0</v>
      </c>
      <c r="F56" s="137">
        <f t="shared" si="20"/>
        <v>0</v>
      </c>
      <c r="G56" s="138">
        <f t="shared" si="19"/>
        <v>85811</v>
      </c>
      <c r="N56" s="13"/>
      <c r="O56" s="13"/>
    </row>
    <row r="57" spans="1:15" ht="12" thickBot="1" x14ac:dyDescent="0.25">
      <c r="A57" s="7" t="s">
        <v>17</v>
      </c>
      <c r="B57" s="21">
        <f>+B56-(+J15+J16+B44+B63+B33)</f>
        <v>41967</v>
      </c>
      <c r="C57" s="21">
        <f>+C56-(+K15+K16+C44+C63+C33)</f>
        <v>43844</v>
      </c>
      <c r="D57" s="21">
        <f>+D56-(+L15+L16+D44+D63+D33)</f>
        <v>0</v>
      </c>
      <c r="E57" s="21">
        <f t="shared" ref="E57:F57" si="21">+E56-(+M15+M16+E44+E63+E33)</f>
        <v>0</v>
      </c>
      <c r="F57" s="21">
        <f t="shared" si="21"/>
        <v>0</v>
      </c>
      <c r="G57" s="20">
        <f>SUM(B57:F57)</f>
        <v>85811</v>
      </c>
      <c r="H57" s="117"/>
      <c r="N57" s="13"/>
      <c r="O57" s="13"/>
    </row>
    <row r="58" spans="1:15" ht="12" thickBot="1" x14ac:dyDescent="0.25">
      <c r="A58" s="108" t="s">
        <v>18</v>
      </c>
      <c r="B58" s="139">
        <f>IF(AND('rates, dates, etc'!$B$11="no",'Budget Summary'!$G$102&lt;'Budget Summary'!$G$103),B65,B66)</f>
        <v>8393</v>
      </c>
      <c r="C58" s="139">
        <f>IF(AND('rates, dates, etc'!$B$11="no",'Budget Summary'!$G$102&lt;'Budget Summary'!$G$103),C65,C66)</f>
        <v>8769</v>
      </c>
      <c r="D58" s="139">
        <f>IF(AND('rates, dates, etc'!$B$11="no",'Budget Summary'!$G$102&lt;'Budget Summary'!$G$103),D65,D66)</f>
        <v>0</v>
      </c>
      <c r="E58" s="139">
        <f>IF(AND('rates, dates, etc'!$B$11="no",'Budget Summary'!$G$102&lt;'Budget Summary'!$G$103),E65,E66)</f>
        <v>0</v>
      </c>
      <c r="F58" s="139">
        <f>IF(AND('rates, dates, etc'!$B$11="no",'Budget Summary'!$G$102&lt;'Budget Summary'!$G$103),F65,F66)</f>
        <v>0</v>
      </c>
      <c r="G58" s="140">
        <f>SUM(B58:F58)</f>
        <v>17162</v>
      </c>
      <c r="H58" s="116"/>
      <c r="N58" s="13"/>
      <c r="O58" s="13"/>
    </row>
    <row r="59" spans="1:15" ht="12" thickBot="1" x14ac:dyDescent="0.25">
      <c r="A59" s="109" t="s">
        <v>19</v>
      </c>
      <c r="B59" s="141">
        <f>+B56+B58</f>
        <v>50360</v>
      </c>
      <c r="C59" s="141">
        <f t="shared" ref="C59:F59" si="22">+C56+C58</f>
        <v>52613</v>
      </c>
      <c r="D59" s="141">
        <f t="shared" si="22"/>
        <v>0</v>
      </c>
      <c r="E59" s="141">
        <f t="shared" si="22"/>
        <v>0</v>
      </c>
      <c r="F59" s="141">
        <f t="shared" si="22"/>
        <v>0</v>
      </c>
      <c r="G59" s="142">
        <f>SUM(B59:F59)</f>
        <v>102973</v>
      </c>
      <c r="L59" s="12"/>
      <c r="N59" s="13"/>
      <c r="O59" s="13"/>
    </row>
    <row r="60" spans="1:15" x14ac:dyDescent="0.2">
      <c r="A60" s="22"/>
      <c r="B60" s="12"/>
      <c r="C60" s="12"/>
      <c r="D60" s="12"/>
      <c r="E60" s="12"/>
      <c r="F60" s="12"/>
      <c r="L60" s="12"/>
      <c r="N60" s="13"/>
      <c r="O60" s="13"/>
    </row>
    <row r="61" spans="1:15" x14ac:dyDescent="0.2">
      <c r="A61" s="22"/>
      <c r="B61" s="12"/>
      <c r="C61" s="12"/>
      <c r="D61" s="12"/>
      <c r="E61" s="12"/>
      <c r="F61" s="12"/>
      <c r="K61" s="39"/>
      <c r="L61" s="39"/>
      <c r="M61" s="39"/>
      <c r="N61" s="13"/>
      <c r="O61" s="13"/>
    </row>
    <row r="62" spans="1:15" ht="12" thickBot="1" x14ac:dyDescent="0.25">
      <c r="B62" s="40"/>
      <c r="C62" s="40"/>
      <c r="D62" s="40"/>
      <c r="E62" s="40"/>
      <c r="F62" s="40"/>
      <c r="G62" s="11"/>
    </row>
    <row r="63" spans="1:15" ht="12" thickBot="1" x14ac:dyDescent="0.25">
      <c r="A63" s="41" t="s">
        <v>45</v>
      </c>
      <c r="B63" s="42">
        <f>+B50-IF(B50&lt;25000,B50,25000)</f>
        <v>0</v>
      </c>
      <c r="C63" s="42">
        <f>+C50-IF(+B50&gt;25000,0,IF(B50+C50&gt;25000,(25000-B50),C50))</f>
        <v>0</v>
      </c>
      <c r="D63" s="42">
        <f>+D50-IF(+B50+C50&gt;25000,0,IF(B50+C50+D50&gt;25000,(25000-(B50+C50)),D50))</f>
        <v>0</v>
      </c>
      <c r="E63" s="42">
        <f>+E50-IF(B50+C50+D50&gt;25000,0,IF(B50+C50+D50+E50&gt;25000,(25000-(C50+C50+D50)),E50))</f>
        <v>0</v>
      </c>
      <c r="F63" s="42">
        <f>+F50-IF(B50+C50+D50+E50&gt;25000,0,IF(B50+C50+D50+E50+F50&gt;25000,(25000-(B50+C50+D50+E50)),F50))</f>
        <v>0</v>
      </c>
      <c r="G63" s="43">
        <f>SUM(B63:F63)</f>
        <v>0</v>
      </c>
    </row>
    <row r="64" spans="1:15" ht="12" thickBot="1" x14ac:dyDescent="0.25">
      <c r="A64" s="44"/>
      <c r="B64" s="45"/>
      <c r="C64" s="45"/>
      <c r="D64" s="45"/>
      <c r="E64" s="45"/>
      <c r="F64" s="45"/>
      <c r="G64" s="45"/>
    </row>
    <row r="65" spans="1:12" ht="12" thickBot="1" x14ac:dyDescent="0.25">
      <c r="A65" s="101" t="s">
        <v>135</v>
      </c>
      <c r="B65" s="103">
        <f>IF('rates, dates, etc'!$B$11="Yes",0,ROUND((B56*J31*$K$35)+(B56*K31*$K$36),0))</f>
        <v>8393</v>
      </c>
      <c r="C65" s="104">
        <f>IF('rates, dates, etc'!$B$11="Yes",0,ROUND((C56*K31*$K$35)+(C56*L31*$K$36),0))</f>
        <v>8769</v>
      </c>
      <c r="D65" s="104">
        <f>IF('rates, dates, etc'!$B$11="Yes",0,ROUND((D56*L31*$K$35)+(D56*M31*$K$36),0))</f>
        <v>0</v>
      </c>
      <c r="E65" s="104">
        <f>IF('rates, dates, etc'!$B$11="Yes",0,ROUND((E56*M31*$K$35)+(E56*N31*$K$36),0))</f>
        <v>0</v>
      </c>
      <c r="F65" s="104">
        <f>IF('rates, dates, etc'!$B$11="Yes",0,ROUND((F56*N31*$K$35)+(F56*O31*$K$36),0))</f>
        <v>0</v>
      </c>
      <c r="G65" s="103">
        <f t="shared" ref="G65:G66" si="23">SUM(B65:F65)</f>
        <v>17162</v>
      </c>
    </row>
    <row r="66" spans="1:12" ht="12" thickBot="1" x14ac:dyDescent="0.25">
      <c r="A66" s="102" t="s">
        <v>134</v>
      </c>
      <c r="B66" s="103">
        <f>ROUND((B57*J32*$K$35)+(B57*K32*$K$36),0)</f>
        <v>23921</v>
      </c>
      <c r="C66" s="104">
        <f>ROUND((C57*K32*$K$35)+(C57*L32*$K$36),0)</f>
        <v>24991</v>
      </c>
      <c r="D66" s="104">
        <f>ROUND((D57*L32*$K$35)+(D57*M32*$K$36),0)</f>
        <v>0</v>
      </c>
      <c r="E66" s="104">
        <f>ROUND((E57*M32*$K$35)+(E57*N32*$K$36),0)</f>
        <v>0</v>
      </c>
      <c r="F66" s="104">
        <f>ROUND((F57*N32*$K$35)+(F57*O32*$K$36),0)</f>
        <v>0</v>
      </c>
      <c r="G66" s="103">
        <f t="shared" si="23"/>
        <v>48912</v>
      </c>
    </row>
    <row r="69" spans="1:12" x14ac:dyDescent="0.2">
      <c r="B69" s="40"/>
      <c r="C69" s="40"/>
      <c r="D69" s="40"/>
      <c r="E69" s="40"/>
      <c r="F69" s="40"/>
      <c r="G69" s="11"/>
    </row>
    <row r="70" spans="1:12" x14ac:dyDescent="0.2">
      <c r="A70" s="2" t="s">
        <v>40</v>
      </c>
      <c r="B70" s="40"/>
      <c r="C70" s="40" t="s">
        <v>67</v>
      </c>
      <c r="D70" s="40" t="s">
        <v>70</v>
      </c>
      <c r="E70" s="40" t="s">
        <v>103</v>
      </c>
      <c r="F70" s="40" t="s">
        <v>126</v>
      </c>
      <c r="G70" s="11"/>
      <c r="H70" s="3" t="s">
        <v>37</v>
      </c>
      <c r="I70" s="3" t="s">
        <v>38</v>
      </c>
      <c r="J70" s="3" t="s">
        <v>39</v>
      </c>
      <c r="K70" s="3" t="s">
        <v>81</v>
      </c>
      <c r="L70" s="2" t="s">
        <v>82</v>
      </c>
    </row>
    <row r="71" spans="1:12" x14ac:dyDescent="0.2">
      <c r="A71" s="2" t="s">
        <v>71</v>
      </c>
    </row>
    <row r="72" spans="1:12" x14ac:dyDescent="0.2">
      <c r="B72" s="2" t="s">
        <v>68</v>
      </c>
      <c r="C72" s="2">
        <v>650</v>
      </c>
      <c r="D72" s="2">
        <v>0</v>
      </c>
      <c r="E72" s="2">
        <v>1</v>
      </c>
      <c r="F72" s="2" t="s">
        <v>104</v>
      </c>
      <c r="H72" s="3">
        <f>ROUND(+C72*D72*E72,0)</f>
        <v>0</v>
      </c>
      <c r="I72" s="3">
        <f>ROUND(+C72*D72*E72,0)</f>
        <v>0</v>
      </c>
      <c r="J72" s="3">
        <f>ROUND(+C72*D72*E72,0)</f>
        <v>0</v>
      </c>
      <c r="K72" s="3">
        <f>ROUND(+C72*D72*E72,0)</f>
        <v>0</v>
      </c>
      <c r="L72" s="2">
        <f>ROUND(+C72*D72*E72,0)</f>
        <v>0</v>
      </c>
    </row>
    <row r="73" spans="1:12" x14ac:dyDescent="0.2">
      <c r="B73" s="2" t="s">
        <v>69</v>
      </c>
      <c r="C73" s="2">
        <v>500</v>
      </c>
      <c r="D73" s="2">
        <v>0</v>
      </c>
      <c r="E73" s="2">
        <v>1</v>
      </c>
      <c r="F73" s="2" t="s">
        <v>104</v>
      </c>
      <c r="H73" s="3">
        <f>ROUND(+C73*D73*E73,0)</f>
        <v>0</v>
      </c>
      <c r="I73" s="3">
        <f>ROUND(+C73*D73*E73,0)</f>
        <v>0</v>
      </c>
      <c r="J73" s="3">
        <f>ROUND(+C73*D73*E73,0)</f>
        <v>0</v>
      </c>
      <c r="K73" s="3">
        <f>ROUND(+C73*D73*E73,0)</f>
        <v>0</v>
      </c>
      <c r="L73" s="2">
        <f>ROUND(+C73*D73*E73,0)</f>
        <v>0</v>
      </c>
    </row>
    <row r="74" spans="1:12" x14ac:dyDescent="0.2">
      <c r="B74" s="2" t="s">
        <v>129</v>
      </c>
      <c r="C74" s="2">
        <v>175</v>
      </c>
      <c r="D74" s="2">
        <v>0</v>
      </c>
      <c r="E74" s="2">
        <v>1</v>
      </c>
      <c r="F74" s="2">
        <v>3</v>
      </c>
      <c r="H74" s="3">
        <f>ROUND(+C74*D74*(E74*F74),0)</f>
        <v>0</v>
      </c>
      <c r="I74" s="3">
        <f>ROUND(+C74*D74*(E74*F74),0)</f>
        <v>0</v>
      </c>
      <c r="J74" s="3">
        <f>ROUND(+C74*D74*(E74*F74),0)</f>
        <v>0</v>
      </c>
      <c r="K74" s="3">
        <f>ROUND(+C74*D74*(E74*F74),0)</f>
        <v>0</v>
      </c>
      <c r="L74" s="2">
        <f>ROUND(+C74*D74*(E74*F74),0)</f>
        <v>0</v>
      </c>
    </row>
    <row r="75" spans="1:12" x14ac:dyDescent="0.2">
      <c r="B75" s="2" t="s">
        <v>72</v>
      </c>
      <c r="C75" s="2">
        <v>40</v>
      </c>
      <c r="D75" s="2">
        <v>1</v>
      </c>
      <c r="E75" s="2">
        <v>1</v>
      </c>
      <c r="F75" s="2">
        <v>5</v>
      </c>
      <c r="H75" s="3">
        <v>0</v>
      </c>
      <c r="I75" s="3">
        <f>ROUND(+C75*D75*(E75*F75),0)</f>
        <v>200</v>
      </c>
      <c r="J75" s="3">
        <v>0</v>
      </c>
      <c r="K75" s="3">
        <v>0</v>
      </c>
      <c r="L75" s="2">
        <v>0</v>
      </c>
    </row>
    <row r="76" spans="1:12" x14ac:dyDescent="0.2">
      <c r="B76" s="2" t="s">
        <v>130</v>
      </c>
      <c r="C76" s="2">
        <v>50</v>
      </c>
      <c r="D76" s="2">
        <v>0</v>
      </c>
      <c r="E76" s="2">
        <v>1</v>
      </c>
      <c r="F76" s="2" t="s">
        <v>104</v>
      </c>
      <c r="H76" s="3">
        <f>ROUND(+C76*D76*E76,0)</f>
        <v>0</v>
      </c>
      <c r="I76" s="3">
        <f>ROUND(+C76*D76*E76,0)</f>
        <v>0</v>
      </c>
      <c r="J76" s="3">
        <f>ROUND(+C76*D76*E76,0)</f>
        <v>0</v>
      </c>
      <c r="K76" s="3">
        <f>ROUND(+C76*D76*E76,0)</f>
        <v>0</v>
      </c>
      <c r="L76" s="2">
        <f>ROUND(+C76*D76*E76,0)</f>
        <v>0</v>
      </c>
    </row>
    <row r="77" spans="1:12" x14ac:dyDescent="0.2">
      <c r="B77" s="2" t="s">
        <v>128</v>
      </c>
      <c r="C77" s="2">
        <v>0.16</v>
      </c>
      <c r="D77" s="2">
        <v>1</v>
      </c>
      <c r="E77" s="2">
        <v>1</v>
      </c>
      <c r="F77" s="2">
        <v>490</v>
      </c>
      <c r="H77" s="3">
        <v>0</v>
      </c>
      <c r="I77" s="3">
        <f>ROUND(+C77*D77*(E77*F77),0)</f>
        <v>78</v>
      </c>
      <c r="J77" s="3">
        <v>0</v>
      </c>
      <c r="K77" s="3">
        <v>0</v>
      </c>
      <c r="L77" s="2">
        <v>0</v>
      </c>
    </row>
    <row r="78" spans="1:12" x14ac:dyDescent="0.2">
      <c r="B78" s="2" t="s">
        <v>498</v>
      </c>
      <c r="C78" s="2">
        <v>49</v>
      </c>
      <c r="D78" s="2">
        <v>1</v>
      </c>
      <c r="E78" s="2">
        <v>1</v>
      </c>
      <c r="F78" s="2">
        <v>5</v>
      </c>
      <c r="I78" s="3">
        <f>ROUND(+C78*D78*(E78*F78),0)</f>
        <v>245</v>
      </c>
    </row>
    <row r="79" spans="1:12" x14ac:dyDescent="0.2">
      <c r="A79" s="2" t="s">
        <v>5</v>
      </c>
      <c r="H79" s="3">
        <f>ROUND(SUM(H71:H78),0)</f>
        <v>0</v>
      </c>
      <c r="I79" s="3">
        <f t="shared" ref="I79:L79" si="24">ROUND(SUM(I71:I78),0)</f>
        <v>523</v>
      </c>
      <c r="J79" s="3">
        <f t="shared" si="24"/>
        <v>0</v>
      </c>
      <c r="K79" s="3">
        <f t="shared" si="24"/>
        <v>0</v>
      </c>
      <c r="L79" s="2">
        <f t="shared" si="24"/>
        <v>0</v>
      </c>
    </row>
    <row r="80" spans="1:12" x14ac:dyDescent="0.2">
      <c r="B80" s="2" t="s">
        <v>456</v>
      </c>
      <c r="D80" s="2" t="s">
        <v>455</v>
      </c>
    </row>
  </sheetData>
  <pageMargins left="0.75" right="0.53" top="0.7" bottom="0.64" header="0.5" footer="0.5"/>
  <pageSetup scale="95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stopIfTrue="1" id="{6490F554-5B70-46F2-9BE5-0BEDB2686438}">
            <xm:f>'rates, dates, etc'!$B$11="Yes"</xm:f>
            <x14:dxf>
              <font>
                <color rgb="FFFF0000"/>
              </font>
            </x14:dxf>
          </x14:cfRule>
          <xm:sqref>A66:G66</xm:sqref>
        </x14:conditionalFormatting>
        <x14:conditionalFormatting xmlns:xm="http://schemas.microsoft.com/office/excel/2006/main">
          <x14:cfRule type="expression" priority="1" stopIfTrue="1" id="{6B440B89-410C-481B-BEAD-B243AAC2B3FD}">
            <xm:f>'rates, dates, etc'!$B$11="Yes"</xm:f>
            <x14:dxf/>
          </x14:cfRule>
          <xm:sqref>A65:G65</xm:sqref>
        </x14:conditionalFormatting>
        <x14:conditionalFormatting xmlns:xm="http://schemas.microsoft.com/office/excel/2006/main">
          <x14:cfRule type="expression" priority="95" id="{FC1E3BB4-AC09-4838-9837-5892F8A664C7}">
            <xm:f>'Budget Summary'!$G$103&lt;'Budget Summary'!$G$102</xm:f>
            <x14:dxf>
              <font>
                <color rgb="FFFF0000"/>
              </font>
            </x14:dxf>
          </x14:cfRule>
          <xm:sqref>A66:G66</xm:sqref>
        </x14:conditionalFormatting>
        <x14:conditionalFormatting xmlns:xm="http://schemas.microsoft.com/office/excel/2006/main">
          <x14:cfRule type="expression" priority="96" id="{7C37CCD2-C41A-4B7D-9F57-C13AFBAD466B}">
            <xm:f>'Budget Summary'!$G$102&lt;'Budget Summary'!$G$103</xm:f>
            <x14:dxf>
              <font>
                <color rgb="FFFF0000"/>
              </font>
            </x14:dxf>
          </x14:cfRule>
          <xm:sqref>A65:G65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 tint="0.59999389629810485"/>
    <pageSetUpPr fitToPage="1"/>
  </sheetPr>
  <dimension ref="A1:O70"/>
  <sheetViews>
    <sheetView zoomScale="130" zoomScaleNormal="130" workbookViewId="0">
      <selection activeCell="H34" sqref="H34"/>
    </sheetView>
  </sheetViews>
  <sheetFormatPr defaultColWidth="9.28515625" defaultRowHeight="11.25" x14ac:dyDescent="0.2"/>
  <cols>
    <col min="1" max="1" width="33.42578125" style="2" customWidth="1"/>
    <col min="2" max="6" width="8.42578125" style="2" customWidth="1"/>
    <col min="7" max="7" width="9.5703125" style="3" bestFit="1" customWidth="1"/>
    <col min="8" max="8" width="11" style="3" customWidth="1"/>
    <col min="9" max="9" width="29.28515625" style="3" customWidth="1"/>
    <col min="10" max="11" width="9.7109375" style="3" customWidth="1"/>
    <col min="12" max="13" width="9.7109375" style="2" customWidth="1"/>
    <col min="14" max="16384" width="9.28515625" style="2"/>
  </cols>
  <sheetData>
    <row r="1" spans="1:14" ht="12.75" x14ac:dyDescent="0.2">
      <c r="A1" s="1" t="str">
        <f>+'rates, dates, etc'!B4</f>
        <v>Assessing the Potential for Demand Response to Manage Generation Shortfalls in a Zero-Carbon Electricity Grid”</v>
      </c>
      <c r="D1" s="87"/>
    </row>
    <row r="2" spans="1:14" ht="12.75" x14ac:dyDescent="0.2">
      <c r="A2" s="1" t="str">
        <f>+'rates, dates, etc'!B3</f>
        <v>USDA</v>
      </c>
      <c r="H2" s="87"/>
    </row>
    <row r="3" spans="1:14" ht="12.75" customHeight="1" thickBot="1" x14ac:dyDescent="0.25"/>
    <row r="4" spans="1:14" x14ac:dyDescent="0.2">
      <c r="A4" s="4" t="str">
        <f ca="1">CONCATENATE("Cornell University - ",'rates, dates, etc'!A20)</f>
        <v>Cornell University - Co PI 2</v>
      </c>
      <c r="B4" s="5" t="s">
        <v>1</v>
      </c>
      <c r="C4" s="5" t="s">
        <v>2</v>
      </c>
      <c r="D4" s="5" t="s">
        <v>3</v>
      </c>
      <c r="E4" s="5" t="s">
        <v>44</v>
      </c>
      <c r="F4" s="5" t="s">
        <v>50</v>
      </c>
      <c r="G4" s="23"/>
    </row>
    <row r="5" spans="1:14" ht="12" thickBot="1" x14ac:dyDescent="0.25">
      <c r="A5" s="4" t="str">
        <f>CONCATENATE("Co-PI: ",'rates, dates, etc'!B20)</f>
        <v>Co-PI: Co-PI</v>
      </c>
      <c r="B5" s="6">
        <f>+'rates, dates, etc'!B5</f>
        <v>44927</v>
      </c>
      <c r="C5" s="6">
        <f>+B6+1</f>
        <v>45292</v>
      </c>
      <c r="D5" s="6">
        <f t="shared" ref="D5:F5" si="0">+C6+1</f>
        <v>45658</v>
      </c>
      <c r="E5" s="6">
        <f t="shared" si="0"/>
        <v>46023</v>
      </c>
      <c r="F5" s="6">
        <f t="shared" si="0"/>
        <v>46388</v>
      </c>
      <c r="G5" s="24"/>
    </row>
    <row r="6" spans="1:14" ht="12" thickBot="1" x14ac:dyDescent="0.25">
      <c r="A6" s="7" t="s">
        <v>4</v>
      </c>
      <c r="B6" s="8">
        <f>DATE(YEAR(B5), MONTH(B5) + 12, DAY(B5))-1</f>
        <v>45291</v>
      </c>
      <c r="C6" s="8">
        <f t="shared" ref="C6:F6" si="1">DATE(YEAR(C5), MONTH(C5) + 12, DAY(C5))-1</f>
        <v>45657</v>
      </c>
      <c r="D6" s="8">
        <f t="shared" si="1"/>
        <v>46022</v>
      </c>
      <c r="E6" s="8">
        <f t="shared" si="1"/>
        <v>46387</v>
      </c>
      <c r="F6" s="8">
        <f t="shared" si="1"/>
        <v>46752</v>
      </c>
      <c r="G6" s="25" t="s">
        <v>5</v>
      </c>
    </row>
    <row r="7" spans="1:14" x14ac:dyDescent="0.2">
      <c r="A7" s="9" t="s">
        <v>136</v>
      </c>
      <c r="G7" s="26" t="s">
        <v>6</v>
      </c>
    </row>
    <row r="8" spans="1:14" x14ac:dyDescent="0.2">
      <c r="A8" s="10" t="str">
        <f>+'rates, dates, etc'!A260</f>
        <v>Co-PI</v>
      </c>
      <c r="B8" s="586">
        <f>HLOOKUP(B$4,'rates, dates, etc'!B259:H265,7,FALSE)</f>
        <v>0</v>
      </c>
      <c r="C8" s="11">
        <f>HLOOKUP(C$4,'rates, dates, etc'!C259:I265,7,FALSE)</f>
        <v>0</v>
      </c>
      <c r="D8" s="11">
        <f>HLOOKUP(D$4,'rates, dates, etc'!D259:J265,7,FALSE)</f>
        <v>0</v>
      </c>
      <c r="E8" s="11">
        <f>HLOOKUP(E$4,'rates, dates, etc'!E259:K265,7,FALSE)</f>
        <v>0</v>
      </c>
      <c r="F8" s="11">
        <f>HLOOKUP(F$4,'rates, dates, etc'!F259:L265,7,FALSE)</f>
        <v>0</v>
      </c>
      <c r="G8" s="27">
        <f>SUM(B8:F8)</f>
        <v>0</v>
      </c>
    </row>
    <row r="9" spans="1:14" x14ac:dyDescent="0.2">
      <c r="A9" s="10" t="str">
        <f>+'rates, dates, etc'!A274</f>
        <v>Co-PI</v>
      </c>
      <c r="B9" s="586">
        <f>HLOOKUP(B$4,'rates, dates, etc'!B273:H279,7,FALSE)</f>
        <v>0</v>
      </c>
      <c r="C9" s="11">
        <f>HLOOKUP(C$4,'rates, dates, etc'!C273:I279,7,FALSE)</f>
        <v>0</v>
      </c>
      <c r="D9" s="11">
        <f>HLOOKUP(D$4,'rates, dates, etc'!D273:J279,7,FALSE)</f>
        <v>0</v>
      </c>
      <c r="E9" s="11">
        <f>HLOOKUP(E$4,'rates, dates, etc'!E273:K279,7,FALSE)</f>
        <v>0</v>
      </c>
      <c r="F9" s="11">
        <f>HLOOKUP(F$4,'rates, dates, etc'!F273:L279,7,FALSE)</f>
        <v>0</v>
      </c>
      <c r="G9" s="27">
        <f>SUM(B9:F9)</f>
        <v>0</v>
      </c>
    </row>
    <row r="10" spans="1:14" x14ac:dyDescent="0.2">
      <c r="A10" s="10" t="str">
        <f>+'rates, dates, etc'!A288</f>
        <v>Co-PI</v>
      </c>
      <c r="B10" s="586">
        <f>HLOOKUP(B$4,'rates, dates, etc'!B287:H293,7,FALSE)</f>
        <v>0</v>
      </c>
      <c r="C10" s="11">
        <f>HLOOKUP(C$4,'rates, dates, etc'!C287:I293,7,FALSE)</f>
        <v>0</v>
      </c>
      <c r="D10" s="11">
        <f>HLOOKUP(D$4,'rates, dates, etc'!D287:J293,7,FALSE)</f>
        <v>0</v>
      </c>
      <c r="E10" s="11">
        <f>HLOOKUP(E$4,'rates, dates, etc'!E287:K293,7,FALSE)</f>
        <v>0</v>
      </c>
      <c r="F10" s="11">
        <f>HLOOKUP(F$4,'rates, dates, etc'!F287:L293,7,FALSE)</f>
        <v>0</v>
      </c>
      <c r="G10" s="27">
        <f>SUM(B10:F10)</f>
        <v>0</v>
      </c>
    </row>
    <row r="11" spans="1:14" ht="12" thickBot="1" x14ac:dyDescent="0.25">
      <c r="A11" s="15" t="str">
        <f>CONCATENATE("Total ",A7)</f>
        <v>Total Senior Personnel Salary</v>
      </c>
      <c r="B11" s="16">
        <f>SUM(B7:B10)</f>
        <v>0</v>
      </c>
      <c r="C11" s="16">
        <f t="shared" ref="C11:F11" si="2">SUM(C7:C10)</f>
        <v>0</v>
      </c>
      <c r="D11" s="16">
        <f t="shared" si="2"/>
        <v>0</v>
      </c>
      <c r="E11" s="16">
        <f t="shared" si="2"/>
        <v>0</v>
      </c>
      <c r="F11" s="16">
        <f t="shared" si="2"/>
        <v>0</v>
      </c>
      <c r="G11" s="28">
        <f>SUM(G7:G10)</f>
        <v>0</v>
      </c>
    </row>
    <row r="12" spans="1:14" ht="12" thickBot="1" x14ac:dyDescent="0.25">
      <c r="A12" s="14" t="s">
        <v>137</v>
      </c>
      <c r="B12" s="13"/>
      <c r="C12" s="13"/>
      <c r="D12" s="13"/>
      <c r="E12" s="13"/>
      <c r="F12" s="13"/>
      <c r="G12" s="27"/>
      <c r="I12" s="67" t="s">
        <v>86</v>
      </c>
      <c r="J12" s="31" t="str">
        <f>+'rates, dates, etc'!B103</f>
        <v>Year 1</v>
      </c>
      <c r="K12" s="31" t="str">
        <f>+'rates, dates, etc'!C103</f>
        <v>Year 2</v>
      </c>
      <c r="L12" s="31" t="str">
        <f>+'rates, dates, etc'!D103</f>
        <v>Year 3</v>
      </c>
      <c r="M12" s="31" t="str">
        <f>+'rates, dates, etc'!E103</f>
        <v>Year 4</v>
      </c>
      <c r="N12" s="31" t="str">
        <f>+'rates, dates, etc'!F103</f>
        <v>Year 5</v>
      </c>
    </row>
    <row r="13" spans="1:14" x14ac:dyDescent="0.2">
      <c r="A13" s="10" t="str">
        <f>+'rates, dates, etc'!A302</f>
        <v>Post Doctoral Scholar(s)</v>
      </c>
      <c r="B13" s="13">
        <f>HLOOKUP(B$4,'rates, dates, etc'!B301:H306,6,FALSE)</f>
        <v>0</v>
      </c>
      <c r="C13" s="13">
        <f>HLOOKUP(C$4,'rates, dates, etc'!C301:I306,6,FALSE)</f>
        <v>0</v>
      </c>
      <c r="D13" s="13">
        <f>HLOOKUP(D$4,'rates, dates, etc'!D301:J306,6,FALSE)</f>
        <v>0</v>
      </c>
      <c r="E13" s="13">
        <f>HLOOKUP(E$4,'rates, dates, etc'!E301:K306,6,FALSE)</f>
        <v>0</v>
      </c>
      <c r="F13" s="13">
        <f>HLOOKUP(F$4,'rates, dates, etc'!F301:L306,6,FALSE)</f>
        <v>0</v>
      </c>
      <c r="G13" s="27">
        <f>SUM(B13:F13)</f>
        <v>0</v>
      </c>
      <c r="I13" s="36" t="s">
        <v>32</v>
      </c>
      <c r="J13" s="37">
        <f>SUM('rates, dates, etc'!M310:M312)/3</f>
        <v>0</v>
      </c>
      <c r="K13" s="37">
        <f>SUM('rates, dates, etc'!N310:N312)/3</f>
        <v>0</v>
      </c>
      <c r="L13" s="37">
        <f>SUM('rates, dates, etc'!O310:O312)/3</f>
        <v>0</v>
      </c>
      <c r="M13" s="37">
        <f>SUM('rates, dates, etc'!P310:P312)/3</f>
        <v>0</v>
      </c>
      <c r="N13" s="37">
        <f>SUM('rates, dates, etc'!Q310:Q312)/3</f>
        <v>0</v>
      </c>
    </row>
    <row r="14" spans="1:14" x14ac:dyDescent="0.2">
      <c r="A14" s="10" t="str">
        <f>+'rates, dates, etc'!A309</f>
        <v>Other Professional(s) (Technicians, etc)</v>
      </c>
      <c r="B14" s="13">
        <f>HLOOKUP(B$4,'rates, dates, etc'!B308:H313,6,FALSE)</f>
        <v>0</v>
      </c>
      <c r="C14" s="13">
        <f>HLOOKUP(C$4,'rates, dates, etc'!C308:I313,6,FALSE)</f>
        <v>0</v>
      </c>
      <c r="D14" s="13">
        <f>HLOOKUP(D$4,'rates, dates, etc'!D308:J313,6,FALSE)</f>
        <v>0</v>
      </c>
      <c r="E14" s="13">
        <f>HLOOKUP(E$4,'rates, dates, etc'!E308:K313,6,FALSE)</f>
        <v>0</v>
      </c>
      <c r="F14" s="13">
        <f>HLOOKUP(F$4,'rates, dates, etc'!F308:L313,6,FALSE)</f>
        <v>0</v>
      </c>
      <c r="G14" s="27">
        <f>SUM(B14:F14)</f>
        <v>0</v>
      </c>
      <c r="I14" s="10" t="s">
        <v>22</v>
      </c>
      <c r="J14" s="12">
        <f>+'rates, dates, etc'!M316</f>
        <v>0</v>
      </c>
      <c r="K14" s="12">
        <f>+'rates, dates, etc'!N316</f>
        <v>0</v>
      </c>
      <c r="L14" s="12">
        <f>+'rates, dates, etc'!O316</f>
        <v>0</v>
      </c>
      <c r="M14" s="12">
        <f>+'rates, dates, etc'!P316</f>
        <v>0</v>
      </c>
      <c r="N14" s="12">
        <f>+'rates, dates, etc'!Q316</f>
        <v>0</v>
      </c>
    </row>
    <row r="15" spans="1:14" x14ac:dyDescent="0.2">
      <c r="A15" s="10" t="str">
        <f>+'rates, dates, etc'!A315</f>
        <v>Graduate Student(s)</v>
      </c>
      <c r="B15" s="13">
        <f>+J14</f>
        <v>0</v>
      </c>
      <c r="C15" s="13">
        <f t="shared" ref="C15:F15" si="3">+K14</f>
        <v>0</v>
      </c>
      <c r="D15" s="13">
        <f t="shared" si="3"/>
        <v>0</v>
      </c>
      <c r="E15" s="13">
        <f t="shared" si="3"/>
        <v>0</v>
      </c>
      <c r="F15" s="13">
        <f t="shared" si="3"/>
        <v>0</v>
      </c>
      <c r="G15" s="27">
        <f>SUM(B15:F15)</f>
        <v>0</v>
      </c>
      <c r="I15" s="10" t="s">
        <v>8</v>
      </c>
      <c r="J15" s="12">
        <f>+'rates, dates, etc'!M317</f>
        <v>0</v>
      </c>
      <c r="K15" s="12">
        <f>+'rates, dates, etc'!N317</f>
        <v>0</v>
      </c>
      <c r="L15" s="12">
        <f>+'rates, dates, etc'!O317</f>
        <v>0</v>
      </c>
      <c r="M15" s="12">
        <f>+'rates, dates, etc'!P317</f>
        <v>0</v>
      </c>
      <c r="N15" s="12">
        <f>+'rates, dates, etc'!Q317</f>
        <v>0</v>
      </c>
    </row>
    <row r="16" spans="1:14" x14ac:dyDescent="0.2">
      <c r="A16" s="10" t="str">
        <f>+'rates, dates, etc'!A320</f>
        <v>Undergraduate Student(s)</v>
      </c>
      <c r="B16" s="13">
        <f>+'rates, dates, etc'!B328</f>
        <v>0</v>
      </c>
      <c r="C16" s="13">
        <f>+'rates, dates, etc'!C328</f>
        <v>0</v>
      </c>
      <c r="D16" s="13">
        <f>+'rates, dates, etc'!D328</f>
        <v>0</v>
      </c>
      <c r="E16" s="13">
        <f>+'rates, dates, etc'!E328</f>
        <v>0</v>
      </c>
      <c r="F16" s="13">
        <f>+'rates, dates, etc'!F328</f>
        <v>0</v>
      </c>
      <c r="G16" s="27">
        <f t="shared" ref="G16:G18" si="4">SUM(B16:F16)</f>
        <v>0</v>
      </c>
      <c r="I16" s="10" t="s">
        <v>9</v>
      </c>
      <c r="J16" s="12">
        <f>+'rates, dates, etc'!M318</f>
        <v>0</v>
      </c>
      <c r="K16" s="12">
        <f>+'rates, dates, etc'!N318</f>
        <v>0</v>
      </c>
      <c r="L16" s="12">
        <f>+'rates, dates, etc'!O318</f>
        <v>0</v>
      </c>
      <c r="M16" s="12">
        <f>+'rates, dates, etc'!P318</f>
        <v>0</v>
      </c>
      <c r="N16" s="12">
        <f>+'rates, dates, etc'!Q318</f>
        <v>0</v>
      </c>
    </row>
    <row r="17" spans="1:15" ht="12" thickBot="1" x14ac:dyDescent="0.25">
      <c r="A17" s="10" t="str">
        <f>+'rates, dates, etc'!A331</f>
        <v>Other</v>
      </c>
      <c r="B17" s="13">
        <f>HLOOKUP(B$4,'rates, dates, etc'!B330:H335,6,FALSE)</f>
        <v>0</v>
      </c>
      <c r="C17" s="13">
        <f>HLOOKUP(C$4,'rates, dates, etc'!C330:I335,6,FALSE)</f>
        <v>0</v>
      </c>
      <c r="D17" s="13">
        <f>HLOOKUP(D$4,'rates, dates, etc'!D330:J335,6,FALSE)</f>
        <v>0</v>
      </c>
      <c r="E17" s="13">
        <f>HLOOKUP(E$4,'rates, dates, etc'!E330:K335,6,FALSE)</f>
        <v>0</v>
      </c>
      <c r="F17" s="13">
        <f>HLOOKUP(F$4,'rates, dates, etc'!F330:L335,6,FALSE)</f>
        <v>0</v>
      </c>
      <c r="G17" s="27">
        <f t="shared" si="4"/>
        <v>0</v>
      </c>
      <c r="I17" s="35" t="s">
        <v>31</v>
      </c>
      <c r="J17" s="38">
        <f>SUM(J14:J16)</f>
        <v>0</v>
      </c>
      <c r="K17" s="38">
        <f>SUM(K14:K16)</f>
        <v>0</v>
      </c>
      <c r="L17" s="38">
        <f>SUM(L14:L16)</f>
        <v>0</v>
      </c>
      <c r="M17" s="38">
        <f>SUM(M14:M16)</f>
        <v>0</v>
      </c>
      <c r="N17" s="38">
        <f>SUM(N14:N16)</f>
        <v>0</v>
      </c>
    </row>
    <row r="18" spans="1:15" x14ac:dyDescent="0.2">
      <c r="A18" s="10" t="str">
        <f>+'rates, dates, etc'!A338</f>
        <v>Other - Temp Employee (Endowed)</v>
      </c>
      <c r="B18" s="13">
        <f>+'rates, dates, etc'!B341</f>
        <v>0</v>
      </c>
      <c r="C18" s="13">
        <f>+'rates, dates, etc'!C341</f>
        <v>0</v>
      </c>
      <c r="D18" s="13">
        <f>+'rates, dates, etc'!D341</f>
        <v>0</v>
      </c>
      <c r="E18" s="13">
        <f>+'rates, dates, etc'!E341</f>
        <v>0</v>
      </c>
      <c r="F18" s="13">
        <f>+'rates, dates, etc'!F341</f>
        <v>0</v>
      </c>
      <c r="G18" s="27">
        <f t="shared" si="4"/>
        <v>0</v>
      </c>
    </row>
    <row r="19" spans="1:15" ht="12" thickBot="1" x14ac:dyDescent="0.25">
      <c r="A19" s="15" t="str">
        <f>CONCATENATE("Total ",A12)</f>
        <v>Total Other Personnel Salary</v>
      </c>
      <c r="B19" s="16">
        <f>SUM(B12:B18)</f>
        <v>0</v>
      </c>
      <c r="C19" s="16">
        <f>SUM(C12:C18)</f>
        <v>0</v>
      </c>
      <c r="D19" s="16">
        <f t="shared" ref="D19:F19" si="5">SUM(D12:D18)</f>
        <v>0</v>
      </c>
      <c r="E19" s="16">
        <f>SUM(E12:E18)</f>
        <v>0</v>
      </c>
      <c r="F19" s="16">
        <f t="shared" si="5"/>
        <v>0</v>
      </c>
      <c r="G19" s="28">
        <f>SUM(G12:G18)</f>
        <v>0</v>
      </c>
    </row>
    <row r="20" spans="1:15" x14ac:dyDescent="0.2">
      <c r="A20" s="17" t="s">
        <v>7</v>
      </c>
      <c r="B20" s="11" t="s">
        <v>6</v>
      </c>
      <c r="C20" s="11"/>
      <c r="D20" s="11"/>
      <c r="E20" s="11"/>
      <c r="F20" s="11"/>
      <c r="G20" s="27"/>
    </row>
    <row r="21" spans="1:15" x14ac:dyDescent="0.2">
      <c r="A21" s="10" t="str">
        <f>+A8</f>
        <v>Co-PI</v>
      </c>
      <c r="B21" s="11">
        <f>IF('rates, dates, etc'!$I261=9,ROUND((+B8*J$23),0),ROUND((+B8*J$26*$K$35)+(B8*K$26*$K$36),0))</f>
        <v>0</v>
      </c>
      <c r="C21" s="11">
        <f>IF('rates, dates, etc'!$I261=9,ROUND((+C8*K$23),0),ROUND((+C8*K$26*$K$35)+(C8*L$26*$K$36),0))</f>
        <v>0</v>
      </c>
      <c r="D21" s="11">
        <f>IF('rates, dates, etc'!$I261=9,ROUND((+D8*L$23),0),ROUND((+D8*L$26*$K$35)+(D8*M$26*$K$36),0))</f>
        <v>0</v>
      </c>
      <c r="E21" s="11">
        <f>IF('rates, dates, etc'!$I261=9,ROUND((+E8*M$23),0),ROUND((+E8*M$26*$K$35)+(E8*N$26*$K$36),0))</f>
        <v>0</v>
      </c>
      <c r="F21" s="11">
        <f>IF('rates, dates, etc'!$I261=9,ROUND((+F8*N$23),0),ROUND((+F8*N$26*$K$35)+(F8*O$26*$K$36),0))</f>
        <v>0</v>
      </c>
      <c r="G21" s="27">
        <f t="shared" ref="G21:G26" si="6">SUM(B21:F21)</f>
        <v>0</v>
      </c>
      <c r="I21" s="68" t="s">
        <v>33</v>
      </c>
    </row>
    <row r="22" spans="1:15" x14ac:dyDescent="0.2">
      <c r="A22" s="10" t="str">
        <f>+A9</f>
        <v>Co-PI</v>
      </c>
      <c r="B22" s="11">
        <f>IF('rates, dates, etc'!$I275=9,ROUND((+B9*J$23),0),ROUND((+B9*J$26*$K$35)+(B9*K$26*$K$36),0))</f>
        <v>0</v>
      </c>
      <c r="C22" s="11">
        <f>IF('rates, dates, etc'!$I275=9,ROUND((+C9*K$23),0),ROUND((+C9*K$26*$K$35)+(C9*L$26*$K$36),0))</f>
        <v>0</v>
      </c>
      <c r="D22" s="11">
        <f>IF('rates, dates, etc'!$I275=9,ROUND((+D9*L$23),0),ROUND((+D9*L$26*$K$35)+(D9*M$26*$K$36),0))</f>
        <v>0</v>
      </c>
      <c r="E22" s="11">
        <f>IF('rates, dates, etc'!$I275=9,ROUND((+E9*M$23),0),ROUND((+E9*M$26*$K$35)+(E9*N$26*$K$36),0))</f>
        <v>0</v>
      </c>
      <c r="F22" s="11">
        <f>IF('rates, dates, etc'!$I275=9,ROUND((+F9*N$23),0),ROUND((+F9*N$26*$K$35)+(F9*O$26*$K$36),0))</f>
        <v>0</v>
      </c>
      <c r="G22" s="27">
        <f t="shared" si="6"/>
        <v>0</v>
      </c>
      <c r="I22" s="95" t="s">
        <v>121</v>
      </c>
      <c r="J22" s="96" t="str">
        <f>+'rates, dates, etc'!Z5</f>
        <v>FY2024</v>
      </c>
      <c r="K22" s="96" t="str">
        <f>+'rates, dates, etc'!AA5</f>
        <v>FY2025</v>
      </c>
      <c r="L22" s="96" t="str">
        <f>+'rates, dates, etc'!AB5</f>
        <v>FY2026</v>
      </c>
      <c r="M22" s="96" t="str">
        <f>+'rates, dates, etc'!AC5</f>
        <v>FY2027</v>
      </c>
      <c r="N22" s="96" t="str">
        <f>+'rates, dates, etc'!AD5</f>
        <v>FY2028</v>
      </c>
    </row>
    <row r="23" spans="1:15" x14ac:dyDescent="0.2">
      <c r="A23" s="10" t="str">
        <f>+A10</f>
        <v>Co-PI</v>
      </c>
      <c r="B23" s="11">
        <f>IF('rates, dates, etc'!$I289=9,ROUND((+B10*J$23),0),ROUND((+B10*J$26*$K$35)+(B10*K$26*$K$36),0))</f>
        <v>0</v>
      </c>
      <c r="C23" s="11">
        <f>IF('rates, dates, etc'!$I289=9,ROUND((+C10*K$23),0),ROUND((+C10*K$26*$K$35)+(C10*L$26*$K$36),0))</f>
        <v>0</v>
      </c>
      <c r="D23" s="11">
        <f>IF('rates, dates, etc'!$I289=9,ROUND((+D10*L$23),0),ROUND((+D10*L$26*$K$35)+(D10*M$26*$K$36),0))</f>
        <v>0</v>
      </c>
      <c r="E23" s="11">
        <f>IF('rates, dates, etc'!$I289=9,ROUND((+E10*M$23),0),ROUND((+E10*M$26*$K$35)+(E10*N$26*$K$36),0))</f>
        <v>0</v>
      </c>
      <c r="F23" s="11">
        <f>IF('rates, dates, etc'!$I289=9,ROUND((+F10*N$23),0),ROUND((+F10*N$26*$K$35)+(F10*O$26*$K$36),0))</f>
        <v>0</v>
      </c>
      <c r="G23" s="27">
        <f t="shared" si="6"/>
        <v>0</v>
      </c>
      <c r="I23" s="3" t="str">
        <f>+'rates, dates, etc'!A249</f>
        <v xml:space="preserve">   Contract (Federal) - Senior Personnel</v>
      </c>
      <c r="J23" s="31">
        <f>IF('rates, dates, etc'!B248='rates, dates, etc'!Z5,'rates, dates, etc'!B249,'rates, dates, etc'!C249)</f>
        <v>0.68300000000000005</v>
      </c>
      <c r="K23" s="31">
        <f>IF('rates, dates, etc'!C248='rates, dates, etc'!AA5,'rates, dates, etc'!C249,'rates, dates, etc'!D249)</f>
        <v>0.68300000000000005</v>
      </c>
      <c r="L23" s="31">
        <f>IF('rates, dates, etc'!D248='rates, dates, etc'!AB5,'rates, dates, etc'!D249,'rates, dates, etc'!E249)</f>
        <v>0.68300000000000005</v>
      </c>
      <c r="M23" s="31">
        <f>IF('rates, dates, etc'!E248='rates, dates, etc'!AC5,'rates, dates, etc'!E249,'rates, dates, etc'!F249)</f>
        <v>0.68300000000000005</v>
      </c>
      <c r="N23" s="31">
        <f>IF('rates, dates, etc'!F248='rates, dates, etc'!AD5,'rates, dates, etc'!F249,'rates, dates, etc'!G249)</f>
        <v>0.68300000000000005</v>
      </c>
    </row>
    <row r="24" spans="1:15" x14ac:dyDescent="0.2">
      <c r="A24" s="10" t="str">
        <f>+A13</f>
        <v>Post Doctoral Scholar(s)</v>
      </c>
      <c r="B24" s="11">
        <f t="shared" ref="B24:F25" si="7">ROUND((+B13*J27*$K$35)+(B13*K27*$K$36),0)</f>
        <v>0</v>
      </c>
      <c r="C24" s="11">
        <f t="shared" si="7"/>
        <v>0</v>
      </c>
      <c r="D24" s="11">
        <f t="shared" si="7"/>
        <v>0</v>
      </c>
      <c r="E24" s="11">
        <f t="shared" si="7"/>
        <v>0</v>
      </c>
      <c r="F24" s="11">
        <f t="shared" si="7"/>
        <v>0</v>
      </c>
      <c r="G24" s="27">
        <f t="shared" si="6"/>
        <v>0</v>
      </c>
      <c r="J24" s="2"/>
      <c r="K24" s="2"/>
    </row>
    <row r="25" spans="1:15" x14ac:dyDescent="0.2">
      <c r="A25" s="10" t="str">
        <f>+A14</f>
        <v>Other Professional(s) (Technicians, etc)</v>
      </c>
      <c r="B25" s="11">
        <f t="shared" si="7"/>
        <v>0</v>
      </c>
      <c r="C25" s="11">
        <f t="shared" si="7"/>
        <v>0</v>
      </c>
      <c r="D25" s="11">
        <f t="shared" si="7"/>
        <v>0</v>
      </c>
      <c r="E25" s="11">
        <f t="shared" si="7"/>
        <v>0</v>
      </c>
      <c r="F25" s="11">
        <f t="shared" si="7"/>
        <v>0</v>
      </c>
      <c r="G25" s="27">
        <f t="shared" si="6"/>
        <v>0</v>
      </c>
      <c r="I25" s="95" t="s">
        <v>122</v>
      </c>
      <c r="J25" s="69" t="str">
        <f>+'rates, dates, etc'!Z4</f>
        <v>FY2023</v>
      </c>
      <c r="K25" s="69" t="str">
        <f>+'rates, dates, etc'!AA4</f>
        <v>FY2024</v>
      </c>
      <c r="L25" s="69" t="str">
        <f>+'rates, dates, etc'!AB4</f>
        <v>FY2025</v>
      </c>
      <c r="M25" s="69" t="str">
        <f>+'rates, dates, etc'!AC4</f>
        <v>FY2026</v>
      </c>
      <c r="N25" s="69" t="str">
        <f>+'rates, dates, etc'!AD4</f>
        <v>FY2027</v>
      </c>
      <c r="O25" s="69" t="str">
        <f>+'rates, dates, etc'!AE4</f>
        <v>FY2028</v>
      </c>
    </row>
    <row r="26" spans="1:15" x14ac:dyDescent="0.2">
      <c r="A26" s="10" t="str">
        <f>+A17</f>
        <v>Other</v>
      </c>
      <c r="B26" s="11">
        <f>IF('rates, dates, etc'!$I331=9,ROUND((+B17*J$23),0),ROUND((+B17*J$28*$K$35)+(B17*K$28*$K$36),0))</f>
        <v>0</v>
      </c>
      <c r="C26" s="11">
        <f>IF('rates, dates, etc'!$I331=9,ROUND((+C17*K$23),0),ROUND((+C17*K$28*$K$35)+(C17*L$28*$K$36),0))</f>
        <v>0</v>
      </c>
      <c r="D26" s="11">
        <f>IF('rates, dates, etc'!$I331=9,ROUND((+D17*L$23),0),ROUND((+D17*L$28*$K$35)+(D17*M$28*$K$36),0))</f>
        <v>0</v>
      </c>
      <c r="E26" s="11">
        <f>IF('rates, dates, etc'!$I331=9,ROUND((+E17*M$23),0),ROUND((+E17*M$28*$K$35)+(E17*N$28*$K$36),0))</f>
        <v>0</v>
      </c>
      <c r="F26" s="11">
        <f>IF('rates, dates, etc'!$I331=9,ROUND((+F17*N$23),0),ROUND((+F17*N$28*$K$35)+(F17*O$28*$K$36),0))</f>
        <v>0</v>
      </c>
      <c r="G26" s="27">
        <f t="shared" si="6"/>
        <v>0</v>
      </c>
      <c r="I26" s="3" t="str">
        <f>+'rates, dates, etc'!A249</f>
        <v xml:space="preserve">   Contract (Federal) - Senior Personnel</v>
      </c>
      <c r="J26" s="136">
        <f>+'rates, dates, etc'!B249</f>
        <v>0.68300000000000005</v>
      </c>
      <c r="K26" s="136">
        <f>+'rates, dates, etc'!C249</f>
        <v>0.68300000000000005</v>
      </c>
      <c r="L26" s="136">
        <f>+'rates, dates, etc'!D249</f>
        <v>0.68300000000000005</v>
      </c>
      <c r="M26" s="136">
        <f>+'rates, dates, etc'!E249</f>
        <v>0.68300000000000005</v>
      </c>
      <c r="N26" s="136">
        <f>+'rates, dates, etc'!F249</f>
        <v>0.68300000000000005</v>
      </c>
      <c r="O26" s="136">
        <f>+'rates, dates, etc'!G249</f>
        <v>0.68300000000000005</v>
      </c>
    </row>
    <row r="27" spans="1:15" x14ac:dyDescent="0.2">
      <c r="A27" s="10" t="str">
        <f>+A18</f>
        <v>Other - Temp Employee (Endowed)</v>
      </c>
      <c r="B27" s="11">
        <f>ROUND((+B18*J$29*$K$35)+(B18*K$29*$K$36),0)</f>
        <v>0</v>
      </c>
      <c r="C27" s="11">
        <f t="shared" ref="C27:F27" si="8">ROUND((+C18*K$29*$K$35)+(C18*L$29*$K$36),0)</f>
        <v>0</v>
      </c>
      <c r="D27" s="11">
        <f t="shared" si="8"/>
        <v>0</v>
      </c>
      <c r="E27" s="11">
        <f t="shared" si="8"/>
        <v>0</v>
      </c>
      <c r="F27" s="11">
        <f t="shared" si="8"/>
        <v>0</v>
      </c>
      <c r="G27" s="27">
        <f t="shared" ref="G27" si="9">SUM(B27:F27)</f>
        <v>0</v>
      </c>
      <c r="I27" s="3" t="str">
        <f>+'rates, dates, etc'!A250</f>
        <v xml:space="preserve">   Contract (Federal) - Post Doc</v>
      </c>
      <c r="J27" s="2">
        <f>+'rates, dates, etc'!B250</f>
        <v>0.68300000000000005</v>
      </c>
      <c r="K27" s="2">
        <f>+'rates, dates, etc'!C250</f>
        <v>0.68300000000000005</v>
      </c>
      <c r="L27" s="2">
        <f>+'rates, dates, etc'!D250</f>
        <v>0.68300000000000005</v>
      </c>
      <c r="M27" s="2">
        <f>+'rates, dates, etc'!E250</f>
        <v>0.68300000000000005</v>
      </c>
      <c r="N27" s="2">
        <f>+'rates, dates, etc'!F250</f>
        <v>0.68300000000000005</v>
      </c>
      <c r="O27" s="2">
        <f>+'rates, dates, etc'!G250</f>
        <v>0.68300000000000005</v>
      </c>
    </row>
    <row r="28" spans="1:15" ht="12" thickBot="1" x14ac:dyDescent="0.25">
      <c r="A28" s="15" t="str">
        <f>CONCATENATE("Total ",A20)</f>
        <v>Total Fringe Benefits</v>
      </c>
      <c r="B28" s="16">
        <f>SUM(B20:B27)</f>
        <v>0</v>
      </c>
      <c r="C28" s="16">
        <f t="shared" ref="C28:F28" si="10">SUM(C20:C27)</f>
        <v>0</v>
      </c>
      <c r="D28" s="16">
        <f t="shared" si="10"/>
        <v>0</v>
      </c>
      <c r="E28" s="16">
        <f t="shared" si="10"/>
        <v>0</v>
      </c>
      <c r="F28" s="16">
        <f t="shared" si="10"/>
        <v>0</v>
      </c>
      <c r="G28" s="28">
        <f>SUM(G20:G27)</f>
        <v>0</v>
      </c>
      <c r="I28" s="3" t="str">
        <f>+'rates, dates, etc'!A251</f>
        <v xml:space="preserve">   Contract (Federal) - Other Employee</v>
      </c>
      <c r="J28" s="2">
        <f>+'rates, dates, etc'!B251</f>
        <v>0.68300000000000005</v>
      </c>
      <c r="K28" s="2">
        <f>+'rates, dates, etc'!C251</f>
        <v>0.68300000000000005</v>
      </c>
      <c r="L28" s="2">
        <f>+'rates, dates, etc'!D251</f>
        <v>0.68300000000000005</v>
      </c>
      <c r="M28" s="2">
        <f>+'rates, dates, etc'!E251</f>
        <v>0.68300000000000005</v>
      </c>
      <c r="N28" s="2">
        <f>+'rates, dates, etc'!F251</f>
        <v>0.68300000000000005</v>
      </c>
      <c r="O28" s="2">
        <f>+'rates, dates, etc'!G251</f>
        <v>0.68300000000000005</v>
      </c>
    </row>
    <row r="29" spans="1:15" ht="12" thickBot="1" x14ac:dyDescent="0.25">
      <c r="A29" s="143" t="s">
        <v>131</v>
      </c>
      <c r="B29" s="144">
        <f>+B11+B19+B28</f>
        <v>0</v>
      </c>
      <c r="C29" s="144">
        <f t="shared" ref="C29:F29" si="11">+C11+C19+C28</f>
        <v>0</v>
      </c>
      <c r="D29" s="144">
        <f t="shared" si="11"/>
        <v>0</v>
      </c>
      <c r="E29" s="144">
        <f t="shared" si="11"/>
        <v>0</v>
      </c>
      <c r="F29" s="144">
        <f t="shared" si="11"/>
        <v>0</v>
      </c>
      <c r="G29" s="145">
        <f>SUM(B29:F29)</f>
        <v>0</v>
      </c>
      <c r="I29" s="3" t="str">
        <f>+'rates, dates, etc'!A146</f>
        <v xml:space="preserve">   Temp Employee</v>
      </c>
      <c r="J29" s="2">
        <f>+'rates, dates, etc'!B252</f>
        <v>0.1</v>
      </c>
      <c r="K29" s="2">
        <f>+'rates, dates, etc'!C252</f>
        <v>0.1</v>
      </c>
      <c r="L29" s="2">
        <f>+'rates, dates, etc'!D252</f>
        <v>0.1</v>
      </c>
      <c r="M29" s="2">
        <f>+'rates, dates, etc'!E252</f>
        <v>0.1</v>
      </c>
      <c r="N29" s="2">
        <f>+'rates, dates, etc'!F252</f>
        <v>0.1</v>
      </c>
      <c r="O29" s="2">
        <f>+'rates, dates, etc'!G252</f>
        <v>0.1</v>
      </c>
    </row>
    <row r="30" spans="1:15" x14ac:dyDescent="0.2">
      <c r="A30" s="17" t="s">
        <v>25</v>
      </c>
      <c r="B30" s="11"/>
      <c r="C30" s="11"/>
      <c r="D30" s="11"/>
      <c r="E30" s="11"/>
      <c r="F30" s="11"/>
      <c r="G30" s="27"/>
    </row>
    <row r="31" spans="1:15" x14ac:dyDescent="0.2">
      <c r="A31" s="10" t="s">
        <v>66</v>
      </c>
      <c r="B31" s="11"/>
      <c r="C31" s="11"/>
      <c r="D31" s="11"/>
      <c r="E31" s="11"/>
      <c r="F31" s="11"/>
      <c r="G31" s="27">
        <f>SUM(B31:F31)</f>
        <v>0</v>
      </c>
      <c r="I31" s="95" t="str">
        <f>+'rates, dates, etc'!A42</f>
        <v>Rate Allowed by Sponsor:</v>
      </c>
      <c r="J31" s="2">
        <f>+'rates, dates, etc'!B42</f>
        <v>0.2</v>
      </c>
      <c r="K31" s="2">
        <f>+'rates, dates, etc'!C42</f>
        <v>0.2</v>
      </c>
      <c r="L31" s="2">
        <f>+'rates, dates, etc'!D42</f>
        <v>0.2</v>
      </c>
      <c r="M31" s="2">
        <f>+'rates, dates, etc'!E42</f>
        <v>0.2</v>
      </c>
      <c r="N31" s="2">
        <f>+'rates, dates, etc'!F42</f>
        <v>0.2</v>
      </c>
      <c r="O31" s="2">
        <f>+'rates, dates, etc'!G42</f>
        <v>0.2</v>
      </c>
    </row>
    <row r="32" spans="1:15" x14ac:dyDescent="0.2">
      <c r="A32" s="10"/>
      <c r="B32" s="11"/>
      <c r="C32" s="11"/>
      <c r="D32" s="11"/>
      <c r="E32" s="11"/>
      <c r="F32" s="11"/>
      <c r="G32" s="27">
        <f>SUM(B32:F32)</f>
        <v>0</v>
      </c>
      <c r="I32" s="95" t="str">
        <f>+'rates, dates, etc'!A253</f>
        <v>Cornell IDC Rate - Contract College</v>
      </c>
      <c r="J32" s="2">
        <f>+'rates, dates, etc'!B253</f>
        <v>0.56999999999999995</v>
      </c>
      <c r="K32" s="2">
        <f>+'rates, dates, etc'!C253</f>
        <v>0.56999999999999995</v>
      </c>
      <c r="L32" s="2">
        <f>+'rates, dates, etc'!D253</f>
        <v>0.56999999999999995</v>
      </c>
      <c r="M32" s="2">
        <f>+'rates, dates, etc'!E253</f>
        <v>0.56999999999999995</v>
      </c>
      <c r="N32" s="2">
        <f>+'rates, dates, etc'!F253</f>
        <v>0.56999999999999995</v>
      </c>
      <c r="O32" s="2">
        <f>+'rates, dates, etc'!G253</f>
        <v>0.56999999999999995</v>
      </c>
    </row>
    <row r="33" spans="1:15" ht="12" thickBot="1" x14ac:dyDescent="0.25">
      <c r="A33" s="15" t="str">
        <f>CONCATENATE("Total ",A30)</f>
        <v>Total Equipment</v>
      </c>
      <c r="B33" s="16">
        <f>SUM(B30:B32)</f>
        <v>0</v>
      </c>
      <c r="C33" s="16">
        <f>SUM(C30:C32)</f>
        <v>0</v>
      </c>
      <c r="D33" s="16">
        <f t="shared" ref="D33:F33" si="12">SUM(D30:D32)</f>
        <v>0</v>
      </c>
      <c r="E33" s="16">
        <f t="shared" si="12"/>
        <v>0</v>
      </c>
      <c r="F33" s="16">
        <f t="shared" si="12"/>
        <v>0</v>
      </c>
      <c r="G33" s="28">
        <f>SUM(G30:G32)</f>
        <v>0</v>
      </c>
      <c r="N33" s="13"/>
      <c r="O33" s="13"/>
    </row>
    <row r="34" spans="1:15" x14ac:dyDescent="0.2">
      <c r="A34" s="17" t="s">
        <v>34</v>
      </c>
      <c r="B34" s="11"/>
      <c r="C34" s="11"/>
      <c r="D34" s="11"/>
      <c r="E34" s="11"/>
      <c r="F34" s="11"/>
      <c r="G34" s="27"/>
      <c r="I34" s="71" t="str">
        <f>+'rates, dates, etc'!L39</f>
        <v>Pro-rating factor for 12 month appts.:</v>
      </c>
      <c r="J34" s="31" t="s">
        <v>36</v>
      </c>
      <c r="K34" s="31" t="s">
        <v>56</v>
      </c>
      <c r="N34" s="13"/>
      <c r="O34" s="13"/>
    </row>
    <row r="35" spans="1:15" x14ac:dyDescent="0.2">
      <c r="A35" s="10" t="s">
        <v>10</v>
      </c>
      <c r="B35" s="11"/>
      <c r="C35" s="11"/>
      <c r="D35" s="11"/>
      <c r="E35" s="11"/>
      <c r="F35" s="11"/>
      <c r="G35" s="27">
        <f>SUM(B35:F35)</f>
        <v>0</v>
      </c>
      <c r="I35" s="72" t="s">
        <v>51</v>
      </c>
      <c r="J35" s="68">
        <f>+'rates, dates, etc'!M41</f>
        <v>6</v>
      </c>
      <c r="K35" s="68">
        <f>+'rates, dates, etc'!N41</f>
        <v>0.5</v>
      </c>
      <c r="N35" s="13"/>
      <c r="O35" s="13"/>
    </row>
    <row r="36" spans="1:15" x14ac:dyDescent="0.2">
      <c r="A36" s="10" t="s">
        <v>11</v>
      </c>
      <c r="B36" s="11"/>
      <c r="C36" s="11"/>
      <c r="D36" s="11"/>
      <c r="E36" s="11"/>
      <c r="F36" s="11"/>
      <c r="G36" s="27">
        <f>SUM(B36:F36)</f>
        <v>0</v>
      </c>
      <c r="I36" s="72" t="s">
        <v>52</v>
      </c>
      <c r="J36" s="68">
        <f>+'rates, dates, etc'!M42</f>
        <v>6</v>
      </c>
      <c r="K36" s="68">
        <f>+'rates, dates, etc'!N42</f>
        <v>0.5</v>
      </c>
    </row>
    <row r="37" spans="1:15" ht="12" thickBot="1" x14ac:dyDescent="0.25">
      <c r="A37" s="15" t="str">
        <f>CONCATENATE("Total ",A34)</f>
        <v>Total Travel</v>
      </c>
      <c r="B37" s="16">
        <f>SUM(B34:B36)</f>
        <v>0</v>
      </c>
      <c r="C37" s="16">
        <f>SUM(C34:C36)</f>
        <v>0</v>
      </c>
      <c r="D37" s="16">
        <f t="shared" ref="D37:F37" si="13">SUM(D34:D36)</f>
        <v>0</v>
      </c>
      <c r="E37" s="16">
        <f t="shared" si="13"/>
        <v>0</v>
      </c>
      <c r="F37" s="16">
        <f t="shared" si="13"/>
        <v>0</v>
      </c>
      <c r="G37" s="28">
        <f>SUM(G34:G36)</f>
        <v>0</v>
      </c>
      <c r="I37" s="70"/>
      <c r="J37" s="73">
        <f>SUM(J35:J36)</f>
        <v>12</v>
      </c>
      <c r="K37" s="2" t="s">
        <v>97</v>
      </c>
    </row>
    <row r="38" spans="1:15" x14ac:dyDescent="0.2">
      <c r="A38" s="17" t="s">
        <v>27</v>
      </c>
      <c r="B38" s="11"/>
      <c r="C38" s="11"/>
      <c r="D38" s="11"/>
      <c r="E38" s="11"/>
      <c r="F38" s="11"/>
      <c r="G38" s="27"/>
      <c r="I38" s="2"/>
      <c r="J38" s="2"/>
      <c r="K38" s="2"/>
    </row>
    <row r="39" spans="1:15" x14ac:dyDescent="0.2">
      <c r="A39" s="10" t="s">
        <v>91</v>
      </c>
      <c r="B39" s="11"/>
      <c r="C39" s="11"/>
      <c r="D39" s="11"/>
      <c r="E39" s="11"/>
      <c r="F39" s="11"/>
      <c r="G39" s="27">
        <f>SUM(B39:F39)</f>
        <v>0</v>
      </c>
      <c r="I39" s="2"/>
      <c r="J39" s="2"/>
      <c r="K39" s="2"/>
    </row>
    <row r="40" spans="1:15" x14ac:dyDescent="0.2">
      <c r="A40" s="10" t="s">
        <v>47</v>
      </c>
      <c r="B40" s="11"/>
      <c r="C40" s="11"/>
      <c r="D40" s="11"/>
      <c r="E40" s="11"/>
      <c r="F40" s="11"/>
      <c r="G40" s="27">
        <f t="shared" ref="G40:G42" si="14">SUM(B40:F40)</f>
        <v>0</v>
      </c>
      <c r="I40" s="2"/>
      <c r="J40" s="2"/>
      <c r="K40" s="2"/>
    </row>
    <row r="41" spans="1:15" x14ac:dyDescent="0.2">
      <c r="A41" s="10" t="s">
        <v>34</v>
      </c>
      <c r="B41" s="11"/>
      <c r="C41" s="11"/>
      <c r="D41" s="11"/>
      <c r="E41" s="11"/>
      <c r="F41" s="11"/>
      <c r="G41" s="27">
        <f t="shared" si="14"/>
        <v>0</v>
      </c>
      <c r="K41" s="2"/>
    </row>
    <row r="42" spans="1:15" x14ac:dyDescent="0.2">
      <c r="A42" s="10" t="s">
        <v>48</v>
      </c>
      <c r="B42" s="11"/>
      <c r="C42" s="11"/>
      <c r="D42" s="11"/>
      <c r="E42" s="11"/>
      <c r="F42" s="11"/>
      <c r="G42" s="27">
        <f t="shared" si="14"/>
        <v>0</v>
      </c>
    </row>
    <row r="43" spans="1:15" x14ac:dyDescent="0.2">
      <c r="A43" s="10" t="s">
        <v>29</v>
      </c>
      <c r="B43" s="11"/>
      <c r="C43" s="11"/>
      <c r="D43" s="11"/>
      <c r="E43" s="11"/>
      <c r="F43" s="11"/>
      <c r="G43" s="27">
        <f>SUM(B43:F43)</f>
        <v>0</v>
      </c>
    </row>
    <row r="44" spans="1:15" ht="12" thickBot="1" x14ac:dyDescent="0.25">
      <c r="A44" s="15" t="str">
        <f>CONCATENATE("Total ",A38)</f>
        <v>Total Participant Support Costs</v>
      </c>
      <c r="B44" s="16">
        <f>SUM(B38:B43)</f>
        <v>0</v>
      </c>
      <c r="C44" s="16">
        <f>SUM(C38:C43)</f>
        <v>0</v>
      </c>
      <c r="D44" s="16">
        <f t="shared" ref="D44:F44" si="15">SUM(D38:D43)</f>
        <v>0</v>
      </c>
      <c r="E44" s="16">
        <f t="shared" si="15"/>
        <v>0</v>
      </c>
      <c r="F44" s="16">
        <f t="shared" si="15"/>
        <v>0</v>
      </c>
      <c r="G44" s="28">
        <f>SUM(G38:G43)</f>
        <v>0</v>
      </c>
    </row>
    <row r="45" spans="1:15" x14ac:dyDescent="0.2">
      <c r="A45" s="17" t="s">
        <v>13</v>
      </c>
      <c r="B45" s="11"/>
      <c r="C45" s="11"/>
      <c r="D45" s="11"/>
      <c r="E45" s="11"/>
      <c r="F45" s="11"/>
      <c r="G45" s="27"/>
    </row>
    <row r="46" spans="1:15" x14ac:dyDescent="0.2">
      <c r="A46" s="10" t="str">
        <f>+'Lead Budget'!A46</f>
        <v>Materials &amp; Supplies</v>
      </c>
      <c r="B46" s="18"/>
      <c r="C46" s="18"/>
      <c r="D46" s="18"/>
      <c r="E46" s="18"/>
      <c r="F46" s="18"/>
      <c r="G46" s="27">
        <f t="shared" ref="G46:G54" si="16">SUM(B46:F46)</f>
        <v>0</v>
      </c>
    </row>
    <row r="47" spans="1:15" x14ac:dyDescent="0.2">
      <c r="A47" s="10" t="str">
        <f>+'Lead Budget'!A47</f>
        <v>Publication Costs</v>
      </c>
      <c r="B47" s="18"/>
      <c r="C47" s="18"/>
      <c r="D47" s="18"/>
      <c r="E47" s="18"/>
      <c r="F47" s="18"/>
      <c r="G47" s="27">
        <f t="shared" si="16"/>
        <v>0</v>
      </c>
    </row>
    <row r="48" spans="1:15" x14ac:dyDescent="0.2">
      <c r="A48" s="10" t="str">
        <f>+'Lead Budget'!A48</f>
        <v>Consultant Services</v>
      </c>
      <c r="B48" s="18"/>
      <c r="C48" s="18"/>
      <c r="D48" s="18"/>
      <c r="E48" s="18"/>
      <c r="F48" s="18"/>
      <c r="G48" s="27">
        <f t="shared" si="16"/>
        <v>0</v>
      </c>
    </row>
    <row r="49" spans="1:15" x14ac:dyDescent="0.2">
      <c r="A49" s="10" t="str">
        <f>+'Lead Budget'!A49</f>
        <v>ADP/Computer Services</v>
      </c>
      <c r="B49" s="18"/>
      <c r="C49" s="18"/>
      <c r="D49" s="18"/>
      <c r="E49" s="18"/>
      <c r="F49" s="18"/>
      <c r="G49" s="27">
        <f t="shared" si="16"/>
        <v>0</v>
      </c>
    </row>
    <row r="50" spans="1:15" x14ac:dyDescent="0.2">
      <c r="A50" s="10" t="str">
        <f>+'Lead Budget'!A50</f>
        <v xml:space="preserve">SubContracts </v>
      </c>
      <c r="B50" s="18"/>
      <c r="C50" s="18"/>
      <c r="D50" s="18"/>
      <c r="E50" s="18"/>
      <c r="F50" s="18"/>
      <c r="G50" s="27">
        <f t="shared" si="16"/>
        <v>0</v>
      </c>
    </row>
    <row r="51" spans="1:15" x14ac:dyDescent="0.2">
      <c r="A51" s="10" t="str">
        <f>+'Lead Budget'!A51</f>
        <v xml:space="preserve">Equipment or Facility Rental/User Fees </v>
      </c>
      <c r="B51" s="18"/>
      <c r="C51" s="18"/>
      <c r="D51" s="18"/>
      <c r="E51" s="18"/>
      <c r="F51" s="18"/>
      <c r="G51" s="27">
        <f t="shared" si="16"/>
        <v>0</v>
      </c>
    </row>
    <row r="52" spans="1:15" x14ac:dyDescent="0.2">
      <c r="A52" s="10" t="str">
        <f>+'Lead Budget'!A52</f>
        <v>Other: Tuition</v>
      </c>
      <c r="B52" s="18">
        <f>+J15</f>
        <v>0</v>
      </c>
      <c r="C52" s="18">
        <f t="shared" ref="C52:F52" si="17">+K15</f>
        <v>0</v>
      </c>
      <c r="D52" s="18">
        <f t="shared" si="17"/>
        <v>0</v>
      </c>
      <c r="E52" s="18">
        <f t="shared" si="17"/>
        <v>0</v>
      </c>
      <c r="F52" s="18">
        <f t="shared" si="17"/>
        <v>0</v>
      </c>
      <c r="G52" s="27">
        <f t="shared" si="16"/>
        <v>0</v>
      </c>
    </row>
    <row r="53" spans="1:15" x14ac:dyDescent="0.2">
      <c r="A53" s="10" t="str">
        <f>+'Lead Budget'!A53</f>
        <v>Other: Health Insurance</v>
      </c>
      <c r="B53" s="18">
        <f>+J16</f>
        <v>0</v>
      </c>
      <c r="C53" s="18">
        <f t="shared" ref="C53:F53" si="18">+K16</f>
        <v>0</v>
      </c>
      <c r="D53" s="18">
        <f t="shared" si="18"/>
        <v>0</v>
      </c>
      <c r="E53" s="18">
        <f t="shared" si="18"/>
        <v>0</v>
      </c>
      <c r="F53" s="18">
        <f t="shared" si="18"/>
        <v>0</v>
      </c>
      <c r="G53" s="27">
        <f t="shared" si="16"/>
        <v>0</v>
      </c>
    </row>
    <row r="54" spans="1:15" x14ac:dyDescent="0.2">
      <c r="A54" s="10" t="str">
        <f>+'Lead Budget'!A54</f>
        <v>Other</v>
      </c>
      <c r="B54" s="18"/>
      <c r="C54" s="18"/>
      <c r="D54" s="18"/>
      <c r="E54" s="18"/>
      <c r="F54" s="18"/>
      <c r="G54" s="27">
        <f t="shared" si="16"/>
        <v>0</v>
      </c>
      <c r="K54" s="2"/>
      <c r="N54" s="13"/>
      <c r="O54" s="13"/>
    </row>
    <row r="55" spans="1:15" ht="12" thickBot="1" x14ac:dyDescent="0.25">
      <c r="A55" s="15" t="str">
        <f>CONCATENATE("Total ",A45)</f>
        <v>Total Other Direct Costs</v>
      </c>
      <c r="B55" s="28">
        <f t="shared" ref="B55:G55" si="19">SUM(B45:B54)</f>
        <v>0</v>
      </c>
      <c r="C55" s="16">
        <f t="shared" si="19"/>
        <v>0</v>
      </c>
      <c r="D55" s="16">
        <f t="shared" si="19"/>
        <v>0</v>
      </c>
      <c r="E55" s="16">
        <f t="shared" si="19"/>
        <v>0</v>
      </c>
      <c r="F55" s="16">
        <f t="shared" si="19"/>
        <v>0</v>
      </c>
      <c r="G55" s="28">
        <f t="shared" si="19"/>
        <v>0</v>
      </c>
      <c r="N55" s="13"/>
      <c r="O55" s="13"/>
    </row>
    <row r="56" spans="1:15" ht="12" thickBot="1" x14ac:dyDescent="0.25">
      <c r="A56" s="99" t="s">
        <v>16</v>
      </c>
      <c r="B56" s="137">
        <f t="shared" ref="B56:G56" si="20">SUM(+B11+B19+B28+B33+B37+B44+B55)</f>
        <v>0</v>
      </c>
      <c r="C56" s="137">
        <f t="shared" si="20"/>
        <v>0</v>
      </c>
      <c r="D56" s="137">
        <f t="shared" si="20"/>
        <v>0</v>
      </c>
      <c r="E56" s="137">
        <f t="shared" si="20"/>
        <v>0</v>
      </c>
      <c r="F56" s="137">
        <f t="shared" si="20"/>
        <v>0</v>
      </c>
      <c r="G56" s="138">
        <f t="shared" si="20"/>
        <v>0</v>
      </c>
      <c r="N56" s="13"/>
      <c r="O56" s="13"/>
    </row>
    <row r="57" spans="1:15" ht="12" thickBot="1" x14ac:dyDescent="0.25">
      <c r="A57" s="7" t="s">
        <v>17</v>
      </c>
      <c r="B57" s="21">
        <f>+B56-(+J15+J16+B44+B63+B33)</f>
        <v>0</v>
      </c>
      <c r="C57" s="21">
        <f>+C56-(+K15+K16+C44+C63+C33)</f>
        <v>0</v>
      </c>
      <c r="D57" s="21">
        <f>+D56-(+L15+L16+D44+D63+D33)</f>
        <v>0</v>
      </c>
      <c r="E57" s="21">
        <f>+E56-(+M15+M16+E44+E63+E33)</f>
        <v>0</v>
      </c>
      <c r="F57" s="21">
        <f>+F56-(+N15+N16+F44+F63+F33)</f>
        <v>0</v>
      </c>
      <c r="G57" s="20">
        <f>SUM(B57:F57)</f>
        <v>0</v>
      </c>
      <c r="H57" s="117"/>
      <c r="N57" s="13"/>
      <c r="O57" s="13"/>
    </row>
    <row r="58" spans="1:15" ht="12" thickBot="1" x14ac:dyDescent="0.25">
      <c r="A58" s="108" t="s">
        <v>18</v>
      </c>
      <c r="B58" s="139">
        <f>IF(AND('rates, dates, etc'!$B$11="no",'Budget Summary'!$G$102&lt;'Budget Summary'!$G$103),B65,B66)</f>
        <v>0</v>
      </c>
      <c r="C58" s="139">
        <f>IF(AND('rates, dates, etc'!$B$11="no",'Budget Summary'!$G$102&lt;'Budget Summary'!$G$103),C65,C66)</f>
        <v>0</v>
      </c>
      <c r="D58" s="139">
        <f>IF(AND('rates, dates, etc'!$B$11="no",'Budget Summary'!$G$102&lt;'Budget Summary'!$G$103),D65,D66)</f>
        <v>0</v>
      </c>
      <c r="E58" s="139">
        <f>IF(AND('rates, dates, etc'!$B$11="no",'Budget Summary'!$G$102&lt;'Budget Summary'!$G$103),E65,E66)</f>
        <v>0</v>
      </c>
      <c r="F58" s="139">
        <f>IF(AND('rates, dates, etc'!$B$11="no",'Budget Summary'!$G$102&lt;'Budget Summary'!$G$103),F65,F66)</f>
        <v>0</v>
      </c>
      <c r="G58" s="140">
        <f>SUM(B58:F58)</f>
        <v>0</v>
      </c>
      <c r="H58" s="116"/>
      <c r="N58" s="13"/>
      <c r="O58" s="13"/>
    </row>
    <row r="59" spans="1:15" ht="12" thickBot="1" x14ac:dyDescent="0.25">
      <c r="A59" s="109" t="s">
        <v>19</v>
      </c>
      <c r="B59" s="141">
        <f>+B56+B58</f>
        <v>0</v>
      </c>
      <c r="C59" s="141">
        <f t="shared" ref="C59:F59" si="21">+C56+C58</f>
        <v>0</v>
      </c>
      <c r="D59" s="141">
        <f t="shared" si="21"/>
        <v>0</v>
      </c>
      <c r="E59" s="141">
        <f t="shared" si="21"/>
        <v>0</v>
      </c>
      <c r="F59" s="141">
        <f t="shared" si="21"/>
        <v>0</v>
      </c>
      <c r="G59" s="142">
        <f>SUM(B59:F59)</f>
        <v>0</v>
      </c>
      <c r="L59" s="12"/>
      <c r="N59" s="13"/>
      <c r="O59" s="13"/>
    </row>
    <row r="60" spans="1:15" x14ac:dyDescent="0.2">
      <c r="A60" s="22"/>
      <c r="B60" s="12"/>
      <c r="C60" s="12"/>
      <c r="D60" s="12"/>
      <c r="E60" s="12"/>
      <c r="F60" s="12"/>
      <c r="L60" s="12"/>
      <c r="N60" s="13"/>
      <c r="O60" s="13"/>
    </row>
    <row r="61" spans="1:15" x14ac:dyDescent="0.2">
      <c r="A61" s="22"/>
      <c r="B61" s="12"/>
      <c r="C61" s="12"/>
      <c r="D61" s="12"/>
      <c r="E61" s="12"/>
      <c r="F61" s="12"/>
      <c r="K61" s="39"/>
      <c r="L61" s="39"/>
      <c r="M61" s="39"/>
      <c r="N61" s="13"/>
      <c r="O61" s="13"/>
    </row>
    <row r="62" spans="1:15" ht="12" thickBot="1" x14ac:dyDescent="0.25">
      <c r="A62" s="44"/>
      <c r="B62" s="45"/>
      <c r="C62" s="45"/>
      <c r="D62" s="45"/>
      <c r="E62" s="45"/>
      <c r="F62" s="45"/>
      <c r="G62" s="45"/>
    </row>
    <row r="63" spans="1:15" ht="12" thickBot="1" x14ac:dyDescent="0.25">
      <c r="A63" s="41" t="s">
        <v>45</v>
      </c>
      <c r="B63" s="42">
        <f>+B50-IF(B50&lt;25000,B50,25000)</f>
        <v>0</v>
      </c>
      <c r="C63" s="42">
        <f>+C50-IF(+B50&gt;25000,0,IF(B50+C50&gt;25000,(25000-B50),C50))</f>
        <v>0</v>
      </c>
      <c r="D63" s="42">
        <f>+D50-IF(+B50+C50&gt;25000,0,IF(B50+C50+D50&gt;25000,(25000-(B50+C50)),D50))</f>
        <v>0</v>
      </c>
      <c r="E63" s="42">
        <f>+E50-IF(B50+C50+D50&gt;25000,0,IF(B50+C50+D50+E50&gt;25000,(25000-(C50+C50+D50)),E50))</f>
        <v>0</v>
      </c>
      <c r="F63" s="42">
        <f>+F50-IF(B50+C50+D50+E50&gt;25000,0,IF(B50+C50+D50+E50+F50&gt;25000,(25000-(B50+C50+D50+E50)),F50))</f>
        <v>0</v>
      </c>
      <c r="G63" s="43">
        <f>SUM(B63:F63)</f>
        <v>0</v>
      </c>
    </row>
    <row r="64" spans="1:15" ht="12" thickBot="1" x14ac:dyDescent="0.25">
      <c r="A64" s="44"/>
      <c r="B64" s="45"/>
      <c r="C64" s="45"/>
      <c r="D64" s="45"/>
      <c r="E64" s="45"/>
      <c r="F64" s="45"/>
      <c r="G64" s="45"/>
    </row>
    <row r="65" spans="1:7" ht="12" thickBot="1" x14ac:dyDescent="0.25">
      <c r="A65" s="101" t="s">
        <v>135</v>
      </c>
      <c r="B65" s="103">
        <f>IF('rates, dates, etc'!$B$11="Yes",0,ROUND((B56*J31*$K$35)+(B56*K31*$K$36),0))</f>
        <v>0</v>
      </c>
      <c r="C65" s="104">
        <f>IF('rates, dates, etc'!$B$11="Yes",0,ROUND((C56*K31*$K$35)+(C56*L31*$K$36),0))</f>
        <v>0</v>
      </c>
      <c r="D65" s="104">
        <f>IF('rates, dates, etc'!$B$11="Yes",0,ROUND((D56*L31*$K$35)+(D56*M31*$K$36),0))</f>
        <v>0</v>
      </c>
      <c r="E65" s="104">
        <f>IF('rates, dates, etc'!$B$11="Yes",0,ROUND((E56*M31*$K$35)+(E56*N31*$K$36),0))</f>
        <v>0</v>
      </c>
      <c r="F65" s="104">
        <f>IF('rates, dates, etc'!$B$11="Yes",0,ROUND((F56*N31*$K$35)+(F56*O31*$K$36),0))</f>
        <v>0</v>
      </c>
      <c r="G65" s="103">
        <f t="shared" ref="G65:G66" si="22">SUM(B65:F65)</f>
        <v>0</v>
      </c>
    </row>
    <row r="66" spans="1:7" ht="12" thickBot="1" x14ac:dyDescent="0.25">
      <c r="A66" s="102" t="s">
        <v>134</v>
      </c>
      <c r="B66" s="103">
        <f>ROUND((B57*J32*$K$35)+(B57*K32*$K$36),0)</f>
        <v>0</v>
      </c>
      <c r="C66" s="104">
        <f>ROUND((C57*K32*$K$35)+(C57*L32*$K$36),0)</f>
        <v>0</v>
      </c>
      <c r="D66" s="104">
        <f>ROUND((D57*L32*$K$35)+(D57*M32*$K$36),0)</f>
        <v>0</v>
      </c>
      <c r="E66" s="104">
        <f>ROUND((E57*M32*$K$35)+(E57*N32*$K$36),0)</f>
        <v>0</v>
      </c>
      <c r="F66" s="104">
        <f>ROUND((F57*N32*$K$35)+(F57*O32*$K$36),0)</f>
        <v>0</v>
      </c>
      <c r="G66" s="103">
        <f t="shared" si="22"/>
        <v>0</v>
      </c>
    </row>
    <row r="69" spans="1:7" x14ac:dyDescent="0.2">
      <c r="B69" s="40"/>
      <c r="C69" s="40"/>
      <c r="D69" s="40"/>
      <c r="E69" s="40"/>
      <c r="F69" s="40"/>
      <c r="G69" s="11"/>
    </row>
    <row r="70" spans="1:7" x14ac:dyDescent="0.2">
      <c r="B70" s="40"/>
      <c r="C70" s="40"/>
      <c r="D70" s="40"/>
      <c r="E70" s="40"/>
      <c r="F70" s="40"/>
      <c r="G70" s="11"/>
    </row>
  </sheetData>
  <pageMargins left="0.75" right="0.53" top="0.7" bottom="0.64" header="0.5" footer="0.5"/>
  <pageSetup scale="95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stopIfTrue="1" id="{14D59ECA-DF59-4E54-988A-31474EB6494E}">
            <xm:f>'rates, dates, etc'!$B$11="Yes"</xm:f>
            <x14:dxf>
              <font>
                <color rgb="FFFF0000"/>
              </font>
            </x14:dxf>
          </x14:cfRule>
          <xm:sqref>A66:G66</xm:sqref>
        </x14:conditionalFormatting>
        <x14:conditionalFormatting xmlns:xm="http://schemas.microsoft.com/office/excel/2006/main">
          <x14:cfRule type="expression" priority="1" stopIfTrue="1" id="{B99C9931-04BC-40C0-9D4F-361CC85E1418}">
            <xm:f>'rates, dates, etc'!$B$11="Yes"</xm:f>
            <x14:dxf/>
          </x14:cfRule>
          <xm:sqref>A65:G65</xm:sqref>
        </x14:conditionalFormatting>
        <x14:conditionalFormatting xmlns:xm="http://schemas.microsoft.com/office/excel/2006/main">
          <x14:cfRule type="expression" priority="97" id="{6BC18B8F-4329-44E5-A746-B2F20C59724A}">
            <xm:f>'Budget Summary'!$G$103&lt;'Budget Summary'!$G$102</xm:f>
            <x14:dxf>
              <font>
                <color rgb="FFFF0000"/>
              </font>
            </x14:dxf>
          </x14:cfRule>
          <xm:sqref>A66:G66</xm:sqref>
        </x14:conditionalFormatting>
        <x14:conditionalFormatting xmlns:xm="http://schemas.microsoft.com/office/excel/2006/main">
          <x14:cfRule type="expression" priority="98" id="{D01B09B6-1765-418D-800D-FBD29CAD2DAA}">
            <xm:f>'Budget Summary'!$G$102&lt;'Budget Summary'!$G$103</xm:f>
            <x14:dxf>
              <font>
                <color rgb="FFFF0000"/>
              </font>
            </x14:dxf>
          </x14:cfRule>
          <xm:sqref>A65:G65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0.59999389629810485"/>
    <pageSetUpPr fitToPage="1"/>
  </sheetPr>
  <dimension ref="A1:O66"/>
  <sheetViews>
    <sheetView zoomScale="130" zoomScaleNormal="130" workbookViewId="0">
      <selection activeCell="H34" sqref="H34"/>
    </sheetView>
  </sheetViews>
  <sheetFormatPr defaultColWidth="9.28515625" defaultRowHeight="11.25" x14ac:dyDescent="0.2"/>
  <cols>
    <col min="1" max="1" width="33.42578125" style="2" customWidth="1"/>
    <col min="2" max="2" width="9.28515625" style="2" customWidth="1"/>
    <col min="3" max="6" width="8.42578125" style="2" customWidth="1"/>
    <col min="7" max="7" width="9.5703125" style="3" bestFit="1" customWidth="1"/>
    <col min="8" max="8" width="11" style="3" customWidth="1"/>
    <col min="9" max="9" width="29.28515625" style="3" customWidth="1"/>
    <col min="10" max="11" width="9.7109375" style="3" customWidth="1"/>
    <col min="12" max="13" width="9.7109375" style="2" customWidth="1"/>
    <col min="14" max="16384" width="9.28515625" style="2"/>
  </cols>
  <sheetData>
    <row r="1" spans="1:14" ht="12.75" x14ac:dyDescent="0.2">
      <c r="A1" s="1" t="str">
        <f>+'rates, dates, etc'!B4</f>
        <v>Assessing the Potential for Demand Response to Manage Generation Shortfalls in a Zero-Carbon Electricity Grid”</v>
      </c>
      <c r="D1" s="87"/>
    </row>
    <row r="2" spans="1:14" ht="12.75" x14ac:dyDescent="0.2">
      <c r="A2" s="1" t="str">
        <f>+'rates, dates, etc'!B3</f>
        <v>USDA</v>
      </c>
      <c r="H2" s="87"/>
    </row>
    <row r="3" spans="1:14" ht="12.75" customHeight="1" thickBot="1" x14ac:dyDescent="0.25"/>
    <row r="4" spans="1:14" x14ac:dyDescent="0.2">
      <c r="A4" s="4" t="str">
        <f ca="1">CONCATENATE("Cornell University - ",'rates, dates, etc'!A21)</f>
        <v>Cornell University - Co PI 3</v>
      </c>
      <c r="B4" s="5" t="s">
        <v>1</v>
      </c>
      <c r="C4" s="5" t="s">
        <v>2</v>
      </c>
      <c r="D4" s="5" t="s">
        <v>3</v>
      </c>
      <c r="E4" s="5" t="s">
        <v>44</v>
      </c>
      <c r="F4" s="5" t="s">
        <v>50</v>
      </c>
      <c r="G4" s="23"/>
    </row>
    <row r="5" spans="1:14" ht="12" thickBot="1" x14ac:dyDescent="0.25">
      <c r="A5" s="4" t="str">
        <f>CONCATENATE("Co-PI: ",'rates, dates, etc'!B21)</f>
        <v>Co-PI: Co-PI</v>
      </c>
      <c r="B5" s="6">
        <f>+'rates, dates, etc'!B5</f>
        <v>44927</v>
      </c>
      <c r="C5" s="6">
        <f>+B6+1</f>
        <v>45292</v>
      </c>
      <c r="D5" s="6">
        <f t="shared" ref="D5:F5" si="0">+C6+1</f>
        <v>45658</v>
      </c>
      <c r="E5" s="6">
        <f t="shared" si="0"/>
        <v>46023</v>
      </c>
      <c r="F5" s="6">
        <f t="shared" si="0"/>
        <v>46388</v>
      </c>
      <c r="G5" s="24"/>
    </row>
    <row r="6" spans="1:14" ht="12" thickBot="1" x14ac:dyDescent="0.25">
      <c r="A6" s="7" t="s">
        <v>4</v>
      </c>
      <c r="B6" s="8">
        <f>DATE(YEAR(B5), MONTH(B5) + 12, DAY(B5))-1</f>
        <v>45291</v>
      </c>
      <c r="C6" s="8">
        <f t="shared" ref="C6:F6" si="1">DATE(YEAR(C5), MONTH(C5) + 12, DAY(C5))-1</f>
        <v>45657</v>
      </c>
      <c r="D6" s="8">
        <f t="shared" si="1"/>
        <v>46022</v>
      </c>
      <c r="E6" s="8">
        <f t="shared" si="1"/>
        <v>46387</v>
      </c>
      <c r="F6" s="8">
        <f t="shared" si="1"/>
        <v>46752</v>
      </c>
      <c r="G6" s="25" t="s">
        <v>5</v>
      </c>
    </row>
    <row r="7" spans="1:14" x14ac:dyDescent="0.2">
      <c r="A7" s="9" t="s">
        <v>136</v>
      </c>
      <c r="G7" s="26" t="s">
        <v>6</v>
      </c>
    </row>
    <row r="8" spans="1:14" x14ac:dyDescent="0.2">
      <c r="A8" s="10" t="str">
        <f>+'rates, dates, etc'!A366</f>
        <v>Co-PI</v>
      </c>
      <c r="B8" s="586">
        <f>HLOOKUP(B$4,'rates, dates, etc'!B365:H371,7,FALSE)</f>
        <v>0</v>
      </c>
      <c r="C8" s="11">
        <f>HLOOKUP(C$4,'rates, dates, etc'!C365:I371,7,FALSE)</f>
        <v>0</v>
      </c>
      <c r="D8" s="11">
        <f>HLOOKUP(D$4,'rates, dates, etc'!D365:J371,7,FALSE)</f>
        <v>0</v>
      </c>
      <c r="E8" s="11">
        <f>HLOOKUP(E$4,'rates, dates, etc'!E365:K371,7,FALSE)</f>
        <v>0</v>
      </c>
      <c r="F8" s="11">
        <f>HLOOKUP(F$4,'rates, dates, etc'!F365:L371,7,FALSE)</f>
        <v>0</v>
      </c>
      <c r="G8" s="27">
        <f>SUM(B8:F8)</f>
        <v>0</v>
      </c>
    </row>
    <row r="9" spans="1:14" x14ac:dyDescent="0.2">
      <c r="A9" s="10" t="str">
        <f>+'rates, dates, etc'!A380</f>
        <v>Co-PI</v>
      </c>
      <c r="B9" s="586">
        <f>HLOOKUP(B$4,'rates, dates, etc'!B379:H385,7,FALSE)</f>
        <v>0</v>
      </c>
      <c r="C9" s="11">
        <f>HLOOKUP(C$4,'rates, dates, etc'!C379:I385,7,FALSE)</f>
        <v>0</v>
      </c>
      <c r="D9" s="11">
        <f>HLOOKUP(D$4,'rates, dates, etc'!D379:J385,7,FALSE)</f>
        <v>0</v>
      </c>
      <c r="E9" s="11">
        <f>HLOOKUP(E$4,'rates, dates, etc'!E379:K385,7,FALSE)</f>
        <v>0</v>
      </c>
      <c r="F9" s="11">
        <f>HLOOKUP(F$4,'rates, dates, etc'!F379:L385,7,FALSE)</f>
        <v>0</v>
      </c>
      <c r="G9" s="27">
        <f>SUM(B9:F9)</f>
        <v>0</v>
      </c>
    </row>
    <row r="10" spans="1:14" x14ac:dyDescent="0.2">
      <c r="A10" s="10" t="str">
        <f>+'rates, dates, etc'!A394</f>
        <v>Co-PI</v>
      </c>
      <c r="B10" s="586">
        <f>HLOOKUP(B$4,'rates, dates, etc'!B393:H399,7,FALSE)</f>
        <v>0</v>
      </c>
      <c r="C10" s="11">
        <f>HLOOKUP(C$4,'rates, dates, etc'!C393:I399,7,FALSE)</f>
        <v>0</v>
      </c>
      <c r="D10" s="11">
        <f>HLOOKUP(D$4,'rates, dates, etc'!D393:J399,7,FALSE)</f>
        <v>0</v>
      </c>
      <c r="E10" s="11">
        <f>HLOOKUP(E$4,'rates, dates, etc'!E393:K399,7,FALSE)</f>
        <v>0</v>
      </c>
      <c r="F10" s="11">
        <f>HLOOKUP(F$4,'rates, dates, etc'!F393:L399,7,FALSE)</f>
        <v>0</v>
      </c>
      <c r="G10" s="27">
        <f>SUM(B10:F10)</f>
        <v>0</v>
      </c>
    </row>
    <row r="11" spans="1:14" ht="12" thickBot="1" x14ac:dyDescent="0.25">
      <c r="A11" s="15" t="str">
        <f>CONCATENATE("Total ",A7)</f>
        <v>Total Senior Personnel Salary</v>
      </c>
      <c r="B11" s="16">
        <f>SUM(B7:B10)</f>
        <v>0</v>
      </c>
      <c r="C11" s="16">
        <f t="shared" ref="C11:F11" si="2">SUM(C7:C10)</f>
        <v>0</v>
      </c>
      <c r="D11" s="16">
        <f t="shared" si="2"/>
        <v>0</v>
      </c>
      <c r="E11" s="16">
        <f t="shared" si="2"/>
        <v>0</v>
      </c>
      <c r="F11" s="16">
        <f t="shared" si="2"/>
        <v>0</v>
      </c>
      <c r="G11" s="28">
        <f>SUM(G7:G10)</f>
        <v>0</v>
      </c>
    </row>
    <row r="12" spans="1:14" ht="12" thickBot="1" x14ac:dyDescent="0.25">
      <c r="A12" s="14" t="s">
        <v>137</v>
      </c>
      <c r="B12" s="13"/>
      <c r="C12" s="13"/>
      <c r="D12" s="13"/>
      <c r="E12" s="13"/>
      <c r="F12" s="13"/>
      <c r="G12" s="27"/>
      <c r="I12" s="67" t="s">
        <v>86</v>
      </c>
      <c r="J12" s="31" t="str">
        <f>+'rates, dates, etc'!B103</f>
        <v>Year 1</v>
      </c>
      <c r="K12" s="31" t="str">
        <f>+'rates, dates, etc'!C103</f>
        <v>Year 2</v>
      </c>
      <c r="L12" s="31" t="str">
        <f>+'rates, dates, etc'!D103</f>
        <v>Year 3</v>
      </c>
      <c r="M12" s="31" t="str">
        <f>+'rates, dates, etc'!E103</f>
        <v>Year 4</v>
      </c>
      <c r="N12" s="31" t="str">
        <f>+'rates, dates, etc'!F103</f>
        <v>Year 5</v>
      </c>
    </row>
    <row r="13" spans="1:14" x14ac:dyDescent="0.2">
      <c r="A13" s="10" t="str">
        <f>+'rates, dates, etc'!A408</f>
        <v>Post Doctoral Scholar(s)</v>
      </c>
      <c r="B13" s="13">
        <f>HLOOKUP(B$4,'rates, dates, etc'!B407:H412,6,FALSE)</f>
        <v>0</v>
      </c>
      <c r="C13" s="13">
        <f>HLOOKUP(C$4,'rates, dates, etc'!C407:I412,6,FALSE)</f>
        <v>0</v>
      </c>
      <c r="D13" s="13">
        <f>HLOOKUP(D$4,'rates, dates, etc'!D407:J412,6,FALSE)</f>
        <v>0</v>
      </c>
      <c r="E13" s="13">
        <f>HLOOKUP(E$4,'rates, dates, etc'!E407:K412,6,FALSE)</f>
        <v>0</v>
      </c>
      <c r="F13" s="13">
        <f>HLOOKUP(F$4,'rates, dates, etc'!F407:L412,6,FALSE)</f>
        <v>0</v>
      </c>
      <c r="G13" s="27">
        <f>SUM(B13:F13)</f>
        <v>0</v>
      </c>
      <c r="I13" s="36" t="s">
        <v>32</v>
      </c>
      <c r="J13" s="37">
        <f>SUM('rates, dates, etc'!M416:M418)/3</f>
        <v>0</v>
      </c>
      <c r="K13" s="37">
        <f>SUM('rates, dates, etc'!N416:N418)/3</f>
        <v>0</v>
      </c>
      <c r="L13" s="37">
        <f>SUM('rates, dates, etc'!O416:O418)/3</f>
        <v>0</v>
      </c>
      <c r="M13" s="37">
        <f>SUM('rates, dates, etc'!P416:P418)/3</f>
        <v>0</v>
      </c>
      <c r="N13" s="37">
        <f>SUM('rates, dates, etc'!Q416:Q418)/3</f>
        <v>0</v>
      </c>
    </row>
    <row r="14" spans="1:14" x14ac:dyDescent="0.2">
      <c r="A14" s="10" t="str">
        <f>+'rates, dates, etc'!A415</f>
        <v>Other Professional(s) (Technicians, etc)</v>
      </c>
      <c r="B14" s="13">
        <f>HLOOKUP(B$4,'rates, dates, etc'!B414:H419,6,FALSE)</f>
        <v>0</v>
      </c>
      <c r="C14" s="13">
        <f>HLOOKUP(C$4,'rates, dates, etc'!C414:I419,6,FALSE)</f>
        <v>0</v>
      </c>
      <c r="D14" s="13">
        <f>HLOOKUP(D$4,'rates, dates, etc'!D414:J419,6,FALSE)</f>
        <v>0</v>
      </c>
      <c r="E14" s="13">
        <f>HLOOKUP(E$4,'rates, dates, etc'!E414:K419,6,FALSE)</f>
        <v>0</v>
      </c>
      <c r="F14" s="13">
        <f>HLOOKUP(F$4,'rates, dates, etc'!F414:L419,6,FALSE)</f>
        <v>0</v>
      </c>
      <c r="G14" s="27">
        <f>SUM(B14:F14)</f>
        <v>0</v>
      </c>
      <c r="I14" s="10" t="s">
        <v>22</v>
      </c>
      <c r="J14" s="12">
        <f>+'rates, dates, etc'!M422</f>
        <v>0</v>
      </c>
      <c r="K14" s="12">
        <f>+'rates, dates, etc'!N422</f>
        <v>0</v>
      </c>
      <c r="L14" s="12">
        <f>+'rates, dates, etc'!O422</f>
        <v>0</v>
      </c>
      <c r="M14" s="12">
        <f>+'rates, dates, etc'!P422</f>
        <v>0</v>
      </c>
      <c r="N14" s="12">
        <f>+'rates, dates, etc'!Q422</f>
        <v>0</v>
      </c>
    </row>
    <row r="15" spans="1:14" x14ac:dyDescent="0.2">
      <c r="A15" s="10" t="str">
        <f>+'rates, dates, etc'!A421</f>
        <v>Graduate Student(s)</v>
      </c>
      <c r="B15" s="13">
        <f>+J14</f>
        <v>0</v>
      </c>
      <c r="C15" s="13">
        <f t="shared" ref="C15:F15" si="3">+K14</f>
        <v>0</v>
      </c>
      <c r="D15" s="13">
        <f t="shared" si="3"/>
        <v>0</v>
      </c>
      <c r="E15" s="13">
        <f t="shared" si="3"/>
        <v>0</v>
      </c>
      <c r="F15" s="13">
        <f t="shared" si="3"/>
        <v>0</v>
      </c>
      <c r="G15" s="27">
        <f>SUM(B15:F15)</f>
        <v>0</v>
      </c>
      <c r="I15" s="10" t="s">
        <v>8</v>
      </c>
      <c r="J15" s="12">
        <f>+'rates, dates, etc'!M423</f>
        <v>0</v>
      </c>
      <c r="K15" s="12">
        <f>+'rates, dates, etc'!N423</f>
        <v>0</v>
      </c>
      <c r="L15" s="12">
        <f>+'rates, dates, etc'!O423</f>
        <v>0</v>
      </c>
      <c r="M15" s="12">
        <f>+'rates, dates, etc'!P423</f>
        <v>0</v>
      </c>
      <c r="N15" s="12">
        <f>+'rates, dates, etc'!Q423</f>
        <v>0</v>
      </c>
    </row>
    <row r="16" spans="1:14" x14ac:dyDescent="0.2">
      <c r="A16" s="10" t="str">
        <f>+'rates, dates, etc'!A426</f>
        <v>Undergraduate Student(s)</v>
      </c>
      <c r="B16" s="13">
        <f>+'rates, dates, etc'!B434</f>
        <v>0</v>
      </c>
      <c r="C16" s="13">
        <f>+'rates, dates, etc'!C434</f>
        <v>0</v>
      </c>
      <c r="D16" s="13">
        <f>+'rates, dates, etc'!D434</f>
        <v>0</v>
      </c>
      <c r="E16" s="13">
        <f>+'rates, dates, etc'!E434</f>
        <v>0</v>
      </c>
      <c r="F16" s="13">
        <f>+'rates, dates, etc'!F434</f>
        <v>0</v>
      </c>
      <c r="G16" s="27">
        <f t="shared" ref="G16:G18" si="4">SUM(B16:F16)</f>
        <v>0</v>
      </c>
      <c r="I16" s="10" t="s">
        <v>9</v>
      </c>
      <c r="J16" s="12">
        <f>+'rates, dates, etc'!M424</f>
        <v>0</v>
      </c>
      <c r="K16" s="12">
        <f>+'rates, dates, etc'!N424</f>
        <v>0</v>
      </c>
      <c r="L16" s="12">
        <f>+'rates, dates, etc'!O424</f>
        <v>0</v>
      </c>
      <c r="M16" s="12">
        <f>+'rates, dates, etc'!P424</f>
        <v>0</v>
      </c>
      <c r="N16" s="12">
        <f>+'rates, dates, etc'!Q424</f>
        <v>0</v>
      </c>
    </row>
    <row r="17" spans="1:15" ht="12" thickBot="1" x14ac:dyDescent="0.25">
      <c r="A17" s="10" t="str">
        <f>+'rates, dates, etc'!A437</f>
        <v>Other</v>
      </c>
      <c r="B17" s="13">
        <f>HLOOKUP(B$4,'rates, dates, etc'!B436:H441,6,FALSE)</f>
        <v>0</v>
      </c>
      <c r="C17" s="13">
        <f>HLOOKUP(C$4,'rates, dates, etc'!C436:I441,6,FALSE)</f>
        <v>0</v>
      </c>
      <c r="D17" s="13">
        <f>HLOOKUP(D$4,'rates, dates, etc'!D436:J441,6,FALSE)</f>
        <v>0</v>
      </c>
      <c r="E17" s="13">
        <f>HLOOKUP(E$4,'rates, dates, etc'!E436:K441,6,FALSE)</f>
        <v>0</v>
      </c>
      <c r="F17" s="13">
        <f>HLOOKUP(F$4,'rates, dates, etc'!F436:L441,6,FALSE)</f>
        <v>0</v>
      </c>
      <c r="G17" s="27">
        <f t="shared" si="4"/>
        <v>0</v>
      </c>
      <c r="I17" s="35" t="s">
        <v>31</v>
      </c>
      <c r="J17" s="38">
        <f>SUM(J14:J16)</f>
        <v>0</v>
      </c>
      <c r="K17" s="38">
        <f>SUM(K14:K16)</f>
        <v>0</v>
      </c>
      <c r="L17" s="38">
        <f>SUM(L14:L16)</f>
        <v>0</v>
      </c>
      <c r="M17" s="38">
        <f>SUM(M14:M16)</f>
        <v>0</v>
      </c>
      <c r="N17" s="38">
        <f>SUM(N14:N16)</f>
        <v>0</v>
      </c>
    </row>
    <row r="18" spans="1:15" x14ac:dyDescent="0.2">
      <c r="A18" s="10" t="str">
        <f>+'rates, dates, etc'!A444</f>
        <v>Other - Temp Employee (Endowed)</v>
      </c>
      <c r="B18" s="13">
        <f>+'rates, dates, etc'!B447</f>
        <v>0</v>
      </c>
      <c r="C18" s="13">
        <f>+'rates, dates, etc'!C447</f>
        <v>0</v>
      </c>
      <c r="D18" s="13">
        <f>+'rates, dates, etc'!D447</f>
        <v>0</v>
      </c>
      <c r="E18" s="13">
        <f>+'rates, dates, etc'!E447</f>
        <v>0</v>
      </c>
      <c r="F18" s="13">
        <f>+'rates, dates, etc'!F447</f>
        <v>0</v>
      </c>
      <c r="G18" s="27">
        <f t="shared" si="4"/>
        <v>0</v>
      </c>
    </row>
    <row r="19" spans="1:15" ht="12" thickBot="1" x14ac:dyDescent="0.25">
      <c r="A19" s="15" t="str">
        <f>CONCATENATE("Total ",A12)</f>
        <v>Total Other Personnel Salary</v>
      </c>
      <c r="B19" s="16">
        <f>SUM(B12:B18)</f>
        <v>0</v>
      </c>
      <c r="C19" s="16">
        <f>SUM(C12:C18)</f>
        <v>0</v>
      </c>
      <c r="D19" s="16">
        <f t="shared" ref="D19:F19" si="5">SUM(D12:D18)</f>
        <v>0</v>
      </c>
      <c r="E19" s="16">
        <f>SUM(E12:E18)</f>
        <v>0</v>
      </c>
      <c r="F19" s="16">
        <f t="shared" si="5"/>
        <v>0</v>
      </c>
      <c r="G19" s="28">
        <f>SUM(G12:G18)</f>
        <v>0</v>
      </c>
    </row>
    <row r="20" spans="1:15" x14ac:dyDescent="0.2">
      <c r="A20" s="17" t="s">
        <v>7</v>
      </c>
      <c r="B20" s="11" t="s">
        <v>6</v>
      </c>
      <c r="C20" s="11"/>
      <c r="D20" s="11"/>
      <c r="E20" s="11"/>
      <c r="F20" s="11"/>
      <c r="G20" s="27"/>
    </row>
    <row r="21" spans="1:15" x14ac:dyDescent="0.2">
      <c r="A21" s="10" t="str">
        <f>+A8</f>
        <v>Co-PI</v>
      </c>
      <c r="B21" s="11">
        <f>IF('rates, dates, etc'!$I367=9,ROUND((+B8*J$23),0),ROUND((+B8*J$26*$K$35)+(B8*K$26*$K$36),0))</f>
        <v>0</v>
      </c>
      <c r="C21" s="11">
        <f>IF('rates, dates, etc'!$I367=9,ROUND((+C8*K$23),0),ROUND((+C8*K$26*$K$35)+(C8*L$26*$K$36),0))</f>
        <v>0</v>
      </c>
      <c r="D21" s="11">
        <f>IF('rates, dates, etc'!$I367=9,ROUND((+D8*L$23),0),ROUND((+D8*L$26*$K$35)+(D8*M$26*$K$36),0))</f>
        <v>0</v>
      </c>
      <c r="E21" s="11">
        <f>IF('rates, dates, etc'!$I367=9,ROUND((+E8*M$23),0),ROUND((+E8*M$26*$K$35)+(E8*N$26*$K$36),0))</f>
        <v>0</v>
      </c>
      <c r="F21" s="11">
        <f>IF('rates, dates, etc'!$I367=9,ROUND((+F8*N$23),0),ROUND((+F8*N$26*$K$35)+(F8*O$26*$K$36),0))</f>
        <v>0</v>
      </c>
      <c r="G21" s="27">
        <f t="shared" ref="G21:G27" si="6">SUM(B21:F21)</f>
        <v>0</v>
      </c>
      <c r="I21" s="68" t="s">
        <v>33</v>
      </c>
    </row>
    <row r="22" spans="1:15" x14ac:dyDescent="0.2">
      <c r="A22" s="10" t="str">
        <f>+A9</f>
        <v>Co-PI</v>
      </c>
      <c r="B22" s="11">
        <f>IF('rates, dates, etc'!$I381=9,ROUND((+B9*J$23),0),ROUND((+B9*J$26*$K$35)+(B9*K$26*$K$36),0))</f>
        <v>0</v>
      </c>
      <c r="C22" s="11">
        <f>IF('rates, dates, etc'!$I381=9,ROUND((+C9*K$23),0),ROUND((+C9*K$26*$K$35)+(C9*L$26*$K$36),0))</f>
        <v>0</v>
      </c>
      <c r="D22" s="11">
        <f>IF('rates, dates, etc'!$I381=9,ROUND((+D9*L$23),0),ROUND((+D9*L$26*$K$35)+(D9*M$26*$K$36),0))</f>
        <v>0</v>
      </c>
      <c r="E22" s="11">
        <f>IF('rates, dates, etc'!$I381=9,ROUND((+E9*M$23),0),ROUND((+E9*M$26*$K$35)+(E9*N$26*$K$36),0))</f>
        <v>0</v>
      </c>
      <c r="F22" s="11">
        <f>IF('rates, dates, etc'!$I381=9,ROUND((+F9*N$23),0),ROUND((+F9*N$26*$K$35)+(F9*O$26*$K$36),0))</f>
        <v>0</v>
      </c>
      <c r="G22" s="27">
        <f t="shared" si="6"/>
        <v>0</v>
      </c>
      <c r="I22" s="95" t="s">
        <v>121</v>
      </c>
      <c r="J22" s="96" t="str">
        <f>+'rates, dates, etc'!Z5</f>
        <v>FY2024</v>
      </c>
      <c r="K22" s="96" t="str">
        <f>+'rates, dates, etc'!AA5</f>
        <v>FY2025</v>
      </c>
      <c r="L22" s="96" t="str">
        <f>+'rates, dates, etc'!AB5</f>
        <v>FY2026</v>
      </c>
      <c r="M22" s="96" t="str">
        <f>+'rates, dates, etc'!AC5</f>
        <v>FY2027</v>
      </c>
      <c r="N22" s="96" t="str">
        <f>+'rates, dates, etc'!AD5</f>
        <v>FY2028</v>
      </c>
    </row>
    <row r="23" spans="1:15" x14ac:dyDescent="0.2">
      <c r="A23" s="10" t="str">
        <f>+A10</f>
        <v>Co-PI</v>
      </c>
      <c r="B23" s="11">
        <f>IF('rates, dates, etc'!$I395=9,ROUND((+B10*J$23),0),ROUND((+B10*J$26*$K$35)+(B10*K$26*$K$36),0))</f>
        <v>0</v>
      </c>
      <c r="C23" s="11">
        <f>IF('rates, dates, etc'!$I395=9,ROUND((+C10*K$23),0),ROUND((+C10*K$26*$K$35)+(C10*L$26*$K$36),0))</f>
        <v>0</v>
      </c>
      <c r="D23" s="11">
        <f>IF('rates, dates, etc'!$I395=9,ROUND((+D10*L$23),0),ROUND((+D10*L$26*$K$35)+(D10*M$26*$K$36),0))</f>
        <v>0</v>
      </c>
      <c r="E23" s="11">
        <f>IF('rates, dates, etc'!$I395=9,ROUND((+E10*M$23),0),ROUND((+E10*M$26*$K$35)+(E10*N$26*$K$36),0))</f>
        <v>0</v>
      </c>
      <c r="F23" s="11">
        <f>IF('rates, dates, etc'!$I395=9,ROUND((+F10*N$23),0),ROUND((+F10*N$26*$K$35)+(F10*O$26*$K$36),0))</f>
        <v>0</v>
      </c>
      <c r="G23" s="27">
        <f t="shared" si="6"/>
        <v>0</v>
      </c>
      <c r="I23" s="3" t="str">
        <f>+'rates, dates, etc'!A355</f>
        <v xml:space="preserve">   Contract (Federal) - Senior Personnel</v>
      </c>
      <c r="J23" s="31">
        <f>IF('rates, dates, etc'!B354='rates, dates, etc'!Z5,'rates, dates, etc'!B355,'rates, dates, etc'!C355)</f>
        <v>0.68300000000000005</v>
      </c>
      <c r="K23" s="31">
        <f>IF('rates, dates, etc'!C354='rates, dates, etc'!AA5,'rates, dates, etc'!C355,'rates, dates, etc'!D355)</f>
        <v>0.68300000000000005</v>
      </c>
      <c r="L23" s="31">
        <f>IF('rates, dates, etc'!D354='rates, dates, etc'!AB5,'rates, dates, etc'!D355,'rates, dates, etc'!E355)</f>
        <v>0.68300000000000005</v>
      </c>
      <c r="M23" s="31">
        <f>IF('rates, dates, etc'!E354='rates, dates, etc'!AC5,'rates, dates, etc'!E355,'rates, dates, etc'!F355)</f>
        <v>0.68300000000000005</v>
      </c>
      <c r="N23" s="31">
        <f>IF('rates, dates, etc'!F354='rates, dates, etc'!AD5,'rates, dates, etc'!F355,'rates, dates, etc'!G355)</f>
        <v>0.68300000000000005</v>
      </c>
    </row>
    <row r="24" spans="1:15" x14ac:dyDescent="0.2">
      <c r="A24" s="10" t="str">
        <f>+A13</f>
        <v>Post Doctoral Scholar(s)</v>
      </c>
      <c r="B24" s="11">
        <f t="shared" ref="B24:F25" si="7">ROUND((+B13*J27*$K$35)+(B13*K27*$K$36),0)</f>
        <v>0</v>
      </c>
      <c r="C24" s="11">
        <f t="shared" si="7"/>
        <v>0</v>
      </c>
      <c r="D24" s="11">
        <f t="shared" si="7"/>
        <v>0</v>
      </c>
      <c r="E24" s="11">
        <f t="shared" si="7"/>
        <v>0</v>
      </c>
      <c r="F24" s="11">
        <f t="shared" si="7"/>
        <v>0</v>
      </c>
      <c r="G24" s="27">
        <f t="shared" si="6"/>
        <v>0</v>
      </c>
      <c r="J24" s="2"/>
      <c r="K24" s="2"/>
    </row>
    <row r="25" spans="1:15" x14ac:dyDescent="0.2">
      <c r="A25" s="10" t="str">
        <f>+A14</f>
        <v>Other Professional(s) (Technicians, etc)</v>
      </c>
      <c r="B25" s="11">
        <f t="shared" si="7"/>
        <v>0</v>
      </c>
      <c r="C25" s="11">
        <f t="shared" si="7"/>
        <v>0</v>
      </c>
      <c r="D25" s="11">
        <f t="shared" si="7"/>
        <v>0</v>
      </c>
      <c r="E25" s="11">
        <f t="shared" si="7"/>
        <v>0</v>
      </c>
      <c r="F25" s="11">
        <f t="shared" si="7"/>
        <v>0</v>
      </c>
      <c r="G25" s="27">
        <f t="shared" si="6"/>
        <v>0</v>
      </c>
      <c r="I25" s="95" t="s">
        <v>122</v>
      </c>
      <c r="J25" s="69" t="str">
        <f>+'rates, dates, etc'!Z4</f>
        <v>FY2023</v>
      </c>
      <c r="K25" s="69" t="str">
        <f>+'rates, dates, etc'!AA4</f>
        <v>FY2024</v>
      </c>
      <c r="L25" s="69" t="str">
        <f>+'rates, dates, etc'!AB4</f>
        <v>FY2025</v>
      </c>
      <c r="M25" s="69" t="str">
        <f>+'rates, dates, etc'!AC4</f>
        <v>FY2026</v>
      </c>
      <c r="N25" s="69" t="str">
        <f>+'rates, dates, etc'!AD4</f>
        <v>FY2027</v>
      </c>
      <c r="O25" s="69" t="str">
        <f>+'rates, dates, etc'!AE4</f>
        <v>FY2028</v>
      </c>
    </row>
    <row r="26" spans="1:15" x14ac:dyDescent="0.2">
      <c r="A26" s="10" t="str">
        <f>+A17</f>
        <v>Other</v>
      </c>
      <c r="B26" s="11">
        <f>IF('rates, dates, etc'!$I438=9,ROUND((+B17*J$23),0),ROUND((+B17*J$28*$K$35)+(B17*K$28*$K$36),0))</f>
        <v>0</v>
      </c>
      <c r="C26" s="11">
        <f>IF('rates, dates, etc'!$I438=9,ROUND((+C17*K$23),0),ROUND((+C17*K$28*$K$35)+(C17*L$28*$K$36),0))</f>
        <v>0</v>
      </c>
      <c r="D26" s="11">
        <f>IF('rates, dates, etc'!$I438=9,ROUND((+D17*L$23),0),ROUND((+D17*L$28*$K$35)+(D17*M$28*$K$36),0))</f>
        <v>0</v>
      </c>
      <c r="E26" s="11">
        <f>IF('rates, dates, etc'!$I438=9,ROUND((+E17*M$23),0),ROUND((+E17*M$28*$K$35)+(E17*N$28*$K$36),0))</f>
        <v>0</v>
      </c>
      <c r="F26" s="11">
        <f>IF('rates, dates, etc'!$I438=9,ROUND((+F17*N$23),0),ROUND((+F17*N$28*$K$35)+(F17*O$28*$K$36),0))</f>
        <v>0</v>
      </c>
      <c r="G26" s="27">
        <f t="shared" si="6"/>
        <v>0</v>
      </c>
      <c r="I26" s="3" t="str">
        <f>+'rates, dates, etc'!A355</f>
        <v xml:space="preserve">   Contract (Federal) - Senior Personnel</v>
      </c>
      <c r="J26" s="136">
        <f>+'rates, dates, etc'!B355</f>
        <v>0.68300000000000005</v>
      </c>
      <c r="K26" s="136">
        <f>+'rates, dates, etc'!C355</f>
        <v>0.68300000000000005</v>
      </c>
      <c r="L26" s="136">
        <f>+'rates, dates, etc'!D355</f>
        <v>0.68300000000000005</v>
      </c>
      <c r="M26" s="136">
        <f>+'rates, dates, etc'!E355</f>
        <v>0.68300000000000005</v>
      </c>
      <c r="N26" s="136">
        <f>+'rates, dates, etc'!F355</f>
        <v>0.68300000000000005</v>
      </c>
      <c r="O26" s="136">
        <f>+'rates, dates, etc'!G355</f>
        <v>0.68300000000000005</v>
      </c>
    </row>
    <row r="27" spans="1:15" x14ac:dyDescent="0.2">
      <c r="A27" s="10" t="str">
        <f>+A18</f>
        <v>Other - Temp Employee (Endowed)</v>
      </c>
      <c r="B27" s="11">
        <f>ROUND((+B18*J$29*$K$35)+(B18*K$29*$K$36),0)</f>
        <v>0</v>
      </c>
      <c r="C27" s="11">
        <f t="shared" ref="C27:F27" si="8">ROUND((+C18*K$29*$K$35)+(C18*L$29*$K$36),0)</f>
        <v>0</v>
      </c>
      <c r="D27" s="11">
        <f t="shared" si="8"/>
        <v>0</v>
      </c>
      <c r="E27" s="11">
        <f t="shared" si="8"/>
        <v>0</v>
      </c>
      <c r="F27" s="11">
        <f t="shared" si="8"/>
        <v>0</v>
      </c>
      <c r="G27" s="27">
        <f t="shared" si="6"/>
        <v>0</v>
      </c>
      <c r="I27" s="3" t="str">
        <f>+'rates, dates, etc'!A356</f>
        <v xml:space="preserve">   Contract (Federal) - Post Doc</v>
      </c>
      <c r="J27" s="2">
        <f>+'rates, dates, etc'!B356</f>
        <v>0.68300000000000005</v>
      </c>
      <c r="K27" s="2">
        <f>+'rates, dates, etc'!C356</f>
        <v>0.68300000000000005</v>
      </c>
      <c r="L27" s="2">
        <f>+'rates, dates, etc'!D356</f>
        <v>0.68300000000000005</v>
      </c>
      <c r="M27" s="2">
        <f>+'rates, dates, etc'!E356</f>
        <v>0.68300000000000005</v>
      </c>
      <c r="N27" s="2">
        <f>+'rates, dates, etc'!F356</f>
        <v>0.68300000000000005</v>
      </c>
      <c r="O27" s="2">
        <f>+'rates, dates, etc'!G356</f>
        <v>0.68300000000000005</v>
      </c>
    </row>
    <row r="28" spans="1:15" ht="12" thickBot="1" x14ac:dyDescent="0.25">
      <c r="A28" s="15" t="str">
        <f>CONCATENATE("Total ",A20)</f>
        <v>Total Fringe Benefits</v>
      </c>
      <c r="B28" s="16">
        <f>SUM(B20:B27)</f>
        <v>0</v>
      </c>
      <c r="C28" s="16">
        <f t="shared" ref="C28:F28" si="9">SUM(C20:C27)</f>
        <v>0</v>
      </c>
      <c r="D28" s="16">
        <f t="shared" si="9"/>
        <v>0</v>
      </c>
      <c r="E28" s="16">
        <f t="shared" si="9"/>
        <v>0</v>
      </c>
      <c r="F28" s="16">
        <f t="shared" si="9"/>
        <v>0</v>
      </c>
      <c r="G28" s="28">
        <f>SUM(G20:G27)</f>
        <v>0</v>
      </c>
      <c r="I28" s="3" t="str">
        <f>+'rates, dates, etc'!A357</f>
        <v xml:space="preserve">   Contract (Federal) - Other Employee</v>
      </c>
      <c r="J28" s="2">
        <f>+'rates, dates, etc'!B357</f>
        <v>0.68300000000000005</v>
      </c>
      <c r="K28" s="2">
        <f>+'rates, dates, etc'!C357</f>
        <v>0.68300000000000005</v>
      </c>
      <c r="L28" s="2">
        <f>+'rates, dates, etc'!D357</f>
        <v>0.68300000000000005</v>
      </c>
      <c r="M28" s="2">
        <f>+'rates, dates, etc'!E357</f>
        <v>0.68300000000000005</v>
      </c>
      <c r="N28" s="2">
        <f>+'rates, dates, etc'!F357</f>
        <v>0.68300000000000005</v>
      </c>
      <c r="O28" s="2">
        <f>+'rates, dates, etc'!G357</f>
        <v>0.68300000000000005</v>
      </c>
    </row>
    <row r="29" spans="1:15" ht="12" thickBot="1" x14ac:dyDescent="0.25">
      <c r="A29" s="143" t="s">
        <v>131</v>
      </c>
      <c r="B29" s="144">
        <f>+B11+B19+B28</f>
        <v>0</v>
      </c>
      <c r="C29" s="144">
        <f t="shared" ref="C29:F29" si="10">+C11+C19+C28</f>
        <v>0</v>
      </c>
      <c r="D29" s="144">
        <f t="shared" si="10"/>
        <v>0</v>
      </c>
      <c r="E29" s="144">
        <f t="shared" si="10"/>
        <v>0</v>
      </c>
      <c r="F29" s="144">
        <f t="shared" si="10"/>
        <v>0</v>
      </c>
      <c r="G29" s="145">
        <f>SUM(B29:F29)</f>
        <v>0</v>
      </c>
      <c r="I29" s="3" t="str">
        <f>+'rates, dates, etc'!A146</f>
        <v xml:space="preserve">   Temp Employee</v>
      </c>
      <c r="J29" s="2">
        <f>+'rates, dates, etc'!B358</f>
        <v>0.1</v>
      </c>
      <c r="K29" s="2">
        <f>+'rates, dates, etc'!C358</f>
        <v>0.1</v>
      </c>
      <c r="L29" s="2">
        <f>+'rates, dates, etc'!D358</f>
        <v>0.1</v>
      </c>
      <c r="M29" s="2">
        <f>+'rates, dates, etc'!E358</f>
        <v>0.1</v>
      </c>
      <c r="N29" s="2">
        <f>+'rates, dates, etc'!F358</f>
        <v>0.1</v>
      </c>
      <c r="O29" s="2">
        <f>+'rates, dates, etc'!G358</f>
        <v>0.1</v>
      </c>
    </row>
    <row r="30" spans="1:15" x14ac:dyDescent="0.2">
      <c r="A30" s="17" t="s">
        <v>25</v>
      </c>
      <c r="B30" s="11"/>
      <c r="C30" s="11"/>
      <c r="D30" s="11"/>
      <c r="E30" s="11"/>
      <c r="F30" s="11"/>
      <c r="G30" s="27"/>
    </row>
    <row r="31" spans="1:15" x14ac:dyDescent="0.2">
      <c r="A31" s="10" t="s">
        <v>66</v>
      </c>
      <c r="B31" s="11"/>
      <c r="C31" s="11"/>
      <c r="D31" s="11"/>
      <c r="E31" s="11"/>
      <c r="F31" s="11"/>
      <c r="G31" s="27">
        <f>SUM(B31:F31)</f>
        <v>0</v>
      </c>
      <c r="I31" s="95" t="str">
        <f>+'rates, dates, etc'!A42</f>
        <v>Rate Allowed by Sponsor:</v>
      </c>
      <c r="J31" s="2">
        <f>+'rates, dates, etc'!B42</f>
        <v>0.2</v>
      </c>
      <c r="K31" s="2">
        <f>+'rates, dates, etc'!C42</f>
        <v>0.2</v>
      </c>
      <c r="L31" s="2">
        <f>+'rates, dates, etc'!D42</f>
        <v>0.2</v>
      </c>
      <c r="M31" s="2">
        <f>+'rates, dates, etc'!E42</f>
        <v>0.2</v>
      </c>
      <c r="N31" s="2">
        <f>+'rates, dates, etc'!F42</f>
        <v>0.2</v>
      </c>
      <c r="O31" s="2">
        <f>+'rates, dates, etc'!G42</f>
        <v>0.2</v>
      </c>
    </row>
    <row r="32" spans="1:15" x14ac:dyDescent="0.2">
      <c r="A32" s="10"/>
      <c r="B32" s="11"/>
      <c r="C32" s="11"/>
      <c r="D32" s="11"/>
      <c r="E32" s="11"/>
      <c r="F32" s="11"/>
      <c r="G32" s="27">
        <f>SUM(B32:F32)</f>
        <v>0</v>
      </c>
      <c r="I32" s="71" t="str">
        <f>+'rates, dates, etc'!A359</f>
        <v>Cornell IDC Rate - Contract College</v>
      </c>
      <c r="J32" s="2">
        <f>+'rates, dates, etc'!B359</f>
        <v>0.56999999999999995</v>
      </c>
      <c r="K32" s="2">
        <f>+'rates, dates, etc'!C359</f>
        <v>0.56999999999999995</v>
      </c>
      <c r="L32" s="2">
        <f>+'rates, dates, etc'!D359</f>
        <v>0.56999999999999995</v>
      </c>
      <c r="M32" s="2">
        <f>+'rates, dates, etc'!E359</f>
        <v>0.56999999999999995</v>
      </c>
      <c r="N32" s="2">
        <f>+'rates, dates, etc'!F359</f>
        <v>0.56999999999999995</v>
      </c>
      <c r="O32" s="2">
        <f>+'rates, dates, etc'!G359</f>
        <v>0.56999999999999995</v>
      </c>
    </row>
    <row r="33" spans="1:15" ht="12" thickBot="1" x14ac:dyDescent="0.25">
      <c r="A33" s="15" t="str">
        <f>CONCATENATE("Total ",A30)</f>
        <v>Total Equipment</v>
      </c>
      <c r="B33" s="16">
        <f>SUM(B30:B32)</f>
        <v>0</v>
      </c>
      <c r="C33" s="16">
        <f>SUM(C30:C32)</f>
        <v>0</v>
      </c>
      <c r="D33" s="16">
        <f t="shared" ref="D33:F33" si="11">SUM(D30:D32)</f>
        <v>0</v>
      </c>
      <c r="E33" s="16">
        <f t="shared" si="11"/>
        <v>0</v>
      </c>
      <c r="F33" s="16">
        <f t="shared" si="11"/>
        <v>0</v>
      </c>
      <c r="G33" s="28">
        <f>SUM(G30:G32)</f>
        <v>0</v>
      </c>
      <c r="N33" s="13"/>
      <c r="O33" s="13"/>
    </row>
    <row r="34" spans="1:15" x14ac:dyDescent="0.2">
      <c r="A34" s="17" t="s">
        <v>34</v>
      </c>
      <c r="B34" s="11"/>
      <c r="C34" s="11"/>
      <c r="D34" s="11"/>
      <c r="E34" s="11"/>
      <c r="F34" s="11"/>
      <c r="G34" s="27"/>
      <c r="I34" s="71" t="str">
        <f>+'rates, dates, etc'!L39</f>
        <v>Pro-rating factor for 12 month appts.:</v>
      </c>
      <c r="J34" s="31" t="s">
        <v>36</v>
      </c>
      <c r="K34" s="31" t="s">
        <v>56</v>
      </c>
      <c r="N34" s="13"/>
      <c r="O34" s="13"/>
    </row>
    <row r="35" spans="1:15" x14ac:dyDescent="0.2">
      <c r="A35" s="10" t="s">
        <v>10</v>
      </c>
      <c r="B35" s="11"/>
      <c r="C35" s="11"/>
      <c r="D35" s="11"/>
      <c r="E35" s="11"/>
      <c r="F35" s="11"/>
      <c r="G35" s="27">
        <f>SUM(B35:F35)</f>
        <v>0</v>
      </c>
      <c r="I35" s="72" t="s">
        <v>51</v>
      </c>
      <c r="J35" s="68">
        <f>+'rates, dates, etc'!M41</f>
        <v>6</v>
      </c>
      <c r="K35" s="68">
        <f>+'rates, dates, etc'!N41</f>
        <v>0.5</v>
      </c>
      <c r="N35" s="13"/>
      <c r="O35" s="13"/>
    </row>
    <row r="36" spans="1:15" x14ac:dyDescent="0.2">
      <c r="A36" s="10" t="s">
        <v>11</v>
      </c>
      <c r="B36" s="11"/>
      <c r="C36" s="11"/>
      <c r="D36" s="11"/>
      <c r="E36" s="11"/>
      <c r="F36" s="11"/>
      <c r="G36" s="27">
        <f>SUM(B36:F36)</f>
        <v>0</v>
      </c>
      <c r="I36" s="72" t="s">
        <v>52</v>
      </c>
      <c r="J36" s="68">
        <f>+'rates, dates, etc'!M42</f>
        <v>6</v>
      </c>
      <c r="K36" s="68">
        <f>+'rates, dates, etc'!N42</f>
        <v>0.5</v>
      </c>
    </row>
    <row r="37" spans="1:15" ht="12" thickBot="1" x14ac:dyDescent="0.25">
      <c r="A37" s="15" t="str">
        <f>CONCATENATE("Total ",A34)</f>
        <v>Total Travel</v>
      </c>
      <c r="B37" s="16">
        <f>SUM(B34:B36)</f>
        <v>0</v>
      </c>
      <c r="C37" s="16">
        <f>SUM(C34:C36)</f>
        <v>0</v>
      </c>
      <c r="D37" s="16">
        <f t="shared" ref="D37:F37" si="12">SUM(D34:D36)</f>
        <v>0</v>
      </c>
      <c r="E37" s="16">
        <f t="shared" si="12"/>
        <v>0</v>
      </c>
      <c r="F37" s="16">
        <f t="shared" si="12"/>
        <v>0</v>
      </c>
      <c r="G37" s="28">
        <f>SUM(G34:G36)</f>
        <v>0</v>
      </c>
      <c r="I37" s="70"/>
      <c r="J37" s="73">
        <f>SUM(J35:J36)</f>
        <v>12</v>
      </c>
      <c r="K37" s="2" t="s">
        <v>97</v>
      </c>
    </row>
    <row r="38" spans="1:15" x14ac:dyDescent="0.2">
      <c r="A38" s="17" t="s">
        <v>27</v>
      </c>
      <c r="B38" s="11"/>
      <c r="C38" s="11"/>
      <c r="D38" s="11"/>
      <c r="E38" s="11"/>
      <c r="F38" s="11"/>
      <c r="G38" s="27"/>
      <c r="I38" s="2"/>
      <c r="J38" s="2"/>
      <c r="K38" s="2"/>
    </row>
    <row r="39" spans="1:15" x14ac:dyDescent="0.2">
      <c r="A39" s="10" t="s">
        <v>91</v>
      </c>
      <c r="B39" s="11"/>
      <c r="C39" s="11"/>
      <c r="D39" s="11"/>
      <c r="E39" s="11"/>
      <c r="F39" s="11"/>
      <c r="G39" s="27">
        <f>SUM(B39:F39)</f>
        <v>0</v>
      </c>
      <c r="I39" s="2"/>
      <c r="J39" s="2"/>
      <c r="K39" s="2"/>
    </row>
    <row r="40" spans="1:15" x14ac:dyDescent="0.2">
      <c r="A40" s="10" t="s">
        <v>47</v>
      </c>
      <c r="B40" s="11"/>
      <c r="C40" s="11"/>
      <c r="D40" s="11"/>
      <c r="E40" s="11"/>
      <c r="F40" s="11"/>
      <c r="G40" s="27">
        <f t="shared" ref="G40:G42" si="13">SUM(B40:F40)</f>
        <v>0</v>
      </c>
      <c r="I40" s="2"/>
      <c r="J40" s="2"/>
      <c r="K40" s="2"/>
    </row>
    <row r="41" spans="1:15" x14ac:dyDescent="0.2">
      <c r="A41" s="10" t="s">
        <v>34</v>
      </c>
      <c r="B41" s="11"/>
      <c r="C41" s="11"/>
      <c r="D41" s="11"/>
      <c r="E41" s="11"/>
      <c r="F41" s="11"/>
      <c r="G41" s="27">
        <f t="shared" si="13"/>
        <v>0</v>
      </c>
      <c r="K41" s="2"/>
    </row>
    <row r="42" spans="1:15" x14ac:dyDescent="0.2">
      <c r="A42" s="10" t="s">
        <v>48</v>
      </c>
      <c r="B42" s="11"/>
      <c r="C42" s="11"/>
      <c r="D42" s="11"/>
      <c r="E42" s="11"/>
      <c r="F42" s="11"/>
      <c r="G42" s="27">
        <f t="shared" si="13"/>
        <v>0</v>
      </c>
    </row>
    <row r="43" spans="1:15" x14ac:dyDescent="0.2">
      <c r="A43" s="10" t="s">
        <v>29</v>
      </c>
      <c r="B43" s="11"/>
      <c r="C43" s="11"/>
      <c r="D43" s="11"/>
      <c r="E43" s="11"/>
      <c r="F43" s="11"/>
      <c r="G43" s="27">
        <f>SUM(B43:F43)</f>
        <v>0</v>
      </c>
    </row>
    <row r="44" spans="1:15" ht="12" thickBot="1" x14ac:dyDescent="0.25">
      <c r="A44" s="15" t="str">
        <f>CONCATENATE("Total ",A38)</f>
        <v>Total Participant Support Costs</v>
      </c>
      <c r="B44" s="16">
        <f>SUM(B38:B43)</f>
        <v>0</v>
      </c>
      <c r="C44" s="16">
        <f>SUM(C38:C43)</f>
        <v>0</v>
      </c>
      <c r="D44" s="16">
        <f t="shared" ref="D44:F44" si="14">SUM(D38:D43)</f>
        <v>0</v>
      </c>
      <c r="E44" s="16">
        <f t="shared" si="14"/>
        <v>0</v>
      </c>
      <c r="F44" s="16">
        <f t="shared" si="14"/>
        <v>0</v>
      </c>
      <c r="G44" s="28">
        <f>SUM(G38:G43)</f>
        <v>0</v>
      </c>
    </row>
    <row r="45" spans="1:15" x14ac:dyDescent="0.2">
      <c r="A45" s="17" t="s">
        <v>13</v>
      </c>
      <c r="B45" s="11"/>
      <c r="C45" s="11"/>
      <c r="D45" s="11"/>
      <c r="E45" s="11"/>
      <c r="F45" s="11"/>
      <c r="G45" s="27"/>
    </row>
    <row r="46" spans="1:15" x14ac:dyDescent="0.2">
      <c r="A46" s="10" t="str">
        <f>+'Lead Budget'!A46</f>
        <v>Materials &amp; Supplies</v>
      </c>
      <c r="B46" s="18"/>
      <c r="C46" s="18"/>
      <c r="D46" s="18"/>
      <c r="E46" s="18"/>
      <c r="F46" s="18"/>
      <c r="G46" s="27">
        <f t="shared" ref="G46:G54" si="15">SUM(B46:F46)</f>
        <v>0</v>
      </c>
    </row>
    <row r="47" spans="1:15" x14ac:dyDescent="0.2">
      <c r="A47" s="10" t="str">
        <f>+'Lead Budget'!A47</f>
        <v>Publication Costs</v>
      </c>
      <c r="B47" s="18"/>
      <c r="C47" s="18"/>
      <c r="D47" s="18"/>
      <c r="E47" s="18"/>
      <c r="F47" s="18"/>
      <c r="G47" s="27">
        <f t="shared" si="15"/>
        <v>0</v>
      </c>
    </row>
    <row r="48" spans="1:15" x14ac:dyDescent="0.2">
      <c r="A48" s="10" t="str">
        <f>+'Lead Budget'!A48</f>
        <v>Consultant Services</v>
      </c>
      <c r="B48" s="18"/>
      <c r="C48" s="18"/>
      <c r="D48" s="18"/>
      <c r="E48" s="18"/>
      <c r="F48" s="18"/>
      <c r="G48" s="27">
        <f t="shared" si="15"/>
        <v>0</v>
      </c>
    </row>
    <row r="49" spans="1:15" x14ac:dyDescent="0.2">
      <c r="A49" s="10" t="str">
        <f>+'Lead Budget'!A49</f>
        <v>ADP/Computer Services</v>
      </c>
      <c r="B49" s="18"/>
      <c r="C49" s="18"/>
      <c r="D49" s="18"/>
      <c r="E49" s="18"/>
      <c r="F49" s="18"/>
      <c r="G49" s="27">
        <f t="shared" si="15"/>
        <v>0</v>
      </c>
    </row>
    <row r="50" spans="1:15" x14ac:dyDescent="0.2">
      <c r="A50" s="10" t="str">
        <f>+'Lead Budget'!A50</f>
        <v xml:space="preserve">SubContracts </v>
      </c>
      <c r="B50" s="18"/>
      <c r="C50" s="18"/>
      <c r="D50" s="18"/>
      <c r="E50" s="18"/>
      <c r="F50" s="18"/>
      <c r="G50" s="27">
        <f t="shared" si="15"/>
        <v>0</v>
      </c>
    </row>
    <row r="51" spans="1:15" x14ac:dyDescent="0.2">
      <c r="A51" s="10" t="str">
        <f>+'Lead Budget'!A51</f>
        <v xml:space="preserve">Equipment or Facility Rental/User Fees </v>
      </c>
      <c r="B51" s="18"/>
      <c r="C51" s="18"/>
      <c r="D51" s="18"/>
      <c r="E51" s="18"/>
      <c r="F51" s="18"/>
      <c r="G51" s="27">
        <f t="shared" si="15"/>
        <v>0</v>
      </c>
    </row>
    <row r="52" spans="1:15" x14ac:dyDescent="0.2">
      <c r="A52" s="10" t="str">
        <f>+'Lead Budget'!A52</f>
        <v>Other: Tuition</v>
      </c>
      <c r="B52" s="18">
        <f>+J15</f>
        <v>0</v>
      </c>
      <c r="C52" s="18">
        <f t="shared" ref="C52:F52" si="16">+K15</f>
        <v>0</v>
      </c>
      <c r="D52" s="18">
        <f t="shared" si="16"/>
        <v>0</v>
      </c>
      <c r="E52" s="18">
        <f t="shared" si="16"/>
        <v>0</v>
      </c>
      <c r="F52" s="18">
        <f t="shared" si="16"/>
        <v>0</v>
      </c>
      <c r="G52" s="27">
        <f t="shared" si="15"/>
        <v>0</v>
      </c>
    </row>
    <row r="53" spans="1:15" x14ac:dyDescent="0.2">
      <c r="A53" s="10" t="str">
        <f>+'Lead Budget'!A53</f>
        <v>Other: Health Insurance</v>
      </c>
      <c r="B53" s="18">
        <f>+J16</f>
        <v>0</v>
      </c>
      <c r="C53" s="18">
        <f t="shared" ref="C53:F53" si="17">+K16</f>
        <v>0</v>
      </c>
      <c r="D53" s="18">
        <f t="shared" si="17"/>
        <v>0</v>
      </c>
      <c r="E53" s="18">
        <f t="shared" si="17"/>
        <v>0</v>
      </c>
      <c r="F53" s="18">
        <f t="shared" si="17"/>
        <v>0</v>
      </c>
      <c r="G53" s="27">
        <f t="shared" si="15"/>
        <v>0</v>
      </c>
    </row>
    <row r="54" spans="1:15" x14ac:dyDescent="0.2">
      <c r="A54" s="10" t="str">
        <f>+'Lead Budget'!A54</f>
        <v>Other</v>
      </c>
      <c r="B54" s="18"/>
      <c r="C54" s="18"/>
      <c r="D54" s="18"/>
      <c r="E54" s="18"/>
      <c r="F54" s="18"/>
      <c r="G54" s="27">
        <f t="shared" si="15"/>
        <v>0</v>
      </c>
      <c r="K54" s="2"/>
      <c r="N54" s="13"/>
      <c r="O54" s="13"/>
    </row>
    <row r="55" spans="1:15" ht="12" thickBot="1" x14ac:dyDescent="0.25">
      <c r="A55" s="15" t="str">
        <f>CONCATENATE("Total ",A45)</f>
        <v>Total Other Direct Costs</v>
      </c>
      <c r="B55" s="28">
        <f t="shared" ref="B55:G55" si="18">SUM(B45:B54)</f>
        <v>0</v>
      </c>
      <c r="C55" s="16">
        <f t="shared" si="18"/>
        <v>0</v>
      </c>
      <c r="D55" s="16">
        <f t="shared" si="18"/>
        <v>0</v>
      </c>
      <c r="E55" s="16">
        <f t="shared" si="18"/>
        <v>0</v>
      </c>
      <c r="F55" s="16">
        <f t="shared" si="18"/>
        <v>0</v>
      </c>
      <c r="G55" s="28">
        <f t="shared" si="18"/>
        <v>0</v>
      </c>
      <c r="N55" s="13"/>
      <c r="O55" s="13"/>
    </row>
    <row r="56" spans="1:15" ht="12" thickBot="1" x14ac:dyDescent="0.25">
      <c r="A56" s="99" t="s">
        <v>16</v>
      </c>
      <c r="B56" s="137">
        <f t="shared" ref="B56:G56" si="19">SUM(+B11+B19+B28+B33+B37+B44+B55)</f>
        <v>0</v>
      </c>
      <c r="C56" s="137">
        <f t="shared" si="19"/>
        <v>0</v>
      </c>
      <c r="D56" s="137">
        <f t="shared" si="19"/>
        <v>0</v>
      </c>
      <c r="E56" s="137">
        <f t="shared" si="19"/>
        <v>0</v>
      </c>
      <c r="F56" s="137">
        <f t="shared" si="19"/>
        <v>0</v>
      </c>
      <c r="G56" s="138">
        <f t="shared" si="19"/>
        <v>0</v>
      </c>
      <c r="N56" s="13"/>
      <c r="O56" s="13"/>
    </row>
    <row r="57" spans="1:15" ht="12" thickBot="1" x14ac:dyDescent="0.25">
      <c r="A57" s="7" t="s">
        <v>17</v>
      </c>
      <c r="B57" s="21">
        <f>+B56-(+J15+J16+B44+B63+B33)</f>
        <v>0</v>
      </c>
      <c r="C57" s="21">
        <f>+C56-(+K15+K16+C44+C63+C33)</f>
        <v>0</v>
      </c>
      <c r="D57" s="21">
        <f>+D56-(+L15+L16+D44+D63+D33)</f>
        <v>0</v>
      </c>
      <c r="E57" s="21">
        <f>+E56-(+M15+M16+E44+E63+E33)</f>
        <v>0</v>
      </c>
      <c r="F57" s="21">
        <f>+F56-(+N15+N16+F44+F63+F33)</f>
        <v>0</v>
      </c>
      <c r="G57" s="20">
        <f>SUM(B57:F57)</f>
        <v>0</v>
      </c>
      <c r="H57" s="117"/>
      <c r="N57" s="13"/>
      <c r="O57" s="13"/>
    </row>
    <row r="58" spans="1:15" ht="12" thickBot="1" x14ac:dyDescent="0.25">
      <c r="A58" s="108" t="s">
        <v>18</v>
      </c>
      <c r="B58" s="139">
        <f>IF(AND('rates, dates, etc'!$B$11="no",'Budget Summary'!$G$102&lt;'Budget Summary'!$G$103),B65,B66)</f>
        <v>0</v>
      </c>
      <c r="C58" s="139">
        <f>IF(AND('rates, dates, etc'!$B$11="no",'Budget Summary'!$G$102&lt;'Budget Summary'!$G$103),C65,C66)</f>
        <v>0</v>
      </c>
      <c r="D58" s="139">
        <f>IF(AND('rates, dates, etc'!$B$11="no",'Budget Summary'!$G$102&lt;'Budget Summary'!$G$103),D65,D66)</f>
        <v>0</v>
      </c>
      <c r="E58" s="139">
        <f>IF(AND('rates, dates, etc'!$B$11="no",'Budget Summary'!$G$102&lt;'Budget Summary'!$G$103),E65,E66)</f>
        <v>0</v>
      </c>
      <c r="F58" s="139">
        <f>IF(AND('rates, dates, etc'!$B$11="no",'Budget Summary'!$G$102&lt;'Budget Summary'!$G$103),F65,F66)</f>
        <v>0</v>
      </c>
      <c r="G58" s="140">
        <f>SUM(B58:F58)</f>
        <v>0</v>
      </c>
      <c r="H58" s="116"/>
      <c r="N58" s="13"/>
      <c r="O58" s="13"/>
    </row>
    <row r="59" spans="1:15" ht="12" thickBot="1" x14ac:dyDescent="0.25">
      <c r="A59" s="109" t="s">
        <v>19</v>
      </c>
      <c r="B59" s="141">
        <f>+B56+B58</f>
        <v>0</v>
      </c>
      <c r="C59" s="141">
        <f t="shared" ref="C59:F59" si="20">+C56+C58</f>
        <v>0</v>
      </c>
      <c r="D59" s="141">
        <f t="shared" si="20"/>
        <v>0</v>
      </c>
      <c r="E59" s="141">
        <f t="shared" si="20"/>
        <v>0</v>
      </c>
      <c r="F59" s="141">
        <f t="shared" si="20"/>
        <v>0</v>
      </c>
      <c r="G59" s="142">
        <f>SUM(B59:F59)</f>
        <v>0</v>
      </c>
      <c r="L59" s="12"/>
      <c r="N59" s="13"/>
      <c r="O59" s="13"/>
    </row>
    <row r="60" spans="1:15" x14ac:dyDescent="0.2">
      <c r="A60" s="22"/>
      <c r="B60" s="12"/>
      <c r="C60" s="12"/>
      <c r="D60" s="12"/>
      <c r="E60" s="12"/>
      <c r="F60" s="12"/>
      <c r="L60" s="12"/>
      <c r="N60" s="13"/>
      <c r="O60" s="13"/>
    </row>
    <row r="61" spans="1:15" x14ac:dyDescent="0.2">
      <c r="A61" s="22"/>
      <c r="B61" s="12"/>
      <c r="C61" s="12"/>
      <c r="D61" s="12"/>
      <c r="E61" s="12"/>
      <c r="F61" s="12"/>
      <c r="K61" s="39"/>
      <c r="L61" s="39"/>
      <c r="M61" s="39"/>
      <c r="N61" s="13"/>
      <c r="O61" s="13"/>
    </row>
    <row r="62" spans="1:15" ht="12" thickBot="1" x14ac:dyDescent="0.25">
      <c r="A62" s="44"/>
      <c r="B62" s="45"/>
      <c r="C62" s="45"/>
      <c r="D62" s="45"/>
      <c r="E62" s="45"/>
      <c r="F62" s="45"/>
      <c r="G62" s="45"/>
    </row>
    <row r="63" spans="1:15" ht="12" thickBot="1" x14ac:dyDescent="0.25">
      <c r="A63" s="41" t="s">
        <v>45</v>
      </c>
      <c r="B63" s="42">
        <f>+B50-IF(B50&lt;25000,B50,25000)</f>
        <v>0</v>
      </c>
      <c r="C63" s="42">
        <f>+C50-IF(+B50&gt;25000,0,IF(B50+C50&gt;25000,(25000-B50),C50))</f>
        <v>0</v>
      </c>
      <c r="D63" s="42">
        <f>+D50-IF(+B50+C50&gt;25000,0,IF(B50+C50+D50&gt;25000,(25000-(B50+C50)),D50))</f>
        <v>0</v>
      </c>
      <c r="E63" s="42">
        <f>+E50-IF(B50+C50+D50&gt;25000,0,IF(B50+C50+D50+E50&gt;25000,(25000-(C50+C50+D50)),E50))</f>
        <v>0</v>
      </c>
      <c r="F63" s="42">
        <f>+F50-IF(B50+C50+D50+E50&gt;25000,0,IF(B50+C50+D50+E50+F50&gt;25000,(25000-(B50+C50+D50+E50)),F50))</f>
        <v>0</v>
      </c>
      <c r="G63" s="43">
        <f>SUM(B63:F63)</f>
        <v>0</v>
      </c>
    </row>
    <row r="64" spans="1:15" ht="12" thickBot="1" x14ac:dyDescent="0.25">
      <c r="A64" s="44"/>
      <c r="B64" s="45"/>
      <c r="C64" s="45"/>
      <c r="D64" s="45"/>
      <c r="E64" s="45"/>
      <c r="F64" s="45"/>
      <c r="G64" s="45"/>
    </row>
    <row r="65" spans="1:7" ht="12" thickBot="1" x14ac:dyDescent="0.25">
      <c r="A65" s="101" t="s">
        <v>135</v>
      </c>
      <c r="B65" s="103">
        <f>IF('rates, dates, etc'!$B$11="Yes",0,ROUND((B56*J31*$K$35)+(B56*K31*$K$36),0))</f>
        <v>0</v>
      </c>
      <c r="C65" s="104">
        <f>IF('rates, dates, etc'!$B$11="Yes",0,ROUND((C56*K31*$K$35)+(C56*L31*$K$36),0))</f>
        <v>0</v>
      </c>
      <c r="D65" s="104">
        <f>IF('rates, dates, etc'!$B$11="Yes",0,ROUND((D56*L31*$K$35)+(D56*M31*$K$36),0))</f>
        <v>0</v>
      </c>
      <c r="E65" s="104">
        <f>IF('rates, dates, etc'!$B$11="Yes",0,ROUND((E56*M31*$K$35)+(E56*N31*$K$36),0))</f>
        <v>0</v>
      </c>
      <c r="F65" s="416">
        <f>IF('rates, dates, etc'!$B$11="Yes",0,ROUND((F56*N31*$K$35)+(F56*O31*$K$36),0))</f>
        <v>0</v>
      </c>
      <c r="G65" s="103">
        <f t="shared" ref="G65:G66" si="21">SUM(B65:F65)</f>
        <v>0</v>
      </c>
    </row>
    <row r="66" spans="1:7" ht="12" thickBot="1" x14ac:dyDescent="0.25">
      <c r="A66" s="102" t="s">
        <v>134</v>
      </c>
      <c r="B66" s="103">
        <f>ROUND((B57*J32*$K$35)+(B57*K32*$K$36),0)</f>
        <v>0</v>
      </c>
      <c r="C66" s="104">
        <f t="shared" ref="C66:F66" si="22">ROUND((C57*K32*$K$35)+(C57*L32*$K$36),0)</f>
        <v>0</v>
      </c>
      <c r="D66" s="104">
        <f t="shared" si="22"/>
        <v>0</v>
      </c>
      <c r="E66" s="104">
        <f t="shared" si="22"/>
        <v>0</v>
      </c>
      <c r="F66" s="416">
        <f t="shared" si="22"/>
        <v>0</v>
      </c>
      <c r="G66" s="103">
        <f t="shared" si="21"/>
        <v>0</v>
      </c>
    </row>
  </sheetData>
  <pageMargins left="0.75" right="0.53" top="0.7" bottom="0.64" header="0.5" footer="0.5"/>
  <pageSetup scale="95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stopIfTrue="1" id="{3B4D5A24-A1D7-409C-9DBB-950196B14BF1}">
            <xm:f>'rates, dates, etc'!$B$11="Yes"</xm:f>
            <x14:dxf>
              <font>
                <color rgb="FFFF0000"/>
              </font>
            </x14:dxf>
          </x14:cfRule>
          <xm:sqref>A66:G66</xm:sqref>
        </x14:conditionalFormatting>
        <x14:conditionalFormatting xmlns:xm="http://schemas.microsoft.com/office/excel/2006/main">
          <x14:cfRule type="expression" priority="1" stopIfTrue="1" id="{30BDA298-9C95-4E3A-BDA8-0F78354207C5}">
            <xm:f>'rates, dates, etc'!$B$11="Yes"</xm:f>
            <x14:dxf/>
          </x14:cfRule>
          <xm:sqref>A65:G65</xm:sqref>
        </x14:conditionalFormatting>
        <x14:conditionalFormatting xmlns:xm="http://schemas.microsoft.com/office/excel/2006/main">
          <x14:cfRule type="expression" priority="99" id="{B5D5891A-2160-468F-A066-1CBDE30F4502}">
            <xm:f>'Budget Summary'!$G$103&lt;'Budget Summary'!$G$102</xm:f>
            <x14:dxf>
              <font>
                <color rgb="FFFF0000"/>
              </font>
            </x14:dxf>
          </x14:cfRule>
          <xm:sqref>A66:G66</xm:sqref>
        </x14:conditionalFormatting>
        <x14:conditionalFormatting xmlns:xm="http://schemas.microsoft.com/office/excel/2006/main">
          <x14:cfRule type="expression" priority="100" id="{98648DFB-7B22-413F-8D42-9AA39569B641}">
            <xm:f>'Budget Summary'!$G$102&lt;'Budget Summary'!$G$103</xm:f>
            <x14:dxf>
              <font>
                <color rgb="FFFF0000"/>
              </font>
            </x14:dxf>
          </x14:cfRule>
          <xm:sqref>A65:G65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  <pageSetUpPr fitToPage="1"/>
  </sheetPr>
  <dimension ref="A1:O66"/>
  <sheetViews>
    <sheetView zoomScale="130" zoomScaleNormal="130" workbookViewId="0">
      <selection activeCell="B7" sqref="B7"/>
    </sheetView>
  </sheetViews>
  <sheetFormatPr defaultColWidth="9.28515625" defaultRowHeight="11.25" x14ac:dyDescent="0.2"/>
  <cols>
    <col min="1" max="1" width="33.42578125" style="2" customWidth="1"/>
    <col min="2" max="6" width="8.42578125" style="2" customWidth="1"/>
    <col min="7" max="7" width="9.5703125" style="3" bestFit="1" customWidth="1"/>
    <col min="8" max="8" width="11" style="3" customWidth="1"/>
    <col min="9" max="9" width="29.28515625" style="3" customWidth="1"/>
    <col min="10" max="11" width="9.7109375" style="3" customWidth="1"/>
    <col min="12" max="13" width="9.7109375" style="2" customWidth="1"/>
    <col min="14" max="16384" width="9.28515625" style="2"/>
  </cols>
  <sheetData>
    <row r="1" spans="1:14" ht="12.75" x14ac:dyDescent="0.2">
      <c r="A1" s="1" t="str">
        <f>+'rates, dates, etc'!B4</f>
        <v>Assessing the Potential for Demand Response to Manage Generation Shortfalls in a Zero-Carbon Electricity Grid”</v>
      </c>
      <c r="D1" s="87"/>
    </row>
    <row r="2" spans="1:14" ht="12.75" x14ac:dyDescent="0.2">
      <c r="A2" s="1" t="str">
        <f>+'rates, dates, etc'!B3</f>
        <v>USDA</v>
      </c>
      <c r="H2" s="87"/>
    </row>
    <row r="3" spans="1:14" ht="12.75" customHeight="1" thickBot="1" x14ac:dyDescent="0.25"/>
    <row r="4" spans="1:14" x14ac:dyDescent="0.2">
      <c r="A4" s="4" t="str">
        <f ca="1">CONCATENATE("Cornell University - ",'rates, dates, etc'!A22)</f>
        <v>Cornell University - Co-PI Budget (4)</v>
      </c>
      <c r="B4" s="5" t="s">
        <v>1</v>
      </c>
      <c r="C4" s="5" t="s">
        <v>2</v>
      </c>
      <c r="D4" s="5" t="s">
        <v>3</v>
      </c>
      <c r="E4" s="5" t="s">
        <v>44</v>
      </c>
      <c r="F4" s="5" t="s">
        <v>50</v>
      </c>
      <c r="G4" s="23"/>
    </row>
    <row r="5" spans="1:14" ht="12" thickBot="1" x14ac:dyDescent="0.25">
      <c r="A5" s="4" t="str">
        <f>CONCATENATE("Co-PI: ",'rates, dates, etc'!B22)</f>
        <v>Co-PI: Co-PI</v>
      </c>
      <c r="B5" s="6">
        <f>+'rates, dates, etc'!B5</f>
        <v>44927</v>
      </c>
      <c r="C5" s="6">
        <f>+B6+1</f>
        <v>45292</v>
      </c>
      <c r="D5" s="6">
        <f t="shared" ref="D5:F5" si="0">+C6+1</f>
        <v>45658</v>
      </c>
      <c r="E5" s="6">
        <f t="shared" si="0"/>
        <v>46023</v>
      </c>
      <c r="F5" s="6">
        <f t="shared" si="0"/>
        <v>46388</v>
      </c>
      <c r="G5" s="24"/>
    </row>
    <row r="6" spans="1:14" ht="12" thickBot="1" x14ac:dyDescent="0.25">
      <c r="A6" s="7" t="s">
        <v>4</v>
      </c>
      <c r="B6" s="8">
        <f>DATE(YEAR(B5), MONTH(B5) + 12, DAY(B5))-1</f>
        <v>45291</v>
      </c>
      <c r="C6" s="8">
        <f t="shared" ref="C6:F6" si="1">DATE(YEAR(C5), MONTH(C5) + 12, DAY(C5))-1</f>
        <v>45657</v>
      </c>
      <c r="D6" s="8">
        <f t="shared" si="1"/>
        <v>46022</v>
      </c>
      <c r="E6" s="8">
        <f t="shared" si="1"/>
        <v>46387</v>
      </c>
      <c r="F6" s="8">
        <f t="shared" si="1"/>
        <v>46752</v>
      </c>
      <c r="G6" s="25" t="s">
        <v>5</v>
      </c>
    </row>
    <row r="7" spans="1:14" x14ac:dyDescent="0.2">
      <c r="A7" s="9" t="s">
        <v>136</v>
      </c>
      <c r="G7" s="26" t="s">
        <v>6</v>
      </c>
    </row>
    <row r="8" spans="1:14" x14ac:dyDescent="0.2">
      <c r="A8" s="10" t="str">
        <f>+'rates, dates, etc'!A472</f>
        <v>Co-PI</v>
      </c>
      <c r="B8" s="586">
        <f>HLOOKUP(B$4,'rates, dates, etc'!B471:H477,7,FALSE)</f>
        <v>0</v>
      </c>
      <c r="C8" s="11">
        <f>HLOOKUP(C$4,'rates, dates, etc'!C471:I477,7,FALSE)</f>
        <v>0</v>
      </c>
      <c r="D8" s="11">
        <f>HLOOKUP(D$4,'rates, dates, etc'!D471:J477,7,FALSE)</f>
        <v>0</v>
      </c>
      <c r="E8" s="11">
        <f>HLOOKUP(E$4,'rates, dates, etc'!E471:K477,7,FALSE)</f>
        <v>0</v>
      </c>
      <c r="F8" s="11">
        <f>HLOOKUP(F$4,'rates, dates, etc'!F471:L477,7,FALSE)</f>
        <v>0</v>
      </c>
      <c r="G8" s="27">
        <f>SUM(B8:F8)</f>
        <v>0</v>
      </c>
    </row>
    <row r="9" spans="1:14" x14ac:dyDescent="0.2">
      <c r="A9" s="10" t="str">
        <f>+'rates, dates, etc'!A486</f>
        <v>Co-PI</v>
      </c>
      <c r="B9" s="586">
        <f>HLOOKUP(B$4,'rates, dates, etc'!B485:H491,7,FALSE)</f>
        <v>0</v>
      </c>
      <c r="C9" s="11">
        <f>HLOOKUP(C$4,'rates, dates, etc'!C485:I491,7,FALSE)</f>
        <v>0</v>
      </c>
      <c r="D9" s="11">
        <f>HLOOKUP(D$4,'rates, dates, etc'!D485:J491,7,FALSE)</f>
        <v>0</v>
      </c>
      <c r="E9" s="11">
        <f>HLOOKUP(E$4,'rates, dates, etc'!E485:K491,7,FALSE)</f>
        <v>0</v>
      </c>
      <c r="F9" s="11">
        <f>HLOOKUP(F$4,'rates, dates, etc'!F485:L491,7,FALSE)</f>
        <v>0</v>
      </c>
      <c r="G9" s="27">
        <f>SUM(B9:F9)</f>
        <v>0</v>
      </c>
    </row>
    <row r="10" spans="1:14" x14ac:dyDescent="0.2">
      <c r="A10" s="10" t="str">
        <f>+'rates, dates, etc'!A500</f>
        <v>Co-PI</v>
      </c>
      <c r="B10" s="586">
        <f>HLOOKUP(B$4,'rates, dates, etc'!B499:H505,7,FALSE)</f>
        <v>0</v>
      </c>
      <c r="C10" s="11">
        <f>HLOOKUP(C$4,'rates, dates, etc'!C499:I505,7,FALSE)</f>
        <v>0</v>
      </c>
      <c r="D10" s="11">
        <f>HLOOKUP(D$4,'rates, dates, etc'!D499:J505,7,FALSE)</f>
        <v>0</v>
      </c>
      <c r="E10" s="11">
        <f>HLOOKUP(E$4,'rates, dates, etc'!E499:K505,7,FALSE)</f>
        <v>0</v>
      </c>
      <c r="F10" s="11">
        <f>HLOOKUP(F$4,'rates, dates, etc'!F499:L505,7,FALSE)</f>
        <v>0</v>
      </c>
      <c r="G10" s="27">
        <f>SUM(B10:F10)</f>
        <v>0</v>
      </c>
    </row>
    <row r="11" spans="1:14" ht="12" thickBot="1" x14ac:dyDescent="0.25">
      <c r="A11" s="15" t="str">
        <f>CONCATENATE("Total ",A7)</f>
        <v>Total Senior Personnel Salary</v>
      </c>
      <c r="B11" s="16">
        <f>SUM(B7:B10)</f>
        <v>0</v>
      </c>
      <c r="C11" s="16">
        <f t="shared" ref="C11:F11" si="2">SUM(C7:C10)</f>
        <v>0</v>
      </c>
      <c r="D11" s="16">
        <f t="shared" si="2"/>
        <v>0</v>
      </c>
      <c r="E11" s="16">
        <f t="shared" si="2"/>
        <v>0</v>
      </c>
      <c r="F11" s="16">
        <f t="shared" si="2"/>
        <v>0</v>
      </c>
      <c r="G11" s="28">
        <f>SUM(G7:G10)</f>
        <v>0</v>
      </c>
    </row>
    <row r="12" spans="1:14" ht="12" thickBot="1" x14ac:dyDescent="0.25">
      <c r="A12" s="14" t="s">
        <v>137</v>
      </c>
      <c r="B12" s="13"/>
      <c r="C12" s="13"/>
      <c r="D12" s="13"/>
      <c r="E12" s="13"/>
      <c r="F12" s="13"/>
      <c r="G12" s="27"/>
      <c r="I12" s="67" t="s">
        <v>86</v>
      </c>
      <c r="J12" s="31" t="str">
        <f>+'rates, dates, etc'!B103</f>
        <v>Year 1</v>
      </c>
      <c r="K12" s="31" t="str">
        <f>+'rates, dates, etc'!C103</f>
        <v>Year 2</v>
      </c>
      <c r="L12" s="31" t="str">
        <f>+'rates, dates, etc'!D103</f>
        <v>Year 3</v>
      </c>
      <c r="M12" s="31" t="str">
        <f>+'rates, dates, etc'!E103</f>
        <v>Year 4</v>
      </c>
      <c r="N12" s="31" t="str">
        <f>+'rates, dates, etc'!F103</f>
        <v>Year 5</v>
      </c>
    </row>
    <row r="13" spans="1:14" x14ac:dyDescent="0.2">
      <c r="A13" s="10" t="str">
        <f>+'rates, dates, etc'!A514</f>
        <v>Post Doctoral Scholar(s)</v>
      </c>
      <c r="B13" s="13">
        <f>HLOOKUP(B$4,'rates, dates, etc'!B513:H518,6,FALSE)</f>
        <v>0</v>
      </c>
      <c r="C13" s="13">
        <f>HLOOKUP(C$4,'rates, dates, etc'!C513:I518,6,FALSE)</f>
        <v>0</v>
      </c>
      <c r="D13" s="13">
        <f>HLOOKUP(D$4,'rates, dates, etc'!D513:J518,6,FALSE)</f>
        <v>0</v>
      </c>
      <c r="E13" s="13">
        <f>HLOOKUP(E$4,'rates, dates, etc'!E513:K518,6,FALSE)</f>
        <v>0</v>
      </c>
      <c r="F13" s="13">
        <f>HLOOKUP(F$4,'rates, dates, etc'!F513:L518,6,FALSE)</f>
        <v>0</v>
      </c>
      <c r="G13" s="27">
        <f>SUM(B13:F13)</f>
        <v>0</v>
      </c>
      <c r="I13" s="36" t="s">
        <v>32</v>
      </c>
      <c r="J13" s="37">
        <f>SUM('rates, dates, etc'!M522:M524)/3</f>
        <v>0</v>
      </c>
      <c r="K13" s="37">
        <f>SUM('rates, dates, etc'!N522:N524)/3</f>
        <v>0</v>
      </c>
      <c r="L13" s="37">
        <f>SUM('rates, dates, etc'!O522:O524)/3</f>
        <v>0</v>
      </c>
      <c r="M13" s="37">
        <f>SUM('rates, dates, etc'!P522:P524)/3</f>
        <v>0</v>
      </c>
      <c r="N13" s="37">
        <f>SUM('rates, dates, etc'!Q522:Q524)/3</f>
        <v>0</v>
      </c>
    </row>
    <row r="14" spans="1:14" x14ac:dyDescent="0.2">
      <c r="A14" s="10" t="str">
        <f>+'rates, dates, etc'!A521</f>
        <v>Other Professional(s) (Technicians, etc)</v>
      </c>
      <c r="B14" s="13">
        <f>HLOOKUP(B$4,'rates, dates, etc'!B520:H525,6,FALSE)</f>
        <v>0</v>
      </c>
      <c r="C14" s="13">
        <f>HLOOKUP(C$4,'rates, dates, etc'!C520:I525,6,FALSE)</f>
        <v>0</v>
      </c>
      <c r="D14" s="13">
        <f>HLOOKUP(D$4,'rates, dates, etc'!D520:J525,6,FALSE)</f>
        <v>0</v>
      </c>
      <c r="E14" s="13">
        <f>HLOOKUP(E$4,'rates, dates, etc'!E520:K525,6,FALSE)</f>
        <v>0</v>
      </c>
      <c r="F14" s="13">
        <f>HLOOKUP(F$4,'rates, dates, etc'!F520:L525,6,FALSE)</f>
        <v>0</v>
      </c>
      <c r="G14" s="27">
        <f>SUM(B14:F14)</f>
        <v>0</v>
      </c>
      <c r="I14" s="10" t="s">
        <v>22</v>
      </c>
      <c r="J14" s="12">
        <f>+'rates, dates, etc'!M528</f>
        <v>0</v>
      </c>
      <c r="K14" s="12">
        <f>+'rates, dates, etc'!N528</f>
        <v>0</v>
      </c>
      <c r="L14" s="12">
        <f>+'rates, dates, etc'!O528</f>
        <v>0</v>
      </c>
      <c r="M14" s="12">
        <f>+'rates, dates, etc'!P528</f>
        <v>0</v>
      </c>
      <c r="N14" s="12">
        <f>+'rates, dates, etc'!Q528</f>
        <v>0</v>
      </c>
    </row>
    <row r="15" spans="1:14" x14ac:dyDescent="0.2">
      <c r="A15" s="10" t="str">
        <f>+'rates, dates, etc'!A527</f>
        <v>Graduate Student(s)</v>
      </c>
      <c r="B15" s="13">
        <f>+J14</f>
        <v>0</v>
      </c>
      <c r="C15" s="13">
        <f t="shared" ref="C15:F15" si="3">+K14</f>
        <v>0</v>
      </c>
      <c r="D15" s="13">
        <f t="shared" si="3"/>
        <v>0</v>
      </c>
      <c r="E15" s="13">
        <f t="shared" si="3"/>
        <v>0</v>
      </c>
      <c r="F15" s="13">
        <f t="shared" si="3"/>
        <v>0</v>
      </c>
      <c r="G15" s="27">
        <f>SUM(B15:F15)</f>
        <v>0</v>
      </c>
      <c r="I15" s="10" t="s">
        <v>8</v>
      </c>
      <c r="J15" s="12">
        <f>+'rates, dates, etc'!M529</f>
        <v>0</v>
      </c>
      <c r="K15" s="12">
        <f>+'rates, dates, etc'!N529</f>
        <v>0</v>
      </c>
      <c r="L15" s="12">
        <f>+'rates, dates, etc'!O529</f>
        <v>0</v>
      </c>
      <c r="M15" s="12">
        <f>+'rates, dates, etc'!P529</f>
        <v>0</v>
      </c>
      <c r="N15" s="12">
        <f>+'rates, dates, etc'!Q529</f>
        <v>0</v>
      </c>
    </row>
    <row r="16" spans="1:14" x14ac:dyDescent="0.2">
      <c r="A16" s="10" t="str">
        <f>+'rates, dates, etc'!A532</f>
        <v>Undergraduate Student(s)</v>
      </c>
      <c r="B16" s="13">
        <f>+'rates, dates, etc'!B540</f>
        <v>0</v>
      </c>
      <c r="C16" s="13">
        <f>+'rates, dates, etc'!C540</f>
        <v>0</v>
      </c>
      <c r="D16" s="13">
        <f>+'rates, dates, etc'!D540</f>
        <v>0</v>
      </c>
      <c r="E16" s="13">
        <f>+'rates, dates, etc'!E540</f>
        <v>0</v>
      </c>
      <c r="F16" s="13">
        <f>+'rates, dates, etc'!F540</f>
        <v>0</v>
      </c>
      <c r="G16" s="27">
        <f t="shared" ref="G16:G18" si="4">SUM(B16:F16)</f>
        <v>0</v>
      </c>
      <c r="I16" s="10" t="s">
        <v>9</v>
      </c>
      <c r="J16" s="12">
        <f>+'rates, dates, etc'!M530</f>
        <v>0</v>
      </c>
      <c r="K16" s="12">
        <f>+'rates, dates, etc'!N530</f>
        <v>0</v>
      </c>
      <c r="L16" s="12">
        <f>+'rates, dates, etc'!O530</f>
        <v>0</v>
      </c>
      <c r="M16" s="12">
        <f>+'rates, dates, etc'!P530</f>
        <v>0</v>
      </c>
      <c r="N16" s="12">
        <f>+'rates, dates, etc'!Q530</f>
        <v>0</v>
      </c>
    </row>
    <row r="17" spans="1:15" ht="12" thickBot="1" x14ac:dyDescent="0.25">
      <c r="A17" s="10" t="str">
        <f>+'rates, dates, etc'!A543</f>
        <v>Other</v>
      </c>
      <c r="B17" s="13">
        <f>HLOOKUP(B$4,'rates, dates, etc'!B542:H547,6,FALSE)</f>
        <v>0</v>
      </c>
      <c r="C17" s="13">
        <f>HLOOKUP(C$4,'rates, dates, etc'!C542:I547,6,FALSE)</f>
        <v>0</v>
      </c>
      <c r="D17" s="13">
        <f>HLOOKUP(D$4,'rates, dates, etc'!D542:J547,6,FALSE)</f>
        <v>0</v>
      </c>
      <c r="E17" s="13">
        <f>HLOOKUP(E$4,'rates, dates, etc'!E542:K547,6,FALSE)</f>
        <v>0</v>
      </c>
      <c r="F17" s="13">
        <f>HLOOKUP(F$4,'rates, dates, etc'!F542:L547,6,FALSE)</f>
        <v>0</v>
      </c>
      <c r="G17" s="27">
        <f t="shared" si="4"/>
        <v>0</v>
      </c>
      <c r="I17" s="35" t="s">
        <v>31</v>
      </c>
      <c r="J17" s="38">
        <f>SUM(J14:J16)</f>
        <v>0</v>
      </c>
      <c r="K17" s="38">
        <f>SUM(K14:K16)</f>
        <v>0</v>
      </c>
      <c r="L17" s="38">
        <f>SUM(L14:L16)</f>
        <v>0</v>
      </c>
      <c r="M17" s="38">
        <f>SUM(M14:M16)</f>
        <v>0</v>
      </c>
      <c r="N17" s="38">
        <f>SUM(N14:N16)</f>
        <v>0</v>
      </c>
    </row>
    <row r="18" spans="1:15" x14ac:dyDescent="0.2">
      <c r="A18" s="10" t="str">
        <f>+'rates, dates, etc'!A550</f>
        <v>Other - Temp Employee (Endowed)</v>
      </c>
      <c r="B18" s="13">
        <f>+'rates, dates, etc'!B553</f>
        <v>0</v>
      </c>
      <c r="C18" s="13">
        <f>+'rates, dates, etc'!C553</f>
        <v>0</v>
      </c>
      <c r="D18" s="13">
        <f>+'rates, dates, etc'!D553</f>
        <v>0</v>
      </c>
      <c r="E18" s="13">
        <f>+'rates, dates, etc'!E553</f>
        <v>0</v>
      </c>
      <c r="F18" s="13">
        <f>+'rates, dates, etc'!F553</f>
        <v>0</v>
      </c>
      <c r="G18" s="27">
        <f t="shared" si="4"/>
        <v>0</v>
      </c>
    </row>
    <row r="19" spans="1:15" ht="12" thickBot="1" x14ac:dyDescent="0.25">
      <c r="A19" s="15" t="str">
        <f>CONCATENATE("Total ",A12)</f>
        <v>Total Other Personnel Salary</v>
      </c>
      <c r="B19" s="16">
        <f>SUM(B12:B18)</f>
        <v>0</v>
      </c>
      <c r="C19" s="16">
        <f>SUM(C12:C18)</f>
        <v>0</v>
      </c>
      <c r="D19" s="16">
        <f t="shared" ref="D19:F19" si="5">SUM(D12:D18)</f>
        <v>0</v>
      </c>
      <c r="E19" s="16">
        <f>SUM(E12:E18)</f>
        <v>0</v>
      </c>
      <c r="F19" s="16">
        <f t="shared" si="5"/>
        <v>0</v>
      </c>
      <c r="G19" s="28">
        <f>SUM(G12:G18)</f>
        <v>0</v>
      </c>
    </row>
    <row r="20" spans="1:15" x14ac:dyDescent="0.2">
      <c r="A20" s="17" t="s">
        <v>7</v>
      </c>
      <c r="B20" s="11" t="s">
        <v>6</v>
      </c>
      <c r="C20" s="11"/>
      <c r="D20" s="11"/>
      <c r="E20" s="11"/>
      <c r="F20" s="11"/>
      <c r="G20" s="27"/>
    </row>
    <row r="21" spans="1:15" x14ac:dyDescent="0.2">
      <c r="A21" s="10" t="str">
        <f>+A8</f>
        <v>Co-PI</v>
      </c>
      <c r="B21" s="11">
        <f>IF('rates, dates, etc'!$I473=9,ROUND((+B8*J$23),0),ROUND((+B8*J$26*$K$35)+(B8*K$26*$K$36),0))</f>
        <v>0</v>
      </c>
      <c r="C21" s="11">
        <f>IF('rates, dates, etc'!$I473=9,ROUND((+C8*K$23),0),ROUND((+C8*K$26*$K$35)+(C8*L$26*$K$36),0))</f>
        <v>0</v>
      </c>
      <c r="D21" s="11">
        <f>IF('rates, dates, etc'!$I473=9,ROUND((+D8*L$23),0),ROUND((+D8*L$26*$K$35)+(D8*M$26*$K$36),0))</f>
        <v>0</v>
      </c>
      <c r="E21" s="11">
        <f>IF('rates, dates, etc'!$I473=9,ROUND((+E8*M$23),0),ROUND((+E8*M$26*$K$35)+(E8*N$26*$K$36),0))</f>
        <v>0</v>
      </c>
      <c r="F21" s="11">
        <f>IF('rates, dates, etc'!$I473=9,ROUND((+F8*N$23),0),ROUND((+F8*N$26*$K$35)+(F8*O$26*$K$36),0))</f>
        <v>0</v>
      </c>
      <c r="G21" s="27">
        <f t="shared" ref="G21:G27" si="6">SUM(B21:F21)</f>
        <v>0</v>
      </c>
      <c r="I21" s="68" t="s">
        <v>33</v>
      </c>
    </row>
    <row r="22" spans="1:15" x14ac:dyDescent="0.2">
      <c r="A22" s="10" t="str">
        <f>+A9</f>
        <v>Co-PI</v>
      </c>
      <c r="B22" s="11">
        <f>IF('rates, dates, etc'!$I487=9,ROUND((+B9*J$23),0),ROUND((+B9*J$26*$K$35)+(B9*K$26*$K$36),0))</f>
        <v>0</v>
      </c>
      <c r="C22" s="11">
        <f>IF('rates, dates, etc'!$I487=9,ROUND((+C9*K$23),0),ROUND((+C9*K$26*$K$35)+(C9*L$26*$K$36),0))</f>
        <v>0</v>
      </c>
      <c r="D22" s="11">
        <f>IF('rates, dates, etc'!$I487=9,ROUND((+D9*L$23),0),ROUND((+D9*L$26*$K$35)+(D9*M$26*$K$36),0))</f>
        <v>0</v>
      </c>
      <c r="E22" s="11">
        <f>IF('rates, dates, etc'!$I487=9,ROUND((+E9*M$23),0),ROUND((+E9*M$26*$K$35)+(E9*N$26*$K$36),0))</f>
        <v>0</v>
      </c>
      <c r="F22" s="11">
        <f>IF('rates, dates, etc'!$I487=9,ROUND((+F9*N$23),0),ROUND((+F9*N$26*$K$35)+(F9*O$26*$K$36),0))</f>
        <v>0</v>
      </c>
      <c r="G22" s="27">
        <f t="shared" si="6"/>
        <v>0</v>
      </c>
      <c r="I22" s="95" t="s">
        <v>121</v>
      </c>
      <c r="J22" s="96" t="str">
        <f>+'rates, dates, etc'!Z5</f>
        <v>FY2024</v>
      </c>
      <c r="K22" s="96" t="str">
        <f>+'rates, dates, etc'!AA5</f>
        <v>FY2025</v>
      </c>
      <c r="L22" s="96" t="str">
        <f>+'rates, dates, etc'!AB5</f>
        <v>FY2026</v>
      </c>
      <c r="M22" s="96" t="str">
        <f>+'rates, dates, etc'!AC5</f>
        <v>FY2027</v>
      </c>
      <c r="N22" s="96" t="str">
        <f>+'rates, dates, etc'!AD5</f>
        <v>FY2028</v>
      </c>
    </row>
    <row r="23" spans="1:15" x14ac:dyDescent="0.2">
      <c r="A23" s="10" t="str">
        <f>+A10</f>
        <v>Co-PI</v>
      </c>
      <c r="B23" s="11">
        <f>IF('rates, dates, etc'!$I501=9,ROUND((+B10*J$23),0),ROUND((+B10*J$26*$K$35)+(B10*K$26*$K$36),0))</f>
        <v>0</v>
      </c>
      <c r="C23" s="11">
        <f>IF('rates, dates, etc'!$I501=9,ROUND((+C10*K$23),0),ROUND((+C10*K$26*$K$35)+(C10*L$26*$K$36),0))</f>
        <v>0</v>
      </c>
      <c r="D23" s="11">
        <f>IF('rates, dates, etc'!$I501=9,ROUND((+D10*L$23),0),ROUND((+D10*L$26*$K$35)+(D10*M$26*$K$36),0))</f>
        <v>0</v>
      </c>
      <c r="E23" s="11">
        <f>IF('rates, dates, etc'!$I501=9,ROUND((+E10*M$23),0),ROUND((+E10*M$26*$K$35)+(E10*N$26*$K$36),0))</f>
        <v>0</v>
      </c>
      <c r="F23" s="11">
        <f>IF('rates, dates, etc'!$I501=9,ROUND((+F10*N$23),0),ROUND((+F10*N$26*$K$35)+(F10*O$26*$K$36),0))</f>
        <v>0</v>
      </c>
      <c r="G23" s="27">
        <f t="shared" si="6"/>
        <v>0</v>
      </c>
      <c r="I23" s="3" t="str">
        <f>+'rates, dates, etc'!A461</f>
        <v xml:space="preserve">   Contract (Federal) - Senior Personnel</v>
      </c>
      <c r="J23" s="31">
        <f>IF('rates, dates, etc'!B460='rates, dates, etc'!Z5,'rates, dates, etc'!B461,'rates, dates, etc'!C461)</f>
        <v>0.68300000000000005</v>
      </c>
      <c r="K23" s="31">
        <f>IF('rates, dates, etc'!C460='rates, dates, etc'!AA5,'rates, dates, etc'!C461,'rates, dates, etc'!D461)</f>
        <v>0.68300000000000005</v>
      </c>
      <c r="L23" s="31">
        <f>IF('rates, dates, etc'!D460='rates, dates, etc'!AB5,'rates, dates, etc'!D461,'rates, dates, etc'!E461)</f>
        <v>0.68300000000000005</v>
      </c>
      <c r="M23" s="31">
        <f>IF('rates, dates, etc'!E460='rates, dates, etc'!AC5,'rates, dates, etc'!E461,'rates, dates, etc'!F461)</f>
        <v>0.68300000000000005</v>
      </c>
      <c r="N23" s="31">
        <f>IF('rates, dates, etc'!F460='rates, dates, etc'!AD5,'rates, dates, etc'!F461,'rates, dates, etc'!G461)</f>
        <v>0.68300000000000005</v>
      </c>
    </row>
    <row r="24" spans="1:15" x14ac:dyDescent="0.2">
      <c r="A24" s="10" t="str">
        <f>+A13</f>
        <v>Post Doctoral Scholar(s)</v>
      </c>
      <c r="B24" s="11">
        <f t="shared" ref="B24:F25" si="7">ROUND((+B13*J27*$K$35)+(B13*K27*$K$36),0)</f>
        <v>0</v>
      </c>
      <c r="C24" s="11">
        <f t="shared" si="7"/>
        <v>0</v>
      </c>
      <c r="D24" s="11">
        <f t="shared" si="7"/>
        <v>0</v>
      </c>
      <c r="E24" s="11">
        <f t="shared" si="7"/>
        <v>0</v>
      </c>
      <c r="F24" s="11">
        <f t="shared" si="7"/>
        <v>0</v>
      </c>
      <c r="G24" s="27">
        <f t="shared" si="6"/>
        <v>0</v>
      </c>
      <c r="J24" s="2"/>
      <c r="K24" s="2"/>
    </row>
    <row r="25" spans="1:15" x14ac:dyDescent="0.2">
      <c r="A25" s="10" t="str">
        <f>+A14</f>
        <v>Other Professional(s) (Technicians, etc)</v>
      </c>
      <c r="B25" s="11">
        <f t="shared" si="7"/>
        <v>0</v>
      </c>
      <c r="C25" s="11">
        <f t="shared" si="7"/>
        <v>0</v>
      </c>
      <c r="D25" s="11">
        <f t="shared" si="7"/>
        <v>0</v>
      </c>
      <c r="E25" s="11">
        <f t="shared" si="7"/>
        <v>0</v>
      </c>
      <c r="F25" s="11">
        <f t="shared" si="7"/>
        <v>0</v>
      </c>
      <c r="G25" s="27">
        <f t="shared" si="6"/>
        <v>0</v>
      </c>
      <c r="I25" s="95" t="s">
        <v>122</v>
      </c>
      <c r="J25" s="69" t="str">
        <f>+'rates, dates, etc'!Z4</f>
        <v>FY2023</v>
      </c>
      <c r="K25" s="69" t="str">
        <f>+'rates, dates, etc'!AA4</f>
        <v>FY2024</v>
      </c>
      <c r="L25" s="69" t="str">
        <f>+'rates, dates, etc'!AB4</f>
        <v>FY2025</v>
      </c>
      <c r="M25" s="69" t="str">
        <f>+'rates, dates, etc'!AC4</f>
        <v>FY2026</v>
      </c>
      <c r="N25" s="69" t="str">
        <f>+'rates, dates, etc'!AD4</f>
        <v>FY2027</v>
      </c>
      <c r="O25" s="69" t="str">
        <f>+'rates, dates, etc'!AE4</f>
        <v>FY2028</v>
      </c>
    </row>
    <row r="26" spans="1:15" x14ac:dyDescent="0.2">
      <c r="A26" s="10" t="str">
        <f>+A17</f>
        <v>Other</v>
      </c>
      <c r="B26" s="11">
        <f>IF('rates, dates, etc'!$I544=9,ROUND((+B17*J$23),0),ROUND((+B17*J$28*$K$35)+(B17*K$28*$K$36),0))</f>
        <v>0</v>
      </c>
      <c r="C26" s="11">
        <f>IF('rates, dates, etc'!$I544=9,ROUND((+C17*K$23),0),ROUND((+C17*K$28*$K$35)+(C17*L$28*$K$36),0))</f>
        <v>0</v>
      </c>
      <c r="D26" s="11">
        <f>IF('rates, dates, etc'!$I544=9,ROUND((+D17*L$23),0),ROUND((+D17*L$28*$K$35)+(D17*M$28*$K$36),0))</f>
        <v>0</v>
      </c>
      <c r="E26" s="11">
        <f>IF('rates, dates, etc'!$I544=9,ROUND((+E17*M$23),0),ROUND((+E17*M$28*$K$35)+(E17*N$28*$K$36),0))</f>
        <v>0</v>
      </c>
      <c r="F26" s="11">
        <f>IF('rates, dates, etc'!$I544=9,ROUND((+F17*N$23),0),ROUND((+F17*N$28*$K$35)+(F17*O$28*$K$36),0))</f>
        <v>0</v>
      </c>
      <c r="G26" s="27">
        <f t="shared" si="6"/>
        <v>0</v>
      </c>
      <c r="I26" s="3" t="str">
        <f>+'rates, dates, etc'!A461</f>
        <v xml:space="preserve">   Contract (Federal) - Senior Personnel</v>
      </c>
      <c r="J26" s="136">
        <f>+'rates, dates, etc'!B461</f>
        <v>0.68300000000000005</v>
      </c>
      <c r="K26" s="136">
        <f>+'rates, dates, etc'!C461</f>
        <v>0.68300000000000005</v>
      </c>
      <c r="L26" s="136">
        <f>+'rates, dates, etc'!D461</f>
        <v>0.68300000000000005</v>
      </c>
      <c r="M26" s="136">
        <f>+'rates, dates, etc'!E461</f>
        <v>0.68300000000000005</v>
      </c>
      <c r="N26" s="136">
        <f>+'rates, dates, etc'!F461</f>
        <v>0.68300000000000005</v>
      </c>
      <c r="O26" s="136">
        <f>+'rates, dates, etc'!G461</f>
        <v>0.68300000000000005</v>
      </c>
    </row>
    <row r="27" spans="1:15" x14ac:dyDescent="0.2">
      <c r="A27" s="10" t="str">
        <f>+A18</f>
        <v>Other - Temp Employee (Endowed)</v>
      </c>
      <c r="B27" s="11">
        <f>ROUND((+B18*J$29*$K$35)+(B18*K$29*$K$36),0)</f>
        <v>0</v>
      </c>
      <c r="C27" s="11">
        <f t="shared" ref="C27:F27" si="8">ROUND((+C18*K$29*$K$35)+(C18*L$29*$K$36),0)</f>
        <v>0</v>
      </c>
      <c r="D27" s="11">
        <f t="shared" si="8"/>
        <v>0</v>
      </c>
      <c r="E27" s="11">
        <f t="shared" si="8"/>
        <v>0</v>
      </c>
      <c r="F27" s="11">
        <f t="shared" si="8"/>
        <v>0</v>
      </c>
      <c r="G27" s="27">
        <f t="shared" si="6"/>
        <v>0</v>
      </c>
      <c r="I27" s="3" t="str">
        <f>+'rates, dates, etc'!A462</f>
        <v xml:space="preserve">   Contract (Federal) - Post Doc</v>
      </c>
      <c r="J27" s="136">
        <f>+'rates, dates, etc'!B462</f>
        <v>0.68300000000000005</v>
      </c>
      <c r="K27" s="136">
        <f>+'rates, dates, etc'!C462</f>
        <v>0.68300000000000005</v>
      </c>
      <c r="L27" s="136">
        <f>+'rates, dates, etc'!D462</f>
        <v>0.68300000000000005</v>
      </c>
      <c r="M27" s="136">
        <f>+'rates, dates, etc'!E462</f>
        <v>0.68300000000000005</v>
      </c>
      <c r="N27" s="136">
        <f>+'rates, dates, etc'!F462</f>
        <v>0.68300000000000005</v>
      </c>
      <c r="O27" s="136">
        <f>+'rates, dates, etc'!G462</f>
        <v>0.68300000000000005</v>
      </c>
    </row>
    <row r="28" spans="1:15" ht="12" thickBot="1" x14ac:dyDescent="0.25">
      <c r="A28" s="15" t="str">
        <f>CONCATENATE("Total ",A20)</f>
        <v>Total Fringe Benefits</v>
      </c>
      <c r="B28" s="16">
        <f>SUM(B20:B27)</f>
        <v>0</v>
      </c>
      <c r="C28" s="16">
        <f t="shared" ref="C28:F28" si="9">SUM(C20:C27)</f>
        <v>0</v>
      </c>
      <c r="D28" s="16">
        <f t="shared" si="9"/>
        <v>0</v>
      </c>
      <c r="E28" s="16">
        <f t="shared" si="9"/>
        <v>0</v>
      </c>
      <c r="F28" s="16">
        <f t="shared" si="9"/>
        <v>0</v>
      </c>
      <c r="G28" s="28">
        <f>SUM(G20:G27)</f>
        <v>0</v>
      </c>
      <c r="I28" s="3" t="str">
        <f>+'rates, dates, etc'!A463</f>
        <v xml:space="preserve">   Contract (Federal) - Other Employee</v>
      </c>
      <c r="J28" s="136">
        <f>+'rates, dates, etc'!B463</f>
        <v>0.68300000000000005</v>
      </c>
      <c r="K28" s="136">
        <f>+'rates, dates, etc'!C463</f>
        <v>0.68300000000000005</v>
      </c>
      <c r="L28" s="136">
        <f>+'rates, dates, etc'!D463</f>
        <v>0.68300000000000005</v>
      </c>
      <c r="M28" s="136">
        <f>+'rates, dates, etc'!E463</f>
        <v>0.68300000000000005</v>
      </c>
      <c r="N28" s="136">
        <f>+'rates, dates, etc'!F463</f>
        <v>0.68300000000000005</v>
      </c>
      <c r="O28" s="136">
        <f>+'rates, dates, etc'!G463</f>
        <v>0.68300000000000005</v>
      </c>
    </row>
    <row r="29" spans="1:15" ht="12" thickBot="1" x14ac:dyDescent="0.25">
      <c r="A29" s="143" t="s">
        <v>131</v>
      </c>
      <c r="B29" s="144">
        <f>+B11+B19+B28</f>
        <v>0</v>
      </c>
      <c r="C29" s="144">
        <f t="shared" ref="C29:F29" si="10">+C11+C19+C28</f>
        <v>0</v>
      </c>
      <c r="D29" s="144">
        <f t="shared" si="10"/>
        <v>0</v>
      </c>
      <c r="E29" s="144">
        <f t="shared" si="10"/>
        <v>0</v>
      </c>
      <c r="F29" s="144">
        <f t="shared" si="10"/>
        <v>0</v>
      </c>
      <c r="G29" s="145">
        <f>SUM(B29:F29)</f>
        <v>0</v>
      </c>
      <c r="I29" s="3" t="str">
        <f>+'rates, dates, etc'!A146</f>
        <v xml:space="preserve">   Temp Employee</v>
      </c>
      <c r="J29" s="2">
        <f>+'rates, dates, etc'!B464</f>
        <v>0.1</v>
      </c>
      <c r="K29" s="2">
        <f>+'rates, dates, etc'!C464</f>
        <v>0.1</v>
      </c>
      <c r="L29" s="2">
        <f>+'rates, dates, etc'!D464</f>
        <v>0.1</v>
      </c>
      <c r="M29" s="2">
        <f>+'rates, dates, etc'!E464</f>
        <v>0.1</v>
      </c>
      <c r="N29" s="2">
        <f>+'rates, dates, etc'!F464</f>
        <v>0.1</v>
      </c>
      <c r="O29" s="2">
        <f>+'rates, dates, etc'!G464</f>
        <v>0.1</v>
      </c>
    </row>
    <row r="30" spans="1:15" x14ac:dyDescent="0.2">
      <c r="A30" s="17" t="s">
        <v>25</v>
      </c>
      <c r="B30" s="11"/>
      <c r="C30" s="11"/>
      <c r="D30" s="11"/>
      <c r="E30" s="11"/>
      <c r="F30" s="11"/>
      <c r="G30" s="27"/>
    </row>
    <row r="31" spans="1:15" x14ac:dyDescent="0.2">
      <c r="A31" s="10" t="s">
        <v>66</v>
      </c>
      <c r="B31" s="11"/>
      <c r="C31" s="11"/>
      <c r="D31" s="11"/>
      <c r="E31" s="11"/>
      <c r="F31" s="11"/>
      <c r="G31" s="27">
        <f>SUM(B31:F31)</f>
        <v>0</v>
      </c>
      <c r="I31" s="95" t="str">
        <f>+'rates, dates, etc'!A42</f>
        <v>Rate Allowed by Sponsor:</v>
      </c>
      <c r="J31" s="2">
        <f>+'rates, dates, etc'!B42</f>
        <v>0.2</v>
      </c>
      <c r="K31" s="2">
        <f>+'rates, dates, etc'!C42</f>
        <v>0.2</v>
      </c>
      <c r="L31" s="2">
        <f>+'rates, dates, etc'!D42</f>
        <v>0.2</v>
      </c>
      <c r="M31" s="2">
        <f>+'rates, dates, etc'!E42</f>
        <v>0.2</v>
      </c>
      <c r="N31" s="2">
        <f>+'rates, dates, etc'!F42</f>
        <v>0.2</v>
      </c>
      <c r="O31" s="2">
        <f>+'rates, dates, etc'!G42</f>
        <v>0.2</v>
      </c>
    </row>
    <row r="32" spans="1:15" x14ac:dyDescent="0.2">
      <c r="A32" s="10"/>
      <c r="B32" s="11"/>
      <c r="C32" s="11"/>
      <c r="D32" s="11"/>
      <c r="E32" s="11"/>
      <c r="F32" s="11"/>
      <c r="G32" s="27">
        <f>SUM(B32:F32)</f>
        <v>0</v>
      </c>
      <c r="I32" s="95" t="str">
        <f>+'rates, dates, etc'!A465</f>
        <v>Cornell IDC Rate - Contract College</v>
      </c>
      <c r="J32" s="2">
        <f>+'rates, dates, etc'!B465</f>
        <v>0.56999999999999995</v>
      </c>
      <c r="K32" s="2">
        <f>+'rates, dates, etc'!C465</f>
        <v>0.56999999999999995</v>
      </c>
      <c r="L32" s="2">
        <f>+'rates, dates, etc'!D465</f>
        <v>0.56999999999999995</v>
      </c>
      <c r="M32" s="2">
        <f>+'rates, dates, etc'!E465</f>
        <v>0.56999999999999995</v>
      </c>
      <c r="N32" s="2">
        <f>+'rates, dates, etc'!F465</f>
        <v>0.56999999999999995</v>
      </c>
      <c r="O32" s="2">
        <f>+'rates, dates, etc'!G465</f>
        <v>0.56999999999999995</v>
      </c>
    </row>
    <row r="33" spans="1:15" ht="12" thickBot="1" x14ac:dyDescent="0.25">
      <c r="A33" s="15" t="str">
        <f>CONCATENATE("Total ",A30)</f>
        <v>Total Equipment</v>
      </c>
      <c r="B33" s="16">
        <f>SUM(B30:B32)</f>
        <v>0</v>
      </c>
      <c r="C33" s="16">
        <f>SUM(C30:C32)</f>
        <v>0</v>
      </c>
      <c r="D33" s="16">
        <f t="shared" ref="D33:F33" si="11">SUM(D30:D32)</f>
        <v>0</v>
      </c>
      <c r="E33" s="16">
        <f t="shared" si="11"/>
        <v>0</v>
      </c>
      <c r="F33" s="16">
        <f t="shared" si="11"/>
        <v>0</v>
      </c>
      <c r="G33" s="28">
        <f>SUM(G30:G32)</f>
        <v>0</v>
      </c>
      <c r="N33" s="13"/>
      <c r="O33" s="13"/>
    </row>
    <row r="34" spans="1:15" x14ac:dyDescent="0.2">
      <c r="A34" s="17" t="s">
        <v>34</v>
      </c>
      <c r="B34" s="11"/>
      <c r="C34" s="11"/>
      <c r="D34" s="11"/>
      <c r="E34" s="11"/>
      <c r="F34" s="11"/>
      <c r="G34" s="27"/>
      <c r="I34" s="71" t="str">
        <f>+'rates, dates, etc'!L39</f>
        <v>Pro-rating factor for 12 month appts.:</v>
      </c>
      <c r="J34" s="31" t="s">
        <v>36</v>
      </c>
      <c r="K34" s="31" t="s">
        <v>56</v>
      </c>
      <c r="N34" s="13"/>
      <c r="O34" s="13"/>
    </row>
    <row r="35" spans="1:15" x14ac:dyDescent="0.2">
      <c r="A35" s="10" t="s">
        <v>10</v>
      </c>
      <c r="B35" s="11"/>
      <c r="C35" s="11"/>
      <c r="D35" s="11"/>
      <c r="E35" s="11"/>
      <c r="F35" s="11"/>
      <c r="G35" s="27">
        <f>SUM(B35:F35)</f>
        <v>0</v>
      </c>
      <c r="I35" s="72" t="s">
        <v>51</v>
      </c>
      <c r="J35" s="68">
        <f>+'rates, dates, etc'!M41</f>
        <v>6</v>
      </c>
      <c r="K35" s="68">
        <f>+'rates, dates, etc'!N41</f>
        <v>0.5</v>
      </c>
      <c r="N35" s="13"/>
      <c r="O35" s="13"/>
    </row>
    <row r="36" spans="1:15" x14ac:dyDescent="0.2">
      <c r="A36" s="10" t="s">
        <v>11</v>
      </c>
      <c r="B36" s="11"/>
      <c r="C36" s="11"/>
      <c r="D36" s="11"/>
      <c r="E36" s="11"/>
      <c r="F36" s="11"/>
      <c r="G36" s="27">
        <f>SUM(B36:F36)</f>
        <v>0</v>
      </c>
      <c r="I36" s="72" t="s">
        <v>52</v>
      </c>
      <c r="J36" s="68">
        <f>+'rates, dates, etc'!M42</f>
        <v>6</v>
      </c>
      <c r="K36" s="68">
        <f>+'rates, dates, etc'!N42</f>
        <v>0.5</v>
      </c>
    </row>
    <row r="37" spans="1:15" ht="12" thickBot="1" x14ac:dyDescent="0.25">
      <c r="A37" s="15" t="str">
        <f>CONCATENATE("Total ",A34)</f>
        <v>Total Travel</v>
      </c>
      <c r="B37" s="16">
        <f>SUM(B34:B36)</f>
        <v>0</v>
      </c>
      <c r="C37" s="16">
        <f>SUM(C34:C36)</f>
        <v>0</v>
      </c>
      <c r="D37" s="16">
        <f t="shared" ref="D37:F37" si="12">SUM(D34:D36)</f>
        <v>0</v>
      </c>
      <c r="E37" s="16">
        <f t="shared" si="12"/>
        <v>0</v>
      </c>
      <c r="F37" s="16">
        <f t="shared" si="12"/>
        <v>0</v>
      </c>
      <c r="G37" s="28">
        <f>SUM(G34:G36)</f>
        <v>0</v>
      </c>
      <c r="I37" s="70"/>
      <c r="J37" s="73">
        <f>SUM(J35:J36)</f>
        <v>12</v>
      </c>
      <c r="K37" s="2" t="s">
        <v>97</v>
      </c>
    </row>
    <row r="38" spans="1:15" x14ac:dyDescent="0.2">
      <c r="A38" s="17" t="s">
        <v>27</v>
      </c>
      <c r="B38" s="11"/>
      <c r="C38" s="11"/>
      <c r="D38" s="11"/>
      <c r="E38" s="11"/>
      <c r="F38" s="11"/>
      <c r="G38" s="27"/>
      <c r="I38" s="2"/>
      <c r="J38" s="2"/>
      <c r="K38" s="2"/>
    </row>
    <row r="39" spans="1:15" x14ac:dyDescent="0.2">
      <c r="A39" s="10" t="s">
        <v>91</v>
      </c>
      <c r="B39" s="11"/>
      <c r="C39" s="11"/>
      <c r="D39" s="11"/>
      <c r="E39" s="11"/>
      <c r="F39" s="11"/>
      <c r="G39" s="27">
        <f>SUM(B39:F39)</f>
        <v>0</v>
      </c>
      <c r="I39" s="2"/>
      <c r="J39" s="2"/>
      <c r="K39" s="2"/>
    </row>
    <row r="40" spans="1:15" x14ac:dyDescent="0.2">
      <c r="A40" s="10" t="s">
        <v>47</v>
      </c>
      <c r="B40" s="11"/>
      <c r="C40" s="11"/>
      <c r="D40" s="11"/>
      <c r="E40" s="11"/>
      <c r="F40" s="11"/>
      <c r="G40" s="27">
        <f t="shared" ref="G40:G42" si="13">SUM(B40:F40)</f>
        <v>0</v>
      </c>
      <c r="I40" s="2"/>
      <c r="J40" s="2"/>
      <c r="K40" s="2"/>
    </row>
    <row r="41" spans="1:15" x14ac:dyDescent="0.2">
      <c r="A41" s="10" t="s">
        <v>34</v>
      </c>
      <c r="B41" s="11"/>
      <c r="C41" s="11"/>
      <c r="D41" s="11"/>
      <c r="E41" s="11"/>
      <c r="F41" s="11"/>
      <c r="G41" s="27">
        <f t="shared" si="13"/>
        <v>0</v>
      </c>
      <c r="K41" s="2"/>
    </row>
    <row r="42" spans="1:15" x14ac:dyDescent="0.2">
      <c r="A42" s="10" t="s">
        <v>48</v>
      </c>
      <c r="B42" s="11"/>
      <c r="C42" s="11"/>
      <c r="D42" s="11"/>
      <c r="E42" s="11"/>
      <c r="F42" s="11"/>
      <c r="G42" s="27">
        <f t="shared" si="13"/>
        <v>0</v>
      </c>
    </row>
    <row r="43" spans="1:15" x14ac:dyDescent="0.2">
      <c r="A43" s="10" t="s">
        <v>29</v>
      </c>
      <c r="B43" s="11"/>
      <c r="C43" s="11"/>
      <c r="D43" s="11"/>
      <c r="E43" s="11"/>
      <c r="F43" s="11"/>
      <c r="G43" s="27">
        <f>SUM(B43:F43)</f>
        <v>0</v>
      </c>
    </row>
    <row r="44" spans="1:15" ht="12" thickBot="1" x14ac:dyDescent="0.25">
      <c r="A44" s="15" t="str">
        <f>CONCATENATE("Total ",A38)</f>
        <v>Total Participant Support Costs</v>
      </c>
      <c r="B44" s="16">
        <f>SUM(B38:B43)</f>
        <v>0</v>
      </c>
      <c r="C44" s="16">
        <f>SUM(C38:C43)</f>
        <v>0</v>
      </c>
      <c r="D44" s="16">
        <f t="shared" ref="D44:F44" si="14">SUM(D38:D43)</f>
        <v>0</v>
      </c>
      <c r="E44" s="16">
        <f t="shared" si="14"/>
        <v>0</v>
      </c>
      <c r="F44" s="16">
        <f t="shared" si="14"/>
        <v>0</v>
      </c>
      <c r="G44" s="28">
        <f>SUM(G38:G43)</f>
        <v>0</v>
      </c>
    </row>
    <row r="45" spans="1:15" x14ac:dyDescent="0.2">
      <c r="A45" s="17" t="s">
        <v>13</v>
      </c>
      <c r="B45" s="11"/>
      <c r="C45" s="11"/>
      <c r="D45" s="11"/>
      <c r="E45" s="11"/>
      <c r="F45" s="11"/>
      <c r="G45" s="27"/>
    </row>
    <row r="46" spans="1:15" x14ac:dyDescent="0.2">
      <c r="A46" s="10" t="str">
        <f>+'Lead Budget'!A46</f>
        <v>Materials &amp; Supplies</v>
      </c>
      <c r="B46" s="18"/>
      <c r="C46" s="18"/>
      <c r="D46" s="18"/>
      <c r="E46" s="18"/>
      <c r="F46" s="18"/>
      <c r="G46" s="27">
        <f t="shared" ref="G46:G54" si="15">SUM(B46:F46)</f>
        <v>0</v>
      </c>
    </row>
    <row r="47" spans="1:15" x14ac:dyDescent="0.2">
      <c r="A47" s="10" t="str">
        <f>+'Lead Budget'!A47</f>
        <v>Publication Costs</v>
      </c>
      <c r="B47" s="18"/>
      <c r="C47" s="18"/>
      <c r="D47" s="18"/>
      <c r="E47" s="18"/>
      <c r="F47" s="18"/>
      <c r="G47" s="27">
        <f t="shared" si="15"/>
        <v>0</v>
      </c>
    </row>
    <row r="48" spans="1:15" x14ac:dyDescent="0.2">
      <c r="A48" s="10" t="str">
        <f>+'Lead Budget'!A48</f>
        <v>Consultant Services</v>
      </c>
      <c r="B48" s="18"/>
      <c r="C48" s="18"/>
      <c r="D48" s="18"/>
      <c r="E48" s="18"/>
      <c r="F48" s="18"/>
      <c r="G48" s="27">
        <f t="shared" si="15"/>
        <v>0</v>
      </c>
    </row>
    <row r="49" spans="1:15" x14ac:dyDescent="0.2">
      <c r="A49" s="10" t="str">
        <f>+'Lead Budget'!A49</f>
        <v>ADP/Computer Services</v>
      </c>
      <c r="B49" s="18"/>
      <c r="C49" s="18"/>
      <c r="D49" s="18"/>
      <c r="E49" s="18"/>
      <c r="F49" s="18"/>
      <c r="G49" s="27">
        <f t="shared" si="15"/>
        <v>0</v>
      </c>
    </row>
    <row r="50" spans="1:15" x14ac:dyDescent="0.2">
      <c r="A50" s="10" t="str">
        <f>+'Lead Budget'!A50</f>
        <v xml:space="preserve">SubContracts </v>
      </c>
      <c r="B50" s="18"/>
      <c r="C50" s="18"/>
      <c r="D50" s="18"/>
      <c r="E50" s="18"/>
      <c r="F50" s="18"/>
      <c r="G50" s="27">
        <f t="shared" si="15"/>
        <v>0</v>
      </c>
    </row>
    <row r="51" spans="1:15" x14ac:dyDescent="0.2">
      <c r="A51" s="10" t="str">
        <f>+'Lead Budget'!A51</f>
        <v xml:space="preserve">Equipment or Facility Rental/User Fees </v>
      </c>
      <c r="B51" s="18"/>
      <c r="C51" s="18"/>
      <c r="D51" s="18"/>
      <c r="E51" s="18"/>
      <c r="F51" s="18"/>
      <c r="G51" s="27">
        <f t="shared" si="15"/>
        <v>0</v>
      </c>
    </row>
    <row r="52" spans="1:15" x14ac:dyDescent="0.2">
      <c r="A52" s="10" t="str">
        <f>+'Lead Budget'!A52</f>
        <v>Other: Tuition</v>
      </c>
      <c r="B52" s="18">
        <f>+J15</f>
        <v>0</v>
      </c>
      <c r="C52" s="18">
        <f t="shared" ref="C52:F52" si="16">+K15</f>
        <v>0</v>
      </c>
      <c r="D52" s="18">
        <f t="shared" si="16"/>
        <v>0</v>
      </c>
      <c r="E52" s="18">
        <f t="shared" si="16"/>
        <v>0</v>
      </c>
      <c r="F52" s="18">
        <f t="shared" si="16"/>
        <v>0</v>
      </c>
      <c r="G52" s="27">
        <f t="shared" si="15"/>
        <v>0</v>
      </c>
    </row>
    <row r="53" spans="1:15" x14ac:dyDescent="0.2">
      <c r="A53" s="10" t="str">
        <f>+'Lead Budget'!A53</f>
        <v>Other: Health Insurance</v>
      </c>
      <c r="B53" s="18">
        <f>+J16</f>
        <v>0</v>
      </c>
      <c r="C53" s="18">
        <f t="shared" ref="C53:F53" si="17">+K16</f>
        <v>0</v>
      </c>
      <c r="D53" s="18">
        <f t="shared" si="17"/>
        <v>0</v>
      </c>
      <c r="E53" s="18">
        <f t="shared" si="17"/>
        <v>0</v>
      </c>
      <c r="F53" s="18">
        <f t="shared" si="17"/>
        <v>0</v>
      </c>
      <c r="G53" s="27">
        <f t="shared" si="15"/>
        <v>0</v>
      </c>
    </row>
    <row r="54" spans="1:15" x14ac:dyDescent="0.2">
      <c r="A54" s="10" t="str">
        <f>+'Lead Budget'!A54</f>
        <v>Other</v>
      </c>
      <c r="B54" s="18"/>
      <c r="C54" s="18"/>
      <c r="D54" s="18"/>
      <c r="E54" s="18"/>
      <c r="F54" s="18"/>
      <c r="G54" s="27">
        <f t="shared" si="15"/>
        <v>0</v>
      </c>
      <c r="K54" s="2"/>
      <c r="N54" s="13"/>
      <c r="O54" s="13"/>
    </row>
    <row r="55" spans="1:15" ht="12" thickBot="1" x14ac:dyDescent="0.25">
      <c r="A55" s="15" t="str">
        <f>CONCATENATE("Total ",A45)</f>
        <v>Total Other Direct Costs</v>
      </c>
      <c r="B55" s="28">
        <f t="shared" ref="B55:G55" si="18">SUM(B45:B54)</f>
        <v>0</v>
      </c>
      <c r="C55" s="16">
        <f t="shared" si="18"/>
        <v>0</v>
      </c>
      <c r="D55" s="16">
        <f t="shared" si="18"/>
        <v>0</v>
      </c>
      <c r="E55" s="16">
        <f t="shared" si="18"/>
        <v>0</v>
      </c>
      <c r="F55" s="16">
        <f t="shared" si="18"/>
        <v>0</v>
      </c>
      <c r="G55" s="28">
        <f t="shared" si="18"/>
        <v>0</v>
      </c>
      <c r="N55" s="13"/>
      <c r="O55" s="13"/>
    </row>
    <row r="56" spans="1:15" ht="12" thickBot="1" x14ac:dyDescent="0.25">
      <c r="A56" s="99" t="s">
        <v>16</v>
      </c>
      <c r="B56" s="137">
        <f t="shared" ref="B56:G56" si="19">SUM(+B11+B19+B28+B33+B37+B44+B55)</f>
        <v>0</v>
      </c>
      <c r="C56" s="137">
        <f t="shared" si="19"/>
        <v>0</v>
      </c>
      <c r="D56" s="137">
        <f t="shared" si="19"/>
        <v>0</v>
      </c>
      <c r="E56" s="137">
        <f t="shared" si="19"/>
        <v>0</v>
      </c>
      <c r="F56" s="137">
        <f t="shared" si="19"/>
        <v>0</v>
      </c>
      <c r="G56" s="138">
        <f t="shared" si="19"/>
        <v>0</v>
      </c>
      <c r="N56" s="13"/>
      <c r="O56" s="13"/>
    </row>
    <row r="57" spans="1:15" ht="12" thickBot="1" x14ac:dyDescent="0.25">
      <c r="A57" s="7" t="s">
        <v>17</v>
      </c>
      <c r="B57" s="21">
        <f>+B56-(+J15+J16+B44+B63+B33)</f>
        <v>0</v>
      </c>
      <c r="C57" s="21">
        <f>+C56-(+K15+K16+C44+C63+C33)</f>
        <v>0</v>
      </c>
      <c r="D57" s="21">
        <f>+D56-(+L15+L16+D44+D63+D33)</f>
        <v>0</v>
      </c>
      <c r="E57" s="21">
        <f>+E56-(+M15+M16+E44+E63+E33)</f>
        <v>0</v>
      </c>
      <c r="F57" s="21">
        <f>+F56-(+N15+N16+F44+F63+F33)</f>
        <v>0</v>
      </c>
      <c r="G57" s="20">
        <f>SUM(B57:F57)</f>
        <v>0</v>
      </c>
      <c r="H57" s="117"/>
      <c r="N57" s="13"/>
      <c r="O57" s="13"/>
    </row>
    <row r="58" spans="1:15" ht="12" thickBot="1" x14ac:dyDescent="0.25">
      <c r="A58" s="108" t="s">
        <v>18</v>
      </c>
      <c r="B58" s="139">
        <f>IF(AND('rates, dates, etc'!$B$11="no",'Budget Summary'!$G$102&lt;'Budget Summary'!$G$103),B65,B66)</f>
        <v>0</v>
      </c>
      <c r="C58" s="139">
        <f>IF(AND('rates, dates, etc'!$B$11="no",'Budget Summary'!$G$102&lt;'Budget Summary'!$G$103),C65,C66)</f>
        <v>0</v>
      </c>
      <c r="D58" s="139">
        <f>IF(AND('rates, dates, etc'!$B$11="no",'Budget Summary'!$G$102&lt;'Budget Summary'!$G$103),D65,D66)</f>
        <v>0</v>
      </c>
      <c r="E58" s="139">
        <f>IF(AND('rates, dates, etc'!$B$11="no",'Budget Summary'!$G$102&lt;'Budget Summary'!$G$103),E65,E66)</f>
        <v>0</v>
      </c>
      <c r="F58" s="139">
        <f>IF(AND('rates, dates, etc'!$B$11="no",'Budget Summary'!$G$102&lt;'Budget Summary'!$G$103),F65,F66)</f>
        <v>0</v>
      </c>
      <c r="G58" s="140">
        <f>SUM(B58:F58)</f>
        <v>0</v>
      </c>
      <c r="H58" s="116"/>
      <c r="N58" s="13"/>
      <c r="O58" s="13"/>
    </row>
    <row r="59" spans="1:15" ht="12" thickBot="1" x14ac:dyDescent="0.25">
      <c r="A59" s="109" t="s">
        <v>19</v>
      </c>
      <c r="B59" s="141">
        <f>+B56+B58</f>
        <v>0</v>
      </c>
      <c r="C59" s="141">
        <f t="shared" ref="C59:F59" si="20">+C56+C58</f>
        <v>0</v>
      </c>
      <c r="D59" s="141">
        <f t="shared" si="20"/>
        <v>0</v>
      </c>
      <c r="E59" s="141">
        <f t="shared" si="20"/>
        <v>0</v>
      </c>
      <c r="F59" s="141">
        <f t="shared" si="20"/>
        <v>0</v>
      </c>
      <c r="G59" s="142">
        <f>SUM(B59:F59)</f>
        <v>0</v>
      </c>
      <c r="L59" s="12"/>
      <c r="N59" s="13"/>
      <c r="O59" s="13"/>
    </row>
    <row r="60" spans="1:15" x14ac:dyDescent="0.2">
      <c r="A60" s="22"/>
      <c r="B60" s="12"/>
      <c r="C60" s="12"/>
      <c r="D60" s="12"/>
      <c r="E60" s="12"/>
      <c r="F60" s="12"/>
      <c r="L60" s="12"/>
      <c r="N60" s="13"/>
      <c r="O60" s="13"/>
    </row>
    <row r="61" spans="1:15" x14ac:dyDescent="0.2">
      <c r="A61" s="22"/>
      <c r="B61" s="12"/>
      <c r="C61" s="12"/>
      <c r="D61" s="12"/>
      <c r="E61" s="12"/>
      <c r="F61" s="12"/>
      <c r="K61" s="39"/>
      <c r="L61" s="39"/>
      <c r="M61" s="39"/>
      <c r="N61" s="13"/>
      <c r="O61" s="13"/>
    </row>
    <row r="62" spans="1:15" ht="12" thickBot="1" x14ac:dyDescent="0.25">
      <c r="A62" s="44"/>
      <c r="B62" s="45"/>
      <c r="C62" s="45"/>
      <c r="D62" s="45"/>
      <c r="E62" s="45"/>
      <c r="F62" s="45"/>
      <c r="G62" s="45"/>
    </row>
    <row r="63" spans="1:15" ht="12" thickBot="1" x14ac:dyDescent="0.25">
      <c r="A63" s="41" t="s">
        <v>45</v>
      </c>
      <c r="B63" s="42">
        <f>+B50-IF(B50&lt;25000,B50,25000)</f>
        <v>0</v>
      </c>
      <c r="C63" s="42">
        <f>+C50-IF(+B50&gt;25000,0,IF(B50+C50&gt;25000,(25000-B50),C50))</f>
        <v>0</v>
      </c>
      <c r="D63" s="42">
        <f>+D50-IF(+B50+C50&gt;25000,0,IF(B50+C50+D50&gt;25000,(25000-(B50+C50)),D50))</f>
        <v>0</v>
      </c>
      <c r="E63" s="42">
        <f>+E50-IF(B50+C50+D50&gt;25000,0,IF(B50+C50+D50+E50&gt;25000,(25000-(C50+C50+D50)),E50))</f>
        <v>0</v>
      </c>
      <c r="F63" s="42">
        <f>+F50-IF(B50+C50+D50+E50&gt;25000,0,IF(B50+C50+D50+E50+F50&gt;25000,(25000-(B50+C50+D50+E50)),F50))</f>
        <v>0</v>
      </c>
      <c r="G63" s="43">
        <f>SUM(B63:F63)</f>
        <v>0</v>
      </c>
    </row>
    <row r="64" spans="1:15" ht="12" thickBot="1" x14ac:dyDescent="0.25">
      <c r="A64" s="44"/>
      <c r="B64" s="45"/>
      <c r="C64" s="45"/>
      <c r="D64" s="45"/>
      <c r="E64" s="45"/>
      <c r="F64" s="45"/>
      <c r="G64" s="45"/>
    </row>
    <row r="65" spans="1:7" ht="12" thickBot="1" x14ac:dyDescent="0.25">
      <c r="A65" s="101" t="s">
        <v>135</v>
      </c>
      <c r="B65" s="103">
        <f>IF('rates, dates, etc'!$B$11="Yes",0,ROUND((B56*J31*$K$35)+(B56*K31*$K$36),0))</f>
        <v>0</v>
      </c>
      <c r="C65" s="104">
        <f>IF('rates, dates, etc'!$B$11="Yes",0,ROUND((C56*K31*$K$35)+(C56*L31*$K$36),0))</f>
        <v>0</v>
      </c>
      <c r="D65" s="104">
        <f>IF('rates, dates, etc'!$B$11="Yes",0,ROUND((D56*L31*$K$35)+(D56*M31*$K$36),0))</f>
        <v>0</v>
      </c>
      <c r="E65" s="104">
        <f>IF('rates, dates, etc'!$B$11="Yes",0,ROUND((E56*M31*$K$35)+(E56*N31*$K$36),0))</f>
        <v>0</v>
      </c>
      <c r="F65" s="104">
        <f>IF('rates, dates, etc'!$B$11="Yes",0,ROUND((F56*N31*$K$35)+(F56*O31*$K$36),0))</f>
        <v>0</v>
      </c>
      <c r="G65" s="103">
        <f t="shared" ref="G65:G66" si="21">SUM(B65:F65)</f>
        <v>0</v>
      </c>
    </row>
    <row r="66" spans="1:7" ht="12" thickBot="1" x14ac:dyDescent="0.25">
      <c r="A66" s="102" t="s">
        <v>134</v>
      </c>
      <c r="B66" s="103">
        <f>ROUND((B57*J32*$K$35)+(B57*K32*$K$36),0)</f>
        <v>0</v>
      </c>
      <c r="C66" s="104">
        <f>ROUND((C57*K32*$K$35)+(C57*L32*$K$36),0)</f>
        <v>0</v>
      </c>
      <c r="D66" s="104">
        <f>ROUND((D57*L32*$K$35)+(D57*M32*$K$36),0)</f>
        <v>0</v>
      </c>
      <c r="E66" s="104">
        <f>ROUND((E57*M32*$K$35)+(E57*N32*$K$36),0)</f>
        <v>0</v>
      </c>
      <c r="F66" s="104">
        <f>ROUND((F57*N32*$K$35)+(F57*O32*$K$36),0)</f>
        <v>0</v>
      </c>
      <c r="G66" s="103">
        <f t="shared" si="21"/>
        <v>0</v>
      </c>
    </row>
  </sheetData>
  <pageMargins left="0.75" right="0.53" top="0.7" bottom="0.64" header="0.5" footer="0.5"/>
  <pageSetup scale="95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stopIfTrue="1" id="{7B40B475-70F1-4960-89D6-75EBFA13E9C3}">
            <xm:f>'rates, dates, etc'!$B$11="Yes"</xm:f>
            <x14:dxf>
              <font>
                <color rgb="FFFF0000"/>
              </font>
            </x14:dxf>
          </x14:cfRule>
          <xm:sqref>A66:G66</xm:sqref>
        </x14:conditionalFormatting>
        <x14:conditionalFormatting xmlns:xm="http://schemas.microsoft.com/office/excel/2006/main">
          <x14:cfRule type="expression" priority="1" stopIfTrue="1" id="{2318477A-D934-40C3-AF23-73BCAABDBA2E}">
            <xm:f>'rates, dates, etc'!$B$11="Yes"</xm:f>
            <x14:dxf/>
          </x14:cfRule>
          <xm:sqref>A65:G65</xm:sqref>
        </x14:conditionalFormatting>
        <x14:conditionalFormatting xmlns:xm="http://schemas.microsoft.com/office/excel/2006/main">
          <x14:cfRule type="expression" priority="101" id="{3D35D453-3254-4BA9-9095-0F29D9C3C534}">
            <xm:f>'Budget Summary'!$G$103&lt;'Budget Summary'!$G$102</xm:f>
            <x14:dxf>
              <font>
                <color rgb="FFFF0000"/>
              </font>
            </x14:dxf>
          </x14:cfRule>
          <xm:sqref>A66:G66</xm:sqref>
        </x14:conditionalFormatting>
        <x14:conditionalFormatting xmlns:xm="http://schemas.microsoft.com/office/excel/2006/main">
          <x14:cfRule type="expression" priority="102" id="{12EB2368-D012-4863-9BDF-A5B26530D6EE}">
            <xm:f>'Budget Summary'!$G$102&lt;'Budget Summary'!$G$103</xm:f>
            <x14:dxf>
              <font>
                <color rgb="FFFF0000"/>
              </font>
            </x14:dxf>
          </x14:cfRule>
          <xm:sqref>A65:G65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5" tint="0.59999389629810485"/>
    <pageSetUpPr fitToPage="1"/>
  </sheetPr>
  <dimension ref="A1:O66"/>
  <sheetViews>
    <sheetView zoomScale="130" zoomScaleNormal="130" workbookViewId="0">
      <selection activeCell="B7" sqref="B7"/>
    </sheetView>
  </sheetViews>
  <sheetFormatPr defaultColWidth="9.28515625" defaultRowHeight="11.25" x14ac:dyDescent="0.2"/>
  <cols>
    <col min="1" max="1" width="33.42578125" style="2" customWidth="1"/>
    <col min="2" max="6" width="8.42578125" style="2" customWidth="1"/>
    <col min="7" max="7" width="9.5703125" style="3" bestFit="1" customWidth="1"/>
    <col min="8" max="8" width="11" style="3" customWidth="1"/>
    <col min="9" max="9" width="29.28515625" style="3" customWidth="1"/>
    <col min="10" max="11" width="9.7109375" style="3" customWidth="1"/>
    <col min="12" max="13" width="9.7109375" style="2" customWidth="1"/>
    <col min="14" max="16384" width="9.28515625" style="2"/>
  </cols>
  <sheetData>
    <row r="1" spans="1:14" ht="12.75" x14ac:dyDescent="0.2">
      <c r="A1" s="1" t="str">
        <f>+'rates, dates, etc'!B4</f>
        <v>Assessing the Potential for Demand Response to Manage Generation Shortfalls in a Zero-Carbon Electricity Grid”</v>
      </c>
      <c r="D1" s="87"/>
    </row>
    <row r="2" spans="1:14" ht="12.75" x14ac:dyDescent="0.2">
      <c r="A2" s="1" t="str">
        <f>+'rates, dates, etc'!B3</f>
        <v>USDA</v>
      </c>
      <c r="H2" s="87"/>
    </row>
    <row r="3" spans="1:14" ht="12.75" customHeight="1" thickBot="1" x14ac:dyDescent="0.25"/>
    <row r="4" spans="1:14" x14ac:dyDescent="0.2">
      <c r="A4" s="4" t="str">
        <f ca="1">CONCATENATE("Cornell University - ",'rates, dates, etc'!A23)</f>
        <v>Cornell University - Co-PI Budget (5)</v>
      </c>
      <c r="B4" s="5" t="s">
        <v>1</v>
      </c>
      <c r="C4" s="5" t="s">
        <v>2</v>
      </c>
      <c r="D4" s="5" t="s">
        <v>3</v>
      </c>
      <c r="E4" s="5" t="s">
        <v>44</v>
      </c>
      <c r="F4" s="5" t="s">
        <v>50</v>
      </c>
      <c r="G4" s="23"/>
    </row>
    <row r="5" spans="1:14" ht="12" thickBot="1" x14ac:dyDescent="0.25">
      <c r="A5" s="4" t="str">
        <f>CONCATENATE("Co-PI: ",'rates, dates, etc'!B23)</f>
        <v>Co-PI: Co-PI</v>
      </c>
      <c r="B5" s="6">
        <f>+'rates, dates, etc'!B5</f>
        <v>44927</v>
      </c>
      <c r="C5" s="6">
        <f>+B6+1</f>
        <v>45292</v>
      </c>
      <c r="D5" s="6">
        <f t="shared" ref="D5:F5" si="0">+C6+1</f>
        <v>45658</v>
      </c>
      <c r="E5" s="6">
        <f t="shared" si="0"/>
        <v>46023</v>
      </c>
      <c r="F5" s="6">
        <f t="shared" si="0"/>
        <v>46388</v>
      </c>
      <c r="G5" s="24"/>
    </row>
    <row r="6" spans="1:14" ht="12" thickBot="1" x14ac:dyDescent="0.25">
      <c r="A6" s="7" t="s">
        <v>4</v>
      </c>
      <c r="B6" s="8">
        <f>DATE(YEAR(B5), MONTH(B5) + 12, DAY(B5))-1</f>
        <v>45291</v>
      </c>
      <c r="C6" s="8">
        <f t="shared" ref="C6:F6" si="1">DATE(YEAR(C5), MONTH(C5) + 12, DAY(C5))-1</f>
        <v>45657</v>
      </c>
      <c r="D6" s="8">
        <f t="shared" si="1"/>
        <v>46022</v>
      </c>
      <c r="E6" s="8">
        <f t="shared" si="1"/>
        <v>46387</v>
      </c>
      <c r="F6" s="8">
        <f t="shared" si="1"/>
        <v>46752</v>
      </c>
      <c r="G6" s="25" t="s">
        <v>5</v>
      </c>
    </row>
    <row r="7" spans="1:14" x14ac:dyDescent="0.2">
      <c r="A7" s="9" t="s">
        <v>136</v>
      </c>
      <c r="G7" s="26" t="s">
        <v>6</v>
      </c>
    </row>
    <row r="8" spans="1:14" x14ac:dyDescent="0.2">
      <c r="A8" s="10" t="str">
        <f>+'rates, dates, etc'!A578</f>
        <v>Co-PI</v>
      </c>
      <c r="B8" s="586">
        <f>HLOOKUP(B$4,'rates, dates, etc'!B577:H583,7,FALSE)</f>
        <v>0</v>
      </c>
      <c r="C8" s="11">
        <f>HLOOKUP(C$4,'rates, dates, etc'!C577:I583,7,FALSE)</f>
        <v>0</v>
      </c>
      <c r="D8" s="11">
        <f>HLOOKUP(D$4,'rates, dates, etc'!D577:J583,7,FALSE)</f>
        <v>0</v>
      </c>
      <c r="E8" s="11">
        <f>HLOOKUP(E$4,'rates, dates, etc'!E577:K583,7,FALSE)</f>
        <v>0</v>
      </c>
      <c r="F8" s="11">
        <f>HLOOKUP(F$4,'rates, dates, etc'!F577:L583,7,FALSE)</f>
        <v>0</v>
      </c>
      <c r="G8" s="27">
        <f>SUM(B8:F8)</f>
        <v>0</v>
      </c>
    </row>
    <row r="9" spans="1:14" x14ac:dyDescent="0.2">
      <c r="A9" s="10" t="str">
        <f>+'rates, dates, etc'!A592</f>
        <v>Co-PI</v>
      </c>
      <c r="B9" s="586">
        <f>HLOOKUP(B$4,'rates, dates, etc'!B591:H597,7,FALSE)</f>
        <v>0</v>
      </c>
      <c r="C9" s="11">
        <f>HLOOKUP(C$4,'rates, dates, etc'!C591:I597,7,FALSE)</f>
        <v>0</v>
      </c>
      <c r="D9" s="11">
        <f>HLOOKUP(D$4,'rates, dates, etc'!D591:J597,7,FALSE)</f>
        <v>0</v>
      </c>
      <c r="E9" s="11">
        <f>HLOOKUP(E$4,'rates, dates, etc'!E591:K597,7,FALSE)</f>
        <v>0</v>
      </c>
      <c r="F9" s="11">
        <f>HLOOKUP(F$4,'rates, dates, etc'!F591:L597,7,FALSE)</f>
        <v>0</v>
      </c>
      <c r="G9" s="27">
        <f>SUM(B9:F9)</f>
        <v>0</v>
      </c>
    </row>
    <row r="10" spans="1:14" x14ac:dyDescent="0.2">
      <c r="A10" s="10" t="str">
        <f>+'rates, dates, etc'!A606</f>
        <v>Co-PI</v>
      </c>
      <c r="B10" s="586">
        <f>HLOOKUP(B$4,'rates, dates, etc'!B605:H611,7,FALSE)</f>
        <v>0</v>
      </c>
      <c r="C10" s="11">
        <f>HLOOKUP(C$4,'rates, dates, etc'!C605:I611,7,FALSE)</f>
        <v>0</v>
      </c>
      <c r="D10" s="11">
        <f>HLOOKUP(D$4,'rates, dates, etc'!D605:J611,7,FALSE)</f>
        <v>0</v>
      </c>
      <c r="E10" s="11">
        <f>HLOOKUP(E$4,'rates, dates, etc'!E605:K611,7,FALSE)</f>
        <v>0</v>
      </c>
      <c r="F10" s="11">
        <f>HLOOKUP(F$4,'rates, dates, etc'!F605:L611,7,FALSE)</f>
        <v>0</v>
      </c>
      <c r="G10" s="27">
        <f>SUM(B10:F10)</f>
        <v>0</v>
      </c>
    </row>
    <row r="11" spans="1:14" ht="12" thickBot="1" x14ac:dyDescent="0.25">
      <c r="A11" s="15" t="str">
        <f>CONCATENATE("Total ",A7)</f>
        <v>Total Senior Personnel Salary</v>
      </c>
      <c r="B11" s="16">
        <f>SUM(B7:B10)</f>
        <v>0</v>
      </c>
      <c r="C11" s="16">
        <f t="shared" ref="C11:F11" si="2">SUM(C7:C10)</f>
        <v>0</v>
      </c>
      <c r="D11" s="16">
        <f t="shared" si="2"/>
        <v>0</v>
      </c>
      <c r="E11" s="16">
        <f t="shared" si="2"/>
        <v>0</v>
      </c>
      <c r="F11" s="16">
        <f t="shared" si="2"/>
        <v>0</v>
      </c>
      <c r="G11" s="28">
        <f>SUM(G7:G10)</f>
        <v>0</v>
      </c>
    </row>
    <row r="12" spans="1:14" ht="12" thickBot="1" x14ac:dyDescent="0.25">
      <c r="A12" s="14" t="s">
        <v>137</v>
      </c>
      <c r="B12" s="13"/>
      <c r="C12" s="13"/>
      <c r="D12" s="13"/>
      <c r="E12" s="13"/>
      <c r="F12" s="13"/>
      <c r="G12" s="27"/>
      <c r="I12" s="67" t="s">
        <v>86</v>
      </c>
      <c r="J12" s="31" t="str">
        <f>+'rates, dates, etc'!B103</f>
        <v>Year 1</v>
      </c>
      <c r="K12" s="31" t="str">
        <f>+'rates, dates, etc'!C103</f>
        <v>Year 2</v>
      </c>
      <c r="L12" s="31" t="str">
        <f>+'rates, dates, etc'!D103</f>
        <v>Year 3</v>
      </c>
      <c r="M12" s="31" t="str">
        <f>+'rates, dates, etc'!E103</f>
        <v>Year 4</v>
      </c>
      <c r="N12" s="31" t="str">
        <f>+'rates, dates, etc'!F103</f>
        <v>Year 5</v>
      </c>
    </row>
    <row r="13" spans="1:14" x14ac:dyDescent="0.2">
      <c r="A13" s="10" t="str">
        <f>+'rates, dates, etc'!A620</f>
        <v>Post Doctoral Scholar(s)</v>
      </c>
      <c r="B13" s="13">
        <f>HLOOKUP(B$4,'rates, dates, etc'!B619:H624,6,FALSE)</f>
        <v>0</v>
      </c>
      <c r="C13" s="13">
        <f>HLOOKUP(C$4,'rates, dates, etc'!C619:I624,6,FALSE)</f>
        <v>0</v>
      </c>
      <c r="D13" s="13">
        <f>HLOOKUP(D$4,'rates, dates, etc'!D619:J624,6,FALSE)</f>
        <v>0</v>
      </c>
      <c r="E13" s="13">
        <f>HLOOKUP(E$4,'rates, dates, etc'!E619:K624,6,FALSE)</f>
        <v>0</v>
      </c>
      <c r="F13" s="13">
        <f>HLOOKUP(F$4,'rates, dates, etc'!F619:L624,6,FALSE)</f>
        <v>0</v>
      </c>
      <c r="G13" s="27">
        <f>SUM(B13:F13)</f>
        <v>0</v>
      </c>
      <c r="I13" s="36" t="s">
        <v>32</v>
      </c>
      <c r="J13" s="37">
        <f>SUM('rates, dates, etc'!M628:M630)/3</f>
        <v>0</v>
      </c>
      <c r="K13" s="37">
        <f>SUM('rates, dates, etc'!N628:N630)/3</f>
        <v>0</v>
      </c>
      <c r="L13" s="37">
        <f>SUM('rates, dates, etc'!O628:O630)/3</f>
        <v>0</v>
      </c>
      <c r="M13" s="37">
        <f>SUM('rates, dates, etc'!P628:P630)/3</f>
        <v>0</v>
      </c>
      <c r="N13" s="37">
        <f>SUM('rates, dates, etc'!Q628:Q630)/3</f>
        <v>0</v>
      </c>
    </row>
    <row r="14" spans="1:14" x14ac:dyDescent="0.2">
      <c r="A14" s="10" t="str">
        <f>+'rates, dates, etc'!A627</f>
        <v>Other Professional(s) (Technicians, etc)</v>
      </c>
      <c r="B14" s="13">
        <f>HLOOKUP(B$4,'rates, dates, etc'!B626:H631,6,FALSE)</f>
        <v>0</v>
      </c>
      <c r="C14" s="13">
        <f>HLOOKUP(C$4,'rates, dates, etc'!C626:I631,6,FALSE)</f>
        <v>0</v>
      </c>
      <c r="D14" s="13">
        <f>HLOOKUP(D$4,'rates, dates, etc'!D626:J631,6,FALSE)</f>
        <v>0</v>
      </c>
      <c r="E14" s="13">
        <f>HLOOKUP(E$4,'rates, dates, etc'!E626:K631,6,FALSE)</f>
        <v>0</v>
      </c>
      <c r="F14" s="13">
        <f>HLOOKUP(F$4,'rates, dates, etc'!F626:L631,6,FALSE)</f>
        <v>0</v>
      </c>
      <c r="G14" s="27">
        <f>SUM(B14:F14)</f>
        <v>0</v>
      </c>
      <c r="I14" s="10" t="s">
        <v>22</v>
      </c>
      <c r="J14" s="12">
        <f>+'rates, dates, etc'!M634</f>
        <v>0</v>
      </c>
      <c r="K14" s="12">
        <f>+'rates, dates, etc'!N634</f>
        <v>0</v>
      </c>
      <c r="L14" s="12">
        <f>+'rates, dates, etc'!O634</f>
        <v>0</v>
      </c>
      <c r="M14" s="12">
        <f>+'rates, dates, etc'!P634</f>
        <v>0</v>
      </c>
      <c r="N14" s="12">
        <f>+'rates, dates, etc'!Q634</f>
        <v>0</v>
      </c>
    </row>
    <row r="15" spans="1:14" x14ac:dyDescent="0.2">
      <c r="A15" s="10" t="str">
        <f>+'rates, dates, etc'!A633</f>
        <v>Graduate Student(s)</v>
      </c>
      <c r="B15" s="13">
        <f>+J14</f>
        <v>0</v>
      </c>
      <c r="C15" s="13">
        <f t="shared" ref="C15:F15" si="3">+K14</f>
        <v>0</v>
      </c>
      <c r="D15" s="13">
        <f t="shared" si="3"/>
        <v>0</v>
      </c>
      <c r="E15" s="13">
        <f t="shared" si="3"/>
        <v>0</v>
      </c>
      <c r="F15" s="13">
        <f t="shared" si="3"/>
        <v>0</v>
      </c>
      <c r="G15" s="27">
        <f>SUM(B15:F15)</f>
        <v>0</v>
      </c>
      <c r="I15" s="10" t="s">
        <v>8</v>
      </c>
      <c r="J15" s="12">
        <f>+'rates, dates, etc'!M635</f>
        <v>0</v>
      </c>
      <c r="K15" s="12">
        <f>+'rates, dates, etc'!N635</f>
        <v>0</v>
      </c>
      <c r="L15" s="12">
        <f>+'rates, dates, etc'!O635</f>
        <v>0</v>
      </c>
      <c r="M15" s="12">
        <f>+'rates, dates, etc'!P635</f>
        <v>0</v>
      </c>
      <c r="N15" s="12">
        <f>+'rates, dates, etc'!Q635</f>
        <v>0</v>
      </c>
    </row>
    <row r="16" spans="1:14" x14ac:dyDescent="0.2">
      <c r="A16" s="10" t="str">
        <f>+'rates, dates, etc'!A638</f>
        <v>Undergraduate Student(s)</v>
      </c>
      <c r="B16" s="13">
        <f>+'rates, dates, etc'!B646</f>
        <v>0</v>
      </c>
      <c r="C16" s="13">
        <f>+'rates, dates, etc'!C646</f>
        <v>0</v>
      </c>
      <c r="D16" s="13">
        <f>+'rates, dates, etc'!D646</f>
        <v>0</v>
      </c>
      <c r="E16" s="13">
        <f>+'rates, dates, etc'!E646</f>
        <v>0</v>
      </c>
      <c r="F16" s="13">
        <f>+'rates, dates, etc'!F646</f>
        <v>0</v>
      </c>
      <c r="G16" s="27">
        <f t="shared" ref="G16:G18" si="4">SUM(B16:F16)</f>
        <v>0</v>
      </c>
      <c r="I16" s="10" t="s">
        <v>9</v>
      </c>
      <c r="J16" s="12">
        <f>+'rates, dates, etc'!M636</f>
        <v>0</v>
      </c>
      <c r="K16" s="12">
        <f>+'rates, dates, etc'!N636</f>
        <v>0</v>
      </c>
      <c r="L16" s="12">
        <f>+'rates, dates, etc'!O636</f>
        <v>0</v>
      </c>
      <c r="M16" s="12">
        <f>+'rates, dates, etc'!P636</f>
        <v>0</v>
      </c>
      <c r="N16" s="12">
        <f>+'rates, dates, etc'!Q636</f>
        <v>0</v>
      </c>
    </row>
    <row r="17" spans="1:15" ht="12" thickBot="1" x14ac:dyDescent="0.25">
      <c r="A17" s="10" t="str">
        <f>+'rates, dates, etc'!A649</f>
        <v>Other</v>
      </c>
      <c r="B17" s="13">
        <f>HLOOKUP(B$4,'rates, dates, etc'!B648:H653,6,FALSE)</f>
        <v>0</v>
      </c>
      <c r="C17" s="13">
        <f>HLOOKUP(C$4,'rates, dates, etc'!C648:I653,6,FALSE)</f>
        <v>0</v>
      </c>
      <c r="D17" s="13">
        <f>HLOOKUP(D$4,'rates, dates, etc'!D648:J653,6,FALSE)</f>
        <v>0</v>
      </c>
      <c r="E17" s="13">
        <f>HLOOKUP(E$4,'rates, dates, etc'!E648:K653,6,FALSE)</f>
        <v>0</v>
      </c>
      <c r="F17" s="13">
        <f>HLOOKUP(F$4,'rates, dates, etc'!F648:L653,6,FALSE)</f>
        <v>0</v>
      </c>
      <c r="G17" s="27">
        <f t="shared" si="4"/>
        <v>0</v>
      </c>
      <c r="I17" s="35" t="s">
        <v>31</v>
      </c>
      <c r="J17" s="38">
        <f>SUM(J14:J16)</f>
        <v>0</v>
      </c>
      <c r="K17" s="38">
        <f>SUM(K14:K16)</f>
        <v>0</v>
      </c>
      <c r="L17" s="38">
        <f>SUM(L14:L16)</f>
        <v>0</v>
      </c>
      <c r="M17" s="38">
        <f>SUM(M14:M16)</f>
        <v>0</v>
      </c>
      <c r="N17" s="38">
        <f>SUM(N14:N16)</f>
        <v>0</v>
      </c>
    </row>
    <row r="18" spans="1:15" x14ac:dyDescent="0.2">
      <c r="A18" s="10" t="str">
        <f>+'rates, dates, etc'!A656</f>
        <v>Other - Temp Employee (Endowed)</v>
      </c>
      <c r="B18" s="13">
        <f>+'rates, dates, etc'!B659</f>
        <v>0</v>
      </c>
      <c r="C18" s="13">
        <f>+'rates, dates, etc'!C659</f>
        <v>0</v>
      </c>
      <c r="D18" s="13">
        <f>+'rates, dates, etc'!D659</f>
        <v>0</v>
      </c>
      <c r="E18" s="13">
        <f>+'rates, dates, etc'!E659</f>
        <v>0</v>
      </c>
      <c r="F18" s="13">
        <f>+'rates, dates, etc'!F659</f>
        <v>0</v>
      </c>
      <c r="G18" s="27">
        <f t="shared" si="4"/>
        <v>0</v>
      </c>
    </row>
    <row r="19" spans="1:15" ht="12" thickBot="1" x14ac:dyDescent="0.25">
      <c r="A19" s="15" t="str">
        <f>CONCATENATE("Total ",A12)</f>
        <v>Total Other Personnel Salary</v>
      </c>
      <c r="B19" s="16">
        <f>SUM(B12:B18)</f>
        <v>0</v>
      </c>
      <c r="C19" s="16">
        <f>SUM(C12:C18)</f>
        <v>0</v>
      </c>
      <c r="D19" s="16">
        <f t="shared" ref="D19:F19" si="5">SUM(D12:D18)</f>
        <v>0</v>
      </c>
      <c r="E19" s="16">
        <f>SUM(E12:E18)</f>
        <v>0</v>
      </c>
      <c r="F19" s="16">
        <f t="shared" si="5"/>
        <v>0</v>
      </c>
      <c r="G19" s="28">
        <f>SUM(G12:G18)</f>
        <v>0</v>
      </c>
    </row>
    <row r="20" spans="1:15" x14ac:dyDescent="0.2">
      <c r="A20" s="17" t="s">
        <v>7</v>
      </c>
      <c r="B20" s="11" t="s">
        <v>6</v>
      </c>
      <c r="C20" s="11"/>
      <c r="D20" s="11"/>
      <c r="E20" s="11"/>
      <c r="F20" s="11"/>
      <c r="G20" s="27"/>
    </row>
    <row r="21" spans="1:15" x14ac:dyDescent="0.2">
      <c r="A21" s="10" t="str">
        <f>+A8</f>
        <v>Co-PI</v>
      </c>
      <c r="B21" s="11">
        <f>IF('rates, dates, etc'!$I579=9,ROUND((+B8*J$23),0),ROUND((+B8*J$26*$K$35)+(B8*K$26*$K$36),0))</f>
        <v>0</v>
      </c>
      <c r="C21" s="11">
        <f>IF('rates, dates, etc'!$I579=9,ROUND((+C8*K$23),0),ROUND((+C8*K$26*$K$35)+(C8*L$26*$K$36),0))</f>
        <v>0</v>
      </c>
      <c r="D21" s="11">
        <f>IF('rates, dates, etc'!$I579=9,ROUND((+D8*L$23),0),ROUND((+D8*L$26*$K$35)+(D8*M$26*$K$36),0))</f>
        <v>0</v>
      </c>
      <c r="E21" s="11">
        <f>IF('rates, dates, etc'!$I579=9,ROUND((+E8*M$23),0),ROUND((+E8*M$26*$K$35)+(E8*N$26*$K$36),0))</f>
        <v>0</v>
      </c>
      <c r="F21" s="11">
        <f>IF('rates, dates, etc'!$I579=9,ROUND((+F8*N$23),0),ROUND((+F8*N$26*$K$35)+(F8*O$26*$K$36),0))</f>
        <v>0</v>
      </c>
      <c r="G21" s="27">
        <f t="shared" ref="G21:G27" si="6">SUM(B21:F21)</f>
        <v>0</v>
      </c>
      <c r="I21" s="68" t="s">
        <v>33</v>
      </c>
    </row>
    <row r="22" spans="1:15" x14ac:dyDescent="0.2">
      <c r="A22" s="10" t="str">
        <f>+A9</f>
        <v>Co-PI</v>
      </c>
      <c r="B22" s="11">
        <f>IF('rates, dates, etc'!$I593=9,ROUND((+B9*J$23),0),ROUND((+B9*J$26*$K$35)+(B9*K$26*$K$36),0))</f>
        <v>0</v>
      </c>
      <c r="C22" s="11">
        <f>IF('rates, dates, etc'!$I593=9,ROUND((+C9*K$23),0),ROUND((+C9*K$26*$K$35)+(C9*L$26*$K$36),0))</f>
        <v>0</v>
      </c>
      <c r="D22" s="11">
        <f>IF('rates, dates, etc'!$I593=9,ROUND((+D9*L$23),0),ROUND((+D9*L$26*$K$35)+(D9*M$26*$K$36),0))</f>
        <v>0</v>
      </c>
      <c r="E22" s="11">
        <f>IF('rates, dates, etc'!$I593=9,ROUND((+E9*M$23),0),ROUND((+E9*M$26*$K$35)+(E9*N$26*$K$36),0))</f>
        <v>0</v>
      </c>
      <c r="F22" s="11">
        <f>IF('rates, dates, etc'!$I593=9,ROUND((+F9*N$23),0),ROUND((+F9*N$26*$K$35)+(F9*O$26*$K$36),0))</f>
        <v>0</v>
      </c>
      <c r="G22" s="27">
        <f t="shared" si="6"/>
        <v>0</v>
      </c>
      <c r="I22" s="95" t="s">
        <v>121</v>
      </c>
      <c r="J22" s="96" t="str">
        <f>+'rates, dates, etc'!Z5</f>
        <v>FY2024</v>
      </c>
      <c r="K22" s="96" t="str">
        <f>+'rates, dates, etc'!AA5</f>
        <v>FY2025</v>
      </c>
      <c r="L22" s="96" t="str">
        <f>+'rates, dates, etc'!AB5</f>
        <v>FY2026</v>
      </c>
      <c r="M22" s="96" t="str">
        <f>+'rates, dates, etc'!AC5</f>
        <v>FY2027</v>
      </c>
      <c r="N22" s="96" t="str">
        <f>+'rates, dates, etc'!AD5</f>
        <v>FY2028</v>
      </c>
    </row>
    <row r="23" spans="1:15" x14ac:dyDescent="0.2">
      <c r="A23" s="10" t="str">
        <f>+A10</f>
        <v>Co-PI</v>
      </c>
      <c r="B23" s="11">
        <f>IF('rates, dates, etc'!$I607=9,ROUND((+B10*J$23),0),ROUND((+B10*J$26*$K$35)+(B10*K$26*$K$36),0))</f>
        <v>0</v>
      </c>
      <c r="C23" s="11">
        <f>IF('rates, dates, etc'!$I607=9,ROUND((+C10*K$23),0),ROUND((+C10*K$26*$K$35)+(C10*L$26*$K$36),0))</f>
        <v>0</v>
      </c>
      <c r="D23" s="11">
        <f>IF('rates, dates, etc'!$I607=9,ROUND((+D10*L$23),0),ROUND((+D10*L$26*$K$35)+(D10*M$26*$K$36),0))</f>
        <v>0</v>
      </c>
      <c r="E23" s="11">
        <f>IF('rates, dates, etc'!$I607=9,ROUND((+E10*M$23),0),ROUND((+E10*M$26*$K$35)+(E10*N$26*$K$36),0))</f>
        <v>0</v>
      </c>
      <c r="F23" s="11">
        <f>IF('rates, dates, etc'!$I607=9,ROUND((+F10*N$23),0),ROUND((+F10*N$26*$K$35)+(F10*O$26*$K$36),0))</f>
        <v>0</v>
      </c>
      <c r="G23" s="27">
        <f t="shared" si="6"/>
        <v>0</v>
      </c>
      <c r="I23" s="3" t="str">
        <f>+'rates, dates, etc'!A567</f>
        <v xml:space="preserve">   Contract (Federal) - Senior Personnel</v>
      </c>
      <c r="J23" s="31">
        <f>IF('rates, dates, etc'!B566='rates, dates, etc'!Z5,'rates, dates, etc'!B567,'rates, dates, etc'!C567)</f>
        <v>0.68300000000000005</v>
      </c>
      <c r="K23" s="31">
        <f>IF('rates, dates, etc'!C566='rates, dates, etc'!AA5,'rates, dates, etc'!C567,'rates, dates, etc'!D567)</f>
        <v>0.68300000000000005</v>
      </c>
      <c r="L23" s="31">
        <f>IF('rates, dates, etc'!D566='rates, dates, etc'!AB5,'rates, dates, etc'!D567,'rates, dates, etc'!E567)</f>
        <v>0.68300000000000005</v>
      </c>
      <c r="M23" s="31">
        <f>IF('rates, dates, etc'!E566='rates, dates, etc'!AC5,'rates, dates, etc'!E567,'rates, dates, etc'!F567)</f>
        <v>0.68300000000000005</v>
      </c>
      <c r="N23" s="31">
        <f>IF('rates, dates, etc'!F566='rates, dates, etc'!AD5,'rates, dates, etc'!F567,'rates, dates, etc'!G567)</f>
        <v>0.68300000000000005</v>
      </c>
    </row>
    <row r="24" spans="1:15" x14ac:dyDescent="0.2">
      <c r="A24" s="10" t="str">
        <f>+A13</f>
        <v>Post Doctoral Scholar(s)</v>
      </c>
      <c r="B24" s="11">
        <f t="shared" ref="B24:F25" si="7">ROUND((+B13*J27*$K$35)+(B13*K27*$K$36),0)</f>
        <v>0</v>
      </c>
      <c r="C24" s="11">
        <f t="shared" si="7"/>
        <v>0</v>
      </c>
      <c r="D24" s="11">
        <f t="shared" si="7"/>
        <v>0</v>
      </c>
      <c r="E24" s="11">
        <f t="shared" si="7"/>
        <v>0</v>
      </c>
      <c r="F24" s="11">
        <f t="shared" si="7"/>
        <v>0</v>
      </c>
      <c r="G24" s="27">
        <f t="shared" si="6"/>
        <v>0</v>
      </c>
      <c r="J24" s="2"/>
      <c r="K24" s="2"/>
    </row>
    <row r="25" spans="1:15" x14ac:dyDescent="0.2">
      <c r="A25" s="10" t="str">
        <f>+A14</f>
        <v>Other Professional(s) (Technicians, etc)</v>
      </c>
      <c r="B25" s="11">
        <f t="shared" si="7"/>
        <v>0</v>
      </c>
      <c r="C25" s="11">
        <f t="shared" si="7"/>
        <v>0</v>
      </c>
      <c r="D25" s="11">
        <f t="shared" si="7"/>
        <v>0</v>
      </c>
      <c r="E25" s="11">
        <f t="shared" si="7"/>
        <v>0</v>
      </c>
      <c r="F25" s="11">
        <f t="shared" si="7"/>
        <v>0</v>
      </c>
      <c r="G25" s="27">
        <f t="shared" si="6"/>
        <v>0</v>
      </c>
      <c r="I25" s="95" t="s">
        <v>122</v>
      </c>
      <c r="J25" s="69" t="str">
        <f>+'rates, dates, etc'!Z4</f>
        <v>FY2023</v>
      </c>
      <c r="K25" s="69" t="str">
        <f>+'rates, dates, etc'!AA4</f>
        <v>FY2024</v>
      </c>
      <c r="L25" s="69" t="str">
        <f>+'rates, dates, etc'!AB4</f>
        <v>FY2025</v>
      </c>
      <c r="M25" s="69" t="str">
        <f>+'rates, dates, etc'!AC4</f>
        <v>FY2026</v>
      </c>
      <c r="N25" s="69" t="str">
        <f>+'rates, dates, etc'!AD4</f>
        <v>FY2027</v>
      </c>
      <c r="O25" s="69" t="str">
        <f>+'rates, dates, etc'!AE4</f>
        <v>FY2028</v>
      </c>
    </row>
    <row r="26" spans="1:15" x14ac:dyDescent="0.2">
      <c r="A26" s="10" t="str">
        <f>+A17</f>
        <v>Other</v>
      </c>
      <c r="B26" s="11">
        <f>IF('rates, dates, etc'!$I650=9,ROUND((+B17*J$23),0),ROUND((+B17*J$28*$K$35)+(B17*K$28*$K$36),0))</f>
        <v>0</v>
      </c>
      <c r="C26" s="11">
        <f>IF('rates, dates, etc'!$I650=9,ROUND((+C17*K$23),0),ROUND((+C17*K$28*$K$35)+(C17*L$28*$K$36),0))</f>
        <v>0</v>
      </c>
      <c r="D26" s="11">
        <f>IF('rates, dates, etc'!$I650=9,ROUND((+D17*L$23),0),ROUND((+D17*L$28*$K$35)+(D17*M$28*$K$36),0))</f>
        <v>0</v>
      </c>
      <c r="E26" s="11">
        <f>IF('rates, dates, etc'!$I650=9,ROUND((+E17*M$23),0),ROUND((+E17*M$28*$K$35)+(E17*N$28*$K$36),0))</f>
        <v>0</v>
      </c>
      <c r="F26" s="11">
        <f>IF('rates, dates, etc'!$I650=9,ROUND((+F17*N$23),0),ROUND((+F17*N$28*$K$35)+(F17*O$28*$K$36),0))</f>
        <v>0</v>
      </c>
      <c r="G26" s="27">
        <f t="shared" si="6"/>
        <v>0</v>
      </c>
      <c r="I26" s="3" t="str">
        <f>+'rates, dates, etc'!A567</f>
        <v xml:space="preserve">   Contract (Federal) - Senior Personnel</v>
      </c>
      <c r="J26" s="136">
        <f>+'rates, dates, etc'!B567</f>
        <v>0.68300000000000005</v>
      </c>
      <c r="K26" s="136">
        <f>+'rates, dates, etc'!C567</f>
        <v>0.68300000000000005</v>
      </c>
      <c r="L26" s="136">
        <f>+'rates, dates, etc'!D567</f>
        <v>0.68300000000000005</v>
      </c>
      <c r="M26" s="136">
        <f>+'rates, dates, etc'!E567</f>
        <v>0.68300000000000005</v>
      </c>
      <c r="N26" s="136">
        <f>+'rates, dates, etc'!F567</f>
        <v>0.68300000000000005</v>
      </c>
      <c r="O26" s="136">
        <f>+'rates, dates, etc'!G567</f>
        <v>0.68300000000000005</v>
      </c>
    </row>
    <row r="27" spans="1:15" x14ac:dyDescent="0.2">
      <c r="A27" s="10" t="str">
        <f>+A18</f>
        <v>Other - Temp Employee (Endowed)</v>
      </c>
      <c r="B27" s="11">
        <f>ROUND((+B18*J$29*$K$35)+(B18*K$29*$K$36),0)</f>
        <v>0</v>
      </c>
      <c r="C27" s="11">
        <f t="shared" ref="C27:F27" si="8">ROUND((+C18*K$29*$K$35)+(C18*L$29*$K$36),0)</f>
        <v>0</v>
      </c>
      <c r="D27" s="11">
        <f t="shared" si="8"/>
        <v>0</v>
      </c>
      <c r="E27" s="11">
        <f t="shared" si="8"/>
        <v>0</v>
      </c>
      <c r="F27" s="11">
        <f t="shared" si="8"/>
        <v>0</v>
      </c>
      <c r="G27" s="27">
        <f t="shared" si="6"/>
        <v>0</v>
      </c>
      <c r="I27" s="3" t="str">
        <f>+'rates, dates, etc'!A568</f>
        <v xml:space="preserve">   Contract (Federal) - Post Doc</v>
      </c>
      <c r="J27" s="136">
        <f>+'rates, dates, etc'!B568</f>
        <v>0.68300000000000005</v>
      </c>
      <c r="K27" s="136">
        <f>+'rates, dates, etc'!C568</f>
        <v>0.68300000000000005</v>
      </c>
      <c r="L27" s="136">
        <f>+'rates, dates, etc'!D568</f>
        <v>0.68300000000000005</v>
      </c>
      <c r="M27" s="136">
        <f>+'rates, dates, etc'!E568</f>
        <v>0.68300000000000005</v>
      </c>
      <c r="N27" s="136">
        <f>+'rates, dates, etc'!F568</f>
        <v>0.68300000000000005</v>
      </c>
      <c r="O27" s="136">
        <f>+'rates, dates, etc'!G568</f>
        <v>0.68300000000000005</v>
      </c>
    </row>
    <row r="28" spans="1:15" ht="12" thickBot="1" x14ac:dyDescent="0.25">
      <c r="A28" s="15" t="str">
        <f>CONCATENATE("Total ",A20)</f>
        <v>Total Fringe Benefits</v>
      </c>
      <c r="B28" s="16">
        <f>SUM(B20:B27)</f>
        <v>0</v>
      </c>
      <c r="C28" s="16">
        <f t="shared" ref="C28:F28" si="9">SUM(C20:C27)</f>
        <v>0</v>
      </c>
      <c r="D28" s="16">
        <f t="shared" si="9"/>
        <v>0</v>
      </c>
      <c r="E28" s="16">
        <f t="shared" si="9"/>
        <v>0</v>
      </c>
      <c r="F28" s="16">
        <f t="shared" si="9"/>
        <v>0</v>
      </c>
      <c r="G28" s="28">
        <f>SUM(G20:G27)</f>
        <v>0</v>
      </c>
      <c r="I28" s="3" t="str">
        <f>+'rates, dates, etc'!A569</f>
        <v xml:space="preserve">   Contract (Federal) - Other Employee</v>
      </c>
      <c r="J28" s="136">
        <f>+'rates, dates, etc'!B569</f>
        <v>0.68300000000000005</v>
      </c>
      <c r="K28" s="136">
        <f>+'rates, dates, etc'!C569</f>
        <v>0.68300000000000005</v>
      </c>
      <c r="L28" s="136">
        <f>+'rates, dates, etc'!D569</f>
        <v>0.68300000000000005</v>
      </c>
      <c r="M28" s="136">
        <f>+'rates, dates, etc'!E569</f>
        <v>0.68300000000000005</v>
      </c>
      <c r="N28" s="136">
        <f>+'rates, dates, etc'!F569</f>
        <v>0.68300000000000005</v>
      </c>
      <c r="O28" s="136">
        <f>+'rates, dates, etc'!G569</f>
        <v>0.68300000000000005</v>
      </c>
    </row>
    <row r="29" spans="1:15" ht="12" thickBot="1" x14ac:dyDescent="0.25">
      <c r="A29" s="143" t="s">
        <v>131</v>
      </c>
      <c r="B29" s="144">
        <f>+B11+B19+B28</f>
        <v>0</v>
      </c>
      <c r="C29" s="144">
        <f t="shared" ref="C29:F29" si="10">+C11+C19+C28</f>
        <v>0</v>
      </c>
      <c r="D29" s="144">
        <f t="shared" si="10"/>
        <v>0</v>
      </c>
      <c r="E29" s="144">
        <f t="shared" si="10"/>
        <v>0</v>
      </c>
      <c r="F29" s="144">
        <f t="shared" si="10"/>
        <v>0</v>
      </c>
      <c r="G29" s="145">
        <f>SUM(B29:F29)</f>
        <v>0</v>
      </c>
      <c r="I29" s="3" t="str">
        <f>+'rates, dates, etc'!A146</f>
        <v xml:space="preserve">   Temp Employee</v>
      </c>
      <c r="J29" s="2">
        <f>+'rates, dates, etc'!B570</f>
        <v>0.1</v>
      </c>
      <c r="K29" s="2">
        <f>+'rates, dates, etc'!C570</f>
        <v>0.1</v>
      </c>
      <c r="L29" s="2">
        <f>+'rates, dates, etc'!D570</f>
        <v>0.1</v>
      </c>
      <c r="M29" s="2">
        <f>+'rates, dates, etc'!E570</f>
        <v>0.1</v>
      </c>
      <c r="N29" s="2">
        <f>+'rates, dates, etc'!F570</f>
        <v>0.1</v>
      </c>
      <c r="O29" s="2">
        <f>+'rates, dates, etc'!G570</f>
        <v>0.1</v>
      </c>
    </row>
    <row r="30" spans="1:15" x14ac:dyDescent="0.2">
      <c r="A30" s="17" t="s">
        <v>25</v>
      </c>
      <c r="B30" s="11"/>
      <c r="C30" s="11"/>
      <c r="D30" s="11"/>
      <c r="E30" s="11"/>
      <c r="F30" s="11"/>
      <c r="G30" s="27"/>
    </row>
    <row r="31" spans="1:15" x14ac:dyDescent="0.2">
      <c r="A31" s="10" t="s">
        <v>66</v>
      </c>
      <c r="B31" s="11"/>
      <c r="C31" s="11"/>
      <c r="D31" s="11"/>
      <c r="E31" s="11"/>
      <c r="F31" s="11"/>
      <c r="G31" s="27">
        <f>SUM(B31:F31)</f>
        <v>0</v>
      </c>
      <c r="I31" s="95" t="str">
        <f>+'rates, dates, etc'!A42</f>
        <v>Rate Allowed by Sponsor:</v>
      </c>
      <c r="J31" s="2">
        <f>+'rates, dates, etc'!B42</f>
        <v>0.2</v>
      </c>
      <c r="K31" s="2">
        <f>+'rates, dates, etc'!C42</f>
        <v>0.2</v>
      </c>
      <c r="L31" s="2">
        <f>+'rates, dates, etc'!D42</f>
        <v>0.2</v>
      </c>
      <c r="M31" s="2">
        <f>+'rates, dates, etc'!E42</f>
        <v>0.2</v>
      </c>
      <c r="N31" s="2">
        <f>+'rates, dates, etc'!F42</f>
        <v>0.2</v>
      </c>
      <c r="O31" s="2">
        <f>+'rates, dates, etc'!G42</f>
        <v>0.2</v>
      </c>
    </row>
    <row r="32" spans="1:15" x14ac:dyDescent="0.2">
      <c r="A32" s="10"/>
      <c r="B32" s="11"/>
      <c r="C32" s="11"/>
      <c r="D32" s="11"/>
      <c r="E32" s="11"/>
      <c r="F32" s="11"/>
      <c r="G32" s="27">
        <f>SUM(B32:F32)</f>
        <v>0</v>
      </c>
      <c r="I32" s="95" t="str">
        <f>+'rates, dates, etc'!A571</f>
        <v>Cornell IDC Rate - Contract College</v>
      </c>
      <c r="J32" s="2">
        <f>+'rates, dates, etc'!B571</f>
        <v>0.56999999999999995</v>
      </c>
      <c r="K32" s="2">
        <f>+'rates, dates, etc'!C571</f>
        <v>0.56999999999999995</v>
      </c>
      <c r="L32" s="2">
        <f>+'rates, dates, etc'!D571</f>
        <v>0.56999999999999995</v>
      </c>
      <c r="M32" s="2">
        <f>+'rates, dates, etc'!E571</f>
        <v>0.56999999999999995</v>
      </c>
      <c r="N32" s="2">
        <f>+'rates, dates, etc'!F571</f>
        <v>0.56999999999999995</v>
      </c>
      <c r="O32" s="2">
        <f>+'rates, dates, etc'!G571</f>
        <v>0.56999999999999995</v>
      </c>
    </row>
    <row r="33" spans="1:15" ht="12" thickBot="1" x14ac:dyDescent="0.25">
      <c r="A33" s="15" t="str">
        <f>CONCATENATE("Total ",A30)</f>
        <v>Total Equipment</v>
      </c>
      <c r="B33" s="16">
        <f>SUM(B30:B32)</f>
        <v>0</v>
      </c>
      <c r="C33" s="16">
        <f>SUM(C30:C32)</f>
        <v>0</v>
      </c>
      <c r="D33" s="16">
        <f t="shared" ref="D33:F33" si="11">SUM(D30:D32)</f>
        <v>0</v>
      </c>
      <c r="E33" s="16">
        <f t="shared" si="11"/>
        <v>0</v>
      </c>
      <c r="F33" s="16">
        <f t="shared" si="11"/>
        <v>0</v>
      </c>
      <c r="G33" s="28">
        <f>SUM(G30:G32)</f>
        <v>0</v>
      </c>
      <c r="N33" s="13"/>
      <c r="O33" s="13"/>
    </row>
    <row r="34" spans="1:15" x14ac:dyDescent="0.2">
      <c r="A34" s="17" t="s">
        <v>34</v>
      </c>
      <c r="B34" s="11"/>
      <c r="C34" s="11"/>
      <c r="D34" s="11"/>
      <c r="E34" s="11"/>
      <c r="F34" s="11"/>
      <c r="G34" s="27"/>
      <c r="I34" s="71" t="str">
        <f>+'rates, dates, etc'!L39</f>
        <v>Pro-rating factor for 12 month appts.:</v>
      </c>
      <c r="J34" s="31" t="s">
        <v>36</v>
      </c>
      <c r="K34" s="31" t="s">
        <v>56</v>
      </c>
      <c r="N34" s="13"/>
      <c r="O34" s="13"/>
    </row>
    <row r="35" spans="1:15" x14ac:dyDescent="0.2">
      <c r="A35" s="10" t="s">
        <v>10</v>
      </c>
      <c r="B35" s="11"/>
      <c r="C35" s="11"/>
      <c r="D35" s="11"/>
      <c r="E35" s="11"/>
      <c r="F35" s="11"/>
      <c r="G35" s="27">
        <f>SUM(B35:F35)</f>
        <v>0</v>
      </c>
      <c r="I35" s="72" t="s">
        <v>51</v>
      </c>
      <c r="J35" s="68">
        <f>+'rates, dates, etc'!M41</f>
        <v>6</v>
      </c>
      <c r="K35" s="68">
        <f>+'rates, dates, etc'!N41</f>
        <v>0.5</v>
      </c>
      <c r="N35" s="13"/>
      <c r="O35" s="13"/>
    </row>
    <row r="36" spans="1:15" x14ac:dyDescent="0.2">
      <c r="A36" s="10" t="s">
        <v>11</v>
      </c>
      <c r="B36" s="11"/>
      <c r="C36" s="11"/>
      <c r="D36" s="11"/>
      <c r="E36" s="11"/>
      <c r="F36" s="11"/>
      <c r="G36" s="27">
        <f>SUM(B36:F36)</f>
        <v>0</v>
      </c>
      <c r="I36" s="72" t="s">
        <v>52</v>
      </c>
      <c r="J36" s="68">
        <f>+'rates, dates, etc'!M42</f>
        <v>6</v>
      </c>
      <c r="K36" s="68">
        <f>+'rates, dates, etc'!N42</f>
        <v>0.5</v>
      </c>
    </row>
    <row r="37" spans="1:15" ht="12" thickBot="1" x14ac:dyDescent="0.25">
      <c r="A37" s="15" t="str">
        <f>CONCATENATE("Total ",A34)</f>
        <v>Total Travel</v>
      </c>
      <c r="B37" s="16">
        <f>SUM(B34:B36)</f>
        <v>0</v>
      </c>
      <c r="C37" s="16">
        <f>SUM(C34:C36)</f>
        <v>0</v>
      </c>
      <c r="D37" s="16">
        <f t="shared" ref="D37:F37" si="12">SUM(D34:D36)</f>
        <v>0</v>
      </c>
      <c r="E37" s="16">
        <f t="shared" si="12"/>
        <v>0</v>
      </c>
      <c r="F37" s="16">
        <f t="shared" si="12"/>
        <v>0</v>
      </c>
      <c r="G37" s="28">
        <f>SUM(G34:G36)</f>
        <v>0</v>
      </c>
      <c r="I37" s="70"/>
      <c r="J37" s="73">
        <f>SUM(J35:J36)</f>
        <v>12</v>
      </c>
      <c r="K37" s="2" t="s">
        <v>97</v>
      </c>
    </row>
    <row r="38" spans="1:15" x14ac:dyDescent="0.2">
      <c r="A38" s="17" t="s">
        <v>27</v>
      </c>
      <c r="B38" s="11"/>
      <c r="C38" s="11"/>
      <c r="D38" s="11"/>
      <c r="E38" s="11"/>
      <c r="F38" s="11"/>
      <c r="G38" s="27"/>
      <c r="I38" s="2"/>
      <c r="J38" s="2"/>
      <c r="K38" s="2"/>
    </row>
    <row r="39" spans="1:15" x14ac:dyDescent="0.2">
      <c r="A39" s="10" t="s">
        <v>91</v>
      </c>
      <c r="B39" s="11"/>
      <c r="C39" s="11"/>
      <c r="D39" s="11"/>
      <c r="E39" s="11"/>
      <c r="F39" s="11"/>
      <c r="G39" s="27">
        <f>SUM(B39:F39)</f>
        <v>0</v>
      </c>
      <c r="I39" s="2"/>
      <c r="J39" s="2"/>
      <c r="K39" s="2"/>
    </row>
    <row r="40" spans="1:15" x14ac:dyDescent="0.2">
      <c r="A40" s="10" t="s">
        <v>47</v>
      </c>
      <c r="B40" s="11"/>
      <c r="C40" s="11"/>
      <c r="D40" s="11"/>
      <c r="E40" s="11"/>
      <c r="F40" s="11"/>
      <c r="G40" s="27">
        <f t="shared" ref="G40:G42" si="13">SUM(B40:F40)</f>
        <v>0</v>
      </c>
      <c r="I40" s="2"/>
      <c r="J40" s="2"/>
      <c r="K40" s="2"/>
    </row>
    <row r="41" spans="1:15" x14ac:dyDescent="0.2">
      <c r="A41" s="10" t="s">
        <v>34</v>
      </c>
      <c r="B41" s="11"/>
      <c r="C41" s="11"/>
      <c r="D41" s="11"/>
      <c r="E41" s="11"/>
      <c r="F41" s="11"/>
      <c r="G41" s="27">
        <f t="shared" si="13"/>
        <v>0</v>
      </c>
      <c r="K41" s="2"/>
    </row>
    <row r="42" spans="1:15" x14ac:dyDescent="0.2">
      <c r="A42" s="10" t="s">
        <v>48</v>
      </c>
      <c r="B42" s="11"/>
      <c r="C42" s="11"/>
      <c r="D42" s="11"/>
      <c r="E42" s="11"/>
      <c r="F42" s="11"/>
      <c r="G42" s="27">
        <f t="shared" si="13"/>
        <v>0</v>
      </c>
    </row>
    <row r="43" spans="1:15" x14ac:dyDescent="0.2">
      <c r="A43" s="10" t="s">
        <v>29</v>
      </c>
      <c r="B43" s="11"/>
      <c r="C43" s="11"/>
      <c r="D43" s="11"/>
      <c r="E43" s="11"/>
      <c r="F43" s="11"/>
      <c r="G43" s="27">
        <f>SUM(B43:F43)</f>
        <v>0</v>
      </c>
    </row>
    <row r="44" spans="1:15" ht="12" thickBot="1" x14ac:dyDescent="0.25">
      <c r="A44" s="15" t="str">
        <f>CONCATENATE("Total ",A38)</f>
        <v>Total Participant Support Costs</v>
      </c>
      <c r="B44" s="16">
        <f>SUM(B38:B43)</f>
        <v>0</v>
      </c>
      <c r="C44" s="16">
        <f>SUM(C38:C43)</f>
        <v>0</v>
      </c>
      <c r="D44" s="16">
        <f t="shared" ref="D44:F44" si="14">SUM(D38:D43)</f>
        <v>0</v>
      </c>
      <c r="E44" s="16">
        <f t="shared" si="14"/>
        <v>0</v>
      </c>
      <c r="F44" s="16">
        <f t="shared" si="14"/>
        <v>0</v>
      </c>
      <c r="G44" s="28">
        <f>SUM(G38:G43)</f>
        <v>0</v>
      </c>
    </row>
    <row r="45" spans="1:15" x14ac:dyDescent="0.2">
      <c r="A45" s="17" t="s">
        <v>13</v>
      </c>
      <c r="B45" s="11"/>
      <c r="C45" s="11"/>
      <c r="D45" s="11"/>
      <c r="E45" s="11"/>
      <c r="F45" s="11"/>
      <c r="G45" s="27"/>
    </row>
    <row r="46" spans="1:15" x14ac:dyDescent="0.2">
      <c r="A46" s="10" t="str">
        <f>+'Lead Budget'!A46</f>
        <v>Materials &amp; Supplies</v>
      </c>
      <c r="B46" s="18"/>
      <c r="C46" s="18"/>
      <c r="D46" s="18"/>
      <c r="E46" s="18"/>
      <c r="F46" s="18"/>
      <c r="G46" s="27">
        <f t="shared" ref="G46:G54" si="15">SUM(B46:F46)</f>
        <v>0</v>
      </c>
    </row>
    <row r="47" spans="1:15" x14ac:dyDescent="0.2">
      <c r="A47" s="10" t="str">
        <f>+'Lead Budget'!A47</f>
        <v>Publication Costs</v>
      </c>
      <c r="B47" s="18"/>
      <c r="C47" s="18"/>
      <c r="D47" s="18"/>
      <c r="E47" s="18"/>
      <c r="F47" s="18"/>
      <c r="G47" s="27">
        <f t="shared" si="15"/>
        <v>0</v>
      </c>
    </row>
    <row r="48" spans="1:15" x14ac:dyDescent="0.2">
      <c r="A48" s="10" t="str">
        <f>+'Lead Budget'!A48</f>
        <v>Consultant Services</v>
      </c>
      <c r="B48" s="18"/>
      <c r="C48" s="18"/>
      <c r="D48" s="18"/>
      <c r="E48" s="18"/>
      <c r="F48" s="18"/>
      <c r="G48" s="27">
        <f t="shared" si="15"/>
        <v>0</v>
      </c>
    </row>
    <row r="49" spans="1:15" x14ac:dyDescent="0.2">
      <c r="A49" s="10" t="str">
        <f>+'Lead Budget'!A49</f>
        <v>ADP/Computer Services</v>
      </c>
      <c r="B49" s="18"/>
      <c r="C49" s="18"/>
      <c r="D49" s="18"/>
      <c r="E49" s="18"/>
      <c r="F49" s="18"/>
      <c r="G49" s="27">
        <f t="shared" si="15"/>
        <v>0</v>
      </c>
    </row>
    <row r="50" spans="1:15" x14ac:dyDescent="0.2">
      <c r="A50" s="10" t="str">
        <f>+'Lead Budget'!A50</f>
        <v xml:space="preserve">SubContracts </v>
      </c>
      <c r="B50" s="18"/>
      <c r="C50" s="18"/>
      <c r="D50" s="18"/>
      <c r="E50" s="18"/>
      <c r="F50" s="18"/>
      <c r="G50" s="27">
        <f t="shared" si="15"/>
        <v>0</v>
      </c>
    </row>
    <row r="51" spans="1:15" x14ac:dyDescent="0.2">
      <c r="A51" s="10" t="str">
        <f>+'Lead Budget'!A51</f>
        <v xml:space="preserve">Equipment or Facility Rental/User Fees </v>
      </c>
      <c r="B51" s="18"/>
      <c r="C51" s="18"/>
      <c r="D51" s="18"/>
      <c r="E51" s="18"/>
      <c r="F51" s="18"/>
      <c r="G51" s="27">
        <f t="shared" si="15"/>
        <v>0</v>
      </c>
    </row>
    <row r="52" spans="1:15" x14ac:dyDescent="0.2">
      <c r="A52" s="10" t="str">
        <f>+'Lead Budget'!A52</f>
        <v>Other: Tuition</v>
      </c>
      <c r="B52" s="18">
        <f>+J15</f>
        <v>0</v>
      </c>
      <c r="C52" s="18">
        <f t="shared" ref="C52:F52" si="16">+K15</f>
        <v>0</v>
      </c>
      <c r="D52" s="18">
        <f t="shared" si="16"/>
        <v>0</v>
      </c>
      <c r="E52" s="18">
        <f t="shared" si="16"/>
        <v>0</v>
      </c>
      <c r="F52" s="18">
        <f t="shared" si="16"/>
        <v>0</v>
      </c>
      <c r="G52" s="27">
        <f t="shared" si="15"/>
        <v>0</v>
      </c>
    </row>
    <row r="53" spans="1:15" x14ac:dyDescent="0.2">
      <c r="A53" s="10" t="str">
        <f>+'Lead Budget'!A53</f>
        <v>Other: Health Insurance</v>
      </c>
      <c r="B53" s="18">
        <f>+J16</f>
        <v>0</v>
      </c>
      <c r="C53" s="18">
        <f t="shared" ref="C53:F53" si="17">+K16</f>
        <v>0</v>
      </c>
      <c r="D53" s="18">
        <f t="shared" si="17"/>
        <v>0</v>
      </c>
      <c r="E53" s="18">
        <f t="shared" si="17"/>
        <v>0</v>
      </c>
      <c r="F53" s="18">
        <f t="shared" si="17"/>
        <v>0</v>
      </c>
      <c r="G53" s="27">
        <f t="shared" si="15"/>
        <v>0</v>
      </c>
    </row>
    <row r="54" spans="1:15" x14ac:dyDescent="0.2">
      <c r="A54" s="10" t="str">
        <f>+'Lead Budget'!A54</f>
        <v>Other</v>
      </c>
      <c r="B54" s="18"/>
      <c r="C54" s="18"/>
      <c r="D54" s="18"/>
      <c r="E54" s="18"/>
      <c r="F54" s="18"/>
      <c r="G54" s="27">
        <f t="shared" si="15"/>
        <v>0</v>
      </c>
      <c r="K54" s="2"/>
      <c r="N54" s="13"/>
      <c r="O54" s="13"/>
    </row>
    <row r="55" spans="1:15" ht="12" thickBot="1" x14ac:dyDescent="0.25">
      <c r="A55" s="15" t="str">
        <f>CONCATENATE("Total ",A45)</f>
        <v>Total Other Direct Costs</v>
      </c>
      <c r="B55" s="28">
        <f t="shared" ref="B55:G55" si="18">SUM(B45:B54)</f>
        <v>0</v>
      </c>
      <c r="C55" s="16">
        <f t="shared" si="18"/>
        <v>0</v>
      </c>
      <c r="D55" s="16">
        <f t="shared" si="18"/>
        <v>0</v>
      </c>
      <c r="E55" s="16">
        <f t="shared" si="18"/>
        <v>0</v>
      </c>
      <c r="F55" s="16">
        <f t="shared" si="18"/>
        <v>0</v>
      </c>
      <c r="G55" s="28">
        <f t="shared" si="18"/>
        <v>0</v>
      </c>
      <c r="N55" s="13"/>
      <c r="O55" s="13"/>
    </row>
    <row r="56" spans="1:15" ht="12" thickBot="1" x14ac:dyDescent="0.25">
      <c r="A56" s="99" t="s">
        <v>16</v>
      </c>
      <c r="B56" s="137">
        <f t="shared" ref="B56:G56" si="19">SUM(+B11+B19+B28+B33+B37+B44+B55)</f>
        <v>0</v>
      </c>
      <c r="C56" s="137">
        <f t="shared" si="19"/>
        <v>0</v>
      </c>
      <c r="D56" s="137">
        <f t="shared" si="19"/>
        <v>0</v>
      </c>
      <c r="E56" s="137">
        <f t="shared" si="19"/>
        <v>0</v>
      </c>
      <c r="F56" s="137">
        <f t="shared" si="19"/>
        <v>0</v>
      </c>
      <c r="G56" s="138">
        <f t="shared" si="19"/>
        <v>0</v>
      </c>
      <c r="N56" s="13"/>
      <c r="O56" s="13"/>
    </row>
    <row r="57" spans="1:15" ht="12" thickBot="1" x14ac:dyDescent="0.25">
      <c r="A57" s="7" t="s">
        <v>17</v>
      </c>
      <c r="B57" s="21">
        <f>+B56-(+J15+J16+B44+B63+B33)</f>
        <v>0</v>
      </c>
      <c r="C57" s="21">
        <f>+C56-(+K15+K16+C44+C63+C33)</f>
        <v>0</v>
      </c>
      <c r="D57" s="21">
        <f>+D56-(+L15+L16+D44+D63+D33)</f>
        <v>0</v>
      </c>
      <c r="E57" s="21">
        <f>+E56-(+M15+M16+E44+E63+E33)</f>
        <v>0</v>
      </c>
      <c r="F57" s="21">
        <f>+F56-(+N15+N16+F44+F63+F33)</f>
        <v>0</v>
      </c>
      <c r="G57" s="20">
        <f>SUM(B57:F57)</f>
        <v>0</v>
      </c>
      <c r="H57" s="117"/>
      <c r="N57" s="13"/>
      <c r="O57" s="13"/>
    </row>
    <row r="58" spans="1:15" ht="12" thickBot="1" x14ac:dyDescent="0.25">
      <c r="A58" s="108" t="s">
        <v>18</v>
      </c>
      <c r="B58" s="139">
        <f>IF(AND('rates, dates, etc'!$B$11="no",'Budget Summary'!$G$102&lt;'Budget Summary'!$G$103),B65,B66)</f>
        <v>0</v>
      </c>
      <c r="C58" s="139">
        <f>IF(AND('rates, dates, etc'!$B$11="no",'Budget Summary'!$G$102&lt;'Budget Summary'!$G$103),C65,C66)</f>
        <v>0</v>
      </c>
      <c r="D58" s="139">
        <f>IF(AND('rates, dates, etc'!$B$11="no",'Budget Summary'!$G$102&lt;'Budget Summary'!$G$103),D65,D66)</f>
        <v>0</v>
      </c>
      <c r="E58" s="139">
        <f>IF(AND('rates, dates, etc'!$B$11="no",'Budget Summary'!$G$102&lt;'Budget Summary'!$G$103),E65,E66)</f>
        <v>0</v>
      </c>
      <c r="F58" s="139">
        <f>IF(AND('rates, dates, etc'!$B$11="no",'Budget Summary'!$G$102&lt;'Budget Summary'!$G$103),F65,F66)</f>
        <v>0</v>
      </c>
      <c r="G58" s="140">
        <f>SUM(B58:F58)</f>
        <v>0</v>
      </c>
      <c r="H58" s="116"/>
      <c r="N58" s="13"/>
      <c r="O58" s="13"/>
    </row>
    <row r="59" spans="1:15" ht="12" thickBot="1" x14ac:dyDescent="0.25">
      <c r="A59" s="109" t="s">
        <v>19</v>
      </c>
      <c r="B59" s="141">
        <f>+B56+B58</f>
        <v>0</v>
      </c>
      <c r="C59" s="141">
        <f t="shared" ref="C59:F59" si="20">+C56+C58</f>
        <v>0</v>
      </c>
      <c r="D59" s="141">
        <f t="shared" si="20"/>
        <v>0</v>
      </c>
      <c r="E59" s="141">
        <f t="shared" si="20"/>
        <v>0</v>
      </c>
      <c r="F59" s="141">
        <f t="shared" si="20"/>
        <v>0</v>
      </c>
      <c r="G59" s="142">
        <f>SUM(B59:F59)</f>
        <v>0</v>
      </c>
      <c r="L59" s="12"/>
      <c r="N59" s="13"/>
      <c r="O59" s="13"/>
    </row>
    <row r="60" spans="1:15" x14ac:dyDescent="0.2">
      <c r="A60" s="22"/>
      <c r="B60" s="12"/>
      <c r="C60" s="12"/>
      <c r="D60" s="12"/>
      <c r="E60" s="12"/>
      <c r="F60" s="12"/>
      <c r="L60" s="12"/>
      <c r="N60" s="13"/>
      <c r="O60" s="13"/>
    </row>
    <row r="61" spans="1:15" x14ac:dyDescent="0.2">
      <c r="A61" s="22"/>
      <c r="B61" s="12"/>
      <c r="C61" s="12"/>
      <c r="D61" s="12"/>
      <c r="E61" s="12"/>
      <c r="F61" s="12"/>
      <c r="K61" s="39"/>
      <c r="L61" s="39"/>
      <c r="M61" s="39"/>
      <c r="N61" s="13"/>
      <c r="O61" s="13"/>
    </row>
    <row r="62" spans="1:15" ht="12" thickBot="1" x14ac:dyDescent="0.25">
      <c r="A62" s="44"/>
      <c r="B62" s="45"/>
      <c r="C62" s="45"/>
      <c r="D62" s="45"/>
      <c r="E62" s="45"/>
      <c r="F62" s="45"/>
      <c r="G62" s="45"/>
    </row>
    <row r="63" spans="1:15" ht="12" thickBot="1" x14ac:dyDescent="0.25">
      <c r="A63" s="41" t="s">
        <v>45</v>
      </c>
      <c r="B63" s="42">
        <f>+B50-IF(B50&lt;25000,B50,25000)</f>
        <v>0</v>
      </c>
      <c r="C63" s="42">
        <f>+C50-IF(+B50&gt;25000,0,IF(B50+C50&gt;25000,(25000-B50),C50))</f>
        <v>0</v>
      </c>
      <c r="D63" s="42">
        <f>+D50-IF(+B50+C50&gt;25000,0,IF(B50+C50+D50&gt;25000,(25000-(B50+C50)),D50))</f>
        <v>0</v>
      </c>
      <c r="E63" s="42">
        <f>+E50-IF(B50+C50+D50&gt;25000,0,IF(B50+C50+D50+E50&gt;25000,(25000-(C50+C50+D50)),E50))</f>
        <v>0</v>
      </c>
      <c r="F63" s="42">
        <f>+F50-IF(B50+C50+D50+E50&gt;25000,0,IF(B50+C50+D50+E50+F50&gt;25000,(25000-(B50+C50+D50+E50)),F50))</f>
        <v>0</v>
      </c>
      <c r="G63" s="43">
        <f>SUM(B63:F63)</f>
        <v>0</v>
      </c>
    </row>
    <row r="64" spans="1:15" ht="12" thickBot="1" x14ac:dyDescent="0.25">
      <c r="A64" s="44"/>
      <c r="B64" s="45"/>
      <c r="C64" s="45"/>
      <c r="D64" s="45"/>
      <c r="E64" s="45"/>
      <c r="F64" s="45"/>
      <c r="G64" s="45"/>
    </row>
    <row r="65" spans="1:7" ht="12" thickBot="1" x14ac:dyDescent="0.25">
      <c r="A65" s="101" t="s">
        <v>135</v>
      </c>
      <c r="B65" s="103">
        <f>IF('rates, dates, etc'!$B$11="Yes",0,ROUND((B56*J31*$K$35)+(B56*K31*$K$36),0))</f>
        <v>0</v>
      </c>
      <c r="C65" s="104">
        <f>IF('rates, dates, etc'!$B$11="Yes",0,ROUND((C56*K31*$K$35)+(C56*L31*$K$36),0))</f>
        <v>0</v>
      </c>
      <c r="D65" s="104">
        <f>IF('rates, dates, etc'!$B$11="Yes",0,ROUND((D56*L31*$K$35)+(D56*M31*$K$36),0))</f>
        <v>0</v>
      </c>
      <c r="E65" s="104">
        <f>IF('rates, dates, etc'!$B$11="Yes",0,ROUND((E56*M31*$K$35)+(E56*N31*$K$36),0))</f>
        <v>0</v>
      </c>
      <c r="F65" s="104">
        <f>IF('rates, dates, etc'!$B$11="Yes",0,ROUND((F56*N31*$K$35)+(F56*O31*$K$36),0))</f>
        <v>0</v>
      </c>
      <c r="G65" s="103">
        <f t="shared" ref="G65:G66" si="21">SUM(B65:F65)</f>
        <v>0</v>
      </c>
    </row>
    <row r="66" spans="1:7" ht="12" thickBot="1" x14ac:dyDescent="0.25">
      <c r="A66" s="102" t="s">
        <v>134</v>
      </c>
      <c r="B66" s="103">
        <f>ROUND((B57*J32*$K$35)+(B57*K32*$K$36),0)</f>
        <v>0</v>
      </c>
      <c r="C66" s="104">
        <f>ROUND((C57*K32*$K$35)+(C57*L32*$K$36),0)</f>
        <v>0</v>
      </c>
      <c r="D66" s="104">
        <f>ROUND((D57*L32*$K$35)+(D57*M32*$K$36),0)</f>
        <v>0</v>
      </c>
      <c r="E66" s="104">
        <f>ROUND((E57*M32*$K$35)+(E57*N32*$K$36),0)</f>
        <v>0</v>
      </c>
      <c r="F66" s="104">
        <f>ROUND((F57*N32*$K$35)+(F57*O32*$K$36),0)</f>
        <v>0</v>
      </c>
      <c r="G66" s="103">
        <f t="shared" si="21"/>
        <v>0</v>
      </c>
    </row>
  </sheetData>
  <pageMargins left="0.75" right="0.53" top="0.7" bottom="0.64" header="0.5" footer="0.5"/>
  <pageSetup scale="95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stopIfTrue="1" id="{0E1AF3E0-93EE-4AB5-A918-1F3E81931FCA}">
            <xm:f>'rates, dates, etc'!$B$11="Yes"</xm:f>
            <x14:dxf>
              <font>
                <color rgb="FFFF0000"/>
              </font>
            </x14:dxf>
          </x14:cfRule>
          <xm:sqref>A66:G66</xm:sqref>
        </x14:conditionalFormatting>
        <x14:conditionalFormatting xmlns:xm="http://schemas.microsoft.com/office/excel/2006/main">
          <x14:cfRule type="expression" priority="1" stopIfTrue="1" id="{61D72330-31B5-4E32-9202-2D94F9530E5A}">
            <xm:f>'rates, dates, etc'!$B$11="Yes"</xm:f>
            <x14:dxf/>
          </x14:cfRule>
          <xm:sqref>A65:G65</xm:sqref>
        </x14:conditionalFormatting>
        <x14:conditionalFormatting xmlns:xm="http://schemas.microsoft.com/office/excel/2006/main">
          <x14:cfRule type="expression" priority="103" id="{8146D0D4-A308-4C53-A066-586741C111A6}">
            <xm:f>'Budget Summary'!$G$103&lt;'Budget Summary'!$G$102</xm:f>
            <x14:dxf>
              <font>
                <color rgb="FFFF0000"/>
              </font>
            </x14:dxf>
          </x14:cfRule>
          <xm:sqref>A66:G66</xm:sqref>
        </x14:conditionalFormatting>
        <x14:conditionalFormatting xmlns:xm="http://schemas.microsoft.com/office/excel/2006/main">
          <x14:cfRule type="expression" priority="104" id="{B50DE8C2-5256-46E2-8CA4-95B1DC5C6379}">
            <xm:f>'Budget Summary'!$G$102&lt;'Budget Summary'!$G$103</xm:f>
            <x14:dxf>
              <font>
                <color rgb="FFFF0000"/>
              </font>
            </x14:dxf>
          </x14:cfRule>
          <xm:sqref>A65:G65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99"/>
    <pageSetUpPr fitToPage="1"/>
  </sheetPr>
  <dimension ref="A1:O66"/>
  <sheetViews>
    <sheetView zoomScale="130" zoomScaleNormal="130" workbookViewId="0">
      <selection activeCell="B7" sqref="B7"/>
    </sheetView>
  </sheetViews>
  <sheetFormatPr defaultColWidth="9.28515625" defaultRowHeight="11.25" x14ac:dyDescent="0.2"/>
  <cols>
    <col min="1" max="1" width="33.42578125" style="2" customWidth="1"/>
    <col min="2" max="6" width="8.42578125" style="2" customWidth="1"/>
    <col min="7" max="7" width="9.5703125" style="3" bestFit="1" customWidth="1"/>
    <col min="8" max="8" width="11" style="3" customWidth="1"/>
    <col min="9" max="9" width="29.28515625" style="3" customWidth="1"/>
    <col min="10" max="11" width="9.7109375" style="3" customWidth="1"/>
    <col min="12" max="13" width="9.7109375" style="2" customWidth="1"/>
    <col min="14" max="16384" width="9.28515625" style="2"/>
  </cols>
  <sheetData>
    <row r="1" spans="1:14" ht="12.75" x14ac:dyDescent="0.2">
      <c r="A1" s="1" t="str">
        <f>+'rates, dates, etc'!B4</f>
        <v>Assessing the Potential for Demand Response to Manage Generation Shortfalls in a Zero-Carbon Electricity Grid”</v>
      </c>
      <c r="D1" s="87"/>
    </row>
    <row r="2" spans="1:14" ht="12.75" x14ac:dyDescent="0.2">
      <c r="A2" s="1" t="str">
        <f>+'rates, dates, etc'!B3</f>
        <v>USDA</v>
      </c>
      <c r="H2" s="87"/>
    </row>
    <row r="3" spans="1:14" ht="12.75" customHeight="1" thickBot="1" x14ac:dyDescent="0.25"/>
    <row r="4" spans="1:14" x14ac:dyDescent="0.2">
      <c r="A4" s="4" t="str">
        <f ca="1">CONCATENATE("Cornell University - ",'rates, dates, etc'!A24)</f>
        <v>Cornell University - Co-PI Budget (6)</v>
      </c>
      <c r="B4" s="5" t="s">
        <v>1</v>
      </c>
      <c r="C4" s="5" t="s">
        <v>2</v>
      </c>
      <c r="D4" s="5" t="s">
        <v>3</v>
      </c>
      <c r="E4" s="5" t="s">
        <v>44</v>
      </c>
      <c r="F4" s="5" t="s">
        <v>50</v>
      </c>
      <c r="G4" s="23"/>
    </row>
    <row r="5" spans="1:14" ht="12" thickBot="1" x14ac:dyDescent="0.25">
      <c r="A5" s="4" t="str">
        <f>CONCATENATE("Co-PI: ",'rates, dates, etc'!B24)</f>
        <v>Co-PI: Co-PI</v>
      </c>
      <c r="B5" s="6">
        <f>+'rates, dates, etc'!B5</f>
        <v>44927</v>
      </c>
      <c r="C5" s="6">
        <f>+B6+1</f>
        <v>45292</v>
      </c>
      <c r="D5" s="6">
        <f t="shared" ref="D5:F5" si="0">+C6+1</f>
        <v>45658</v>
      </c>
      <c r="E5" s="6">
        <f t="shared" si="0"/>
        <v>46023</v>
      </c>
      <c r="F5" s="6">
        <f t="shared" si="0"/>
        <v>46388</v>
      </c>
      <c r="G5" s="24"/>
    </row>
    <row r="6" spans="1:14" ht="12" thickBot="1" x14ac:dyDescent="0.25">
      <c r="A6" s="7" t="s">
        <v>4</v>
      </c>
      <c r="B6" s="8">
        <f>DATE(YEAR(B5), MONTH(B5) + 12, DAY(B5))-1</f>
        <v>45291</v>
      </c>
      <c r="C6" s="8">
        <f t="shared" ref="C6:F6" si="1">DATE(YEAR(C5), MONTH(C5) + 12, DAY(C5))-1</f>
        <v>45657</v>
      </c>
      <c r="D6" s="8">
        <f t="shared" si="1"/>
        <v>46022</v>
      </c>
      <c r="E6" s="8">
        <f t="shared" si="1"/>
        <v>46387</v>
      </c>
      <c r="F6" s="8">
        <f t="shared" si="1"/>
        <v>46752</v>
      </c>
      <c r="G6" s="25" t="s">
        <v>5</v>
      </c>
    </row>
    <row r="7" spans="1:14" x14ac:dyDescent="0.2">
      <c r="A7" s="9" t="s">
        <v>136</v>
      </c>
      <c r="G7" s="26" t="s">
        <v>6</v>
      </c>
    </row>
    <row r="8" spans="1:14" x14ac:dyDescent="0.2">
      <c r="A8" s="10" t="str">
        <f>+'rates, dates, etc'!A684</f>
        <v>Co-PI</v>
      </c>
      <c r="B8" s="586">
        <f>HLOOKUP(B$4,'rates, dates, etc'!B683:H689,7,FALSE)</f>
        <v>0</v>
      </c>
      <c r="C8" s="586">
        <f>HLOOKUP(C$4,'rates, dates, etc'!C683:I689,7,FALSE)</f>
        <v>0</v>
      </c>
      <c r="D8" s="586">
        <f>HLOOKUP(D$4,'rates, dates, etc'!D683:J689,7,FALSE)</f>
        <v>0</v>
      </c>
      <c r="E8" s="586">
        <f>HLOOKUP(E$4,'rates, dates, etc'!E683:K689,7,FALSE)</f>
        <v>0</v>
      </c>
      <c r="F8" s="586">
        <f>HLOOKUP(F$4,'rates, dates, etc'!F683:L689,7,FALSE)</f>
        <v>0</v>
      </c>
      <c r="G8" s="27">
        <f>SUM(B8:F8)</f>
        <v>0</v>
      </c>
    </row>
    <row r="9" spans="1:14" x14ac:dyDescent="0.2">
      <c r="A9" s="10" t="str">
        <f>+'rates, dates, etc'!A698</f>
        <v>Co-PI</v>
      </c>
      <c r="B9" s="586">
        <f>HLOOKUP(B$4,'rates, dates, etc'!B697:H703,7,FALSE)</f>
        <v>0</v>
      </c>
      <c r="C9" s="586">
        <f>HLOOKUP(C$4,'rates, dates, etc'!C697:I703,7,FALSE)</f>
        <v>0</v>
      </c>
      <c r="D9" s="586">
        <f>HLOOKUP(D$4,'rates, dates, etc'!D697:J703,7,FALSE)</f>
        <v>0</v>
      </c>
      <c r="E9" s="586">
        <f>HLOOKUP(E$4,'rates, dates, etc'!E697:K703,7,FALSE)</f>
        <v>0</v>
      </c>
      <c r="F9" s="586">
        <f>HLOOKUP(F$4,'rates, dates, etc'!F697:L703,7,FALSE)</f>
        <v>0</v>
      </c>
      <c r="G9" s="27">
        <f>SUM(B9:F9)</f>
        <v>0</v>
      </c>
    </row>
    <row r="10" spans="1:14" x14ac:dyDescent="0.2">
      <c r="A10" s="10" t="str">
        <f>+'rates, dates, etc'!A712</f>
        <v>Co-PI</v>
      </c>
      <c r="B10" s="586">
        <f>HLOOKUP(B$4,'rates, dates, etc'!B711:H717,7,FALSE)</f>
        <v>0</v>
      </c>
      <c r="C10" s="586">
        <f>HLOOKUP(C$4,'rates, dates, etc'!C711:I717,7,FALSE)</f>
        <v>0</v>
      </c>
      <c r="D10" s="586">
        <f>HLOOKUP(D$4,'rates, dates, etc'!D711:J717,7,FALSE)</f>
        <v>0</v>
      </c>
      <c r="E10" s="586">
        <f>HLOOKUP(E$4,'rates, dates, etc'!E711:K717,7,FALSE)</f>
        <v>0</v>
      </c>
      <c r="F10" s="586">
        <f>HLOOKUP(F$4,'rates, dates, etc'!F711:L717,7,FALSE)</f>
        <v>0</v>
      </c>
      <c r="G10" s="27">
        <f>SUM(B10:F10)</f>
        <v>0</v>
      </c>
    </row>
    <row r="11" spans="1:14" ht="12" thickBot="1" x14ac:dyDescent="0.25">
      <c r="A11" s="15" t="str">
        <f>CONCATENATE("Total ",A7)</f>
        <v>Total Senior Personnel Salary</v>
      </c>
      <c r="B11" s="16">
        <f>SUM(B7:B10)</f>
        <v>0</v>
      </c>
      <c r="C11" s="16">
        <f t="shared" ref="C11:F11" si="2">SUM(C7:C10)</f>
        <v>0</v>
      </c>
      <c r="D11" s="16">
        <f t="shared" si="2"/>
        <v>0</v>
      </c>
      <c r="E11" s="16">
        <f t="shared" si="2"/>
        <v>0</v>
      </c>
      <c r="F11" s="16">
        <f t="shared" si="2"/>
        <v>0</v>
      </c>
      <c r="G11" s="28">
        <f>SUM(G7:G10)</f>
        <v>0</v>
      </c>
    </row>
    <row r="12" spans="1:14" ht="12" thickBot="1" x14ac:dyDescent="0.25">
      <c r="A12" s="14" t="s">
        <v>137</v>
      </c>
      <c r="B12" s="13"/>
      <c r="C12" s="13"/>
      <c r="D12" s="13"/>
      <c r="E12" s="13"/>
      <c r="F12" s="13"/>
      <c r="G12" s="27"/>
      <c r="I12" s="67" t="s">
        <v>86</v>
      </c>
      <c r="J12" s="31" t="str">
        <f>+'rates, dates, etc'!B103</f>
        <v>Year 1</v>
      </c>
      <c r="K12" s="31" t="str">
        <f>+'rates, dates, etc'!C103</f>
        <v>Year 2</v>
      </c>
      <c r="L12" s="31" t="str">
        <f>+'rates, dates, etc'!D103</f>
        <v>Year 3</v>
      </c>
      <c r="M12" s="31" t="str">
        <f>+'rates, dates, etc'!E103</f>
        <v>Year 4</v>
      </c>
      <c r="N12" s="31" t="str">
        <f>+'rates, dates, etc'!F103</f>
        <v>Year 5</v>
      </c>
    </row>
    <row r="13" spans="1:14" x14ac:dyDescent="0.2">
      <c r="A13" s="10" t="str">
        <f>+'rates, dates, etc'!A726</f>
        <v>Post Doctoral Scholar(s)</v>
      </c>
      <c r="B13" s="13">
        <f>HLOOKUP(B$4,'rates, dates, etc'!B725:H730,6,FALSE)</f>
        <v>0</v>
      </c>
      <c r="C13" s="13">
        <f>HLOOKUP(C$4,'rates, dates, etc'!C725:I730,6,FALSE)</f>
        <v>0</v>
      </c>
      <c r="D13" s="13">
        <f>HLOOKUP(D$4,'rates, dates, etc'!D725:J730,6,FALSE)</f>
        <v>0</v>
      </c>
      <c r="E13" s="13">
        <f>HLOOKUP(E$4,'rates, dates, etc'!E725:K730,6,FALSE)</f>
        <v>0</v>
      </c>
      <c r="F13" s="13">
        <f>HLOOKUP(F$4,'rates, dates, etc'!F725:L730,6,FALSE)</f>
        <v>0</v>
      </c>
      <c r="G13" s="27">
        <f>SUM(B13:F13)</f>
        <v>0</v>
      </c>
      <c r="I13" s="36" t="s">
        <v>32</v>
      </c>
      <c r="J13" s="37">
        <f>SUM('rates, dates, etc'!M628:M630)/3</f>
        <v>0</v>
      </c>
      <c r="K13" s="37">
        <f>SUM('rates, dates, etc'!N628:N630)/3</f>
        <v>0</v>
      </c>
      <c r="L13" s="37">
        <f>SUM('rates, dates, etc'!O628:O630)/3</f>
        <v>0</v>
      </c>
      <c r="M13" s="37">
        <f>SUM('rates, dates, etc'!P628:P630)/3</f>
        <v>0</v>
      </c>
      <c r="N13" s="37">
        <f>SUM('rates, dates, etc'!Q628:Q630)/3</f>
        <v>0</v>
      </c>
    </row>
    <row r="14" spans="1:14" x14ac:dyDescent="0.2">
      <c r="A14" s="10" t="str">
        <f>+'rates, dates, etc'!A733</f>
        <v>Other Professional(s) (Technicians, etc)</v>
      </c>
      <c r="B14" s="13">
        <f>HLOOKUP(B$4,'rates, dates, etc'!B732:H737,6,FALSE)</f>
        <v>0</v>
      </c>
      <c r="C14" s="13">
        <f>HLOOKUP(C$4,'rates, dates, etc'!C732:I737,6,FALSE)</f>
        <v>0</v>
      </c>
      <c r="D14" s="13">
        <f>HLOOKUP(D$4,'rates, dates, etc'!D732:J737,6,FALSE)</f>
        <v>0</v>
      </c>
      <c r="E14" s="13">
        <f>HLOOKUP(E$4,'rates, dates, etc'!E732:K737,6,FALSE)</f>
        <v>0</v>
      </c>
      <c r="F14" s="13">
        <f>HLOOKUP(F$4,'rates, dates, etc'!F732:L737,6,FALSE)</f>
        <v>0</v>
      </c>
      <c r="G14" s="27">
        <f>SUM(B14:F14)</f>
        <v>0</v>
      </c>
      <c r="I14" s="10" t="s">
        <v>22</v>
      </c>
      <c r="J14" s="12">
        <f>+'rates, dates, etc'!M740</f>
        <v>0</v>
      </c>
      <c r="K14" s="12">
        <f>+'rates, dates, etc'!N740</f>
        <v>0</v>
      </c>
      <c r="L14" s="12">
        <f>+'rates, dates, etc'!O740</f>
        <v>0</v>
      </c>
      <c r="M14" s="12">
        <f>+'rates, dates, etc'!P740</f>
        <v>0</v>
      </c>
      <c r="N14" s="12">
        <f>+'rates, dates, etc'!Q740</f>
        <v>0</v>
      </c>
    </row>
    <row r="15" spans="1:14" x14ac:dyDescent="0.2">
      <c r="A15" s="10" t="str">
        <f>+'rates, dates, etc'!A633</f>
        <v>Graduate Student(s)</v>
      </c>
      <c r="B15" s="13">
        <f>+J14</f>
        <v>0</v>
      </c>
      <c r="C15" s="13">
        <f t="shared" ref="C15:F15" si="3">+K14</f>
        <v>0</v>
      </c>
      <c r="D15" s="13">
        <f t="shared" si="3"/>
        <v>0</v>
      </c>
      <c r="E15" s="13">
        <f t="shared" si="3"/>
        <v>0</v>
      </c>
      <c r="F15" s="13">
        <f t="shared" si="3"/>
        <v>0</v>
      </c>
      <c r="G15" s="27">
        <f>SUM(B15:F15)</f>
        <v>0</v>
      </c>
      <c r="I15" s="10" t="s">
        <v>8</v>
      </c>
      <c r="J15" s="12">
        <f>+'rates, dates, etc'!M741</f>
        <v>0</v>
      </c>
      <c r="K15" s="12">
        <f>+'rates, dates, etc'!N741</f>
        <v>0</v>
      </c>
      <c r="L15" s="12">
        <f>+'rates, dates, etc'!O741</f>
        <v>0</v>
      </c>
      <c r="M15" s="12">
        <f>+'rates, dates, etc'!P741</f>
        <v>0</v>
      </c>
      <c r="N15" s="12">
        <f>+'rates, dates, etc'!Q741</f>
        <v>0</v>
      </c>
    </row>
    <row r="16" spans="1:14" x14ac:dyDescent="0.2">
      <c r="A16" s="10" t="str">
        <f>+'rates, dates, etc'!A744</f>
        <v>Undergraduate Student(s)</v>
      </c>
      <c r="B16" s="13">
        <f>+'rates, dates, etc'!B752</f>
        <v>0</v>
      </c>
      <c r="C16" s="13">
        <f>+'rates, dates, etc'!C752</f>
        <v>0</v>
      </c>
      <c r="D16" s="13">
        <f>+'rates, dates, etc'!D752</f>
        <v>0</v>
      </c>
      <c r="E16" s="13">
        <f>+'rates, dates, etc'!E752</f>
        <v>0</v>
      </c>
      <c r="F16" s="13">
        <f>+'rates, dates, etc'!F752</f>
        <v>0</v>
      </c>
      <c r="G16" s="27">
        <f t="shared" ref="G16:G18" si="4">SUM(B16:F16)</f>
        <v>0</v>
      </c>
      <c r="I16" s="10" t="s">
        <v>9</v>
      </c>
      <c r="J16" s="12">
        <f>+'rates, dates, etc'!M742</f>
        <v>0</v>
      </c>
      <c r="K16" s="12">
        <f>+'rates, dates, etc'!N742</f>
        <v>0</v>
      </c>
      <c r="L16" s="12">
        <f>+'rates, dates, etc'!O742</f>
        <v>0</v>
      </c>
      <c r="M16" s="12">
        <f>+'rates, dates, etc'!P742</f>
        <v>0</v>
      </c>
      <c r="N16" s="12">
        <f>+'rates, dates, etc'!Q742</f>
        <v>0</v>
      </c>
    </row>
    <row r="17" spans="1:15" ht="12" thickBot="1" x14ac:dyDescent="0.25">
      <c r="A17" s="10" t="str">
        <f>+'rates, dates, etc'!A755</f>
        <v>Other</v>
      </c>
      <c r="B17" s="13">
        <f>HLOOKUP(B$4,'rates, dates, etc'!B754:H759,6,FALSE)</f>
        <v>0</v>
      </c>
      <c r="C17" s="13">
        <f>HLOOKUP(C$4,'rates, dates, etc'!C754:I759,6,FALSE)</f>
        <v>0</v>
      </c>
      <c r="D17" s="13">
        <f>HLOOKUP(D$4,'rates, dates, etc'!D754:J759,6,FALSE)</f>
        <v>0</v>
      </c>
      <c r="E17" s="13">
        <f>HLOOKUP(E$4,'rates, dates, etc'!E754:K759,6,FALSE)</f>
        <v>0</v>
      </c>
      <c r="F17" s="13">
        <f>HLOOKUP(F$4,'rates, dates, etc'!F754:L759,6,FALSE)</f>
        <v>0</v>
      </c>
      <c r="G17" s="27">
        <f t="shared" si="4"/>
        <v>0</v>
      </c>
      <c r="I17" s="35" t="s">
        <v>31</v>
      </c>
      <c r="J17" s="38">
        <f>SUM(J14:J16)</f>
        <v>0</v>
      </c>
      <c r="K17" s="38">
        <f>SUM(K14:K16)</f>
        <v>0</v>
      </c>
      <c r="L17" s="38">
        <f>SUM(L14:L16)</f>
        <v>0</v>
      </c>
      <c r="M17" s="38">
        <f>SUM(M14:M16)</f>
        <v>0</v>
      </c>
      <c r="N17" s="38">
        <f>SUM(N14:N16)</f>
        <v>0</v>
      </c>
    </row>
    <row r="18" spans="1:15" x14ac:dyDescent="0.2">
      <c r="A18" s="10" t="str">
        <f>+'rates, dates, etc'!A762</f>
        <v>Other - Temp Employee (Endowed)</v>
      </c>
      <c r="B18" s="13">
        <f>+'rates, dates, etc'!B765</f>
        <v>0</v>
      </c>
      <c r="C18" s="13">
        <f>+'rates, dates, etc'!C765</f>
        <v>0</v>
      </c>
      <c r="D18" s="13">
        <f>+'rates, dates, etc'!D765</f>
        <v>0</v>
      </c>
      <c r="E18" s="13">
        <f>+'rates, dates, etc'!E765</f>
        <v>0</v>
      </c>
      <c r="F18" s="13">
        <f>+'rates, dates, etc'!F765</f>
        <v>0</v>
      </c>
      <c r="G18" s="27">
        <f t="shared" si="4"/>
        <v>0</v>
      </c>
    </row>
    <row r="19" spans="1:15" ht="12" thickBot="1" x14ac:dyDescent="0.25">
      <c r="A19" s="15" t="str">
        <f>CONCATENATE("Total ",A12)</f>
        <v>Total Other Personnel Salary</v>
      </c>
      <c r="B19" s="16">
        <f>SUM(B12:B18)</f>
        <v>0</v>
      </c>
      <c r="C19" s="16">
        <f>SUM(C12:C18)</f>
        <v>0</v>
      </c>
      <c r="D19" s="16">
        <f t="shared" ref="D19:F19" si="5">SUM(D12:D18)</f>
        <v>0</v>
      </c>
      <c r="E19" s="16">
        <f>SUM(E12:E18)</f>
        <v>0</v>
      </c>
      <c r="F19" s="16">
        <f t="shared" si="5"/>
        <v>0</v>
      </c>
      <c r="G19" s="28">
        <f>SUM(G12:G18)</f>
        <v>0</v>
      </c>
    </row>
    <row r="20" spans="1:15" x14ac:dyDescent="0.2">
      <c r="A20" s="17" t="s">
        <v>7</v>
      </c>
      <c r="B20" s="11" t="s">
        <v>6</v>
      </c>
      <c r="C20" s="11"/>
      <c r="D20" s="11"/>
      <c r="E20" s="11"/>
      <c r="F20" s="11"/>
      <c r="G20" s="27"/>
    </row>
    <row r="21" spans="1:15" x14ac:dyDescent="0.2">
      <c r="A21" s="10" t="str">
        <f>+A8</f>
        <v>Co-PI</v>
      </c>
      <c r="B21" s="11">
        <f>IF('rates, dates, etc'!$I579=9,ROUND((+B8*J$23),0),ROUND((+B8*J$26*$K$35)+(B8*K$26*$K$36),0))</f>
        <v>0</v>
      </c>
      <c r="C21" s="11">
        <f>IF('rates, dates, etc'!$I579=9,ROUND((+C8*K$23),0),ROUND((+C8*K$26*$K$35)+(C8*L$26*$K$36),0))</f>
        <v>0</v>
      </c>
      <c r="D21" s="11">
        <f>IF('rates, dates, etc'!$I579=9,ROUND((+D8*L$23),0),ROUND((+D8*L$26*$K$35)+(D8*M$26*$K$36),0))</f>
        <v>0</v>
      </c>
      <c r="E21" s="11">
        <f>IF('rates, dates, etc'!$I579=9,ROUND((+E8*M$23),0),ROUND((+E8*M$26*$K$35)+(E8*N$26*$K$36),0))</f>
        <v>0</v>
      </c>
      <c r="F21" s="11">
        <f>IF('rates, dates, etc'!$I579=9,ROUND((+F8*N$23),0),ROUND((+F8*N$26*$K$35)+(F8*O$26*$K$36),0))</f>
        <v>0</v>
      </c>
      <c r="G21" s="27">
        <f t="shared" ref="G21:G27" si="6">SUM(B21:F21)</f>
        <v>0</v>
      </c>
      <c r="I21" s="68" t="s">
        <v>33</v>
      </c>
    </row>
    <row r="22" spans="1:15" x14ac:dyDescent="0.2">
      <c r="A22" s="10" t="str">
        <f>+A9</f>
        <v>Co-PI</v>
      </c>
      <c r="B22" s="11">
        <f>IF('rates, dates, etc'!$I593=9,ROUND((+B9*J$23),0),ROUND((+B9*J$26*$K$35)+(B9*K$26*$K$36),0))</f>
        <v>0</v>
      </c>
      <c r="C22" s="11">
        <f>IF('rates, dates, etc'!$I593=9,ROUND((+C9*K$23),0),ROUND((+C9*K$26*$K$35)+(C9*L$26*$K$36),0))</f>
        <v>0</v>
      </c>
      <c r="D22" s="11">
        <f>IF('rates, dates, etc'!$I593=9,ROUND((+D9*L$23),0),ROUND((+D9*L$26*$K$35)+(D9*M$26*$K$36),0))</f>
        <v>0</v>
      </c>
      <c r="E22" s="11">
        <f>IF('rates, dates, etc'!$I593=9,ROUND((+E9*M$23),0),ROUND((+E9*M$26*$K$35)+(E9*N$26*$K$36),0))</f>
        <v>0</v>
      </c>
      <c r="F22" s="11">
        <f>IF('rates, dates, etc'!$I593=9,ROUND((+F9*N$23),0),ROUND((+F9*N$26*$K$35)+(F9*O$26*$K$36),0))</f>
        <v>0</v>
      </c>
      <c r="G22" s="27">
        <f t="shared" si="6"/>
        <v>0</v>
      </c>
      <c r="I22" s="95" t="s">
        <v>121</v>
      </c>
      <c r="J22" s="96" t="str">
        <f>+'rates, dates, etc'!Z5</f>
        <v>FY2024</v>
      </c>
      <c r="K22" s="96" t="str">
        <f>+'rates, dates, etc'!AA5</f>
        <v>FY2025</v>
      </c>
      <c r="L22" s="96" t="str">
        <f>+'rates, dates, etc'!AB5</f>
        <v>FY2026</v>
      </c>
      <c r="M22" s="96" t="str">
        <f>+'rates, dates, etc'!AC5</f>
        <v>FY2027</v>
      </c>
      <c r="N22" s="96" t="str">
        <f>+'rates, dates, etc'!AD5</f>
        <v>FY2028</v>
      </c>
    </row>
    <row r="23" spans="1:15" x14ac:dyDescent="0.2">
      <c r="A23" s="10" t="str">
        <f>+A10</f>
        <v>Co-PI</v>
      </c>
      <c r="B23" s="11">
        <f>IF('rates, dates, etc'!$I607=9,ROUND((+B10*J$23),0),ROUND((+B10*J$26*$K$35)+(B10*K$26*$K$36),0))</f>
        <v>0</v>
      </c>
      <c r="C23" s="11">
        <f>IF('rates, dates, etc'!$I607=9,ROUND((+C10*K$23),0),ROUND((+C10*K$26*$K$35)+(C10*L$26*$K$36),0))</f>
        <v>0</v>
      </c>
      <c r="D23" s="11">
        <f>IF('rates, dates, etc'!$I607=9,ROUND((+D10*L$23),0),ROUND((+D10*L$26*$K$35)+(D10*M$26*$K$36),0))</f>
        <v>0</v>
      </c>
      <c r="E23" s="11">
        <f>IF('rates, dates, etc'!$I607=9,ROUND((+E10*M$23),0),ROUND((+E10*M$26*$K$35)+(E10*N$26*$K$36),0))</f>
        <v>0</v>
      </c>
      <c r="F23" s="11">
        <f>IF('rates, dates, etc'!$I607=9,ROUND((+F10*N$23),0),ROUND((+F10*N$26*$K$35)+(F10*O$26*$K$36),0))</f>
        <v>0</v>
      </c>
      <c r="G23" s="27">
        <f t="shared" si="6"/>
        <v>0</v>
      </c>
      <c r="I23" s="3" t="str">
        <f>+'rates, dates, etc'!A567</f>
        <v xml:space="preserve">   Contract (Federal) - Senior Personnel</v>
      </c>
      <c r="J23" s="31">
        <f>IF('rates, dates, etc'!B672='rates, dates, etc'!Z5,'rates, dates, etc'!B673,'rates, dates, etc'!C673)</f>
        <v>0.68300000000000005</v>
      </c>
      <c r="K23" s="31">
        <f>IF('rates, dates, etc'!C672='rates, dates, etc'!AA5,'rates, dates, etc'!C673,'rates, dates, etc'!D673)</f>
        <v>0.68300000000000005</v>
      </c>
      <c r="L23" s="31">
        <f>IF('rates, dates, etc'!D672='rates, dates, etc'!AB5,'rates, dates, etc'!D673,'rates, dates, etc'!E673)</f>
        <v>0.68300000000000005</v>
      </c>
      <c r="M23" s="31">
        <f>IF('rates, dates, etc'!E672='rates, dates, etc'!AC5,'rates, dates, etc'!E673,'rates, dates, etc'!F673)</f>
        <v>0.68300000000000005</v>
      </c>
      <c r="N23" s="31">
        <f>IF('rates, dates, etc'!F672='rates, dates, etc'!AD5,'rates, dates, etc'!F673,'rates, dates, etc'!G673)</f>
        <v>0.68300000000000005</v>
      </c>
    </row>
    <row r="24" spans="1:15" x14ac:dyDescent="0.2">
      <c r="A24" s="10" t="str">
        <f>+A13</f>
        <v>Post Doctoral Scholar(s)</v>
      </c>
      <c r="B24" s="11">
        <f t="shared" ref="B24:F25" si="7">ROUND((+B13*J27*$K$35)+(B13*K27*$K$36),0)</f>
        <v>0</v>
      </c>
      <c r="C24" s="11">
        <f t="shared" si="7"/>
        <v>0</v>
      </c>
      <c r="D24" s="11">
        <f t="shared" si="7"/>
        <v>0</v>
      </c>
      <c r="E24" s="11">
        <f t="shared" si="7"/>
        <v>0</v>
      </c>
      <c r="F24" s="11">
        <f t="shared" si="7"/>
        <v>0</v>
      </c>
      <c r="G24" s="27">
        <f t="shared" si="6"/>
        <v>0</v>
      </c>
      <c r="J24" s="2"/>
      <c r="K24" s="2"/>
    </row>
    <row r="25" spans="1:15" x14ac:dyDescent="0.2">
      <c r="A25" s="10" t="str">
        <f>+A14</f>
        <v>Other Professional(s) (Technicians, etc)</v>
      </c>
      <c r="B25" s="11">
        <f t="shared" si="7"/>
        <v>0</v>
      </c>
      <c r="C25" s="11">
        <f t="shared" si="7"/>
        <v>0</v>
      </c>
      <c r="D25" s="11">
        <f t="shared" si="7"/>
        <v>0</v>
      </c>
      <c r="E25" s="11">
        <f t="shared" si="7"/>
        <v>0</v>
      </c>
      <c r="F25" s="11">
        <f t="shared" si="7"/>
        <v>0</v>
      </c>
      <c r="G25" s="27">
        <f t="shared" si="6"/>
        <v>0</v>
      </c>
      <c r="I25" s="95" t="s">
        <v>122</v>
      </c>
      <c r="J25" s="69" t="str">
        <f>+'rates, dates, etc'!Z4</f>
        <v>FY2023</v>
      </c>
      <c r="K25" s="69" t="str">
        <f>+'rates, dates, etc'!AA4</f>
        <v>FY2024</v>
      </c>
      <c r="L25" s="69" t="str">
        <f>+'rates, dates, etc'!AB4</f>
        <v>FY2025</v>
      </c>
      <c r="M25" s="69" t="str">
        <f>+'rates, dates, etc'!AC4</f>
        <v>FY2026</v>
      </c>
      <c r="N25" s="69" t="str">
        <f>+'rates, dates, etc'!AD4</f>
        <v>FY2027</v>
      </c>
      <c r="O25" s="69" t="str">
        <f>+'rates, dates, etc'!AE4</f>
        <v>FY2028</v>
      </c>
    </row>
    <row r="26" spans="1:15" x14ac:dyDescent="0.2">
      <c r="A26" s="10" t="str">
        <f>+A17</f>
        <v>Other</v>
      </c>
      <c r="B26" s="11">
        <f>IF('rates, dates, etc'!$I650=9,ROUND((+B17*J$23),0),ROUND((+B17*J$28*$K$35)+(B17*K$28*$K$36),0))</f>
        <v>0</v>
      </c>
      <c r="C26" s="11">
        <f>IF('rates, dates, etc'!$I650=9,ROUND((+C17*K$23),0),ROUND((+C17*K$28*$K$35)+(C17*L$28*$K$36),0))</f>
        <v>0</v>
      </c>
      <c r="D26" s="11">
        <f>IF('rates, dates, etc'!$I650=9,ROUND((+D17*L$23),0),ROUND((+D17*L$28*$K$35)+(D17*M$28*$K$36),0))</f>
        <v>0</v>
      </c>
      <c r="E26" s="11">
        <f>IF('rates, dates, etc'!$I650=9,ROUND((+E17*M$23),0),ROUND((+E17*M$28*$K$35)+(E17*N$28*$K$36),0))</f>
        <v>0</v>
      </c>
      <c r="F26" s="11">
        <f>IF('rates, dates, etc'!$I650=9,ROUND((+F17*N$23),0),ROUND((+F17*N$28*$K$35)+(F17*O$28*$K$36),0))</f>
        <v>0</v>
      </c>
      <c r="G26" s="27">
        <f t="shared" si="6"/>
        <v>0</v>
      </c>
      <c r="I26" s="3" t="str">
        <f>+'rates, dates, etc'!A567</f>
        <v xml:space="preserve">   Contract (Federal) - Senior Personnel</v>
      </c>
      <c r="J26" s="136">
        <f>+'rates, dates, etc'!B673</f>
        <v>0.68300000000000005</v>
      </c>
      <c r="K26" s="136">
        <f>+'rates, dates, etc'!C673</f>
        <v>0.68300000000000005</v>
      </c>
      <c r="L26" s="136">
        <f>+'rates, dates, etc'!D673</f>
        <v>0.68300000000000005</v>
      </c>
      <c r="M26" s="136">
        <f>+'rates, dates, etc'!E673</f>
        <v>0.68300000000000005</v>
      </c>
      <c r="N26" s="136">
        <f>+'rates, dates, etc'!F673</f>
        <v>0.68300000000000005</v>
      </c>
      <c r="O26" s="136">
        <f>+'rates, dates, etc'!G673</f>
        <v>0.68300000000000005</v>
      </c>
    </row>
    <row r="27" spans="1:15" x14ac:dyDescent="0.2">
      <c r="A27" s="10" t="str">
        <f>+A18</f>
        <v>Other - Temp Employee (Endowed)</v>
      </c>
      <c r="B27" s="11">
        <f>ROUND((+B18*J$29*$K$35)+(B18*K$29*$K$36),0)</f>
        <v>0</v>
      </c>
      <c r="C27" s="11">
        <f t="shared" ref="C27:F27" si="8">ROUND((+C18*K$29*$K$35)+(C18*L$29*$K$36),0)</f>
        <v>0</v>
      </c>
      <c r="D27" s="11">
        <f t="shared" si="8"/>
        <v>0</v>
      </c>
      <c r="E27" s="11">
        <f t="shared" si="8"/>
        <v>0</v>
      </c>
      <c r="F27" s="11">
        <f t="shared" si="8"/>
        <v>0</v>
      </c>
      <c r="G27" s="27">
        <f t="shared" si="6"/>
        <v>0</v>
      </c>
      <c r="I27" s="3" t="str">
        <f>+'rates, dates, etc'!A568</f>
        <v xml:space="preserve">   Contract (Federal) - Post Doc</v>
      </c>
      <c r="J27" s="136">
        <f>+'rates, dates, etc'!B674</f>
        <v>0.68300000000000005</v>
      </c>
      <c r="K27" s="136">
        <f>+'rates, dates, etc'!C674</f>
        <v>0.68300000000000005</v>
      </c>
      <c r="L27" s="136">
        <f>+'rates, dates, etc'!D674</f>
        <v>0.68300000000000005</v>
      </c>
      <c r="M27" s="136">
        <f>+'rates, dates, etc'!E674</f>
        <v>0.68300000000000005</v>
      </c>
      <c r="N27" s="136">
        <f>+'rates, dates, etc'!F674</f>
        <v>0.68300000000000005</v>
      </c>
      <c r="O27" s="136">
        <f>+'rates, dates, etc'!G674</f>
        <v>0.68300000000000005</v>
      </c>
    </row>
    <row r="28" spans="1:15" ht="12" thickBot="1" x14ac:dyDescent="0.25">
      <c r="A28" s="15" t="str">
        <f>CONCATENATE("Total ",A20)</f>
        <v>Total Fringe Benefits</v>
      </c>
      <c r="B28" s="16">
        <f>SUM(B20:B27)</f>
        <v>0</v>
      </c>
      <c r="C28" s="16">
        <f t="shared" ref="C28:F28" si="9">SUM(C20:C27)</f>
        <v>0</v>
      </c>
      <c r="D28" s="16">
        <f t="shared" si="9"/>
        <v>0</v>
      </c>
      <c r="E28" s="16">
        <f t="shared" si="9"/>
        <v>0</v>
      </c>
      <c r="F28" s="16">
        <f t="shared" si="9"/>
        <v>0</v>
      </c>
      <c r="G28" s="28">
        <f>SUM(G20:G27)</f>
        <v>0</v>
      </c>
      <c r="I28" s="3" t="str">
        <f>+'rates, dates, etc'!A569</f>
        <v xml:space="preserve">   Contract (Federal) - Other Employee</v>
      </c>
      <c r="J28" s="136">
        <f>+'rates, dates, etc'!B675</f>
        <v>0.68300000000000005</v>
      </c>
      <c r="K28" s="136">
        <f>+'rates, dates, etc'!C675</f>
        <v>0.68300000000000005</v>
      </c>
      <c r="L28" s="136">
        <f>+'rates, dates, etc'!D675</f>
        <v>0.68300000000000005</v>
      </c>
      <c r="M28" s="136">
        <f>+'rates, dates, etc'!E675</f>
        <v>0.68300000000000005</v>
      </c>
      <c r="N28" s="136">
        <f>+'rates, dates, etc'!F675</f>
        <v>0.68300000000000005</v>
      </c>
      <c r="O28" s="136">
        <f>+'rates, dates, etc'!G675</f>
        <v>0.68300000000000005</v>
      </c>
    </row>
    <row r="29" spans="1:15" ht="12" thickBot="1" x14ac:dyDescent="0.25">
      <c r="A29" s="143" t="s">
        <v>131</v>
      </c>
      <c r="B29" s="144">
        <f>+B11+B19+B28</f>
        <v>0</v>
      </c>
      <c r="C29" s="144">
        <f t="shared" ref="C29:F29" si="10">+C11+C19+C28</f>
        <v>0</v>
      </c>
      <c r="D29" s="144">
        <f t="shared" si="10"/>
        <v>0</v>
      </c>
      <c r="E29" s="144">
        <f t="shared" si="10"/>
        <v>0</v>
      </c>
      <c r="F29" s="144">
        <f t="shared" si="10"/>
        <v>0</v>
      </c>
      <c r="G29" s="145">
        <f>SUM(B29:F29)</f>
        <v>0</v>
      </c>
      <c r="I29" s="3" t="str">
        <f>+'rates, dates, etc'!A146</f>
        <v xml:space="preserve">   Temp Employee</v>
      </c>
      <c r="J29" s="2">
        <f>+'rates, dates, etc'!B676</f>
        <v>0.1</v>
      </c>
      <c r="K29" s="2">
        <f>+'rates, dates, etc'!C676</f>
        <v>0.1</v>
      </c>
      <c r="L29" s="2">
        <f>+'rates, dates, etc'!D676</f>
        <v>0.1</v>
      </c>
      <c r="M29" s="2">
        <f>+'rates, dates, etc'!E676</f>
        <v>0.1</v>
      </c>
      <c r="N29" s="2">
        <f>+'rates, dates, etc'!F676</f>
        <v>0.1</v>
      </c>
      <c r="O29" s="2">
        <f>+'rates, dates, etc'!G676</f>
        <v>0.1</v>
      </c>
    </row>
    <row r="30" spans="1:15" x14ac:dyDescent="0.2">
      <c r="A30" s="17" t="s">
        <v>25</v>
      </c>
      <c r="B30" s="11"/>
      <c r="C30" s="11"/>
      <c r="D30" s="11"/>
      <c r="E30" s="11"/>
      <c r="F30" s="11"/>
      <c r="G30" s="27"/>
    </row>
    <row r="31" spans="1:15" x14ac:dyDescent="0.2">
      <c r="A31" s="10" t="s">
        <v>66</v>
      </c>
      <c r="B31" s="11"/>
      <c r="C31" s="11"/>
      <c r="D31" s="11"/>
      <c r="E31" s="11"/>
      <c r="F31" s="11"/>
      <c r="G31" s="27">
        <f>SUM(B31:F31)</f>
        <v>0</v>
      </c>
      <c r="I31" s="95" t="str">
        <f>+'rates, dates, etc'!A42</f>
        <v>Rate Allowed by Sponsor:</v>
      </c>
      <c r="J31" s="2">
        <f>+'rates, dates, etc'!B42</f>
        <v>0.2</v>
      </c>
      <c r="K31" s="2">
        <f>+'rates, dates, etc'!C42</f>
        <v>0.2</v>
      </c>
      <c r="L31" s="2">
        <f>+'rates, dates, etc'!D42</f>
        <v>0.2</v>
      </c>
      <c r="M31" s="2">
        <f>+'rates, dates, etc'!E42</f>
        <v>0.2</v>
      </c>
      <c r="N31" s="2">
        <f>+'rates, dates, etc'!F42</f>
        <v>0.2</v>
      </c>
      <c r="O31" s="2">
        <f>+'rates, dates, etc'!G42</f>
        <v>0.2</v>
      </c>
    </row>
    <row r="32" spans="1:15" x14ac:dyDescent="0.2">
      <c r="A32" s="10"/>
      <c r="B32" s="11"/>
      <c r="C32" s="11"/>
      <c r="D32" s="11"/>
      <c r="E32" s="11"/>
      <c r="F32" s="11"/>
      <c r="G32" s="27">
        <f>SUM(B32:F32)</f>
        <v>0</v>
      </c>
      <c r="I32" s="95" t="str">
        <f>+'rates, dates, etc'!A571</f>
        <v>Cornell IDC Rate - Contract College</v>
      </c>
      <c r="J32" s="2">
        <f>+'rates, dates, etc'!B677</f>
        <v>0.56999999999999995</v>
      </c>
      <c r="K32" s="2">
        <f>+'rates, dates, etc'!C677</f>
        <v>0.56999999999999995</v>
      </c>
      <c r="L32" s="2">
        <f>+'rates, dates, etc'!D677</f>
        <v>0.56999999999999995</v>
      </c>
      <c r="M32" s="2">
        <f>+'rates, dates, etc'!E677</f>
        <v>0.56999999999999995</v>
      </c>
      <c r="N32" s="2">
        <f>+'rates, dates, etc'!F677</f>
        <v>0.56999999999999995</v>
      </c>
      <c r="O32" s="2">
        <f>+'rates, dates, etc'!G677</f>
        <v>0.56999999999999995</v>
      </c>
    </row>
    <row r="33" spans="1:15" ht="12" thickBot="1" x14ac:dyDescent="0.25">
      <c r="A33" s="15" t="str">
        <f>CONCATENATE("Total ",A30)</f>
        <v>Total Equipment</v>
      </c>
      <c r="B33" s="16">
        <f>SUM(B30:B32)</f>
        <v>0</v>
      </c>
      <c r="C33" s="16">
        <f>SUM(C30:C32)</f>
        <v>0</v>
      </c>
      <c r="D33" s="16">
        <f t="shared" ref="D33:F33" si="11">SUM(D30:D32)</f>
        <v>0</v>
      </c>
      <c r="E33" s="16">
        <f t="shared" si="11"/>
        <v>0</v>
      </c>
      <c r="F33" s="16">
        <f t="shared" si="11"/>
        <v>0</v>
      </c>
      <c r="G33" s="28">
        <f>SUM(G30:G32)</f>
        <v>0</v>
      </c>
      <c r="N33" s="13"/>
      <c r="O33" s="13"/>
    </row>
    <row r="34" spans="1:15" x14ac:dyDescent="0.2">
      <c r="A34" s="17" t="s">
        <v>34</v>
      </c>
      <c r="B34" s="11"/>
      <c r="C34" s="11"/>
      <c r="D34" s="11"/>
      <c r="E34" s="11"/>
      <c r="F34" s="11"/>
      <c r="G34" s="27"/>
      <c r="I34" s="71" t="str">
        <f>+'rates, dates, etc'!L39</f>
        <v>Pro-rating factor for 12 month appts.:</v>
      </c>
      <c r="J34" s="31" t="s">
        <v>36</v>
      </c>
      <c r="K34" s="31" t="s">
        <v>56</v>
      </c>
      <c r="N34" s="13"/>
      <c r="O34" s="13"/>
    </row>
    <row r="35" spans="1:15" x14ac:dyDescent="0.2">
      <c r="A35" s="10" t="s">
        <v>10</v>
      </c>
      <c r="B35" s="11"/>
      <c r="C35" s="11"/>
      <c r="D35" s="11"/>
      <c r="E35" s="11"/>
      <c r="F35" s="11"/>
      <c r="G35" s="27">
        <f>SUM(B35:F35)</f>
        <v>0</v>
      </c>
      <c r="I35" s="72" t="s">
        <v>51</v>
      </c>
      <c r="J35" s="68">
        <f>+'rates, dates, etc'!M41</f>
        <v>6</v>
      </c>
      <c r="K35" s="68">
        <f>+'rates, dates, etc'!N41</f>
        <v>0.5</v>
      </c>
      <c r="N35" s="13"/>
      <c r="O35" s="13"/>
    </row>
    <row r="36" spans="1:15" x14ac:dyDescent="0.2">
      <c r="A36" s="10" t="s">
        <v>11</v>
      </c>
      <c r="B36" s="11"/>
      <c r="C36" s="11"/>
      <c r="D36" s="11"/>
      <c r="E36" s="11"/>
      <c r="F36" s="11"/>
      <c r="G36" s="27">
        <f>SUM(B36:F36)</f>
        <v>0</v>
      </c>
      <c r="I36" s="72" t="s">
        <v>52</v>
      </c>
      <c r="J36" s="68">
        <f>+'rates, dates, etc'!M42</f>
        <v>6</v>
      </c>
      <c r="K36" s="68">
        <f>+'rates, dates, etc'!N42</f>
        <v>0.5</v>
      </c>
    </row>
    <row r="37" spans="1:15" ht="12" thickBot="1" x14ac:dyDescent="0.25">
      <c r="A37" s="15" t="str">
        <f>CONCATENATE("Total ",A34)</f>
        <v>Total Travel</v>
      </c>
      <c r="B37" s="16">
        <f>SUM(B34:B36)</f>
        <v>0</v>
      </c>
      <c r="C37" s="16">
        <f>SUM(C34:C36)</f>
        <v>0</v>
      </c>
      <c r="D37" s="16">
        <f t="shared" ref="D37:F37" si="12">SUM(D34:D36)</f>
        <v>0</v>
      </c>
      <c r="E37" s="16">
        <f t="shared" si="12"/>
        <v>0</v>
      </c>
      <c r="F37" s="16">
        <f t="shared" si="12"/>
        <v>0</v>
      </c>
      <c r="G37" s="28">
        <f>SUM(G34:G36)</f>
        <v>0</v>
      </c>
      <c r="I37" s="70"/>
      <c r="J37" s="73">
        <f>SUM(J35:J36)</f>
        <v>12</v>
      </c>
      <c r="K37" s="2" t="s">
        <v>97</v>
      </c>
    </row>
    <row r="38" spans="1:15" x14ac:dyDescent="0.2">
      <c r="A38" s="17" t="s">
        <v>27</v>
      </c>
      <c r="B38" s="11"/>
      <c r="C38" s="11"/>
      <c r="D38" s="11"/>
      <c r="E38" s="11"/>
      <c r="F38" s="11"/>
      <c r="G38" s="27"/>
      <c r="I38" s="2"/>
      <c r="J38" s="2"/>
      <c r="K38" s="2"/>
    </row>
    <row r="39" spans="1:15" x14ac:dyDescent="0.2">
      <c r="A39" s="10" t="s">
        <v>91</v>
      </c>
      <c r="B39" s="11"/>
      <c r="C39" s="11"/>
      <c r="D39" s="11"/>
      <c r="E39" s="11"/>
      <c r="F39" s="11"/>
      <c r="G39" s="27">
        <f>SUM(B39:F39)</f>
        <v>0</v>
      </c>
      <c r="I39" s="2"/>
      <c r="J39" s="2"/>
      <c r="K39" s="2"/>
    </row>
    <row r="40" spans="1:15" x14ac:dyDescent="0.2">
      <c r="A40" s="10" t="s">
        <v>47</v>
      </c>
      <c r="B40" s="11"/>
      <c r="C40" s="11"/>
      <c r="D40" s="11"/>
      <c r="E40" s="11"/>
      <c r="F40" s="11"/>
      <c r="G40" s="27">
        <f t="shared" ref="G40:G42" si="13">SUM(B40:F40)</f>
        <v>0</v>
      </c>
      <c r="I40" s="2"/>
      <c r="J40" s="2"/>
      <c r="K40" s="2"/>
    </row>
    <row r="41" spans="1:15" x14ac:dyDescent="0.2">
      <c r="A41" s="10" t="s">
        <v>34</v>
      </c>
      <c r="B41" s="11"/>
      <c r="C41" s="11"/>
      <c r="D41" s="11"/>
      <c r="E41" s="11"/>
      <c r="F41" s="11"/>
      <c r="G41" s="27">
        <f t="shared" si="13"/>
        <v>0</v>
      </c>
      <c r="K41" s="2"/>
    </row>
    <row r="42" spans="1:15" x14ac:dyDescent="0.2">
      <c r="A42" s="10" t="s">
        <v>48</v>
      </c>
      <c r="B42" s="11"/>
      <c r="C42" s="11"/>
      <c r="D42" s="11"/>
      <c r="E42" s="11"/>
      <c r="F42" s="11"/>
      <c r="G42" s="27">
        <f t="shared" si="13"/>
        <v>0</v>
      </c>
    </row>
    <row r="43" spans="1:15" x14ac:dyDescent="0.2">
      <c r="A43" s="10" t="s">
        <v>29</v>
      </c>
      <c r="B43" s="11"/>
      <c r="C43" s="11"/>
      <c r="D43" s="11"/>
      <c r="E43" s="11"/>
      <c r="F43" s="11"/>
      <c r="G43" s="27">
        <f>SUM(B43:F43)</f>
        <v>0</v>
      </c>
    </row>
    <row r="44" spans="1:15" ht="12" thickBot="1" x14ac:dyDescent="0.25">
      <c r="A44" s="15" t="str">
        <f>CONCATENATE("Total ",A38)</f>
        <v>Total Participant Support Costs</v>
      </c>
      <c r="B44" s="16">
        <f>SUM(B38:B43)</f>
        <v>0</v>
      </c>
      <c r="C44" s="16">
        <f>SUM(C38:C43)</f>
        <v>0</v>
      </c>
      <c r="D44" s="16">
        <f t="shared" ref="D44:F44" si="14">SUM(D38:D43)</f>
        <v>0</v>
      </c>
      <c r="E44" s="16">
        <f t="shared" si="14"/>
        <v>0</v>
      </c>
      <c r="F44" s="16">
        <f t="shared" si="14"/>
        <v>0</v>
      </c>
      <c r="G44" s="28">
        <f>SUM(G38:G43)</f>
        <v>0</v>
      </c>
    </row>
    <row r="45" spans="1:15" x14ac:dyDescent="0.2">
      <c r="A45" s="17" t="s">
        <v>13</v>
      </c>
      <c r="B45" s="11"/>
      <c r="C45" s="11"/>
      <c r="D45" s="11"/>
      <c r="E45" s="11"/>
      <c r="F45" s="11"/>
      <c r="G45" s="27"/>
    </row>
    <row r="46" spans="1:15" x14ac:dyDescent="0.2">
      <c r="A46" s="10" t="str">
        <f>+'Lead Budget'!A46</f>
        <v>Materials &amp; Supplies</v>
      </c>
      <c r="B46" s="18"/>
      <c r="C46" s="18"/>
      <c r="D46" s="18"/>
      <c r="E46" s="18"/>
      <c r="F46" s="18"/>
      <c r="G46" s="27">
        <f t="shared" ref="G46:G54" si="15">SUM(B46:F46)</f>
        <v>0</v>
      </c>
    </row>
    <row r="47" spans="1:15" x14ac:dyDescent="0.2">
      <c r="A47" s="10" t="str">
        <f>+'Lead Budget'!A47</f>
        <v>Publication Costs</v>
      </c>
      <c r="B47" s="18"/>
      <c r="C47" s="18"/>
      <c r="D47" s="18"/>
      <c r="E47" s="18"/>
      <c r="F47" s="18"/>
      <c r="G47" s="27">
        <f t="shared" si="15"/>
        <v>0</v>
      </c>
    </row>
    <row r="48" spans="1:15" x14ac:dyDescent="0.2">
      <c r="A48" s="10" t="str">
        <f>+'Lead Budget'!A48</f>
        <v>Consultant Services</v>
      </c>
      <c r="B48" s="18"/>
      <c r="C48" s="18"/>
      <c r="D48" s="18"/>
      <c r="E48" s="18"/>
      <c r="F48" s="18"/>
      <c r="G48" s="27">
        <f t="shared" si="15"/>
        <v>0</v>
      </c>
    </row>
    <row r="49" spans="1:15" x14ac:dyDescent="0.2">
      <c r="A49" s="10" t="str">
        <f>+'Lead Budget'!A49</f>
        <v>ADP/Computer Services</v>
      </c>
      <c r="B49" s="18"/>
      <c r="C49" s="18"/>
      <c r="D49" s="18"/>
      <c r="E49" s="18"/>
      <c r="F49" s="18"/>
      <c r="G49" s="27">
        <f t="shared" si="15"/>
        <v>0</v>
      </c>
    </row>
    <row r="50" spans="1:15" x14ac:dyDescent="0.2">
      <c r="A50" s="10" t="str">
        <f>+'Lead Budget'!A50</f>
        <v xml:space="preserve">SubContracts </v>
      </c>
      <c r="B50" s="18"/>
      <c r="C50" s="18"/>
      <c r="D50" s="18"/>
      <c r="E50" s="18"/>
      <c r="F50" s="18"/>
      <c r="G50" s="27">
        <f t="shared" si="15"/>
        <v>0</v>
      </c>
    </row>
    <row r="51" spans="1:15" x14ac:dyDescent="0.2">
      <c r="A51" s="10" t="str">
        <f>+'Lead Budget'!A51</f>
        <v xml:space="preserve">Equipment or Facility Rental/User Fees </v>
      </c>
      <c r="B51" s="18"/>
      <c r="C51" s="18"/>
      <c r="D51" s="18"/>
      <c r="E51" s="18"/>
      <c r="F51" s="18"/>
      <c r="G51" s="27">
        <f t="shared" si="15"/>
        <v>0</v>
      </c>
    </row>
    <row r="52" spans="1:15" x14ac:dyDescent="0.2">
      <c r="A52" s="10" t="str">
        <f>+'Lead Budget'!A52</f>
        <v>Other: Tuition</v>
      </c>
      <c r="B52" s="18">
        <f>+J15</f>
        <v>0</v>
      </c>
      <c r="C52" s="18">
        <f t="shared" ref="C52:F53" si="16">+K15</f>
        <v>0</v>
      </c>
      <c r="D52" s="18">
        <f t="shared" si="16"/>
        <v>0</v>
      </c>
      <c r="E52" s="18">
        <f t="shared" si="16"/>
        <v>0</v>
      </c>
      <c r="F52" s="18">
        <f t="shared" si="16"/>
        <v>0</v>
      </c>
      <c r="G52" s="27">
        <f t="shared" si="15"/>
        <v>0</v>
      </c>
    </row>
    <row r="53" spans="1:15" x14ac:dyDescent="0.2">
      <c r="A53" s="10" t="str">
        <f>+'Lead Budget'!A53</f>
        <v>Other: Health Insurance</v>
      </c>
      <c r="B53" s="18">
        <f>+J16</f>
        <v>0</v>
      </c>
      <c r="C53" s="18">
        <f t="shared" si="16"/>
        <v>0</v>
      </c>
      <c r="D53" s="18">
        <f t="shared" si="16"/>
        <v>0</v>
      </c>
      <c r="E53" s="18">
        <f t="shared" si="16"/>
        <v>0</v>
      </c>
      <c r="F53" s="18">
        <f t="shared" si="16"/>
        <v>0</v>
      </c>
      <c r="G53" s="27">
        <f t="shared" si="15"/>
        <v>0</v>
      </c>
    </row>
    <row r="54" spans="1:15" x14ac:dyDescent="0.2">
      <c r="A54" s="10" t="str">
        <f>+'Lead Budget'!A54</f>
        <v>Other</v>
      </c>
      <c r="B54" s="18"/>
      <c r="C54" s="18"/>
      <c r="D54" s="18"/>
      <c r="E54" s="18"/>
      <c r="F54" s="18"/>
      <c r="G54" s="27">
        <f t="shared" si="15"/>
        <v>0</v>
      </c>
      <c r="K54" s="2"/>
      <c r="N54" s="13"/>
      <c r="O54" s="13"/>
    </row>
    <row r="55" spans="1:15" ht="12" thickBot="1" x14ac:dyDescent="0.25">
      <c r="A55" s="15" t="str">
        <f>CONCATENATE("Total ",A45)</f>
        <v>Total Other Direct Costs</v>
      </c>
      <c r="B55" s="28">
        <f t="shared" ref="B55:G55" si="17">SUM(B45:B54)</f>
        <v>0</v>
      </c>
      <c r="C55" s="16">
        <f t="shared" si="17"/>
        <v>0</v>
      </c>
      <c r="D55" s="16">
        <f t="shared" si="17"/>
        <v>0</v>
      </c>
      <c r="E55" s="16">
        <f t="shared" si="17"/>
        <v>0</v>
      </c>
      <c r="F55" s="16">
        <f t="shared" si="17"/>
        <v>0</v>
      </c>
      <c r="G55" s="28">
        <f t="shared" si="17"/>
        <v>0</v>
      </c>
      <c r="N55" s="13"/>
      <c r="O55" s="13"/>
    </row>
    <row r="56" spans="1:15" ht="12" thickBot="1" x14ac:dyDescent="0.25">
      <c r="A56" s="99" t="s">
        <v>16</v>
      </c>
      <c r="B56" s="137">
        <f t="shared" ref="B56:G56" si="18">SUM(+B11+B19+B28+B33+B37+B44+B55)</f>
        <v>0</v>
      </c>
      <c r="C56" s="137">
        <f t="shared" si="18"/>
        <v>0</v>
      </c>
      <c r="D56" s="137">
        <f t="shared" si="18"/>
        <v>0</v>
      </c>
      <c r="E56" s="137">
        <f t="shared" si="18"/>
        <v>0</v>
      </c>
      <c r="F56" s="137">
        <f t="shared" si="18"/>
        <v>0</v>
      </c>
      <c r="G56" s="138">
        <f t="shared" si="18"/>
        <v>0</v>
      </c>
      <c r="N56" s="13"/>
      <c r="O56" s="13"/>
    </row>
    <row r="57" spans="1:15" ht="12" thickBot="1" x14ac:dyDescent="0.25">
      <c r="A57" s="7" t="s">
        <v>17</v>
      </c>
      <c r="B57" s="21">
        <f>+B56-(+J15+J16+B44+B63+B33)</f>
        <v>0</v>
      </c>
      <c r="C57" s="21">
        <f>+C56-(+K15+K16+C44+C63+C33)</f>
        <v>0</v>
      </c>
      <c r="D57" s="21">
        <f>+D56-(+L15+L16+D44+D63+D33)</f>
        <v>0</v>
      </c>
      <c r="E57" s="21">
        <f>+E56-(+M15+M16+E44+E63+E33)</f>
        <v>0</v>
      </c>
      <c r="F57" s="21">
        <f>+F56-(+N15+N16+F44+F63+F33)</f>
        <v>0</v>
      </c>
      <c r="G57" s="20">
        <f>SUM(B57:F57)</f>
        <v>0</v>
      </c>
      <c r="H57" s="117"/>
      <c r="N57" s="13"/>
      <c r="O57" s="13"/>
    </row>
    <row r="58" spans="1:15" ht="12" thickBot="1" x14ac:dyDescent="0.25">
      <c r="A58" s="108" t="s">
        <v>18</v>
      </c>
      <c r="B58" s="139">
        <f>IF(AND('rates, dates, etc'!$B$11="no",'Budget Summary'!$G$102&lt;'Budget Summary'!$G$103),B65,B66)</f>
        <v>0</v>
      </c>
      <c r="C58" s="139">
        <f>IF(AND('rates, dates, etc'!$B$11="no",'Budget Summary'!$G$102&lt;'Budget Summary'!$G$103),C65,C66)</f>
        <v>0</v>
      </c>
      <c r="D58" s="139">
        <f>IF(AND('rates, dates, etc'!$B$11="no",'Budget Summary'!$G$102&lt;'Budget Summary'!$G$103),D65,D66)</f>
        <v>0</v>
      </c>
      <c r="E58" s="139">
        <f>IF(AND('rates, dates, etc'!$B$11="no",'Budget Summary'!$G$102&lt;'Budget Summary'!$G$103),E65,E66)</f>
        <v>0</v>
      </c>
      <c r="F58" s="139">
        <f>IF(AND('rates, dates, etc'!$B$11="no",'Budget Summary'!$G$102&lt;'Budget Summary'!$G$103),F65,F66)</f>
        <v>0</v>
      </c>
      <c r="G58" s="140">
        <f>SUM(B58:F58)</f>
        <v>0</v>
      </c>
      <c r="H58" s="116"/>
      <c r="N58" s="13"/>
      <c r="O58" s="13"/>
    </row>
    <row r="59" spans="1:15" ht="12" thickBot="1" x14ac:dyDescent="0.25">
      <c r="A59" s="109" t="s">
        <v>19</v>
      </c>
      <c r="B59" s="141">
        <f>+B56+B58</f>
        <v>0</v>
      </c>
      <c r="C59" s="141">
        <f t="shared" ref="C59:F59" si="19">+C56+C58</f>
        <v>0</v>
      </c>
      <c r="D59" s="141">
        <f t="shared" si="19"/>
        <v>0</v>
      </c>
      <c r="E59" s="141">
        <f t="shared" si="19"/>
        <v>0</v>
      </c>
      <c r="F59" s="141">
        <f t="shared" si="19"/>
        <v>0</v>
      </c>
      <c r="G59" s="142">
        <f>SUM(B59:F59)</f>
        <v>0</v>
      </c>
      <c r="L59" s="12"/>
      <c r="N59" s="13"/>
      <c r="O59" s="13"/>
    </row>
    <row r="60" spans="1:15" x14ac:dyDescent="0.2">
      <c r="A60" s="22"/>
      <c r="B60" s="12"/>
      <c r="C60" s="12"/>
      <c r="D60" s="12"/>
      <c r="E60" s="12"/>
      <c r="F60" s="12"/>
      <c r="L60" s="12"/>
      <c r="N60" s="13"/>
      <c r="O60" s="13"/>
    </row>
    <row r="61" spans="1:15" x14ac:dyDescent="0.2">
      <c r="A61" s="22"/>
      <c r="B61" s="12"/>
      <c r="C61" s="12"/>
      <c r="D61" s="12"/>
      <c r="E61" s="12"/>
      <c r="F61" s="12"/>
      <c r="K61" s="39"/>
      <c r="L61" s="39"/>
      <c r="M61" s="39"/>
      <c r="N61" s="13"/>
      <c r="O61" s="13"/>
    </row>
    <row r="62" spans="1:15" ht="12" thickBot="1" x14ac:dyDescent="0.25">
      <c r="A62" s="44"/>
      <c r="B62" s="45"/>
      <c r="C62" s="45"/>
      <c r="D62" s="45"/>
      <c r="E62" s="45"/>
      <c r="F62" s="45"/>
      <c r="G62" s="45"/>
    </row>
    <row r="63" spans="1:15" ht="12" thickBot="1" x14ac:dyDescent="0.25">
      <c r="A63" s="41" t="s">
        <v>45</v>
      </c>
      <c r="B63" s="42">
        <f>+B50-IF(B50&lt;25000,B50,25000)</f>
        <v>0</v>
      </c>
      <c r="C63" s="42">
        <f>+C50-IF(+B50&gt;25000,0,IF(B50+C50&gt;25000,(25000-B50),C50))</f>
        <v>0</v>
      </c>
      <c r="D63" s="42">
        <f>+D50-IF(+B50+C50&gt;25000,0,IF(B50+C50+D50&gt;25000,(25000-(B50+C50)),D50))</f>
        <v>0</v>
      </c>
      <c r="E63" s="42">
        <f>+E50-IF(B50+C50+D50&gt;25000,0,IF(B50+C50+D50+E50&gt;25000,(25000-(C50+C50+D50)),E50))</f>
        <v>0</v>
      </c>
      <c r="F63" s="42">
        <f>+F50-IF(B50+C50+D50+E50&gt;25000,0,IF(B50+C50+D50+E50+F50&gt;25000,(25000-(B50+C50+D50+E50)),F50))</f>
        <v>0</v>
      </c>
      <c r="G63" s="43">
        <f>SUM(B63:F63)</f>
        <v>0</v>
      </c>
    </row>
    <row r="64" spans="1:15" ht="12" thickBot="1" x14ac:dyDescent="0.25">
      <c r="A64" s="44"/>
      <c r="B64" s="45"/>
      <c r="C64" s="45"/>
      <c r="D64" s="45"/>
      <c r="E64" s="45"/>
      <c r="F64" s="45"/>
      <c r="G64" s="45"/>
    </row>
    <row r="65" spans="1:7" ht="12" thickBot="1" x14ac:dyDescent="0.25">
      <c r="A65" s="101" t="s">
        <v>135</v>
      </c>
      <c r="B65" s="103">
        <f>IF('rates, dates, etc'!$B$11="Yes",0,ROUND((B56*J31*$K$35)+(B56*K31*$K$36),0))</f>
        <v>0</v>
      </c>
      <c r="C65" s="104">
        <f>IF('rates, dates, etc'!$B$11="Yes",0,ROUND((C56*K31*$K$35)+(C56*L31*$K$36),0))</f>
        <v>0</v>
      </c>
      <c r="D65" s="104">
        <f>IF('rates, dates, etc'!$B$11="Yes",0,ROUND((D56*L31*$K$35)+(D56*M31*$K$36),0))</f>
        <v>0</v>
      </c>
      <c r="E65" s="104">
        <f>IF('rates, dates, etc'!$B$11="Yes",0,ROUND((E56*M31*$K$35)+(E56*N31*$K$36),0))</f>
        <v>0</v>
      </c>
      <c r="F65" s="104">
        <f>IF('rates, dates, etc'!$B$11="Yes",0,ROUND((F56*N31*$K$35)+(F56*O31*$K$36),0))</f>
        <v>0</v>
      </c>
      <c r="G65" s="103">
        <f t="shared" ref="G65:G66" si="20">SUM(B65:F65)</f>
        <v>0</v>
      </c>
    </row>
    <row r="66" spans="1:7" ht="12" thickBot="1" x14ac:dyDescent="0.25">
      <c r="A66" s="102" t="s">
        <v>134</v>
      </c>
      <c r="B66" s="103">
        <f>ROUND((B57*J32*$K$35)+(B57*K32*$K$36),0)</f>
        <v>0</v>
      </c>
      <c r="C66" s="104">
        <f>ROUND((C57*K32*$K$35)+(C57*L32*$K$36),0)</f>
        <v>0</v>
      </c>
      <c r="D66" s="104">
        <f>ROUND((D57*L32*$K$35)+(D57*M32*$K$36),0)</f>
        <v>0</v>
      </c>
      <c r="E66" s="104">
        <f>ROUND((E57*M32*$K$35)+(E57*N32*$K$36),0)</f>
        <v>0</v>
      </c>
      <c r="F66" s="104">
        <f>ROUND((F57*N32*$K$35)+(F57*O32*$K$36),0)</f>
        <v>0</v>
      </c>
      <c r="G66" s="103">
        <f t="shared" si="20"/>
        <v>0</v>
      </c>
    </row>
  </sheetData>
  <pageMargins left="0.75" right="0.53" top="0.7" bottom="0.64" header="0.5" footer="0.5"/>
  <pageSetup scale="95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stopIfTrue="1" id="{72362FC3-D92D-4211-AE9E-3CA0C5DE8AA1}">
            <xm:f>'rates, dates, etc'!$B$11="Yes"</xm:f>
            <x14:dxf>
              <font>
                <color rgb="FFFF0000"/>
              </font>
            </x14:dxf>
          </x14:cfRule>
          <xm:sqref>A66:G66</xm:sqref>
        </x14:conditionalFormatting>
        <x14:conditionalFormatting xmlns:xm="http://schemas.microsoft.com/office/excel/2006/main">
          <x14:cfRule type="expression" priority="1" stopIfTrue="1" id="{FDAD1DA5-4D52-4EF0-B813-A61FA37CAAC4}">
            <xm:f>'rates, dates, etc'!$B$11="Yes"</xm:f>
            <x14:dxf/>
          </x14:cfRule>
          <xm:sqref>A65:G65</xm:sqref>
        </x14:conditionalFormatting>
        <x14:conditionalFormatting xmlns:xm="http://schemas.microsoft.com/office/excel/2006/main">
          <x14:cfRule type="expression" priority="3" id="{5BD0E4BF-BC5E-44F7-AD93-D22EFAF4212C}">
            <xm:f>'Budget Summary'!$G$103&lt;'Budget Summary'!$G$102</xm:f>
            <x14:dxf>
              <font>
                <color rgb="FFFF0000"/>
              </font>
            </x14:dxf>
          </x14:cfRule>
          <xm:sqref>A66:G66</xm:sqref>
        </x14:conditionalFormatting>
        <x14:conditionalFormatting xmlns:xm="http://schemas.microsoft.com/office/excel/2006/main">
          <x14:cfRule type="expression" priority="4" id="{49E75AD0-DB89-44F4-90D0-BB2D5990D7D8}">
            <xm:f>'Budget Summary'!$G$102&lt;'Budget Summary'!$G$103</xm:f>
            <x14:dxf>
              <font>
                <color rgb="FFFF0000"/>
              </font>
            </x14:dxf>
          </x14:cfRule>
          <xm:sqref>A65:G65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>
    <pageSetUpPr fitToPage="1"/>
  </sheetPr>
  <dimension ref="A1:O66"/>
  <sheetViews>
    <sheetView zoomScale="130" zoomScaleNormal="130" workbookViewId="0">
      <selection activeCell="A8" sqref="A8"/>
    </sheetView>
  </sheetViews>
  <sheetFormatPr defaultColWidth="9.28515625" defaultRowHeight="11.25" x14ac:dyDescent="0.2"/>
  <cols>
    <col min="1" max="1" width="33.42578125" style="2" customWidth="1"/>
    <col min="2" max="6" width="8.42578125" style="2" customWidth="1"/>
    <col min="7" max="7" width="9.5703125" style="3" bestFit="1" customWidth="1"/>
    <col min="8" max="8" width="9.7109375" style="3" customWidth="1"/>
    <col min="9" max="9" width="18.5703125" style="3" bestFit="1" customWidth="1"/>
    <col min="10" max="10" width="6.7109375" style="3" bestFit="1" customWidth="1"/>
    <col min="11" max="11" width="9.7109375" style="3" customWidth="1"/>
    <col min="12" max="13" width="9.7109375" style="2" customWidth="1"/>
    <col min="14" max="16384" width="9.28515625" style="2"/>
  </cols>
  <sheetData>
    <row r="1" spans="1:14" ht="12.75" x14ac:dyDescent="0.2">
      <c r="A1" s="1" t="str">
        <f>+'Lead Budget'!A1</f>
        <v>Assessing the Potential for Demand Response to Manage Generation Shortfalls in a Zero-Carbon Electricity Grid”</v>
      </c>
    </row>
    <row r="2" spans="1:14" ht="12.75" x14ac:dyDescent="0.2">
      <c r="A2" s="1" t="str">
        <f>+'Lead Budget'!A2</f>
        <v>USDA</v>
      </c>
    </row>
    <row r="3" spans="1:14" ht="12.75" customHeight="1" thickBot="1" x14ac:dyDescent="0.25"/>
    <row r="4" spans="1:14" x14ac:dyDescent="0.2">
      <c r="A4" s="4"/>
      <c r="B4" s="5" t="s">
        <v>1</v>
      </c>
      <c r="C4" s="5" t="s">
        <v>2</v>
      </c>
      <c r="D4" s="5" t="s">
        <v>3</v>
      </c>
      <c r="E4" s="5" t="s">
        <v>44</v>
      </c>
      <c r="F4" s="5" t="s">
        <v>50</v>
      </c>
      <c r="G4" s="23"/>
    </row>
    <row r="5" spans="1:14" ht="12" thickBot="1" x14ac:dyDescent="0.25">
      <c r="A5" s="4" t="str">
        <f ca="1">""&amp;MID('rates, dates, etc'!AH9,FIND("]",'rates, dates, etc'!AH9)+1,25)</f>
        <v>Consortium 1</v>
      </c>
      <c r="B5" s="6">
        <f>+'Lead Budget'!B5</f>
        <v>44927</v>
      </c>
      <c r="C5" s="6">
        <f>+'Lead Budget'!C5</f>
        <v>45292</v>
      </c>
      <c r="D5" s="6">
        <f>+'Lead Budget'!D5</f>
        <v>45658</v>
      </c>
      <c r="E5" s="6">
        <f>+'Lead Budget'!E5</f>
        <v>46023</v>
      </c>
      <c r="F5" s="6">
        <f>+'Lead Budget'!F5</f>
        <v>46388</v>
      </c>
      <c r="G5" s="24"/>
    </row>
    <row r="6" spans="1:14" ht="12" thickBot="1" x14ac:dyDescent="0.25">
      <c r="A6" s="7" t="s">
        <v>4</v>
      </c>
      <c r="B6" s="46">
        <f>+'Lead Budget'!B6</f>
        <v>45291</v>
      </c>
      <c r="C6" s="8">
        <f>+'Lead Budget'!C6</f>
        <v>45657</v>
      </c>
      <c r="D6" s="8">
        <f>+'Lead Budget'!D6</f>
        <v>46022</v>
      </c>
      <c r="E6" s="8">
        <f>+'Lead Budget'!E6</f>
        <v>46387</v>
      </c>
      <c r="F6" s="8">
        <f>+'Lead Budget'!F6</f>
        <v>46752</v>
      </c>
      <c r="G6" s="25" t="s">
        <v>5</v>
      </c>
    </row>
    <row r="7" spans="1:14" x14ac:dyDescent="0.2">
      <c r="A7" s="9" t="s">
        <v>136</v>
      </c>
      <c r="B7" s="11"/>
      <c r="C7" s="11"/>
      <c r="D7" s="12"/>
      <c r="E7" s="12"/>
      <c r="F7" s="12"/>
      <c r="G7" s="27" t="s">
        <v>6</v>
      </c>
    </row>
    <row r="8" spans="1:14" x14ac:dyDescent="0.2">
      <c r="A8" s="10" t="s">
        <v>78</v>
      </c>
      <c r="B8" s="11"/>
      <c r="C8" s="11"/>
      <c r="D8" s="11"/>
      <c r="E8" s="11"/>
      <c r="F8" s="11"/>
      <c r="G8" s="27">
        <f>SUM(B8:F8)</f>
        <v>0</v>
      </c>
      <c r="N8" s="13"/>
    </row>
    <row r="9" spans="1:14" x14ac:dyDescent="0.2">
      <c r="A9" s="10" t="s">
        <v>61</v>
      </c>
      <c r="B9" s="11"/>
      <c r="C9" s="11"/>
      <c r="D9" s="11"/>
      <c r="E9" s="11"/>
      <c r="F9" s="11"/>
      <c r="G9" s="27">
        <f>SUM(B9:F9)</f>
        <v>0</v>
      </c>
    </row>
    <row r="10" spans="1:14" ht="12" thickBot="1" x14ac:dyDescent="0.25">
      <c r="A10" s="15" t="str">
        <f>CONCATENATE("Total ",A7)</f>
        <v>Total Senior Personnel Salary</v>
      </c>
      <c r="B10" s="16">
        <f>SUM(B7:B9)</f>
        <v>0</v>
      </c>
      <c r="C10" s="16">
        <f t="shared" ref="C10:F10" si="0">SUM(C7:C9)</f>
        <v>0</v>
      </c>
      <c r="D10" s="16">
        <f t="shared" si="0"/>
        <v>0</v>
      </c>
      <c r="E10" s="16">
        <f t="shared" si="0"/>
        <v>0</v>
      </c>
      <c r="F10" s="16">
        <f t="shared" si="0"/>
        <v>0</v>
      </c>
      <c r="G10" s="28">
        <f>SUM(G7:G9)</f>
        <v>0</v>
      </c>
    </row>
    <row r="11" spans="1:14" x14ac:dyDescent="0.2">
      <c r="A11" s="14" t="s">
        <v>137</v>
      </c>
      <c r="B11" s="11"/>
      <c r="C11" s="11"/>
      <c r="D11" s="12"/>
      <c r="E11" s="12"/>
      <c r="F11" s="12"/>
      <c r="G11" s="27"/>
    </row>
    <row r="12" spans="1:14" x14ac:dyDescent="0.2">
      <c r="A12" s="10" t="s">
        <v>88</v>
      </c>
      <c r="B12" s="11"/>
      <c r="C12" s="11"/>
      <c r="D12" s="12"/>
      <c r="E12" s="12"/>
      <c r="F12" s="12"/>
      <c r="G12" s="27">
        <f t="shared" ref="G12" si="1">SUM(B12:F12)</f>
        <v>0</v>
      </c>
    </row>
    <row r="13" spans="1:14" x14ac:dyDescent="0.2">
      <c r="A13" s="10" t="s">
        <v>85</v>
      </c>
      <c r="B13" s="11"/>
      <c r="C13" s="11"/>
      <c r="D13" s="12"/>
      <c r="E13" s="12"/>
      <c r="F13" s="12"/>
      <c r="G13" s="27">
        <f>SUM(B13:F13)</f>
        <v>0</v>
      </c>
    </row>
    <row r="14" spans="1:14" x14ac:dyDescent="0.2">
      <c r="A14" s="10" t="s">
        <v>89</v>
      </c>
      <c r="B14" s="11"/>
      <c r="C14" s="11"/>
      <c r="D14" s="11"/>
      <c r="E14" s="11"/>
      <c r="F14" s="11"/>
      <c r="G14" s="27">
        <f>SUM(B14:F14)</f>
        <v>0</v>
      </c>
    </row>
    <row r="15" spans="1:14" x14ac:dyDescent="0.2">
      <c r="A15" s="10" t="s">
        <v>90</v>
      </c>
      <c r="B15" s="11"/>
      <c r="C15" s="11"/>
      <c r="D15" s="11"/>
      <c r="E15" s="11"/>
      <c r="F15" s="11"/>
      <c r="G15" s="27">
        <f>SUM(B15:F15)</f>
        <v>0</v>
      </c>
    </row>
    <row r="16" spans="1:14" x14ac:dyDescent="0.2">
      <c r="A16" s="10" t="s">
        <v>29</v>
      </c>
      <c r="B16" s="11"/>
      <c r="C16" s="11"/>
      <c r="D16" s="12"/>
      <c r="E16" s="12"/>
      <c r="F16" s="12"/>
      <c r="G16" s="27">
        <f>SUM(B16:F16)</f>
        <v>0</v>
      </c>
    </row>
    <row r="17" spans="1:15" x14ac:dyDescent="0.2">
      <c r="A17" s="10"/>
      <c r="B17" s="11"/>
      <c r="C17" s="11"/>
      <c r="D17" s="12"/>
      <c r="E17" s="12"/>
      <c r="F17" s="12"/>
      <c r="G17" s="27">
        <f>SUM(B17:F17)</f>
        <v>0</v>
      </c>
      <c r="N17" s="13"/>
      <c r="O17" s="13"/>
    </row>
    <row r="18" spans="1:15" ht="12" thickBot="1" x14ac:dyDescent="0.25">
      <c r="A18" s="15" t="str">
        <f>CONCATENATE("Total ",A11)</f>
        <v>Total Other Personnel Salary</v>
      </c>
      <c r="B18" s="16">
        <f>SUM(B11:B17)</f>
        <v>0</v>
      </c>
      <c r="C18" s="16">
        <f t="shared" ref="C18:F18" si="2">SUM(C11:C17)</f>
        <v>0</v>
      </c>
      <c r="D18" s="16">
        <f>SUM(D11:D17)</f>
        <v>0</v>
      </c>
      <c r="E18" s="16">
        <f>SUM(E11:E17)</f>
        <v>0</v>
      </c>
      <c r="F18" s="16">
        <f t="shared" si="2"/>
        <v>0</v>
      </c>
      <c r="G18" s="28">
        <f>SUM(G11:G17)</f>
        <v>0</v>
      </c>
    </row>
    <row r="19" spans="1:15" x14ac:dyDescent="0.2">
      <c r="A19" s="17" t="s">
        <v>7</v>
      </c>
      <c r="B19" s="11" t="s">
        <v>6</v>
      </c>
      <c r="C19" s="11"/>
      <c r="D19" s="12"/>
      <c r="E19" s="12"/>
      <c r="F19" s="12"/>
      <c r="G19" s="27"/>
    </row>
    <row r="20" spans="1:15" x14ac:dyDescent="0.2">
      <c r="A20" s="10" t="str">
        <f>+A8</f>
        <v>PI</v>
      </c>
      <c r="B20" s="11"/>
      <c r="C20" s="11"/>
      <c r="D20" s="11"/>
      <c r="E20" s="11"/>
      <c r="F20" s="11"/>
      <c r="G20" s="27">
        <f>SUM(B20:F20)</f>
        <v>0</v>
      </c>
    </row>
    <row r="21" spans="1:15" x14ac:dyDescent="0.2">
      <c r="A21" s="10" t="s">
        <v>61</v>
      </c>
      <c r="B21" s="11"/>
      <c r="C21" s="11"/>
      <c r="D21" s="11"/>
      <c r="E21" s="11"/>
      <c r="F21" s="11"/>
      <c r="G21" s="27">
        <f t="shared" ref="G21:G24" si="3">SUM(B21:F21)</f>
        <v>0</v>
      </c>
    </row>
    <row r="22" spans="1:15" x14ac:dyDescent="0.2">
      <c r="A22" s="10" t="s">
        <v>88</v>
      </c>
      <c r="B22" s="11"/>
      <c r="C22" s="11"/>
      <c r="D22" s="11"/>
      <c r="E22" s="11"/>
      <c r="F22" s="11"/>
      <c r="G22" s="27">
        <f t="shared" si="3"/>
        <v>0</v>
      </c>
    </row>
    <row r="23" spans="1:15" x14ac:dyDescent="0.2">
      <c r="A23" s="10" t="s">
        <v>90</v>
      </c>
      <c r="B23" s="11"/>
      <c r="C23" s="11"/>
      <c r="D23" s="11"/>
      <c r="E23" s="11"/>
      <c r="F23" s="11"/>
      <c r="G23" s="27">
        <f t="shared" si="3"/>
        <v>0</v>
      </c>
      <c r="N23" s="13"/>
      <c r="O23" s="13"/>
    </row>
    <row r="24" spans="1:15" x14ac:dyDescent="0.2">
      <c r="A24" s="10" t="s">
        <v>29</v>
      </c>
      <c r="B24" s="11"/>
      <c r="C24" s="11"/>
      <c r="D24" s="11"/>
      <c r="E24" s="11"/>
      <c r="F24" s="11"/>
      <c r="G24" s="27">
        <f t="shared" si="3"/>
        <v>0</v>
      </c>
      <c r="N24" s="13"/>
      <c r="O24" s="13"/>
    </row>
    <row r="25" spans="1:15" ht="12" thickBot="1" x14ac:dyDescent="0.25">
      <c r="A25" s="15" t="s">
        <v>93</v>
      </c>
      <c r="B25" s="16">
        <f>SUM(B19:B24)</f>
        <v>0</v>
      </c>
      <c r="C25" s="16">
        <f>SUM(C19:C24)</f>
        <v>0</v>
      </c>
      <c r="D25" s="16">
        <f>SUM(D19:D24)</f>
        <v>0</v>
      </c>
      <c r="E25" s="16">
        <f t="shared" ref="E25:F25" si="4">SUM(E19:E24)</f>
        <v>0</v>
      </c>
      <c r="F25" s="16">
        <f t="shared" si="4"/>
        <v>0</v>
      </c>
      <c r="G25" s="28">
        <f>SUM(G19:G24)</f>
        <v>0</v>
      </c>
      <c r="N25" s="13"/>
      <c r="O25" s="13"/>
    </row>
    <row r="26" spans="1:15" ht="12" thickBot="1" x14ac:dyDescent="0.25">
      <c r="A26" s="143" t="s">
        <v>131</v>
      </c>
      <c r="B26" s="144">
        <f>+B10+B18+B25</f>
        <v>0</v>
      </c>
      <c r="C26" s="144">
        <f>+C10+C18+C25</f>
        <v>0</v>
      </c>
      <c r="D26" s="144">
        <f t="shared" ref="D26" si="5">+D10+D18+D25</f>
        <v>0</v>
      </c>
      <c r="E26" s="144">
        <f>+E10+E18+E25</f>
        <v>0</v>
      </c>
      <c r="F26" s="144">
        <f>+F10+F18+F25</f>
        <v>0</v>
      </c>
      <c r="G26" s="145">
        <f>+G10+G18+G25</f>
        <v>0</v>
      </c>
      <c r="N26" s="13"/>
      <c r="O26" s="13"/>
    </row>
    <row r="27" spans="1:15" x14ac:dyDescent="0.2">
      <c r="A27" s="17" t="s">
        <v>25</v>
      </c>
      <c r="B27" s="11"/>
      <c r="C27" s="11"/>
      <c r="D27" s="12"/>
      <c r="E27" s="12"/>
      <c r="F27" s="12"/>
      <c r="G27" s="27"/>
      <c r="N27" s="13"/>
      <c r="O27" s="13"/>
    </row>
    <row r="28" spans="1:15" x14ac:dyDescent="0.2">
      <c r="A28" s="10" t="s">
        <v>66</v>
      </c>
      <c r="B28" s="11"/>
      <c r="C28" s="11"/>
      <c r="D28" s="12"/>
      <c r="E28" s="12"/>
      <c r="F28" s="12"/>
      <c r="G28" s="27">
        <f>SUM(B28:F28)</f>
        <v>0</v>
      </c>
    </row>
    <row r="29" spans="1:15" x14ac:dyDescent="0.2">
      <c r="A29" s="10"/>
      <c r="B29" s="11"/>
      <c r="C29" s="11"/>
      <c r="D29" s="12"/>
      <c r="E29" s="12"/>
      <c r="F29" s="12"/>
      <c r="G29" s="27">
        <f>SUM(B29:F29)</f>
        <v>0</v>
      </c>
    </row>
    <row r="30" spans="1:15" ht="12" thickBot="1" x14ac:dyDescent="0.25">
      <c r="A30" s="15" t="s">
        <v>26</v>
      </c>
      <c r="B30" s="16">
        <f>SUM(B27:B29)</f>
        <v>0</v>
      </c>
      <c r="C30" s="16">
        <f>SUM(C27:C29)</f>
        <v>0</v>
      </c>
      <c r="D30" s="16">
        <f>SUM(D27:D29)</f>
        <v>0</v>
      </c>
      <c r="E30" s="16">
        <f t="shared" ref="E30:F30" si="6">SUM(E27:E29)</f>
        <v>0</v>
      </c>
      <c r="F30" s="16">
        <f t="shared" si="6"/>
        <v>0</v>
      </c>
      <c r="G30" s="28">
        <f>SUM(G27:G29)</f>
        <v>0</v>
      </c>
    </row>
    <row r="31" spans="1:15" x14ac:dyDescent="0.2">
      <c r="A31" s="17" t="s">
        <v>34</v>
      </c>
      <c r="B31" s="11"/>
      <c r="C31" s="11"/>
      <c r="D31" s="12"/>
      <c r="E31" s="12"/>
      <c r="F31" s="12"/>
      <c r="G31" s="27"/>
    </row>
    <row r="32" spans="1:15" x14ac:dyDescent="0.2">
      <c r="A32" s="10" t="s">
        <v>10</v>
      </c>
      <c r="B32" s="11"/>
      <c r="C32" s="11"/>
      <c r="D32" s="11"/>
      <c r="E32" s="11"/>
      <c r="F32" s="11"/>
      <c r="G32" s="27">
        <f>SUM(B32:F32)</f>
        <v>0</v>
      </c>
      <c r="N32" s="13"/>
      <c r="O32" s="13"/>
    </row>
    <row r="33" spans="1:15" x14ac:dyDescent="0.2">
      <c r="A33" s="10" t="s">
        <v>11</v>
      </c>
      <c r="B33" s="11"/>
      <c r="C33" s="11"/>
      <c r="D33" s="11"/>
      <c r="E33" s="11"/>
      <c r="F33" s="11"/>
      <c r="G33" s="27">
        <f>SUM(B33:F33)</f>
        <v>0</v>
      </c>
      <c r="N33" s="13"/>
      <c r="O33" s="13"/>
    </row>
    <row r="34" spans="1:15" ht="12" thickBot="1" x14ac:dyDescent="0.25">
      <c r="A34" s="15" t="s">
        <v>12</v>
      </c>
      <c r="B34" s="16">
        <f>SUM(B31:B33)</f>
        <v>0</v>
      </c>
      <c r="C34" s="16">
        <f>SUM(C31:C33)</f>
        <v>0</v>
      </c>
      <c r="D34" s="16">
        <f>SUM(D31:D33)</f>
        <v>0</v>
      </c>
      <c r="E34" s="16">
        <f t="shared" ref="E34:F34" si="7">SUM(E31:E33)</f>
        <v>0</v>
      </c>
      <c r="F34" s="16">
        <f t="shared" si="7"/>
        <v>0</v>
      </c>
      <c r="G34" s="28">
        <f>SUM(G31:G33)</f>
        <v>0</v>
      </c>
      <c r="N34" s="13"/>
      <c r="O34" s="13"/>
    </row>
    <row r="35" spans="1:15" x14ac:dyDescent="0.2">
      <c r="A35" s="17" t="s">
        <v>27</v>
      </c>
      <c r="B35" s="11"/>
      <c r="C35" s="11"/>
      <c r="D35" s="12"/>
      <c r="E35" s="12"/>
      <c r="F35" s="12"/>
      <c r="G35" s="27"/>
      <c r="N35" s="13"/>
      <c r="O35" s="13"/>
    </row>
    <row r="36" spans="1:15" x14ac:dyDescent="0.2">
      <c r="A36" s="10" t="s">
        <v>91</v>
      </c>
      <c r="B36" s="11"/>
      <c r="C36" s="11"/>
      <c r="D36" s="12"/>
      <c r="E36" s="12"/>
      <c r="F36" s="12"/>
      <c r="G36" s="27">
        <f>SUM(B36:F36)</f>
        <v>0</v>
      </c>
      <c r="N36" s="13"/>
      <c r="O36" s="13"/>
    </row>
    <row r="37" spans="1:15" x14ac:dyDescent="0.2">
      <c r="A37" s="10" t="s">
        <v>47</v>
      </c>
      <c r="B37" s="11"/>
      <c r="C37" s="11"/>
      <c r="D37" s="12"/>
      <c r="E37" s="12"/>
      <c r="F37" s="12"/>
      <c r="G37" s="27">
        <f>SUM(B37:F37)</f>
        <v>0</v>
      </c>
      <c r="N37" s="13"/>
      <c r="O37" s="13"/>
    </row>
    <row r="38" spans="1:15" x14ac:dyDescent="0.2">
      <c r="A38" s="10" t="s">
        <v>34</v>
      </c>
      <c r="B38" s="11"/>
      <c r="C38" s="11"/>
      <c r="D38" s="12"/>
      <c r="E38" s="12"/>
      <c r="F38" s="12"/>
      <c r="G38" s="27">
        <f t="shared" ref="G38:G40" si="8">SUM(B38:F38)</f>
        <v>0</v>
      </c>
    </row>
    <row r="39" spans="1:15" x14ac:dyDescent="0.2">
      <c r="A39" s="10" t="s">
        <v>48</v>
      </c>
      <c r="B39" s="11"/>
      <c r="C39" s="11"/>
      <c r="D39" s="12"/>
      <c r="E39" s="12"/>
      <c r="F39" s="12"/>
      <c r="G39" s="27">
        <f t="shared" si="8"/>
        <v>0</v>
      </c>
    </row>
    <row r="40" spans="1:15" x14ac:dyDescent="0.2">
      <c r="A40" s="10" t="s">
        <v>29</v>
      </c>
      <c r="B40" s="11"/>
      <c r="C40" s="11"/>
      <c r="D40" s="12"/>
      <c r="E40" s="12"/>
      <c r="F40" s="12"/>
      <c r="G40" s="27">
        <f t="shared" si="8"/>
        <v>0</v>
      </c>
    </row>
    <row r="41" spans="1:15" ht="12" thickBot="1" x14ac:dyDescent="0.25">
      <c r="A41" s="15" t="s">
        <v>28</v>
      </c>
      <c r="B41" s="16">
        <f>SUM(B35:B40)</f>
        <v>0</v>
      </c>
      <c r="C41" s="16">
        <f>SUM(C35:C40)</f>
        <v>0</v>
      </c>
      <c r="D41" s="16">
        <f>SUM(D35:D40)</f>
        <v>0</v>
      </c>
      <c r="E41" s="16">
        <f t="shared" ref="E41:F41" si="9">SUM(E35:E40)</f>
        <v>0</v>
      </c>
      <c r="F41" s="16">
        <f t="shared" si="9"/>
        <v>0</v>
      </c>
      <c r="G41" s="28">
        <f>SUM(G35:G40)</f>
        <v>0</v>
      </c>
    </row>
    <row r="42" spans="1:15" x14ac:dyDescent="0.2">
      <c r="A42" s="17" t="s">
        <v>13</v>
      </c>
      <c r="B42" s="11"/>
      <c r="C42" s="11"/>
      <c r="D42" s="12"/>
      <c r="E42" s="12"/>
      <c r="F42" s="12"/>
      <c r="G42" s="27"/>
    </row>
    <row r="43" spans="1:15" x14ac:dyDescent="0.2">
      <c r="A43" s="10" t="str">
        <f>+'Lead Budget'!A46</f>
        <v>Materials &amp; Supplies</v>
      </c>
      <c r="B43" s="18"/>
      <c r="C43" s="18"/>
      <c r="D43" s="18"/>
      <c r="E43" s="18"/>
      <c r="F43" s="18"/>
      <c r="G43" s="27">
        <f>SUM(B43:F43)</f>
        <v>0</v>
      </c>
    </row>
    <row r="44" spans="1:15" x14ac:dyDescent="0.2">
      <c r="A44" s="10" t="str">
        <f>+'Lead Budget'!A47</f>
        <v>Publication Costs</v>
      </c>
      <c r="B44" s="11"/>
      <c r="C44" s="11"/>
      <c r="D44" s="11"/>
      <c r="E44" s="11"/>
      <c r="F44" s="11"/>
      <c r="G44" s="27">
        <f t="shared" ref="G44:G51" si="10">SUM(B44:F44)</f>
        <v>0</v>
      </c>
    </row>
    <row r="45" spans="1:15" x14ac:dyDescent="0.2">
      <c r="A45" s="10" t="str">
        <f>+'Lead Budget'!A48</f>
        <v>Consultant Services</v>
      </c>
      <c r="B45" s="11"/>
      <c r="C45" s="11"/>
      <c r="D45" s="12"/>
      <c r="E45" s="12"/>
      <c r="F45" s="12"/>
      <c r="G45" s="27">
        <f t="shared" si="10"/>
        <v>0</v>
      </c>
    </row>
    <row r="46" spans="1:15" x14ac:dyDescent="0.2">
      <c r="A46" s="10" t="str">
        <f>+'Lead Budget'!A49</f>
        <v>ADP/Computer Services</v>
      </c>
      <c r="B46" s="11"/>
      <c r="C46" s="11"/>
      <c r="D46" s="11"/>
      <c r="E46" s="11"/>
      <c r="F46" s="11"/>
      <c r="G46" s="27">
        <f t="shared" si="10"/>
        <v>0</v>
      </c>
    </row>
    <row r="47" spans="1:15" x14ac:dyDescent="0.2">
      <c r="A47" s="10" t="str">
        <f>+'Lead Budget'!A50</f>
        <v xml:space="preserve">SubContracts </v>
      </c>
      <c r="B47" s="11"/>
      <c r="C47" s="11"/>
      <c r="D47" s="11"/>
      <c r="E47" s="11"/>
      <c r="F47" s="11"/>
      <c r="G47" s="27">
        <f t="shared" si="10"/>
        <v>0</v>
      </c>
    </row>
    <row r="48" spans="1:15" x14ac:dyDescent="0.2">
      <c r="A48" s="10" t="str">
        <f>+'Lead Budget'!A51</f>
        <v xml:space="preserve">Equipment or Facility Rental/User Fees </v>
      </c>
      <c r="B48" s="11"/>
      <c r="C48" s="11"/>
      <c r="D48" s="11"/>
      <c r="E48" s="11"/>
      <c r="F48" s="11"/>
      <c r="G48" s="27">
        <f t="shared" si="10"/>
        <v>0</v>
      </c>
    </row>
    <row r="49" spans="1:15" x14ac:dyDescent="0.2">
      <c r="A49" s="10" t="str">
        <f>+'Lead Budget'!A52</f>
        <v>Other: Tuition</v>
      </c>
      <c r="B49" s="11"/>
      <c r="C49" s="11"/>
      <c r="D49" s="11"/>
      <c r="E49" s="11"/>
      <c r="F49" s="11"/>
      <c r="G49" s="27">
        <f t="shared" si="10"/>
        <v>0</v>
      </c>
    </row>
    <row r="50" spans="1:15" x14ac:dyDescent="0.2">
      <c r="A50" s="10" t="str">
        <f>+'Lead Budget'!A53</f>
        <v>Other: Health Insurance</v>
      </c>
      <c r="B50" s="11"/>
      <c r="C50" s="11"/>
      <c r="D50" s="11"/>
      <c r="E50" s="11"/>
      <c r="F50" s="11"/>
      <c r="G50" s="27">
        <f t="shared" si="10"/>
        <v>0</v>
      </c>
    </row>
    <row r="51" spans="1:15" x14ac:dyDescent="0.2">
      <c r="A51" s="10" t="str">
        <f>+'Lead Budget'!A54</f>
        <v>Other</v>
      </c>
      <c r="B51" s="11"/>
      <c r="C51" s="11"/>
      <c r="D51" s="11"/>
      <c r="E51" s="11"/>
      <c r="F51" s="11"/>
      <c r="G51" s="27">
        <f t="shared" si="10"/>
        <v>0</v>
      </c>
    </row>
    <row r="52" spans="1:15" ht="12" thickBot="1" x14ac:dyDescent="0.25">
      <c r="A52" s="15" t="s">
        <v>94</v>
      </c>
      <c r="B52" s="16">
        <f t="shared" ref="B52:G52" si="11">SUM(B42:B51)</f>
        <v>0</v>
      </c>
      <c r="C52" s="16">
        <f t="shared" si="11"/>
        <v>0</v>
      </c>
      <c r="D52" s="16">
        <f t="shared" si="11"/>
        <v>0</v>
      </c>
      <c r="E52" s="16">
        <f t="shared" si="11"/>
        <v>0</v>
      </c>
      <c r="F52" s="16">
        <f t="shared" si="11"/>
        <v>0</v>
      </c>
      <c r="G52" s="28">
        <f t="shared" si="11"/>
        <v>0</v>
      </c>
      <c r="K52" s="2"/>
      <c r="N52" s="13"/>
      <c r="O52" s="13"/>
    </row>
    <row r="53" spans="1:15" ht="12" thickBot="1" x14ac:dyDescent="0.25">
      <c r="A53" s="107" t="s">
        <v>16</v>
      </c>
      <c r="B53" s="105">
        <f>SUM(+B10+B18+B25+B30+B34+B41+B52)</f>
        <v>0</v>
      </c>
      <c r="C53" s="105">
        <f>SUM(+C10+C18+C25+C30+C34+C41+C52)</f>
        <v>0</v>
      </c>
      <c r="D53" s="105">
        <f>SUM(+D10+D18+D25+D30+D34+D41+D52)</f>
        <v>0</v>
      </c>
      <c r="E53" s="105">
        <f>SUM(+E10+E18+E25+E30+E34+E41+E52)</f>
        <v>0</v>
      </c>
      <c r="F53" s="105">
        <f t="shared" ref="F53" si="12">SUM(+F10+F18+F25+F30+F34+F41+F52)</f>
        <v>0</v>
      </c>
      <c r="G53" s="106">
        <f>SUM(+G10+G18+G25+G30+G34+G41+G52)</f>
        <v>0</v>
      </c>
      <c r="N53" s="13"/>
      <c r="O53" s="13"/>
    </row>
    <row r="54" spans="1:15" ht="12" thickBot="1" x14ac:dyDescent="0.25">
      <c r="A54" s="632" t="s">
        <v>289</v>
      </c>
      <c r="B54" s="631"/>
      <c r="C54" s="631"/>
      <c r="D54" s="631"/>
      <c r="E54" s="631"/>
      <c r="F54" s="631"/>
      <c r="G54" s="633">
        <f>SUM(B54:F54)</f>
        <v>0</v>
      </c>
      <c r="N54" s="13"/>
      <c r="O54" s="13"/>
    </row>
    <row r="55" spans="1:15" ht="12" thickBot="1" x14ac:dyDescent="0.25">
      <c r="A55" s="7" t="s">
        <v>290</v>
      </c>
      <c r="B55" s="105">
        <f>+B53-B54</f>
        <v>0</v>
      </c>
      <c r="C55" s="105">
        <f>+C53-C54</f>
        <v>0</v>
      </c>
      <c r="D55" s="105">
        <f t="shared" ref="D55:F55" si="13">+D53-D54</f>
        <v>0</v>
      </c>
      <c r="E55" s="105">
        <f t="shared" si="13"/>
        <v>0</v>
      </c>
      <c r="F55" s="105">
        <f t="shared" si="13"/>
        <v>0</v>
      </c>
      <c r="G55" s="106">
        <f>SUM(B55:F55)</f>
        <v>0</v>
      </c>
      <c r="H55" s="2"/>
      <c r="I55" s="2"/>
      <c r="N55" s="13"/>
      <c r="O55" s="13"/>
    </row>
    <row r="56" spans="1:15" ht="12" thickBot="1" x14ac:dyDescent="0.25">
      <c r="A56" s="7" t="s">
        <v>18</v>
      </c>
      <c r="B56" s="21">
        <f>ROUND(B55*$B$59,0)</f>
        <v>0</v>
      </c>
      <c r="C56" s="21">
        <f t="shared" ref="C56:F56" si="14">ROUND(C55*$B$59,0)</f>
        <v>0</v>
      </c>
      <c r="D56" s="21">
        <f t="shared" si="14"/>
        <v>0</v>
      </c>
      <c r="E56" s="21">
        <f t="shared" si="14"/>
        <v>0</v>
      </c>
      <c r="F56" s="21">
        <f t="shared" si="14"/>
        <v>0</v>
      </c>
      <c r="G56" s="106">
        <f>SUM(B56:F56)</f>
        <v>0</v>
      </c>
      <c r="N56" s="13"/>
      <c r="O56" s="13"/>
    </row>
    <row r="57" spans="1:15" ht="12" thickBot="1" x14ac:dyDescent="0.25">
      <c r="A57" s="19" t="s">
        <v>19</v>
      </c>
      <c r="B57" s="98">
        <f>+B53+B56</f>
        <v>0</v>
      </c>
      <c r="C57" s="98">
        <f t="shared" ref="C57:F57" si="15">+C53+C56</f>
        <v>0</v>
      </c>
      <c r="D57" s="98">
        <f t="shared" si="15"/>
        <v>0</v>
      </c>
      <c r="E57" s="98">
        <f t="shared" si="15"/>
        <v>0</v>
      </c>
      <c r="F57" s="98">
        <f t="shared" si="15"/>
        <v>0</v>
      </c>
      <c r="G57" s="20">
        <f>SUM(B57:F57)</f>
        <v>0</v>
      </c>
      <c r="N57" s="13"/>
      <c r="O57" s="13"/>
    </row>
    <row r="58" spans="1:15" x14ac:dyDescent="0.2">
      <c r="A58" s="22"/>
      <c r="B58" s="12"/>
      <c r="C58" s="12"/>
      <c r="D58" s="12"/>
      <c r="E58" s="12"/>
      <c r="F58" s="12"/>
      <c r="L58" s="12"/>
      <c r="N58" s="13"/>
      <c r="O58" s="13"/>
    </row>
    <row r="59" spans="1:15" x14ac:dyDescent="0.2">
      <c r="A59" s="650" t="s">
        <v>317</v>
      </c>
      <c r="B59" s="630">
        <v>0.42857000000000001</v>
      </c>
      <c r="C59" s="3" t="str">
        <f ca="1">CONCATENATE("Indirect Cost Rate for ",""&amp;MID('rates, dates, etc'!AH9,FIND("]",'rates, dates, etc'!AH9)+1,25))</f>
        <v>Indirect Cost Rate for Consortium 1</v>
      </c>
      <c r="D59" s="39"/>
      <c r="G59" s="39"/>
      <c r="I59" s="39"/>
      <c r="J59" s="12"/>
      <c r="K59" s="39"/>
      <c r="L59" s="39"/>
      <c r="M59" s="39"/>
      <c r="N59" s="13"/>
      <c r="O59" s="13"/>
    </row>
    <row r="60" spans="1:15" x14ac:dyDescent="0.2">
      <c r="A60" s="22"/>
      <c r="B60" s="39"/>
      <c r="C60" s="39"/>
      <c r="D60" s="39"/>
      <c r="E60" s="39"/>
      <c r="F60" s="39"/>
      <c r="G60" s="39"/>
      <c r="I60" s="39"/>
      <c r="J60" s="12"/>
      <c r="K60" s="39"/>
      <c r="L60" s="39"/>
      <c r="M60" s="39"/>
      <c r="N60" s="13"/>
      <c r="O60" s="13"/>
    </row>
    <row r="61" spans="1:15" ht="12" thickBot="1" x14ac:dyDescent="0.25">
      <c r="A61" s="32"/>
      <c r="B61" s="33"/>
      <c r="C61" s="33"/>
      <c r="D61" s="33"/>
      <c r="E61" s="33"/>
      <c r="F61" s="33"/>
      <c r="G61" s="33"/>
      <c r="H61" s="34"/>
      <c r="I61" s="34"/>
      <c r="J61" s="34"/>
      <c r="K61" s="12"/>
    </row>
    <row r="63" spans="1:15" x14ac:dyDescent="0.2">
      <c r="A63" s="2" t="s">
        <v>42</v>
      </c>
      <c r="B63" s="40">
        <f>IF(B57&lt;25000,B57,25000)</f>
        <v>0</v>
      </c>
      <c r="C63" s="40">
        <f>IF(+B57&gt;25000,0,IF(B57+C57&gt;25000,(25000-B57),C57))</f>
        <v>0</v>
      </c>
      <c r="D63" s="40">
        <f>IF(+B57+C57&gt;25000,0,IF(B57+C57+D57&gt;25000,(25000-(B57+C57)),D57))</f>
        <v>0</v>
      </c>
      <c r="E63" s="40">
        <f>IF(B57+C57+D57&gt;25000,0,IF(B57+C57+D57+E57&gt;25000,(25000-(B57+C57+D57)),E57))</f>
        <v>0</v>
      </c>
      <c r="F63" s="40">
        <f>IF(B57+C57+D57+E57&gt;25000,0,IF(B57+C57+D57+E57+F57&gt;25000,(25000-(B57+C57+D57+E57)),F57))</f>
        <v>0</v>
      </c>
      <c r="G63" s="11">
        <f>SUM(B63:F63)</f>
        <v>0</v>
      </c>
      <c r="H63" s="11"/>
      <c r="I63" s="2"/>
    </row>
    <row r="64" spans="1:15" x14ac:dyDescent="0.2">
      <c r="A64" s="2" t="s">
        <v>43</v>
      </c>
      <c r="B64" s="40">
        <f>+B57-B63</f>
        <v>0</v>
      </c>
      <c r="C64" s="40">
        <f>+C57-C63</f>
        <v>0</v>
      </c>
      <c r="D64" s="40">
        <f>+D57-D63</f>
        <v>0</v>
      </c>
      <c r="E64" s="40">
        <f>+E57-E63</f>
        <v>0</v>
      </c>
      <c r="F64" s="40">
        <f>+F57-F63</f>
        <v>0</v>
      </c>
      <c r="G64" s="11">
        <f t="shared" ref="G64:G66" si="16">SUM(B64:F64)</f>
        <v>0</v>
      </c>
      <c r="H64" s="11"/>
      <c r="I64" s="2"/>
    </row>
    <row r="65" spans="2:7" x14ac:dyDescent="0.2">
      <c r="C65" s="13"/>
      <c r="G65" s="11"/>
    </row>
    <row r="66" spans="2:7" x14ac:dyDescent="0.2">
      <c r="B66" s="13">
        <f>SUM(B63:B64)</f>
        <v>0</v>
      </c>
      <c r="C66" s="13">
        <f>SUM(C63:C64)</f>
        <v>0</v>
      </c>
      <c r="D66" s="13">
        <f t="shared" ref="D66" si="17">SUM(D63:D64)</f>
        <v>0</v>
      </c>
      <c r="E66" s="13">
        <f t="shared" ref="E66:F66" si="18">SUM(E63:E64)</f>
        <v>0</v>
      </c>
      <c r="F66" s="13">
        <f t="shared" si="18"/>
        <v>0</v>
      </c>
      <c r="G66" s="11">
        <f t="shared" si="16"/>
        <v>0</v>
      </c>
    </row>
  </sheetData>
  <pageMargins left="0.75" right="0.53" top="0.7" bottom="0.64" header="0.5" footer="0.5"/>
  <pageSetup scale="9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4"/>
  <sheetViews>
    <sheetView workbookViewId="0">
      <selection activeCell="B1" sqref="B1"/>
    </sheetView>
  </sheetViews>
  <sheetFormatPr defaultColWidth="9.28515625" defaultRowHeight="14.25" x14ac:dyDescent="0.2"/>
  <cols>
    <col min="1" max="1" width="24.7109375" style="47" customWidth="1"/>
    <col min="2" max="4" width="22.28515625" style="47" customWidth="1"/>
    <col min="5" max="5" width="16.7109375" style="47" customWidth="1"/>
    <col min="6" max="6" width="17.5703125" style="47" customWidth="1"/>
    <col min="7" max="21" width="9.28515625" style="47"/>
    <col min="22" max="22" width="46" style="112" bestFit="1" customWidth="1"/>
    <col min="23" max="23" width="2.28515625" style="112" customWidth="1"/>
    <col min="24" max="27" width="9.28515625" style="47"/>
    <col min="28" max="28" width="28" style="47" customWidth="1"/>
    <col min="29" max="16384" width="9.28515625" style="47"/>
  </cols>
  <sheetData>
    <row r="1" spans="1:24" x14ac:dyDescent="0.2">
      <c r="A1" s="112" t="s">
        <v>341</v>
      </c>
      <c r="D1" s="728" t="s">
        <v>446</v>
      </c>
      <c r="E1" s="729"/>
      <c r="F1" s="730"/>
      <c r="M1" s="47" t="s">
        <v>343</v>
      </c>
      <c r="R1" s="47" t="s">
        <v>349</v>
      </c>
      <c r="U1" s="47" t="s">
        <v>109</v>
      </c>
      <c r="V1" s="699" t="s">
        <v>363</v>
      </c>
      <c r="W1" s="699"/>
      <c r="X1" s="700" t="s">
        <v>385</v>
      </c>
    </row>
    <row r="2" spans="1:24" x14ac:dyDescent="0.2">
      <c r="D2" s="731"/>
      <c r="E2" s="732"/>
      <c r="F2" s="733"/>
      <c r="M2" s="47" t="s">
        <v>344</v>
      </c>
      <c r="R2" s="47" t="s">
        <v>350</v>
      </c>
      <c r="U2" s="47" t="s">
        <v>112</v>
      </c>
      <c r="V2" s="699" t="s">
        <v>453</v>
      </c>
      <c r="W2" s="699"/>
      <c r="X2" s="700" t="s">
        <v>386</v>
      </c>
    </row>
    <row r="3" spans="1:24" x14ac:dyDescent="0.2">
      <c r="A3" s="112" t="s">
        <v>340</v>
      </c>
      <c r="B3" s="47" t="str">
        <f>+'rates, dates, etc'!B4</f>
        <v>Assessing the Potential for Demand Response to Manage Generation Shortfalls in a Zero-Carbon Electricity Grid”</v>
      </c>
      <c r="D3" s="708" t="s">
        <v>447</v>
      </c>
      <c r="F3" s="709"/>
      <c r="M3" s="47" t="s">
        <v>345</v>
      </c>
      <c r="R3" s="47" t="s">
        <v>351</v>
      </c>
      <c r="V3" s="699" t="s">
        <v>364</v>
      </c>
      <c r="W3" s="699"/>
      <c r="X3" s="700" t="s">
        <v>440</v>
      </c>
    </row>
    <row r="4" spans="1:24" ht="15" thickBot="1" x14ac:dyDescent="0.25">
      <c r="A4" s="112" t="s">
        <v>342</v>
      </c>
      <c r="D4" s="710" t="s">
        <v>448</v>
      </c>
      <c r="E4" s="711"/>
      <c r="F4" s="712"/>
      <c r="M4" s="47" t="s">
        <v>346</v>
      </c>
      <c r="R4" s="47" t="s">
        <v>352</v>
      </c>
      <c r="V4" s="699" t="s">
        <v>365</v>
      </c>
      <c r="W4" s="699"/>
      <c r="X4" s="700" t="s">
        <v>387</v>
      </c>
    </row>
    <row r="5" spans="1:24" x14ac:dyDescent="0.2">
      <c r="A5" s="112" t="s">
        <v>54</v>
      </c>
      <c r="B5" s="47" t="str">
        <f>+'rates, dates, etc'!B18</f>
        <v>Vivek Srikrishnan</v>
      </c>
      <c r="R5" s="47" t="s">
        <v>29</v>
      </c>
      <c r="V5" s="699" t="s">
        <v>366</v>
      </c>
      <c r="W5" s="699"/>
      <c r="X5" s="700" t="s">
        <v>388</v>
      </c>
    </row>
    <row r="6" spans="1:24" x14ac:dyDescent="0.2">
      <c r="A6" s="112" t="s">
        <v>415</v>
      </c>
      <c r="B6" s="47" t="str">
        <f>+'rates, dates, etc'!F18</f>
        <v>Biological &amp; Environmental Engineering</v>
      </c>
      <c r="C6" s="546"/>
      <c r="V6" s="699" t="s">
        <v>380</v>
      </c>
      <c r="W6" s="699"/>
      <c r="X6" s="700" t="s">
        <v>421</v>
      </c>
    </row>
    <row r="7" spans="1:24" x14ac:dyDescent="0.2">
      <c r="A7" s="112" t="s">
        <v>347</v>
      </c>
      <c r="B7" s="634" t="str">
        <f>VLOOKUP(B6, V1:X54,3,FALSE)</f>
        <v>01A9</v>
      </c>
      <c r="V7" s="699" t="s">
        <v>381</v>
      </c>
      <c r="W7" s="699"/>
      <c r="X7" s="700" t="s">
        <v>413</v>
      </c>
    </row>
    <row r="8" spans="1:24" x14ac:dyDescent="0.2">
      <c r="A8" s="492" t="s">
        <v>358</v>
      </c>
      <c r="B8" s="47" t="s">
        <v>109</v>
      </c>
      <c r="C8" s="546" t="str">
        <f>IF(B8="No","Faculty Sponsor Name:"," ")</f>
        <v xml:space="preserve"> </v>
      </c>
      <c r="V8" s="699" t="s">
        <v>382</v>
      </c>
      <c r="W8" s="699"/>
      <c r="X8" s="700" t="s">
        <v>414</v>
      </c>
    </row>
    <row r="9" spans="1:24" x14ac:dyDescent="0.2">
      <c r="V9" s="699" t="s">
        <v>454</v>
      </c>
      <c r="W9" s="699"/>
      <c r="X9" s="700" t="s">
        <v>390</v>
      </c>
    </row>
    <row r="10" spans="1:24" x14ac:dyDescent="0.2">
      <c r="A10" s="112" t="s">
        <v>348</v>
      </c>
      <c r="B10" s="47" t="s">
        <v>349</v>
      </c>
      <c r="V10" s="699" t="s">
        <v>459</v>
      </c>
      <c r="W10" s="699"/>
      <c r="X10" s="700" t="s">
        <v>391</v>
      </c>
    </row>
    <row r="11" spans="1:24" x14ac:dyDescent="0.2">
      <c r="A11" s="112" t="s">
        <v>353</v>
      </c>
      <c r="V11" s="699" t="s">
        <v>460</v>
      </c>
      <c r="W11" s="699"/>
      <c r="X11" s="700">
        <v>2161</v>
      </c>
    </row>
    <row r="12" spans="1:24" x14ac:dyDescent="0.2">
      <c r="A12" s="112" t="s">
        <v>355</v>
      </c>
      <c r="V12" s="699" t="s">
        <v>367</v>
      </c>
      <c r="W12" s="699"/>
      <c r="X12" s="700" t="s">
        <v>392</v>
      </c>
    </row>
    <row r="13" spans="1:24" x14ac:dyDescent="0.2">
      <c r="A13" s="112" t="s">
        <v>354</v>
      </c>
      <c r="E13" s="634"/>
      <c r="V13" s="699" t="s">
        <v>368</v>
      </c>
      <c r="W13" s="699"/>
      <c r="X13" s="700" t="s">
        <v>393</v>
      </c>
    </row>
    <row r="14" spans="1:24" x14ac:dyDescent="0.2">
      <c r="A14" s="112" t="str">
        <f>IF(B12="No", "Flowthrough Sponsor:", " ")</f>
        <v xml:space="preserve"> </v>
      </c>
      <c r="V14" s="699" t="s">
        <v>417</v>
      </c>
      <c r="W14" s="699"/>
      <c r="X14" s="700" t="s">
        <v>395</v>
      </c>
    </row>
    <row r="15" spans="1:24" x14ac:dyDescent="0.2">
      <c r="A15" s="112" t="str">
        <f>IF(B12="No", "Flowthrough Contact Info:", " ")</f>
        <v xml:space="preserve"> </v>
      </c>
      <c r="V15" s="699" t="s">
        <v>369</v>
      </c>
      <c r="W15" s="699"/>
      <c r="X15" s="700" t="s">
        <v>394</v>
      </c>
    </row>
    <row r="16" spans="1:24" x14ac:dyDescent="0.2">
      <c r="A16" s="112" t="s">
        <v>356</v>
      </c>
      <c r="V16" s="699" t="s">
        <v>418</v>
      </c>
      <c r="W16" s="699"/>
      <c r="X16" s="700" t="s">
        <v>396</v>
      </c>
    </row>
    <row r="17" spans="1:24" x14ac:dyDescent="0.2">
      <c r="V17" s="699" t="s">
        <v>384</v>
      </c>
      <c r="W17" s="699"/>
      <c r="X17" s="700" t="s">
        <v>397</v>
      </c>
    </row>
    <row r="18" spans="1:24" x14ac:dyDescent="0.2">
      <c r="A18" s="112" t="s">
        <v>357</v>
      </c>
      <c r="B18" s="47" t="str">
        <f>+'rates, dates, etc'!B28</f>
        <v>S. Steinschneider</v>
      </c>
      <c r="C18" s="47" t="str">
        <f>+'rates, dates, etc'!B29</f>
        <v>Co-PI</v>
      </c>
      <c r="V18" s="699" t="s">
        <v>383</v>
      </c>
      <c r="W18" s="699"/>
      <c r="X18" s="700" t="s">
        <v>398</v>
      </c>
    </row>
    <row r="19" spans="1:24" x14ac:dyDescent="0.2">
      <c r="B19" s="47" t="str">
        <f>+'rates, dates, etc'!B19</f>
        <v>R Stedman</v>
      </c>
      <c r="C19" s="47" t="str">
        <f>+'rates, dates, etc'!B134</f>
        <v>T. B. Lauber</v>
      </c>
      <c r="D19" s="47" t="str">
        <f>+'rates, dates, etc'!B135</f>
        <v>Co-PI</v>
      </c>
      <c r="V19" s="699" t="s">
        <v>370</v>
      </c>
      <c r="W19" s="699"/>
      <c r="X19" s="700" t="s">
        <v>399</v>
      </c>
    </row>
    <row r="20" spans="1:24" x14ac:dyDescent="0.2">
      <c r="B20" s="47" t="str">
        <f>+'rates, dates, etc'!B20</f>
        <v>Co-PI</v>
      </c>
      <c r="C20" s="47" t="str">
        <f>+'rates, dates, etc'!B239</f>
        <v>Co-PI</v>
      </c>
      <c r="D20" s="47" t="str">
        <f>+'rates, dates, etc'!B240</f>
        <v>Co-PI</v>
      </c>
      <c r="V20" s="699" t="s">
        <v>371</v>
      </c>
      <c r="W20" s="699"/>
      <c r="X20" s="700" t="s">
        <v>400</v>
      </c>
    </row>
    <row r="21" spans="1:24" x14ac:dyDescent="0.2">
      <c r="B21" s="47" t="str">
        <f>+'rates, dates, etc'!B21</f>
        <v>Co-PI</v>
      </c>
      <c r="C21" s="47" t="str">
        <f>+'rates, dates, etc'!B346</f>
        <v>Co-PI</v>
      </c>
      <c r="D21" s="47" t="str">
        <f>+'rates, dates, etc'!B347</f>
        <v>Co-PI</v>
      </c>
      <c r="V21" s="699" t="s">
        <v>372</v>
      </c>
      <c r="W21" s="699"/>
      <c r="X21" s="700" t="s">
        <v>401</v>
      </c>
    </row>
    <row r="22" spans="1:24" x14ac:dyDescent="0.2">
      <c r="B22" s="47" t="str">
        <f>+'rates, dates, etc'!B22</f>
        <v>Co-PI</v>
      </c>
      <c r="C22" s="47" t="str">
        <f>+'rates, dates, etc'!B452</f>
        <v>Co-PI</v>
      </c>
      <c r="D22" s="47" t="str">
        <f>+'rates, dates, etc'!B453</f>
        <v>Co-PI</v>
      </c>
      <c r="V22" s="699" t="s">
        <v>461</v>
      </c>
      <c r="W22" s="699"/>
      <c r="X22" s="700" t="s">
        <v>402</v>
      </c>
    </row>
    <row r="23" spans="1:24" x14ac:dyDescent="0.2">
      <c r="B23" s="47" t="str">
        <f>+'rates, dates, etc'!B23</f>
        <v>Co-PI</v>
      </c>
      <c r="C23" s="47" t="str">
        <f>+'rates, dates, etc'!B558</f>
        <v>Co-PI</v>
      </c>
      <c r="D23" s="47" t="str">
        <f>+'rates, dates, etc'!B559</f>
        <v>Co-PI</v>
      </c>
      <c r="V23" s="699" t="s">
        <v>373</v>
      </c>
      <c r="W23" s="699"/>
      <c r="X23" s="700" t="s">
        <v>420</v>
      </c>
    </row>
    <row r="24" spans="1:24" x14ac:dyDescent="0.2">
      <c r="B24" s="47" t="str">
        <f>+'rates, dates, etc'!B24</f>
        <v>Co-PI</v>
      </c>
      <c r="C24" s="47" t="str">
        <f>+'rates, dates, etc'!B664</f>
        <v>Co-PI</v>
      </c>
      <c r="D24" s="47" t="str">
        <f>+'rates, dates, etc'!B665</f>
        <v>Co-PI</v>
      </c>
      <c r="V24" s="699" t="s">
        <v>374</v>
      </c>
      <c r="W24" s="699"/>
      <c r="X24" s="700" t="s">
        <v>404</v>
      </c>
    </row>
    <row r="25" spans="1:24" x14ac:dyDescent="0.2">
      <c r="A25" s="492" t="s">
        <v>359</v>
      </c>
      <c r="V25" s="699" t="s">
        <v>457</v>
      </c>
      <c r="W25" s="699"/>
      <c r="X25" s="700" t="s">
        <v>405</v>
      </c>
    </row>
    <row r="26" spans="1:24" x14ac:dyDescent="0.2">
      <c r="V26" s="699" t="s">
        <v>458</v>
      </c>
      <c r="W26" s="699"/>
      <c r="X26" s="700">
        <v>2165</v>
      </c>
    </row>
    <row r="27" spans="1:24" x14ac:dyDescent="0.2">
      <c r="A27" s="47" t="s">
        <v>360</v>
      </c>
      <c r="V27" s="699" t="s">
        <v>375</v>
      </c>
      <c r="W27" s="699"/>
      <c r="X27" s="700" t="s">
        <v>406</v>
      </c>
    </row>
    <row r="28" spans="1:24" x14ac:dyDescent="0.2">
      <c r="B28" s="47" t="s">
        <v>361</v>
      </c>
      <c r="C28" s="47" t="s">
        <v>362</v>
      </c>
      <c r="V28" s="699" t="s">
        <v>472</v>
      </c>
      <c r="W28" s="699"/>
      <c r="X28" s="700" t="s">
        <v>407</v>
      </c>
    </row>
    <row r="29" spans="1:24" x14ac:dyDescent="0.2">
      <c r="B29" s="47" t="s">
        <v>361</v>
      </c>
      <c r="C29" s="47" t="s">
        <v>362</v>
      </c>
      <c r="V29" s="699" t="s">
        <v>473</v>
      </c>
      <c r="W29" s="699"/>
      <c r="X29" s="700">
        <v>2181</v>
      </c>
    </row>
    <row r="30" spans="1:24" x14ac:dyDescent="0.2">
      <c r="V30" s="699" t="s">
        <v>419</v>
      </c>
      <c r="W30" s="699"/>
      <c r="X30" s="700" t="s">
        <v>411</v>
      </c>
    </row>
    <row r="31" spans="1:24" x14ac:dyDescent="0.2">
      <c r="A31" s="701" t="s">
        <v>441</v>
      </c>
      <c r="B31" s="47" t="s">
        <v>112</v>
      </c>
      <c r="C31" s="88" t="str">
        <f>IF(B31="Yes", "Is there a plan and has the department been notified?", " ")</f>
        <v xml:space="preserve"> </v>
      </c>
      <c r="V31" s="699" t="s">
        <v>376</v>
      </c>
      <c r="W31" s="699"/>
      <c r="X31" s="700" t="s">
        <v>408</v>
      </c>
    </row>
    <row r="32" spans="1:24" x14ac:dyDescent="0.2">
      <c r="V32" s="699" t="s">
        <v>377</v>
      </c>
      <c r="W32" s="699"/>
      <c r="X32" s="700" t="s">
        <v>409</v>
      </c>
    </row>
    <row r="33" spans="22:24" x14ac:dyDescent="0.2">
      <c r="V33" s="699" t="s">
        <v>378</v>
      </c>
      <c r="W33" s="699"/>
      <c r="X33" s="700" t="s">
        <v>410</v>
      </c>
    </row>
    <row r="34" spans="22:24" x14ac:dyDescent="0.2">
      <c r="V34" s="699" t="s">
        <v>379</v>
      </c>
      <c r="W34" s="699"/>
      <c r="X34" s="700" t="s">
        <v>412</v>
      </c>
    </row>
    <row r="35" spans="22:24" x14ac:dyDescent="0.2">
      <c r="V35" s="699" t="s">
        <v>423</v>
      </c>
      <c r="W35" s="699"/>
      <c r="X35" s="700" t="s">
        <v>389</v>
      </c>
    </row>
    <row r="36" spans="22:24" x14ac:dyDescent="0.2">
      <c r="V36" s="699" t="s">
        <v>422</v>
      </c>
      <c r="W36" s="699"/>
      <c r="X36" s="700">
        <v>2437</v>
      </c>
    </row>
    <row r="37" spans="22:24" x14ac:dyDescent="0.2">
      <c r="V37" s="699" t="s">
        <v>462</v>
      </c>
      <c r="W37" s="699"/>
      <c r="X37" s="700" t="s">
        <v>403</v>
      </c>
    </row>
    <row r="38" spans="22:24" x14ac:dyDescent="0.2">
      <c r="V38" s="112" t="s">
        <v>465</v>
      </c>
      <c r="X38" s="700" t="s">
        <v>424</v>
      </c>
    </row>
    <row r="39" spans="22:24" x14ac:dyDescent="0.2">
      <c r="V39" s="112" t="s">
        <v>435</v>
      </c>
      <c r="X39" s="700" t="s">
        <v>425</v>
      </c>
    </row>
    <row r="40" spans="22:24" x14ac:dyDescent="0.2">
      <c r="V40" s="112" t="s">
        <v>463</v>
      </c>
      <c r="X40" s="700" t="s">
        <v>426</v>
      </c>
    </row>
    <row r="41" spans="22:24" x14ac:dyDescent="0.2">
      <c r="V41" s="112" t="s">
        <v>470</v>
      </c>
      <c r="X41" s="700" t="s">
        <v>426</v>
      </c>
    </row>
    <row r="42" spans="22:24" x14ac:dyDescent="0.2">
      <c r="V42" s="112" t="s">
        <v>436</v>
      </c>
      <c r="X42" s="700" t="s">
        <v>427</v>
      </c>
    </row>
    <row r="43" spans="22:24" x14ac:dyDescent="0.2">
      <c r="V43" s="112" t="s">
        <v>466</v>
      </c>
      <c r="X43" s="700" t="s">
        <v>467</v>
      </c>
    </row>
    <row r="44" spans="22:24" x14ac:dyDescent="0.2">
      <c r="V44" s="112" t="s">
        <v>468</v>
      </c>
      <c r="X44" s="700" t="s">
        <v>469</v>
      </c>
    </row>
    <row r="45" spans="22:24" x14ac:dyDescent="0.2">
      <c r="V45" s="112" t="s">
        <v>437</v>
      </c>
      <c r="X45" s="700" t="s">
        <v>428</v>
      </c>
    </row>
    <row r="46" spans="22:24" x14ac:dyDescent="0.2">
      <c r="V46" s="112" t="s">
        <v>438</v>
      </c>
      <c r="X46" s="700" t="s">
        <v>429</v>
      </c>
    </row>
    <row r="47" spans="22:24" x14ac:dyDescent="0.2">
      <c r="V47" s="112" t="s">
        <v>471</v>
      </c>
      <c r="X47" s="700" t="s">
        <v>430</v>
      </c>
    </row>
    <row r="48" spans="22:24" x14ac:dyDescent="0.2">
      <c r="V48" s="112" t="s">
        <v>439</v>
      </c>
      <c r="X48" s="700" t="s">
        <v>431</v>
      </c>
    </row>
    <row r="49" spans="22:25" x14ac:dyDescent="0.2">
      <c r="V49" s="112" t="s">
        <v>464</v>
      </c>
      <c r="X49" s="700" t="s">
        <v>432</v>
      </c>
    </row>
    <row r="50" spans="22:25" x14ac:dyDescent="0.2">
      <c r="V50" s="112" t="s">
        <v>434</v>
      </c>
      <c r="X50" s="700" t="s">
        <v>433</v>
      </c>
    </row>
    <row r="51" spans="22:25" x14ac:dyDescent="0.2">
      <c r="V51" s="112" t="s">
        <v>479</v>
      </c>
      <c r="X51" s="634" t="s">
        <v>474</v>
      </c>
      <c r="Y51" s="47" t="s">
        <v>476</v>
      </c>
    </row>
    <row r="52" spans="22:25" x14ac:dyDescent="0.2">
      <c r="V52" s="112" t="s">
        <v>477</v>
      </c>
      <c r="X52" s="634" t="s">
        <v>481</v>
      </c>
      <c r="Y52" s="47" t="s">
        <v>476</v>
      </c>
    </row>
    <row r="53" spans="22:25" x14ac:dyDescent="0.2">
      <c r="V53" s="112" t="s">
        <v>480</v>
      </c>
      <c r="X53" s="634" t="s">
        <v>475</v>
      </c>
      <c r="Y53" s="47" t="s">
        <v>476</v>
      </c>
    </row>
    <row r="54" spans="22:25" x14ac:dyDescent="0.2">
      <c r="V54" s="112" t="s">
        <v>478</v>
      </c>
      <c r="X54" s="634" t="s">
        <v>482</v>
      </c>
      <c r="Y54" s="47" t="s">
        <v>476</v>
      </c>
    </row>
  </sheetData>
  <sortState xmlns:xlrd2="http://schemas.microsoft.com/office/spreadsheetml/2017/richdata2" ref="V51:X54">
    <sortCondition ref="V51:V54"/>
  </sortState>
  <mergeCells count="1">
    <mergeCell ref="D1:F2"/>
  </mergeCells>
  <phoneticPr fontId="64" type="noConversion"/>
  <dataValidations count="3">
    <dataValidation type="list" allowBlank="1" showInputMessage="1" showErrorMessage="1" sqref="B10" xr:uid="{00000000-0002-0000-0100-000000000000}">
      <formula1>$R$1:$R$5</formula1>
    </dataValidation>
    <dataValidation type="list" allowBlank="1" showInputMessage="1" showErrorMessage="1" sqref="B4" xr:uid="{00000000-0002-0000-0100-000001000000}">
      <formula1>$M$1:$M$5</formula1>
    </dataValidation>
    <dataValidation type="list" allowBlank="1" showInputMessage="1" showErrorMessage="1" sqref="B8 B12 B31" xr:uid="{00000000-0002-0000-0100-000002000000}">
      <formula1>$U$1:$U$2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4">
    <pageSetUpPr fitToPage="1"/>
  </sheetPr>
  <dimension ref="A1:O66"/>
  <sheetViews>
    <sheetView zoomScale="130" zoomScaleNormal="130" workbookViewId="0">
      <selection activeCell="A8" sqref="A8"/>
    </sheetView>
  </sheetViews>
  <sheetFormatPr defaultColWidth="9.28515625" defaultRowHeight="11.25" x14ac:dyDescent="0.2"/>
  <cols>
    <col min="1" max="1" width="33.42578125" style="2" customWidth="1"/>
    <col min="2" max="6" width="8.42578125" style="2" customWidth="1"/>
    <col min="7" max="7" width="9.5703125" style="3" bestFit="1" customWidth="1"/>
    <col min="8" max="8" width="9.7109375" style="3" customWidth="1"/>
    <col min="9" max="9" width="18.5703125" style="3" bestFit="1" customWidth="1"/>
    <col min="10" max="10" width="6.7109375" style="3" bestFit="1" customWidth="1"/>
    <col min="11" max="11" width="9.7109375" style="3" customWidth="1"/>
    <col min="12" max="13" width="9.7109375" style="2" customWidth="1"/>
    <col min="14" max="16384" width="9.28515625" style="2"/>
  </cols>
  <sheetData>
    <row r="1" spans="1:14" ht="12.75" x14ac:dyDescent="0.2">
      <c r="A1" s="1" t="str">
        <f>+'Lead Budget'!A1</f>
        <v>Assessing the Potential for Demand Response to Manage Generation Shortfalls in a Zero-Carbon Electricity Grid”</v>
      </c>
    </row>
    <row r="2" spans="1:14" ht="12.75" x14ac:dyDescent="0.2">
      <c r="A2" s="1" t="str">
        <f>+'Lead Budget'!A2</f>
        <v>USDA</v>
      </c>
    </row>
    <row r="3" spans="1:14" ht="12.75" customHeight="1" thickBot="1" x14ac:dyDescent="0.25"/>
    <row r="4" spans="1:14" x14ac:dyDescent="0.2">
      <c r="A4" s="4"/>
      <c r="B4" s="5" t="s">
        <v>1</v>
      </c>
      <c r="C4" s="5" t="s">
        <v>2</v>
      </c>
      <c r="D4" s="5" t="s">
        <v>3</v>
      </c>
      <c r="E4" s="5" t="s">
        <v>44</v>
      </c>
      <c r="F4" s="5" t="s">
        <v>50</v>
      </c>
      <c r="G4" s="23"/>
    </row>
    <row r="5" spans="1:14" ht="12" thickBot="1" x14ac:dyDescent="0.25">
      <c r="A5" s="4" t="str">
        <f ca="1">""&amp;MID('rates, dates, etc'!AH10,FIND("]",'rates, dates, etc'!AH10)+1,25)</f>
        <v>Consortium 2</v>
      </c>
      <c r="B5" s="6">
        <f>+'Lead Budget'!B5</f>
        <v>44927</v>
      </c>
      <c r="C5" s="6">
        <f>+'Lead Budget'!C5</f>
        <v>45292</v>
      </c>
      <c r="D5" s="6">
        <f>+'Lead Budget'!D5</f>
        <v>45658</v>
      </c>
      <c r="E5" s="6">
        <f>+'Lead Budget'!E5</f>
        <v>46023</v>
      </c>
      <c r="F5" s="6">
        <f>+'Lead Budget'!F5</f>
        <v>46388</v>
      </c>
      <c r="G5" s="24"/>
    </row>
    <row r="6" spans="1:14" ht="12" thickBot="1" x14ac:dyDescent="0.25">
      <c r="A6" s="7" t="s">
        <v>4</v>
      </c>
      <c r="B6" s="46">
        <f>+'Lead Budget'!B6</f>
        <v>45291</v>
      </c>
      <c r="C6" s="8">
        <f>+'Lead Budget'!C6</f>
        <v>45657</v>
      </c>
      <c r="D6" s="8">
        <f>+'Lead Budget'!D6</f>
        <v>46022</v>
      </c>
      <c r="E6" s="8">
        <f>+'Lead Budget'!E6</f>
        <v>46387</v>
      </c>
      <c r="F6" s="8">
        <f>+'Lead Budget'!F6</f>
        <v>46752</v>
      </c>
      <c r="G6" s="25" t="s">
        <v>5</v>
      </c>
    </row>
    <row r="7" spans="1:14" x14ac:dyDescent="0.2">
      <c r="A7" s="9" t="s">
        <v>136</v>
      </c>
      <c r="B7" s="11"/>
      <c r="C7" s="11"/>
      <c r="D7" s="12"/>
      <c r="E7" s="12"/>
      <c r="F7" s="12"/>
      <c r="G7" s="27" t="s">
        <v>6</v>
      </c>
    </row>
    <row r="8" spans="1:14" x14ac:dyDescent="0.2">
      <c r="A8" s="10" t="s">
        <v>78</v>
      </c>
      <c r="B8" s="11"/>
      <c r="C8" s="11"/>
      <c r="D8" s="11"/>
      <c r="E8" s="11"/>
      <c r="F8" s="11"/>
      <c r="G8" s="27">
        <f>SUM(B8:F8)</f>
        <v>0</v>
      </c>
      <c r="N8" s="13"/>
    </row>
    <row r="9" spans="1:14" x14ac:dyDescent="0.2">
      <c r="A9" s="10" t="s">
        <v>61</v>
      </c>
      <c r="B9" s="11"/>
      <c r="C9" s="11"/>
      <c r="D9" s="11"/>
      <c r="E9" s="11"/>
      <c r="F9" s="11"/>
      <c r="G9" s="27">
        <f>SUM(B9:F9)</f>
        <v>0</v>
      </c>
    </row>
    <row r="10" spans="1:14" ht="12" thickBot="1" x14ac:dyDescent="0.25">
      <c r="A10" s="15" t="str">
        <f>CONCATENATE("Total ",A7)</f>
        <v>Total Senior Personnel Salary</v>
      </c>
      <c r="B10" s="16">
        <f>SUM(B7:B9)</f>
        <v>0</v>
      </c>
      <c r="C10" s="16">
        <f t="shared" ref="C10:F10" si="0">SUM(C7:C9)</f>
        <v>0</v>
      </c>
      <c r="D10" s="16">
        <f t="shared" si="0"/>
        <v>0</v>
      </c>
      <c r="E10" s="16">
        <f t="shared" si="0"/>
        <v>0</v>
      </c>
      <c r="F10" s="16">
        <f t="shared" si="0"/>
        <v>0</v>
      </c>
      <c r="G10" s="28">
        <f>SUM(G7:G9)</f>
        <v>0</v>
      </c>
    </row>
    <row r="11" spans="1:14" x14ac:dyDescent="0.2">
      <c r="A11" s="14" t="s">
        <v>137</v>
      </c>
      <c r="B11" s="11"/>
      <c r="C11" s="11"/>
      <c r="D11" s="12"/>
      <c r="E11" s="12"/>
      <c r="F11" s="12"/>
      <c r="G11" s="27"/>
    </row>
    <row r="12" spans="1:14" x14ac:dyDescent="0.2">
      <c r="A12" s="10" t="s">
        <v>88</v>
      </c>
      <c r="B12" s="11"/>
      <c r="C12" s="11"/>
      <c r="D12" s="12"/>
      <c r="E12" s="12"/>
      <c r="F12" s="12"/>
      <c r="G12" s="27">
        <f t="shared" ref="G12" si="1">SUM(B12:F12)</f>
        <v>0</v>
      </c>
    </row>
    <row r="13" spans="1:14" x14ac:dyDescent="0.2">
      <c r="A13" s="10" t="s">
        <v>85</v>
      </c>
      <c r="B13" s="11"/>
      <c r="C13" s="11"/>
      <c r="D13" s="12"/>
      <c r="E13" s="12"/>
      <c r="F13" s="12"/>
      <c r="G13" s="27">
        <f>SUM(B13:F13)</f>
        <v>0</v>
      </c>
    </row>
    <row r="14" spans="1:14" x14ac:dyDescent="0.2">
      <c r="A14" s="10" t="s">
        <v>89</v>
      </c>
      <c r="B14" s="11"/>
      <c r="C14" s="11"/>
      <c r="D14" s="11"/>
      <c r="E14" s="11"/>
      <c r="F14" s="11"/>
      <c r="G14" s="27">
        <f>SUM(B14:F14)</f>
        <v>0</v>
      </c>
    </row>
    <row r="15" spans="1:14" x14ac:dyDescent="0.2">
      <c r="A15" s="10" t="s">
        <v>90</v>
      </c>
      <c r="B15" s="11"/>
      <c r="C15" s="11"/>
      <c r="D15" s="11"/>
      <c r="E15" s="11"/>
      <c r="F15" s="11"/>
      <c r="G15" s="27">
        <f>SUM(B15:F15)</f>
        <v>0</v>
      </c>
    </row>
    <row r="16" spans="1:14" x14ac:dyDescent="0.2">
      <c r="A16" s="10" t="s">
        <v>29</v>
      </c>
      <c r="B16" s="11"/>
      <c r="C16" s="11"/>
      <c r="D16" s="12"/>
      <c r="E16" s="12"/>
      <c r="F16" s="12"/>
      <c r="G16" s="27">
        <f>SUM(B16:F16)</f>
        <v>0</v>
      </c>
    </row>
    <row r="17" spans="1:15" x14ac:dyDescent="0.2">
      <c r="A17" s="10"/>
      <c r="B17" s="11"/>
      <c r="C17" s="11"/>
      <c r="D17" s="12"/>
      <c r="E17" s="12"/>
      <c r="F17" s="12"/>
      <c r="G17" s="27">
        <f>SUM(B17:F17)</f>
        <v>0</v>
      </c>
      <c r="N17" s="13"/>
      <c r="O17" s="13"/>
    </row>
    <row r="18" spans="1:15" ht="12" thickBot="1" x14ac:dyDescent="0.25">
      <c r="A18" s="15" t="str">
        <f>CONCATENATE("Total ",A11)</f>
        <v>Total Other Personnel Salary</v>
      </c>
      <c r="B18" s="16">
        <f>SUM(B11:B17)</f>
        <v>0</v>
      </c>
      <c r="C18" s="16">
        <f t="shared" ref="C18:F18" si="2">SUM(C11:C17)</f>
        <v>0</v>
      </c>
      <c r="D18" s="16">
        <f>SUM(D11:D17)</f>
        <v>0</v>
      </c>
      <c r="E18" s="16">
        <f>SUM(E11:E17)</f>
        <v>0</v>
      </c>
      <c r="F18" s="16">
        <f t="shared" si="2"/>
        <v>0</v>
      </c>
      <c r="G18" s="28">
        <f>SUM(G11:G17)</f>
        <v>0</v>
      </c>
    </row>
    <row r="19" spans="1:15" x14ac:dyDescent="0.2">
      <c r="A19" s="17" t="s">
        <v>7</v>
      </c>
      <c r="B19" s="11" t="s">
        <v>6</v>
      </c>
      <c r="C19" s="11"/>
      <c r="D19" s="12"/>
      <c r="E19" s="12"/>
      <c r="F19" s="12"/>
      <c r="G19" s="27"/>
    </row>
    <row r="20" spans="1:15" x14ac:dyDescent="0.2">
      <c r="A20" s="10" t="str">
        <f>+A8</f>
        <v>PI</v>
      </c>
      <c r="B20" s="11"/>
      <c r="C20" s="11"/>
      <c r="D20" s="11"/>
      <c r="E20" s="11"/>
      <c r="F20" s="11"/>
      <c r="G20" s="27">
        <f>SUM(B20:F20)</f>
        <v>0</v>
      </c>
    </row>
    <row r="21" spans="1:15" x14ac:dyDescent="0.2">
      <c r="A21" s="10" t="str">
        <f>+A9</f>
        <v>Co-PI</v>
      </c>
      <c r="B21" s="11"/>
      <c r="C21" s="11"/>
      <c r="D21" s="11"/>
      <c r="E21" s="11"/>
      <c r="F21" s="11"/>
      <c r="G21" s="27">
        <f t="shared" ref="G21:G24" si="3">SUM(B21:F21)</f>
        <v>0</v>
      </c>
    </row>
    <row r="22" spans="1:15" x14ac:dyDescent="0.2">
      <c r="A22" s="10" t="s">
        <v>88</v>
      </c>
      <c r="B22" s="11"/>
      <c r="C22" s="11"/>
      <c r="D22" s="11"/>
      <c r="E22" s="11"/>
      <c r="F22" s="11"/>
      <c r="G22" s="27">
        <f t="shared" si="3"/>
        <v>0</v>
      </c>
    </row>
    <row r="23" spans="1:15" x14ac:dyDescent="0.2">
      <c r="A23" s="10" t="s">
        <v>90</v>
      </c>
      <c r="B23" s="11"/>
      <c r="C23" s="11"/>
      <c r="D23" s="11"/>
      <c r="E23" s="11"/>
      <c r="F23" s="11"/>
      <c r="G23" s="27">
        <f t="shared" si="3"/>
        <v>0</v>
      </c>
      <c r="N23" s="13"/>
      <c r="O23" s="13"/>
    </row>
    <row r="24" spans="1:15" x14ac:dyDescent="0.2">
      <c r="A24" s="10" t="s">
        <v>29</v>
      </c>
      <c r="B24" s="11"/>
      <c r="C24" s="11"/>
      <c r="D24" s="11"/>
      <c r="E24" s="11"/>
      <c r="F24" s="11"/>
      <c r="G24" s="27">
        <f t="shared" si="3"/>
        <v>0</v>
      </c>
      <c r="N24" s="13"/>
      <c r="O24" s="13"/>
    </row>
    <row r="25" spans="1:15" ht="12" thickBot="1" x14ac:dyDescent="0.25">
      <c r="A25" s="15" t="s">
        <v>93</v>
      </c>
      <c r="B25" s="16">
        <f>SUM(B19:B24)</f>
        <v>0</v>
      </c>
      <c r="C25" s="16">
        <f>SUM(C19:C24)</f>
        <v>0</v>
      </c>
      <c r="D25" s="16">
        <f>SUM(D19:D24)</f>
        <v>0</v>
      </c>
      <c r="E25" s="16">
        <f t="shared" ref="E25:F25" si="4">SUM(E19:E24)</f>
        <v>0</v>
      </c>
      <c r="F25" s="16">
        <f t="shared" si="4"/>
        <v>0</v>
      </c>
      <c r="G25" s="28">
        <f>SUM(G19:G24)</f>
        <v>0</v>
      </c>
      <c r="N25" s="13"/>
      <c r="O25" s="13"/>
    </row>
    <row r="26" spans="1:15" ht="12" thickBot="1" x14ac:dyDescent="0.25">
      <c r="A26" s="143" t="s">
        <v>131</v>
      </c>
      <c r="B26" s="144">
        <f>+B10+B18+B25</f>
        <v>0</v>
      </c>
      <c r="C26" s="144">
        <f>+C10+C18+C25</f>
        <v>0</v>
      </c>
      <c r="D26" s="144">
        <f>+D10+D18+D25</f>
        <v>0</v>
      </c>
      <c r="E26" s="144">
        <f t="shared" ref="E26:F26" si="5">+E10+E18+E25</f>
        <v>0</v>
      </c>
      <c r="F26" s="144">
        <f t="shared" si="5"/>
        <v>0</v>
      </c>
      <c r="G26" s="145">
        <f>+G10+G18+G25</f>
        <v>0</v>
      </c>
      <c r="N26" s="13"/>
      <c r="O26" s="13"/>
    </row>
    <row r="27" spans="1:15" x14ac:dyDescent="0.2">
      <c r="A27" s="17" t="s">
        <v>25</v>
      </c>
      <c r="B27" s="11"/>
      <c r="C27" s="11"/>
      <c r="D27" s="12"/>
      <c r="E27" s="12"/>
      <c r="F27" s="12"/>
      <c r="G27" s="27"/>
      <c r="N27" s="13"/>
      <c r="O27" s="13"/>
    </row>
    <row r="28" spans="1:15" x14ac:dyDescent="0.2">
      <c r="A28" s="10" t="s">
        <v>66</v>
      </c>
      <c r="B28" s="11"/>
      <c r="C28" s="11"/>
      <c r="D28" s="12"/>
      <c r="E28" s="12"/>
      <c r="F28" s="12"/>
      <c r="G28" s="27">
        <f>SUM(B28:F28)</f>
        <v>0</v>
      </c>
    </row>
    <row r="29" spans="1:15" x14ac:dyDescent="0.2">
      <c r="A29" s="10"/>
      <c r="B29" s="11"/>
      <c r="C29" s="11"/>
      <c r="D29" s="12"/>
      <c r="E29" s="12"/>
      <c r="F29" s="12"/>
      <c r="G29" s="27">
        <f>SUM(B29:F29)</f>
        <v>0</v>
      </c>
    </row>
    <row r="30" spans="1:15" ht="12" thickBot="1" x14ac:dyDescent="0.25">
      <c r="A30" s="15" t="s">
        <v>26</v>
      </c>
      <c r="B30" s="16">
        <f>SUM(B27:B29)</f>
        <v>0</v>
      </c>
      <c r="C30" s="16">
        <f>SUM(C27:C29)</f>
        <v>0</v>
      </c>
      <c r="D30" s="16">
        <f>SUM(D27:D29)</f>
        <v>0</v>
      </c>
      <c r="E30" s="16">
        <f t="shared" ref="E30:F30" si="6">SUM(E27:E29)</f>
        <v>0</v>
      </c>
      <c r="F30" s="16">
        <f t="shared" si="6"/>
        <v>0</v>
      </c>
      <c r="G30" s="28">
        <f>SUM(G27:G29)</f>
        <v>0</v>
      </c>
    </row>
    <row r="31" spans="1:15" x14ac:dyDescent="0.2">
      <c r="A31" s="17" t="s">
        <v>34</v>
      </c>
      <c r="B31" s="11"/>
      <c r="C31" s="11"/>
      <c r="D31" s="12"/>
      <c r="E31" s="12"/>
      <c r="F31" s="12"/>
      <c r="G31" s="27"/>
    </row>
    <row r="32" spans="1:15" x14ac:dyDescent="0.2">
      <c r="A32" s="10" t="s">
        <v>10</v>
      </c>
      <c r="B32" s="11"/>
      <c r="C32" s="11"/>
      <c r="D32" s="11"/>
      <c r="E32" s="11"/>
      <c r="F32" s="11"/>
      <c r="G32" s="27">
        <f>SUM(B32:F32)</f>
        <v>0</v>
      </c>
      <c r="N32" s="13"/>
      <c r="O32" s="13"/>
    </row>
    <row r="33" spans="1:15" x14ac:dyDescent="0.2">
      <c r="A33" s="10" t="s">
        <v>11</v>
      </c>
      <c r="B33" s="11"/>
      <c r="C33" s="11"/>
      <c r="D33" s="11"/>
      <c r="E33" s="11"/>
      <c r="F33" s="11"/>
      <c r="G33" s="27">
        <f>SUM(B33:F33)</f>
        <v>0</v>
      </c>
      <c r="N33" s="13"/>
      <c r="O33" s="13"/>
    </row>
    <row r="34" spans="1:15" ht="12" thickBot="1" x14ac:dyDescent="0.25">
      <c r="A34" s="15" t="s">
        <v>12</v>
      </c>
      <c r="B34" s="16">
        <f>SUM(B31:B33)</f>
        <v>0</v>
      </c>
      <c r="C34" s="16">
        <f>SUM(C31:C33)</f>
        <v>0</v>
      </c>
      <c r="D34" s="16">
        <f>SUM(D31:D33)</f>
        <v>0</v>
      </c>
      <c r="E34" s="16">
        <f t="shared" ref="E34:F34" si="7">SUM(E31:E33)</f>
        <v>0</v>
      </c>
      <c r="F34" s="16">
        <f t="shared" si="7"/>
        <v>0</v>
      </c>
      <c r="G34" s="28">
        <f>SUM(G31:G33)</f>
        <v>0</v>
      </c>
      <c r="N34" s="13"/>
      <c r="O34" s="13"/>
    </row>
    <row r="35" spans="1:15" x14ac:dyDescent="0.2">
      <c r="A35" s="17" t="s">
        <v>27</v>
      </c>
      <c r="B35" s="11"/>
      <c r="C35" s="11"/>
      <c r="D35" s="12"/>
      <c r="E35" s="12"/>
      <c r="F35" s="12"/>
      <c r="G35" s="27"/>
      <c r="N35" s="13"/>
      <c r="O35" s="13"/>
    </row>
    <row r="36" spans="1:15" x14ac:dyDescent="0.2">
      <c r="A36" s="10" t="s">
        <v>91</v>
      </c>
      <c r="B36" s="11"/>
      <c r="C36" s="11"/>
      <c r="D36" s="12"/>
      <c r="E36" s="12"/>
      <c r="F36" s="12"/>
      <c r="G36" s="27">
        <f>SUM(B36:F36)</f>
        <v>0</v>
      </c>
      <c r="N36" s="13"/>
      <c r="O36" s="13"/>
    </row>
    <row r="37" spans="1:15" x14ac:dyDescent="0.2">
      <c r="A37" s="10" t="s">
        <v>47</v>
      </c>
      <c r="B37" s="11"/>
      <c r="C37" s="11"/>
      <c r="D37" s="12"/>
      <c r="E37" s="12"/>
      <c r="F37" s="12"/>
      <c r="G37" s="27">
        <f>SUM(B37:F37)</f>
        <v>0</v>
      </c>
      <c r="N37" s="13"/>
      <c r="O37" s="13"/>
    </row>
    <row r="38" spans="1:15" x14ac:dyDescent="0.2">
      <c r="A38" s="10" t="s">
        <v>34</v>
      </c>
      <c r="B38" s="11"/>
      <c r="C38" s="11"/>
      <c r="D38" s="12"/>
      <c r="E38" s="12"/>
      <c r="F38" s="12"/>
      <c r="G38" s="27">
        <f t="shared" ref="G38:G40" si="8">SUM(B38:F38)</f>
        <v>0</v>
      </c>
    </row>
    <row r="39" spans="1:15" x14ac:dyDescent="0.2">
      <c r="A39" s="10" t="s">
        <v>48</v>
      </c>
      <c r="B39" s="11"/>
      <c r="C39" s="11"/>
      <c r="D39" s="12"/>
      <c r="E39" s="12"/>
      <c r="F39" s="12"/>
      <c r="G39" s="27">
        <f t="shared" si="8"/>
        <v>0</v>
      </c>
    </row>
    <row r="40" spans="1:15" x14ac:dyDescent="0.2">
      <c r="A40" s="10" t="s">
        <v>29</v>
      </c>
      <c r="B40" s="11"/>
      <c r="C40" s="11"/>
      <c r="D40" s="12"/>
      <c r="E40" s="12"/>
      <c r="F40" s="12"/>
      <c r="G40" s="27">
        <f t="shared" si="8"/>
        <v>0</v>
      </c>
    </row>
    <row r="41" spans="1:15" ht="12" thickBot="1" x14ac:dyDescent="0.25">
      <c r="A41" s="15" t="s">
        <v>28</v>
      </c>
      <c r="B41" s="16">
        <f>SUM(B35:B40)</f>
        <v>0</v>
      </c>
      <c r="C41" s="16">
        <f>SUM(C35:C40)</f>
        <v>0</v>
      </c>
      <c r="D41" s="16">
        <f>SUM(D35:D40)</f>
        <v>0</v>
      </c>
      <c r="E41" s="16">
        <f t="shared" ref="E41:F41" si="9">SUM(E35:E40)</f>
        <v>0</v>
      </c>
      <c r="F41" s="16">
        <f t="shared" si="9"/>
        <v>0</v>
      </c>
      <c r="G41" s="28">
        <f>SUM(G35:G40)</f>
        <v>0</v>
      </c>
    </row>
    <row r="42" spans="1:15" x14ac:dyDescent="0.2">
      <c r="A42" s="17" t="s">
        <v>13</v>
      </c>
      <c r="B42" s="11"/>
      <c r="C42" s="11"/>
      <c r="D42" s="12"/>
      <c r="E42" s="12"/>
      <c r="F42" s="12"/>
      <c r="G42" s="27"/>
    </row>
    <row r="43" spans="1:15" x14ac:dyDescent="0.2">
      <c r="A43" s="10" t="str">
        <f>+'Lead Budget'!A46</f>
        <v>Materials &amp; Supplies</v>
      </c>
      <c r="B43" s="18"/>
      <c r="C43" s="18"/>
      <c r="D43" s="18"/>
      <c r="E43" s="18"/>
      <c r="F43" s="18"/>
      <c r="G43" s="27">
        <f>SUM(B43:F43)</f>
        <v>0</v>
      </c>
    </row>
    <row r="44" spans="1:15" x14ac:dyDescent="0.2">
      <c r="A44" s="10" t="str">
        <f>+'Lead Budget'!A47</f>
        <v>Publication Costs</v>
      </c>
      <c r="B44" s="11"/>
      <c r="C44" s="11"/>
      <c r="D44" s="11"/>
      <c r="E44" s="11"/>
      <c r="F44" s="11"/>
      <c r="G44" s="27">
        <f t="shared" ref="G44:G51" si="10">SUM(B44:F44)</f>
        <v>0</v>
      </c>
    </row>
    <row r="45" spans="1:15" x14ac:dyDescent="0.2">
      <c r="A45" s="10" t="str">
        <f>+'Lead Budget'!A48</f>
        <v>Consultant Services</v>
      </c>
      <c r="B45" s="11"/>
      <c r="C45" s="11"/>
      <c r="D45" s="12"/>
      <c r="E45" s="12"/>
      <c r="F45" s="12"/>
      <c r="G45" s="27">
        <f t="shared" si="10"/>
        <v>0</v>
      </c>
    </row>
    <row r="46" spans="1:15" x14ac:dyDescent="0.2">
      <c r="A46" s="10" t="str">
        <f>+'Lead Budget'!A49</f>
        <v>ADP/Computer Services</v>
      </c>
      <c r="B46" s="11"/>
      <c r="C46" s="11"/>
      <c r="D46" s="11"/>
      <c r="E46" s="11"/>
      <c r="F46" s="11"/>
      <c r="G46" s="27">
        <f t="shared" si="10"/>
        <v>0</v>
      </c>
    </row>
    <row r="47" spans="1:15" x14ac:dyDescent="0.2">
      <c r="A47" s="10" t="str">
        <f>+'Lead Budget'!A50</f>
        <v xml:space="preserve">SubContracts </v>
      </c>
      <c r="B47" s="11"/>
      <c r="C47" s="11"/>
      <c r="D47" s="11"/>
      <c r="E47" s="11"/>
      <c r="F47" s="11"/>
      <c r="G47" s="27">
        <f t="shared" si="10"/>
        <v>0</v>
      </c>
    </row>
    <row r="48" spans="1:15" x14ac:dyDescent="0.2">
      <c r="A48" s="10" t="str">
        <f>+'Lead Budget'!A51</f>
        <v xml:space="preserve">Equipment or Facility Rental/User Fees </v>
      </c>
      <c r="B48" s="11"/>
      <c r="C48" s="11"/>
      <c r="D48" s="11"/>
      <c r="E48" s="11"/>
      <c r="F48" s="11"/>
      <c r="G48" s="27">
        <f t="shared" si="10"/>
        <v>0</v>
      </c>
    </row>
    <row r="49" spans="1:15" x14ac:dyDescent="0.2">
      <c r="A49" s="10" t="str">
        <f>+'Lead Budget'!A52</f>
        <v>Other: Tuition</v>
      </c>
      <c r="B49" s="11"/>
      <c r="C49" s="11"/>
      <c r="D49" s="11"/>
      <c r="E49" s="11"/>
      <c r="F49" s="11"/>
      <c r="G49" s="27">
        <f t="shared" si="10"/>
        <v>0</v>
      </c>
    </row>
    <row r="50" spans="1:15" x14ac:dyDescent="0.2">
      <c r="A50" s="10" t="str">
        <f>+'Lead Budget'!A53</f>
        <v>Other: Health Insurance</v>
      </c>
      <c r="B50" s="11"/>
      <c r="C50" s="11"/>
      <c r="D50" s="11"/>
      <c r="E50" s="11"/>
      <c r="F50" s="11"/>
      <c r="G50" s="27">
        <f t="shared" si="10"/>
        <v>0</v>
      </c>
    </row>
    <row r="51" spans="1:15" x14ac:dyDescent="0.2">
      <c r="A51" s="10" t="str">
        <f>+'Lead Budget'!A54</f>
        <v>Other</v>
      </c>
      <c r="B51" s="11"/>
      <c r="C51" s="11"/>
      <c r="D51" s="11"/>
      <c r="E51" s="11"/>
      <c r="F51" s="11"/>
      <c r="G51" s="27">
        <f t="shared" si="10"/>
        <v>0</v>
      </c>
    </row>
    <row r="52" spans="1:15" ht="12" thickBot="1" x14ac:dyDescent="0.25">
      <c r="A52" s="15" t="s">
        <v>94</v>
      </c>
      <c r="B52" s="16">
        <f t="shared" ref="B52:G52" si="11">SUM(B42:B51)</f>
        <v>0</v>
      </c>
      <c r="C52" s="16">
        <f t="shared" si="11"/>
        <v>0</v>
      </c>
      <c r="D52" s="16">
        <f t="shared" si="11"/>
        <v>0</v>
      </c>
      <c r="E52" s="16">
        <f t="shared" si="11"/>
        <v>0</v>
      </c>
      <c r="F52" s="16">
        <f t="shared" si="11"/>
        <v>0</v>
      </c>
      <c r="G52" s="28">
        <f t="shared" si="11"/>
        <v>0</v>
      </c>
      <c r="K52" s="2"/>
      <c r="N52" s="13"/>
      <c r="O52" s="13"/>
    </row>
    <row r="53" spans="1:15" ht="12" thickBot="1" x14ac:dyDescent="0.25">
      <c r="A53" s="107" t="s">
        <v>16</v>
      </c>
      <c r="B53" s="105">
        <f>SUM(+B10+B18+B25+B30+B34+B41+B52)</f>
        <v>0</v>
      </c>
      <c r="C53" s="105">
        <f>SUM(+C10+C18+C25+C30+C34+C41+C52)</f>
        <v>0</v>
      </c>
      <c r="D53" s="105">
        <f>SUM(+D10+D18+D25+D30+D34+D41+D52)</f>
        <v>0</v>
      </c>
      <c r="E53" s="105">
        <f>SUM(+E10+E18+E25+E30+E34+E41+E52)</f>
        <v>0</v>
      </c>
      <c r="F53" s="105">
        <f t="shared" ref="F53" si="12">SUM(+F10+F18+F25+F30+F34+F41+F52)</f>
        <v>0</v>
      </c>
      <c r="G53" s="106">
        <f>SUM(+G10+G18+G25+G30+G34+G41+G52)</f>
        <v>0</v>
      </c>
      <c r="N53" s="13"/>
      <c r="O53" s="13"/>
    </row>
    <row r="54" spans="1:15" ht="12" thickBot="1" x14ac:dyDescent="0.25">
      <c r="A54" s="632" t="s">
        <v>289</v>
      </c>
      <c r="B54" s="631"/>
      <c r="C54" s="631"/>
      <c r="D54" s="631"/>
      <c r="E54" s="631"/>
      <c r="F54" s="631"/>
      <c r="G54" s="633">
        <f>SUM(B54:F54)</f>
        <v>0</v>
      </c>
      <c r="N54" s="13"/>
      <c r="O54" s="13"/>
    </row>
    <row r="55" spans="1:15" ht="12" thickBot="1" x14ac:dyDescent="0.25">
      <c r="A55" s="7" t="s">
        <v>290</v>
      </c>
      <c r="B55" s="105">
        <f>+B53-B54</f>
        <v>0</v>
      </c>
      <c r="C55" s="105">
        <f>+C53-C54</f>
        <v>0</v>
      </c>
      <c r="D55" s="105">
        <f t="shared" ref="D55:F55" si="13">+D53-D54</f>
        <v>0</v>
      </c>
      <c r="E55" s="105">
        <f t="shared" si="13"/>
        <v>0</v>
      </c>
      <c r="F55" s="105">
        <f t="shared" si="13"/>
        <v>0</v>
      </c>
      <c r="G55" s="106">
        <f>SUM(B55:F55)</f>
        <v>0</v>
      </c>
      <c r="N55" s="13"/>
      <c r="O55" s="13"/>
    </row>
    <row r="56" spans="1:15" ht="12" thickBot="1" x14ac:dyDescent="0.25">
      <c r="A56" s="7" t="s">
        <v>18</v>
      </c>
      <c r="B56" s="21">
        <f>ROUND(B55*$B$59,0)</f>
        <v>0</v>
      </c>
      <c r="C56" s="21">
        <f t="shared" ref="C56:F56" si="14">ROUND(C55*$B$59,0)</f>
        <v>0</v>
      </c>
      <c r="D56" s="21">
        <f t="shared" si="14"/>
        <v>0</v>
      </c>
      <c r="E56" s="21">
        <f t="shared" si="14"/>
        <v>0</v>
      </c>
      <c r="F56" s="21">
        <f t="shared" si="14"/>
        <v>0</v>
      </c>
      <c r="G56" s="106">
        <f>SUM(B56:F56)</f>
        <v>0</v>
      </c>
      <c r="N56" s="13"/>
      <c r="O56" s="13"/>
    </row>
    <row r="57" spans="1:15" ht="12" thickBot="1" x14ac:dyDescent="0.25">
      <c r="A57" s="19" t="s">
        <v>19</v>
      </c>
      <c r="B57" s="98">
        <f>+B53+B56</f>
        <v>0</v>
      </c>
      <c r="C57" s="98">
        <f t="shared" ref="C57:F57" si="15">+C53+C56</f>
        <v>0</v>
      </c>
      <c r="D57" s="98">
        <f t="shared" si="15"/>
        <v>0</v>
      </c>
      <c r="E57" s="98">
        <f t="shared" si="15"/>
        <v>0</v>
      </c>
      <c r="F57" s="98">
        <f t="shared" si="15"/>
        <v>0</v>
      </c>
      <c r="G57" s="20">
        <f>SUM(B57:F57)</f>
        <v>0</v>
      </c>
      <c r="L57" s="12"/>
      <c r="N57" s="13"/>
      <c r="O57" s="13"/>
    </row>
    <row r="58" spans="1:15" x14ac:dyDescent="0.2">
      <c r="A58" s="22"/>
      <c r="B58" s="12"/>
      <c r="C58" s="12"/>
      <c r="D58" s="12"/>
      <c r="E58" s="12"/>
      <c r="F58" s="12"/>
      <c r="I58" s="39"/>
      <c r="J58" s="12"/>
      <c r="K58" s="39"/>
      <c r="L58" s="39"/>
      <c r="M58" s="39"/>
      <c r="N58" s="13"/>
      <c r="O58" s="13"/>
    </row>
    <row r="59" spans="1:15" x14ac:dyDescent="0.2">
      <c r="A59" s="650" t="s">
        <v>317</v>
      </c>
      <c r="B59" s="630">
        <v>0.42857000000000001</v>
      </c>
      <c r="C59" s="3" t="str">
        <f ca="1">CONCATENATE("Indirect Cost Rate for ",""&amp;MID('rates, dates, etc'!AH10,FIND("]",'rates, dates, etc'!AH10)+1,25))</f>
        <v>Indirect Cost Rate for Consortium 2</v>
      </c>
      <c r="D59" s="39"/>
      <c r="G59" s="39"/>
      <c r="I59" s="39"/>
      <c r="J59" s="12"/>
      <c r="K59" s="39"/>
      <c r="L59" s="39"/>
      <c r="M59" s="39"/>
      <c r="N59" s="13"/>
      <c r="O59" s="13"/>
    </row>
    <row r="60" spans="1:15" x14ac:dyDescent="0.2">
      <c r="A60" s="22"/>
      <c r="B60" s="39"/>
      <c r="C60" s="39"/>
      <c r="D60" s="39"/>
      <c r="E60" s="39"/>
      <c r="F60" s="39"/>
      <c r="G60" s="39"/>
      <c r="I60" s="39"/>
      <c r="J60" s="12"/>
      <c r="K60" s="39"/>
      <c r="L60" s="39"/>
      <c r="M60" s="39"/>
      <c r="N60" s="13"/>
      <c r="O60" s="13"/>
    </row>
    <row r="61" spans="1:15" ht="12" thickBot="1" x14ac:dyDescent="0.25">
      <c r="A61" s="32"/>
      <c r="B61" s="33"/>
      <c r="C61" s="33"/>
      <c r="D61" s="33"/>
      <c r="E61" s="33"/>
      <c r="F61" s="33"/>
      <c r="G61" s="33"/>
      <c r="H61" s="34"/>
      <c r="I61" s="34"/>
      <c r="J61" s="34"/>
      <c r="K61" s="12"/>
    </row>
    <row r="63" spans="1:15" x14ac:dyDescent="0.2">
      <c r="A63" s="2" t="s">
        <v>42</v>
      </c>
      <c r="B63" s="40">
        <f>IF(B57&lt;25000,B57,25000)</f>
        <v>0</v>
      </c>
      <c r="C63" s="40">
        <f>IF(+B57&gt;25000,0,IF(B57+C57&gt;25000,(25000-B57),C57))</f>
        <v>0</v>
      </c>
      <c r="D63" s="40">
        <f>IF(+B57+C57&gt;25000,0,IF(B57+C57+D57&gt;25000,(25000-(B57+C57)),D57))</f>
        <v>0</v>
      </c>
      <c r="E63" s="40">
        <f>IF(B57+C57+D57&gt;25000,0,IF(B57+C57+D57+E57&gt;25000,(25000-(B57+C57+D57)),E57))</f>
        <v>0</v>
      </c>
      <c r="F63" s="40">
        <f>IF(B57+C57+D57+E57&gt;25000,0,IF(B57+C57+D57+E57+F57&gt;25000,(25000-(B57+C57+D57+E57)),F57))</f>
        <v>0</v>
      </c>
      <c r="G63" s="11">
        <f>SUM(B63:F63)</f>
        <v>0</v>
      </c>
      <c r="H63" s="11"/>
      <c r="I63" s="2"/>
    </row>
    <row r="64" spans="1:15" x14ac:dyDescent="0.2">
      <c r="A64" s="2" t="s">
        <v>43</v>
      </c>
      <c r="B64" s="40">
        <f>+B57-B63</f>
        <v>0</v>
      </c>
      <c r="C64" s="40">
        <f>+C57-C63</f>
        <v>0</v>
      </c>
      <c r="D64" s="40">
        <f>+D57-D63</f>
        <v>0</v>
      </c>
      <c r="E64" s="40">
        <f>+E57-E63</f>
        <v>0</v>
      </c>
      <c r="F64" s="40">
        <f>+F57-F63</f>
        <v>0</v>
      </c>
      <c r="G64" s="11">
        <f t="shared" ref="G64:G66" si="16">SUM(B64:F64)</f>
        <v>0</v>
      </c>
      <c r="H64" s="11"/>
      <c r="I64" s="2"/>
    </row>
    <row r="65" spans="2:7" x14ac:dyDescent="0.2">
      <c r="C65" s="13"/>
      <c r="G65" s="11"/>
    </row>
    <row r="66" spans="2:7" x14ac:dyDescent="0.2">
      <c r="B66" s="13">
        <f>SUM(B63:B64)</f>
        <v>0</v>
      </c>
      <c r="C66" s="13">
        <f>SUM(C63:C64)</f>
        <v>0</v>
      </c>
      <c r="D66" s="13">
        <f t="shared" ref="D66:F66" si="17">SUM(D63:D64)</f>
        <v>0</v>
      </c>
      <c r="E66" s="13">
        <f t="shared" si="17"/>
        <v>0</v>
      </c>
      <c r="F66" s="13">
        <f t="shared" si="17"/>
        <v>0</v>
      </c>
      <c r="G66" s="11">
        <f t="shared" si="16"/>
        <v>0</v>
      </c>
    </row>
  </sheetData>
  <pageMargins left="0.75" right="0.53" top="0.7" bottom="0.64" header="0.5" footer="0.5"/>
  <pageSetup scale="96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5">
    <pageSetUpPr fitToPage="1"/>
  </sheetPr>
  <dimension ref="A1:O66"/>
  <sheetViews>
    <sheetView zoomScale="130" zoomScaleNormal="130" workbookViewId="0">
      <selection activeCell="A8" sqref="A8"/>
    </sheetView>
  </sheetViews>
  <sheetFormatPr defaultColWidth="9.28515625" defaultRowHeight="11.25" x14ac:dyDescent="0.2"/>
  <cols>
    <col min="1" max="1" width="33.42578125" style="2" customWidth="1"/>
    <col min="2" max="6" width="8.42578125" style="2" customWidth="1"/>
    <col min="7" max="7" width="9.5703125" style="3" bestFit="1" customWidth="1"/>
    <col min="8" max="8" width="9.7109375" style="3" customWidth="1"/>
    <col min="9" max="9" width="18.5703125" style="3" bestFit="1" customWidth="1"/>
    <col min="10" max="10" width="6.7109375" style="3" bestFit="1" customWidth="1"/>
    <col min="11" max="11" width="9.7109375" style="3" customWidth="1"/>
    <col min="12" max="13" width="9.7109375" style="2" customWidth="1"/>
    <col min="14" max="16384" width="9.28515625" style="2"/>
  </cols>
  <sheetData>
    <row r="1" spans="1:14" ht="12.75" x14ac:dyDescent="0.2">
      <c r="A1" s="1" t="str">
        <f>+'Lead Budget'!A1</f>
        <v>Assessing the Potential for Demand Response to Manage Generation Shortfalls in a Zero-Carbon Electricity Grid”</v>
      </c>
    </row>
    <row r="2" spans="1:14" ht="12.75" x14ac:dyDescent="0.2">
      <c r="A2" s="1" t="str">
        <f>+'Lead Budget'!A2</f>
        <v>USDA</v>
      </c>
    </row>
    <row r="3" spans="1:14" ht="12.75" customHeight="1" thickBot="1" x14ac:dyDescent="0.25"/>
    <row r="4" spans="1:14" x14ac:dyDescent="0.2">
      <c r="A4" s="4"/>
      <c r="B4" s="5" t="s">
        <v>1</v>
      </c>
      <c r="C4" s="5" t="s">
        <v>2</v>
      </c>
      <c r="D4" s="5" t="s">
        <v>3</v>
      </c>
      <c r="E4" s="5" t="s">
        <v>44</v>
      </c>
      <c r="F4" s="5" t="s">
        <v>50</v>
      </c>
      <c r="G4" s="23"/>
    </row>
    <row r="5" spans="1:14" ht="12" thickBot="1" x14ac:dyDescent="0.25">
      <c r="A5" s="4" t="str">
        <f ca="1">""&amp;MID('rates, dates, etc'!AH11,FIND("]",'rates, dates, etc'!AH11)+1,25)</f>
        <v>Consortium 3</v>
      </c>
      <c r="B5" s="6">
        <f>+'Lead Budget'!B5</f>
        <v>44927</v>
      </c>
      <c r="C5" s="6">
        <f>+'Lead Budget'!C5</f>
        <v>45292</v>
      </c>
      <c r="D5" s="6">
        <f>+'Lead Budget'!D5</f>
        <v>45658</v>
      </c>
      <c r="E5" s="6">
        <f>+'Lead Budget'!E5</f>
        <v>46023</v>
      </c>
      <c r="F5" s="6">
        <f>+'Lead Budget'!F5</f>
        <v>46388</v>
      </c>
      <c r="G5" s="24"/>
    </row>
    <row r="6" spans="1:14" ht="12" thickBot="1" x14ac:dyDescent="0.25">
      <c r="A6" s="7" t="s">
        <v>4</v>
      </c>
      <c r="B6" s="46">
        <f>+'Lead Budget'!B6</f>
        <v>45291</v>
      </c>
      <c r="C6" s="8">
        <f>+'Lead Budget'!C6</f>
        <v>45657</v>
      </c>
      <c r="D6" s="8">
        <f>+'Lead Budget'!D6</f>
        <v>46022</v>
      </c>
      <c r="E6" s="8">
        <f>+'Lead Budget'!E6</f>
        <v>46387</v>
      </c>
      <c r="F6" s="8">
        <f>+'Lead Budget'!F6</f>
        <v>46752</v>
      </c>
      <c r="G6" s="25" t="s">
        <v>5</v>
      </c>
    </row>
    <row r="7" spans="1:14" x14ac:dyDescent="0.2">
      <c r="A7" s="9" t="s">
        <v>136</v>
      </c>
      <c r="B7" s="11"/>
      <c r="C7" s="11"/>
      <c r="D7" s="12"/>
      <c r="E7" s="12"/>
      <c r="F7" s="12"/>
      <c r="G7" s="27" t="s">
        <v>6</v>
      </c>
    </row>
    <row r="8" spans="1:14" x14ac:dyDescent="0.2">
      <c r="A8" s="10" t="s">
        <v>78</v>
      </c>
      <c r="B8" s="11"/>
      <c r="C8" s="11"/>
      <c r="D8" s="11"/>
      <c r="E8" s="11"/>
      <c r="F8" s="11"/>
      <c r="G8" s="27">
        <f>SUM(B8:F8)</f>
        <v>0</v>
      </c>
      <c r="N8" s="13"/>
    </row>
    <row r="9" spans="1:14" x14ac:dyDescent="0.2">
      <c r="A9" s="10" t="s">
        <v>61</v>
      </c>
      <c r="B9" s="11"/>
      <c r="C9" s="11"/>
      <c r="D9" s="11"/>
      <c r="E9" s="11"/>
      <c r="F9" s="11"/>
      <c r="G9" s="27">
        <f>SUM(B9:F9)</f>
        <v>0</v>
      </c>
    </row>
    <row r="10" spans="1:14" ht="12" thickBot="1" x14ac:dyDescent="0.25">
      <c r="A10" s="15" t="str">
        <f>CONCATENATE("Total ",A7)</f>
        <v>Total Senior Personnel Salary</v>
      </c>
      <c r="B10" s="16">
        <f t="shared" ref="B10:G10" si="0">SUM(B7:B9)</f>
        <v>0</v>
      </c>
      <c r="C10" s="16">
        <f t="shared" si="0"/>
        <v>0</v>
      </c>
      <c r="D10" s="16">
        <f t="shared" si="0"/>
        <v>0</v>
      </c>
      <c r="E10" s="16">
        <f t="shared" si="0"/>
        <v>0</v>
      </c>
      <c r="F10" s="16">
        <f t="shared" si="0"/>
        <v>0</v>
      </c>
      <c r="G10" s="28">
        <f t="shared" si="0"/>
        <v>0</v>
      </c>
    </row>
    <row r="11" spans="1:14" x14ac:dyDescent="0.2">
      <c r="A11" s="14" t="s">
        <v>137</v>
      </c>
      <c r="B11" s="11"/>
      <c r="C11" s="11"/>
      <c r="D11" s="12"/>
      <c r="E11" s="12"/>
      <c r="F11" s="12"/>
      <c r="G11" s="27"/>
    </row>
    <row r="12" spans="1:14" x14ac:dyDescent="0.2">
      <c r="A12" s="10" t="s">
        <v>88</v>
      </c>
      <c r="B12" s="11"/>
      <c r="C12" s="11"/>
      <c r="D12" s="12"/>
      <c r="E12" s="12"/>
      <c r="F12" s="12"/>
      <c r="G12" s="27">
        <f t="shared" ref="G12" si="1">SUM(B12:F12)</f>
        <v>0</v>
      </c>
    </row>
    <row r="13" spans="1:14" x14ac:dyDescent="0.2">
      <c r="A13" s="10" t="s">
        <v>85</v>
      </c>
      <c r="B13" s="11"/>
      <c r="C13" s="11"/>
      <c r="D13" s="12"/>
      <c r="E13" s="12"/>
      <c r="F13" s="12"/>
      <c r="G13" s="27">
        <f>SUM(B13:F13)</f>
        <v>0</v>
      </c>
    </row>
    <row r="14" spans="1:14" x14ac:dyDescent="0.2">
      <c r="A14" s="10" t="s">
        <v>89</v>
      </c>
      <c r="B14" s="11"/>
      <c r="C14" s="11"/>
      <c r="D14" s="11"/>
      <c r="E14" s="11"/>
      <c r="F14" s="11"/>
      <c r="G14" s="27">
        <f>SUM(B14:F14)</f>
        <v>0</v>
      </c>
    </row>
    <row r="15" spans="1:14" x14ac:dyDescent="0.2">
      <c r="A15" s="10" t="s">
        <v>90</v>
      </c>
      <c r="B15" s="11"/>
      <c r="C15" s="11"/>
      <c r="D15" s="11"/>
      <c r="E15" s="11"/>
      <c r="F15" s="11"/>
      <c r="G15" s="27">
        <f>SUM(B15:F15)</f>
        <v>0</v>
      </c>
    </row>
    <row r="16" spans="1:14" x14ac:dyDescent="0.2">
      <c r="A16" s="10" t="s">
        <v>29</v>
      </c>
      <c r="B16" s="11"/>
      <c r="C16" s="11"/>
      <c r="D16" s="12"/>
      <c r="E16" s="12"/>
      <c r="F16" s="12"/>
      <c r="G16" s="27">
        <f>SUM(B16:F16)</f>
        <v>0</v>
      </c>
    </row>
    <row r="17" spans="1:15" x14ac:dyDescent="0.2">
      <c r="A17" s="10"/>
      <c r="B17" s="11"/>
      <c r="C17" s="11"/>
      <c r="D17" s="12"/>
      <c r="E17" s="12"/>
      <c r="F17" s="12"/>
      <c r="G17" s="27">
        <f>SUM(B17:F17)</f>
        <v>0</v>
      </c>
      <c r="N17" s="13"/>
      <c r="O17" s="13"/>
    </row>
    <row r="18" spans="1:15" ht="12" thickBot="1" x14ac:dyDescent="0.25">
      <c r="A18" s="15" t="str">
        <f>CONCATENATE("Total ",A11)</f>
        <v>Total Other Personnel Salary</v>
      </c>
      <c r="B18" s="16">
        <f>SUM(B11:B17)</f>
        <v>0</v>
      </c>
      <c r="C18" s="16">
        <f t="shared" ref="C18:F18" si="2">SUM(C11:C17)</f>
        <v>0</v>
      </c>
      <c r="D18" s="16">
        <f>SUM(D11:D17)</f>
        <v>0</v>
      </c>
      <c r="E18" s="16">
        <f>SUM(E11:E17)</f>
        <v>0</v>
      </c>
      <c r="F18" s="16">
        <f t="shared" si="2"/>
        <v>0</v>
      </c>
      <c r="G18" s="28">
        <f>SUM(G11:G17)</f>
        <v>0</v>
      </c>
    </row>
    <row r="19" spans="1:15" x14ac:dyDescent="0.2">
      <c r="A19" s="17" t="s">
        <v>7</v>
      </c>
      <c r="B19" s="11" t="s">
        <v>6</v>
      </c>
      <c r="C19" s="11"/>
      <c r="D19" s="12"/>
      <c r="E19" s="12"/>
      <c r="F19" s="12"/>
      <c r="G19" s="27"/>
    </row>
    <row r="20" spans="1:15" x14ac:dyDescent="0.2">
      <c r="A20" s="10" t="str">
        <f>+A8</f>
        <v>PI</v>
      </c>
      <c r="B20" s="11"/>
      <c r="C20" s="11"/>
      <c r="D20" s="11"/>
      <c r="E20" s="11"/>
      <c r="F20" s="11"/>
      <c r="G20" s="27">
        <f>SUM(B20:F20)</f>
        <v>0</v>
      </c>
    </row>
    <row r="21" spans="1:15" x14ac:dyDescent="0.2">
      <c r="A21" s="10" t="str">
        <f>+A9</f>
        <v>Co-PI</v>
      </c>
      <c r="B21" s="11"/>
      <c r="C21" s="11"/>
      <c r="D21" s="11"/>
      <c r="E21" s="11"/>
      <c r="F21" s="11"/>
      <c r="G21" s="27">
        <f t="shared" ref="G21:G24" si="3">SUM(B21:F21)</f>
        <v>0</v>
      </c>
    </row>
    <row r="22" spans="1:15" x14ac:dyDescent="0.2">
      <c r="A22" s="10" t="s">
        <v>88</v>
      </c>
      <c r="B22" s="11"/>
      <c r="C22" s="11"/>
      <c r="D22" s="11"/>
      <c r="E22" s="11"/>
      <c r="F22" s="11"/>
      <c r="G22" s="27">
        <f t="shared" si="3"/>
        <v>0</v>
      </c>
    </row>
    <row r="23" spans="1:15" x14ac:dyDescent="0.2">
      <c r="A23" s="10" t="s">
        <v>90</v>
      </c>
      <c r="B23" s="11"/>
      <c r="C23" s="11"/>
      <c r="D23" s="11"/>
      <c r="E23" s="11"/>
      <c r="F23" s="11"/>
      <c r="G23" s="27">
        <f t="shared" si="3"/>
        <v>0</v>
      </c>
      <c r="N23" s="13"/>
      <c r="O23" s="13"/>
    </row>
    <row r="24" spans="1:15" x14ac:dyDescent="0.2">
      <c r="A24" s="10" t="s">
        <v>29</v>
      </c>
      <c r="B24" s="11"/>
      <c r="C24" s="11"/>
      <c r="D24" s="11"/>
      <c r="E24" s="11"/>
      <c r="F24" s="11"/>
      <c r="G24" s="27">
        <f t="shared" si="3"/>
        <v>0</v>
      </c>
      <c r="N24" s="13"/>
      <c r="O24" s="13"/>
    </row>
    <row r="25" spans="1:15" ht="12" thickBot="1" x14ac:dyDescent="0.25">
      <c r="A25" s="15" t="s">
        <v>93</v>
      </c>
      <c r="B25" s="16">
        <f>SUM(B19:B24)</f>
        <v>0</v>
      </c>
      <c r="C25" s="16">
        <f>SUM(C19:C24)</f>
        <v>0</v>
      </c>
      <c r="D25" s="16">
        <f>SUM(D19:D24)</f>
        <v>0</v>
      </c>
      <c r="E25" s="16">
        <f t="shared" ref="E25:F25" si="4">SUM(E19:E24)</f>
        <v>0</v>
      </c>
      <c r="F25" s="16">
        <f t="shared" si="4"/>
        <v>0</v>
      </c>
      <c r="G25" s="28">
        <f>SUM(G19:G24)</f>
        <v>0</v>
      </c>
      <c r="N25" s="13"/>
      <c r="O25" s="13"/>
    </row>
    <row r="26" spans="1:15" ht="12" thickBot="1" x14ac:dyDescent="0.25">
      <c r="A26" s="143" t="s">
        <v>131</v>
      </c>
      <c r="B26" s="144">
        <f>+B10+B18+B25</f>
        <v>0</v>
      </c>
      <c r="C26" s="144">
        <f>+C10+C18+C25</f>
        <v>0</v>
      </c>
      <c r="D26" s="144">
        <f t="shared" ref="D26:F26" si="5">+D10+D18+D25</f>
        <v>0</v>
      </c>
      <c r="E26" s="144">
        <f>+E10+E18+E25</f>
        <v>0</v>
      </c>
      <c r="F26" s="144">
        <f t="shared" si="5"/>
        <v>0</v>
      </c>
      <c r="G26" s="145">
        <f>+G10+G18+G25</f>
        <v>0</v>
      </c>
      <c r="N26" s="13"/>
      <c r="O26" s="13"/>
    </row>
    <row r="27" spans="1:15" x14ac:dyDescent="0.2">
      <c r="A27" s="17" t="s">
        <v>25</v>
      </c>
      <c r="B27" s="11"/>
      <c r="C27" s="11"/>
      <c r="D27" s="12"/>
      <c r="E27" s="12"/>
      <c r="F27" s="12"/>
      <c r="G27" s="27"/>
      <c r="N27" s="13"/>
      <c r="O27" s="13"/>
    </row>
    <row r="28" spans="1:15" x14ac:dyDescent="0.2">
      <c r="A28" s="10" t="s">
        <v>66</v>
      </c>
      <c r="B28" s="11"/>
      <c r="C28" s="11"/>
      <c r="D28" s="12"/>
      <c r="E28" s="12"/>
      <c r="F28" s="12"/>
      <c r="G28" s="27">
        <f>SUM(B28:F28)</f>
        <v>0</v>
      </c>
    </row>
    <row r="29" spans="1:15" x14ac:dyDescent="0.2">
      <c r="A29" s="10"/>
      <c r="B29" s="11"/>
      <c r="C29" s="11"/>
      <c r="D29" s="12"/>
      <c r="E29" s="12"/>
      <c r="F29" s="12"/>
      <c r="G29" s="27">
        <f>SUM(B29:F29)</f>
        <v>0</v>
      </c>
    </row>
    <row r="30" spans="1:15" ht="12" thickBot="1" x14ac:dyDescent="0.25">
      <c r="A30" s="15" t="s">
        <v>26</v>
      </c>
      <c r="B30" s="16">
        <f>SUM(B27:B29)</f>
        <v>0</v>
      </c>
      <c r="C30" s="16">
        <f>SUM(C27:C29)</f>
        <v>0</v>
      </c>
      <c r="D30" s="16">
        <f>SUM(D27:D29)</f>
        <v>0</v>
      </c>
      <c r="E30" s="16">
        <f t="shared" ref="E30:F30" si="6">SUM(E27:E29)</f>
        <v>0</v>
      </c>
      <c r="F30" s="16">
        <f t="shared" si="6"/>
        <v>0</v>
      </c>
      <c r="G30" s="28">
        <f>SUM(G27:G29)</f>
        <v>0</v>
      </c>
    </row>
    <row r="31" spans="1:15" x14ac:dyDescent="0.2">
      <c r="A31" s="17" t="s">
        <v>34</v>
      </c>
      <c r="B31" s="11"/>
      <c r="C31" s="11"/>
      <c r="D31" s="12"/>
      <c r="E31" s="12"/>
      <c r="F31" s="12"/>
      <c r="G31" s="27"/>
    </row>
    <row r="32" spans="1:15" x14ac:dyDescent="0.2">
      <c r="A32" s="10" t="s">
        <v>10</v>
      </c>
      <c r="B32" s="11"/>
      <c r="C32" s="11"/>
      <c r="D32" s="11"/>
      <c r="E32" s="11"/>
      <c r="F32" s="11"/>
      <c r="G32" s="27">
        <f>SUM(B32:F32)</f>
        <v>0</v>
      </c>
      <c r="N32" s="13"/>
      <c r="O32" s="13"/>
    </row>
    <row r="33" spans="1:15" x14ac:dyDescent="0.2">
      <c r="A33" s="10" t="s">
        <v>11</v>
      </c>
      <c r="B33" s="11"/>
      <c r="C33" s="11"/>
      <c r="D33" s="11"/>
      <c r="E33" s="11"/>
      <c r="F33" s="11"/>
      <c r="G33" s="27">
        <f>SUM(B33:F33)</f>
        <v>0</v>
      </c>
      <c r="N33" s="13"/>
      <c r="O33" s="13"/>
    </row>
    <row r="34" spans="1:15" ht="12" thickBot="1" x14ac:dyDescent="0.25">
      <c r="A34" s="15" t="s">
        <v>12</v>
      </c>
      <c r="B34" s="16">
        <f>SUM(B31:B33)</f>
        <v>0</v>
      </c>
      <c r="C34" s="16">
        <f>SUM(C31:C33)</f>
        <v>0</v>
      </c>
      <c r="D34" s="16">
        <f>SUM(D31:D33)</f>
        <v>0</v>
      </c>
      <c r="E34" s="16">
        <f t="shared" ref="E34:F34" si="7">SUM(E31:E33)</f>
        <v>0</v>
      </c>
      <c r="F34" s="16">
        <f t="shared" si="7"/>
        <v>0</v>
      </c>
      <c r="G34" s="28">
        <f>SUM(G31:G33)</f>
        <v>0</v>
      </c>
      <c r="N34" s="13"/>
      <c r="O34" s="13"/>
    </row>
    <row r="35" spans="1:15" x14ac:dyDescent="0.2">
      <c r="A35" s="17" t="s">
        <v>27</v>
      </c>
      <c r="B35" s="11"/>
      <c r="C35" s="11"/>
      <c r="D35" s="12"/>
      <c r="E35" s="12"/>
      <c r="F35" s="12"/>
      <c r="G35" s="27"/>
      <c r="N35" s="13"/>
      <c r="O35" s="13"/>
    </row>
    <row r="36" spans="1:15" x14ac:dyDescent="0.2">
      <c r="A36" s="10" t="s">
        <v>91</v>
      </c>
      <c r="B36" s="11"/>
      <c r="C36" s="11"/>
      <c r="D36" s="12"/>
      <c r="E36" s="12"/>
      <c r="F36" s="12"/>
      <c r="G36" s="27">
        <f>SUM(B36:F36)</f>
        <v>0</v>
      </c>
      <c r="N36" s="13"/>
      <c r="O36" s="13"/>
    </row>
    <row r="37" spans="1:15" x14ac:dyDescent="0.2">
      <c r="A37" s="10" t="s">
        <v>47</v>
      </c>
      <c r="B37" s="11"/>
      <c r="C37" s="11"/>
      <c r="D37" s="12"/>
      <c r="E37" s="12"/>
      <c r="F37" s="12"/>
      <c r="G37" s="27">
        <f>SUM(B37:F37)</f>
        <v>0</v>
      </c>
      <c r="N37" s="13"/>
      <c r="O37" s="13"/>
    </row>
    <row r="38" spans="1:15" x14ac:dyDescent="0.2">
      <c r="A38" s="10" t="s">
        <v>34</v>
      </c>
      <c r="B38" s="11"/>
      <c r="C38" s="11"/>
      <c r="D38" s="12"/>
      <c r="E38" s="12"/>
      <c r="F38" s="12"/>
      <c r="G38" s="27">
        <f t="shared" ref="G38:G40" si="8">SUM(B38:F38)</f>
        <v>0</v>
      </c>
    </row>
    <row r="39" spans="1:15" x14ac:dyDescent="0.2">
      <c r="A39" s="10" t="s">
        <v>48</v>
      </c>
      <c r="B39" s="11"/>
      <c r="C39" s="11"/>
      <c r="D39" s="12"/>
      <c r="E39" s="12"/>
      <c r="F39" s="12"/>
      <c r="G39" s="27">
        <f t="shared" si="8"/>
        <v>0</v>
      </c>
    </row>
    <row r="40" spans="1:15" x14ac:dyDescent="0.2">
      <c r="A40" s="10" t="s">
        <v>29</v>
      </c>
      <c r="B40" s="11"/>
      <c r="C40" s="11"/>
      <c r="D40" s="12"/>
      <c r="E40" s="12"/>
      <c r="F40" s="12"/>
      <c r="G40" s="27">
        <f t="shared" si="8"/>
        <v>0</v>
      </c>
    </row>
    <row r="41" spans="1:15" ht="12" thickBot="1" x14ac:dyDescent="0.25">
      <c r="A41" s="15" t="s">
        <v>28</v>
      </c>
      <c r="B41" s="16">
        <f>SUM(B35:B40)</f>
        <v>0</v>
      </c>
      <c r="C41" s="16">
        <f>SUM(C35:C40)</f>
        <v>0</v>
      </c>
      <c r="D41" s="16">
        <f>SUM(D35:D40)</f>
        <v>0</v>
      </c>
      <c r="E41" s="16">
        <f t="shared" ref="E41:F41" si="9">SUM(E35:E40)</f>
        <v>0</v>
      </c>
      <c r="F41" s="16">
        <f t="shared" si="9"/>
        <v>0</v>
      </c>
      <c r="G41" s="28">
        <f>SUM(G35:G40)</f>
        <v>0</v>
      </c>
    </row>
    <row r="42" spans="1:15" x14ac:dyDescent="0.2">
      <c r="A42" s="17" t="s">
        <v>13</v>
      </c>
      <c r="B42" s="11"/>
      <c r="C42" s="11"/>
      <c r="D42" s="12"/>
      <c r="E42" s="12"/>
      <c r="F42" s="12"/>
      <c r="G42" s="27"/>
    </row>
    <row r="43" spans="1:15" x14ac:dyDescent="0.2">
      <c r="A43" s="10" t="str">
        <f>+'Lead Budget'!A46</f>
        <v>Materials &amp; Supplies</v>
      </c>
      <c r="B43" s="18"/>
      <c r="C43" s="18"/>
      <c r="D43" s="18"/>
      <c r="E43" s="18"/>
      <c r="F43" s="18"/>
      <c r="G43" s="27">
        <f>SUM(B43:F43)</f>
        <v>0</v>
      </c>
    </row>
    <row r="44" spans="1:15" x14ac:dyDescent="0.2">
      <c r="A44" s="10" t="str">
        <f>+'Lead Budget'!A47</f>
        <v>Publication Costs</v>
      </c>
      <c r="B44" s="11"/>
      <c r="C44" s="11"/>
      <c r="D44" s="11"/>
      <c r="E44" s="11"/>
      <c r="F44" s="11"/>
      <c r="G44" s="27">
        <f t="shared" ref="G44:G51" si="10">SUM(B44:F44)</f>
        <v>0</v>
      </c>
    </row>
    <row r="45" spans="1:15" x14ac:dyDescent="0.2">
      <c r="A45" s="10" t="str">
        <f>+'Lead Budget'!A48</f>
        <v>Consultant Services</v>
      </c>
      <c r="B45" s="11"/>
      <c r="C45" s="11"/>
      <c r="D45" s="12"/>
      <c r="E45" s="12"/>
      <c r="F45" s="12"/>
      <c r="G45" s="27">
        <f t="shared" si="10"/>
        <v>0</v>
      </c>
    </row>
    <row r="46" spans="1:15" x14ac:dyDescent="0.2">
      <c r="A46" s="10" t="str">
        <f>+'Lead Budget'!A49</f>
        <v>ADP/Computer Services</v>
      </c>
      <c r="B46" s="11"/>
      <c r="C46" s="11"/>
      <c r="D46" s="11"/>
      <c r="E46" s="11"/>
      <c r="F46" s="11"/>
      <c r="G46" s="27">
        <f t="shared" si="10"/>
        <v>0</v>
      </c>
    </row>
    <row r="47" spans="1:15" x14ac:dyDescent="0.2">
      <c r="A47" s="10" t="str">
        <f>+'Lead Budget'!A50</f>
        <v xml:space="preserve">SubContracts </v>
      </c>
      <c r="B47" s="11"/>
      <c r="C47" s="11"/>
      <c r="D47" s="11"/>
      <c r="E47" s="11"/>
      <c r="F47" s="11"/>
      <c r="G47" s="27">
        <f t="shared" si="10"/>
        <v>0</v>
      </c>
    </row>
    <row r="48" spans="1:15" x14ac:dyDescent="0.2">
      <c r="A48" s="10" t="str">
        <f>+'Lead Budget'!A51</f>
        <v xml:space="preserve">Equipment or Facility Rental/User Fees </v>
      </c>
      <c r="B48" s="11"/>
      <c r="C48" s="11"/>
      <c r="D48" s="11"/>
      <c r="E48" s="11"/>
      <c r="F48" s="11"/>
      <c r="G48" s="27">
        <f t="shared" si="10"/>
        <v>0</v>
      </c>
    </row>
    <row r="49" spans="1:15" x14ac:dyDescent="0.2">
      <c r="A49" s="10" t="str">
        <f>+'Lead Budget'!A52</f>
        <v>Other: Tuition</v>
      </c>
      <c r="B49" s="11"/>
      <c r="C49" s="11"/>
      <c r="D49" s="11"/>
      <c r="E49" s="11"/>
      <c r="F49" s="11"/>
      <c r="G49" s="27">
        <f t="shared" si="10"/>
        <v>0</v>
      </c>
    </row>
    <row r="50" spans="1:15" x14ac:dyDescent="0.2">
      <c r="A50" s="10" t="str">
        <f>+'Lead Budget'!A53</f>
        <v>Other: Health Insurance</v>
      </c>
      <c r="B50" s="11"/>
      <c r="C50" s="11"/>
      <c r="D50" s="11"/>
      <c r="E50" s="11"/>
      <c r="F50" s="11"/>
      <c r="G50" s="27">
        <f t="shared" si="10"/>
        <v>0</v>
      </c>
    </row>
    <row r="51" spans="1:15" x14ac:dyDescent="0.2">
      <c r="A51" s="10" t="str">
        <f>+'Lead Budget'!A54</f>
        <v>Other</v>
      </c>
      <c r="B51" s="11"/>
      <c r="C51" s="11"/>
      <c r="D51" s="11"/>
      <c r="E51" s="11"/>
      <c r="F51" s="11"/>
      <c r="G51" s="27">
        <f t="shared" si="10"/>
        <v>0</v>
      </c>
    </row>
    <row r="52" spans="1:15" ht="12" thickBot="1" x14ac:dyDescent="0.25">
      <c r="A52" s="15" t="s">
        <v>94</v>
      </c>
      <c r="B52" s="16">
        <f t="shared" ref="B52:G52" si="11">SUM(B42:B51)</f>
        <v>0</v>
      </c>
      <c r="C52" s="16">
        <f t="shared" si="11"/>
        <v>0</v>
      </c>
      <c r="D52" s="16">
        <f t="shared" si="11"/>
        <v>0</v>
      </c>
      <c r="E52" s="16">
        <f t="shared" si="11"/>
        <v>0</v>
      </c>
      <c r="F52" s="16">
        <f t="shared" si="11"/>
        <v>0</v>
      </c>
      <c r="G52" s="28">
        <f t="shared" si="11"/>
        <v>0</v>
      </c>
      <c r="K52" s="2"/>
      <c r="N52" s="13"/>
      <c r="O52" s="13"/>
    </row>
    <row r="53" spans="1:15" ht="12" thickBot="1" x14ac:dyDescent="0.25">
      <c r="A53" s="107" t="s">
        <v>16</v>
      </c>
      <c r="B53" s="105">
        <f>SUM(+B10+B18+B25+B30+B34+B41+B52)</f>
        <v>0</v>
      </c>
      <c r="C53" s="105">
        <f>SUM(+C10+C18+C25+C30+C34+C41+C52)</f>
        <v>0</v>
      </c>
      <c r="D53" s="105">
        <f>SUM(+D10+D18+D25+D30+D34+D41+D52)</f>
        <v>0</v>
      </c>
      <c r="E53" s="105">
        <f>SUM(+E10+E18+E25+E30+E34+E41+E52)</f>
        <v>0</v>
      </c>
      <c r="F53" s="105">
        <f t="shared" ref="F53" si="12">SUM(+F10+F18+F25+F30+F34+F41+F52)</f>
        <v>0</v>
      </c>
      <c r="G53" s="106">
        <f>SUM(+G10+G18+G25+G30+G34+G41+G52)</f>
        <v>0</v>
      </c>
      <c r="N53" s="13"/>
      <c r="O53" s="13"/>
    </row>
    <row r="54" spans="1:15" ht="12" thickBot="1" x14ac:dyDescent="0.25">
      <c r="A54" s="632" t="s">
        <v>289</v>
      </c>
      <c r="B54" s="631"/>
      <c r="C54" s="631"/>
      <c r="D54" s="631"/>
      <c r="E54" s="631"/>
      <c r="F54" s="631"/>
      <c r="G54" s="633">
        <f>SUM(B54:F54)</f>
        <v>0</v>
      </c>
      <c r="N54" s="13"/>
      <c r="O54" s="13"/>
    </row>
    <row r="55" spans="1:15" ht="12" thickBot="1" x14ac:dyDescent="0.25">
      <c r="A55" s="7" t="s">
        <v>290</v>
      </c>
      <c r="B55" s="105">
        <f>+B53-B54</f>
        <v>0</v>
      </c>
      <c r="C55" s="105">
        <f>+C53-C54</f>
        <v>0</v>
      </c>
      <c r="D55" s="105">
        <f t="shared" ref="D55:F55" si="13">+D53-D54</f>
        <v>0</v>
      </c>
      <c r="E55" s="105">
        <f t="shared" si="13"/>
        <v>0</v>
      </c>
      <c r="F55" s="105">
        <f t="shared" si="13"/>
        <v>0</v>
      </c>
      <c r="G55" s="106">
        <f>SUM(B55:F55)</f>
        <v>0</v>
      </c>
      <c r="N55" s="13"/>
      <c r="O55" s="13"/>
    </row>
    <row r="56" spans="1:15" ht="12" thickBot="1" x14ac:dyDescent="0.25">
      <c r="A56" s="7" t="s">
        <v>18</v>
      </c>
      <c r="B56" s="21">
        <f>ROUND(B55*$B$59,0)</f>
        <v>0</v>
      </c>
      <c r="C56" s="21">
        <f t="shared" ref="C56:F56" si="14">ROUND(C55*$B$59,0)</f>
        <v>0</v>
      </c>
      <c r="D56" s="21">
        <f t="shared" si="14"/>
        <v>0</v>
      </c>
      <c r="E56" s="21">
        <f t="shared" si="14"/>
        <v>0</v>
      </c>
      <c r="F56" s="21">
        <f t="shared" si="14"/>
        <v>0</v>
      </c>
      <c r="G56" s="106">
        <f>SUM(B56:F56)</f>
        <v>0</v>
      </c>
      <c r="N56" s="13"/>
      <c r="O56" s="13"/>
    </row>
    <row r="57" spans="1:15" ht="12" thickBot="1" x14ac:dyDescent="0.25">
      <c r="A57" s="19" t="s">
        <v>19</v>
      </c>
      <c r="B57" s="98">
        <f>+B53+B56</f>
        <v>0</v>
      </c>
      <c r="C57" s="98">
        <f t="shared" ref="C57:F57" si="15">+C53+C56</f>
        <v>0</v>
      </c>
      <c r="D57" s="98">
        <f t="shared" si="15"/>
        <v>0</v>
      </c>
      <c r="E57" s="98">
        <f t="shared" si="15"/>
        <v>0</v>
      </c>
      <c r="F57" s="98">
        <f t="shared" si="15"/>
        <v>0</v>
      </c>
      <c r="G57" s="20">
        <f>SUM(B57:F57)</f>
        <v>0</v>
      </c>
      <c r="L57" s="12"/>
      <c r="N57" s="13"/>
      <c r="O57" s="13"/>
    </row>
    <row r="58" spans="1:15" x14ac:dyDescent="0.2">
      <c r="A58" s="22"/>
      <c r="B58" s="12"/>
      <c r="C58" s="12"/>
      <c r="D58" s="12"/>
      <c r="E58" s="12"/>
      <c r="F58" s="12"/>
      <c r="L58" s="12"/>
      <c r="N58" s="13"/>
      <c r="O58" s="13"/>
    </row>
    <row r="59" spans="1:15" x14ac:dyDescent="0.2">
      <c r="A59" s="650" t="s">
        <v>317</v>
      </c>
      <c r="B59" s="630">
        <v>0.42857000000000001</v>
      </c>
      <c r="C59" s="3" t="str">
        <f ca="1">CONCATENATE("Indirect Cost Rate for ",""&amp;MID('rates, dates, etc'!AH11,FIND("]",'rates, dates, etc'!AH11)+1,25))</f>
        <v>Indirect Cost Rate for Consortium 3</v>
      </c>
      <c r="D59" s="39"/>
      <c r="G59" s="39"/>
      <c r="I59" s="39"/>
      <c r="J59" s="12"/>
      <c r="K59" s="39"/>
      <c r="L59" s="39"/>
      <c r="M59" s="39"/>
      <c r="N59" s="13"/>
      <c r="O59" s="13"/>
    </row>
    <row r="60" spans="1:15" x14ac:dyDescent="0.2">
      <c r="A60" s="22"/>
      <c r="B60" s="39"/>
      <c r="C60" s="39"/>
      <c r="D60" s="39"/>
      <c r="E60" s="39"/>
      <c r="F60" s="39"/>
      <c r="G60" s="39"/>
      <c r="I60" s="39"/>
      <c r="J60" s="12"/>
      <c r="K60" s="39"/>
      <c r="L60" s="39"/>
      <c r="M60" s="39"/>
      <c r="N60" s="13"/>
      <c r="O60" s="13"/>
    </row>
    <row r="61" spans="1:15" ht="12" thickBot="1" x14ac:dyDescent="0.25">
      <c r="A61" s="32"/>
      <c r="B61" s="33"/>
      <c r="C61" s="33"/>
      <c r="D61" s="33"/>
      <c r="E61" s="33"/>
      <c r="F61" s="33"/>
      <c r="G61" s="33"/>
      <c r="H61" s="34"/>
      <c r="I61" s="34"/>
      <c r="J61" s="34"/>
      <c r="K61" s="12"/>
    </row>
    <row r="63" spans="1:15" x14ac:dyDescent="0.2">
      <c r="A63" s="2" t="s">
        <v>42</v>
      </c>
      <c r="B63" s="40">
        <f>IF(B57&lt;25000,B57,25000)</f>
        <v>0</v>
      </c>
      <c r="C63" s="40">
        <f>IF(+B57&gt;25000,0,IF(B57+C57&gt;25000,(25000-B57),C57))</f>
        <v>0</v>
      </c>
      <c r="D63" s="40">
        <f>IF(+B57+C57&gt;25000,0,IF(B57+C57+D57&gt;25000,(25000-(B57+C57)),D57))</f>
        <v>0</v>
      </c>
      <c r="E63" s="40">
        <f>IF(B57+C57+D57&gt;25000,0,IF(B57+C57+D57+E57&gt;25000,(25000-(B57+C57+D57)),E57))</f>
        <v>0</v>
      </c>
      <c r="F63" s="40">
        <f>IF(B57+C57+D57+E57&gt;25000,0,IF(B57+C57+D57+E57+F57&gt;25000,(25000-(B57+C57+D57+E57)),F57))</f>
        <v>0</v>
      </c>
      <c r="G63" s="11">
        <f>SUM(B63:F63)</f>
        <v>0</v>
      </c>
      <c r="H63" s="11"/>
      <c r="I63" s="2"/>
    </row>
    <row r="64" spans="1:15" x14ac:dyDescent="0.2">
      <c r="A64" s="2" t="s">
        <v>43</v>
      </c>
      <c r="B64" s="40">
        <f>+B57-B63</f>
        <v>0</v>
      </c>
      <c r="C64" s="40">
        <f>+C57-C63</f>
        <v>0</v>
      </c>
      <c r="D64" s="40">
        <f>+D57-D63</f>
        <v>0</v>
      </c>
      <c r="E64" s="40">
        <f>+E57-E63</f>
        <v>0</v>
      </c>
      <c r="F64" s="40">
        <f>+F57-F63</f>
        <v>0</v>
      </c>
      <c r="G64" s="11">
        <f t="shared" ref="G64:G66" si="16">SUM(B64:F64)</f>
        <v>0</v>
      </c>
      <c r="H64" s="11"/>
      <c r="I64" s="2"/>
    </row>
    <row r="65" spans="2:7" x14ac:dyDescent="0.2">
      <c r="C65" s="13"/>
      <c r="G65" s="11"/>
    </row>
    <row r="66" spans="2:7" x14ac:dyDescent="0.2">
      <c r="B66" s="13">
        <f>SUM(B63:B64)</f>
        <v>0</v>
      </c>
      <c r="C66" s="13">
        <f>SUM(C63:C64)</f>
        <v>0</v>
      </c>
      <c r="D66" s="13">
        <f t="shared" ref="D66:F66" si="17">SUM(D63:D64)</f>
        <v>0</v>
      </c>
      <c r="E66" s="13">
        <f t="shared" si="17"/>
        <v>0</v>
      </c>
      <c r="F66" s="13">
        <f t="shared" si="17"/>
        <v>0</v>
      </c>
      <c r="G66" s="11">
        <f t="shared" si="16"/>
        <v>0</v>
      </c>
    </row>
  </sheetData>
  <pageMargins left="0.75" right="0.53" top="0.7" bottom="0.64" header="0.5" footer="0.5"/>
  <pageSetup scale="96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7">
    <pageSetUpPr fitToPage="1"/>
  </sheetPr>
  <dimension ref="A1:O66"/>
  <sheetViews>
    <sheetView zoomScale="130" zoomScaleNormal="130" workbookViewId="0">
      <selection activeCell="A8" sqref="A8"/>
    </sheetView>
  </sheetViews>
  <sheetFormatPr defaultColWidth="9.28515625" defaultRowHeight="11.25" x14ac:dyDescent="0.2"/>
  <cols>
    <col min="1" max="1" width="33.42578125" style="2" customWidth="1"/>
    <col min="2" max="6" width="8.42578125" style="2" customWidth="1"/>
    <col min="7" max="7" width="9.5703125" style="3" bestFit="1" customWidth="1"/>
    <col min="8" max="8" width="9.7109375" style="3" customWidth="1"/>
    <col min="9" max="9" width="18.5703125" style="3" bestFit="1" customWidth="1"/>
    <col min="10" max="10" width="6.7109375" style="3" bestFit="1" customWidth="1"/>
    <col min="11" max="11" width="9.7109375" style="3" customWidth="1"/>
    <col min="12" max="13" width="9.7109375" style="2" customWidth="1"/>
    <col min="14" max="16384" width="9.28515625" style="2"/>
  </cols>
  <sheetData>
    <row r="1" spans="1:14" ht="12.75" x14ac:dyDescent="0.2">
      <c r="A1" s="1" t="str">
        <f>+'Lead Budget'!A1</f>
        <v>Assessing the Potential for Demand Response to Manage Generation Shortfalls in a Zero-Carbon Electricity Grid”</v>
      </c>
    </row>
    <row r="2" spans="1:14" ht="12.75" x14ac:dyDescent="0.2">
      <c r="A2" s="1" t="str">
        <f>+'Lead Budget'!A2</f>
        <v>USDA</v>
      </c>
    </row>
    <row r="3" spans="1:14" ht="12.75" customHeight="1" thickBot="1" x14ac:dyDescent="0.25"/>
    <row r="4" spans="1:14" x14ac:dyDescent="0.2">
      <c r="A4" s="4"/>
      <c r="B4" s="5" t="s">
        <v>1</v>
      </c>
      <c r="C4" s="5" t="s">
        <v>2</v>
      </c>
      <c r="D4" s="5" t="s">
        <v>3</v>
      </c>
      <c r="E4" s="5" t="s">
        <v>44</v>
      </c>
      <c r="F4" s="5" t="s">
        <v>50</v>
      </c>
      <c r="G4" s="23"/>
    </row>
    <row r="5" spans="1:14" ht="12" thickBot="1" x14ac:dyDescent="0.25">
      <c r="A5" s="4" t="str">
        <f ca="1">""&amp;MID('rates, dates, etc'!AH12,FIND("]",'rates, dates, etc'!AH12)+1,25)</f>
        <v>Consortium 4</v>
      </c>
      <c r="B5" s="6">
        <f>+'Lead Budget'!B5</f>
        <v>44927</v>
      </c>
      <c r="C5" s="6">
        <f>+'Lead Budget'!C5</f>
        <v>45292</v>
      </c>
      <c r="D5" s="6">
        <f>+'Lead Budget'!D5</f>
        <v>45658</v>
      </c>
      <c r="E5" s="6">
        <f>+'Lead Budget'!E5</f>
        <v>46023</v>
      </c>
      <c r="F5" s="6">
        <f>+'Lead Budget'!F5</f>
        <v>46388</v>
      </c>
      <c r="G5" s="24"/>
    </row>
    <row r="6" spans="1:14" ht="12" thickBot="1" x14ac:dyDescent="0.25">
      <c r="A6" s="7" t="s">
        <v>4</v>
      </c>
      <c r="B6" s="46">
        <f>+'Lead Budget'!B6</f>
        <v>45291</v>
      </c>
      <c r="C6" s="8">
        <f>+'Lead Budget'!C6</f>
        <v>45657</v>
      </c>
      <c r="D6" s="8">
        <f>+'Lead Budget'!D6</f>
        <v>46022</v>
      </c>
      <c r="E6" s="8">
        <f>+'Lead Budget'!E6</f>
        <v>46387</v>
      </c>
      <c r="F6" s="8">
        <f>+'Lead Budget'!F6</f>
        <v>46752</v>
      </c>
      <c r="G6" s="25" t="s">
        <v>5</v>
      </c>
    </row>
    <row r="7" spans="1:14" x14ac:dyDescent="0.2">
      <c r="A7" s="9" t="s">
        <v>136</v>
      </c>
      <c r="B7" s="11"/>
      <c r="C7" s="11"/>
      <c r="D7" s="12"/>
      <c r="E7" s="12"/>
      <c r="F7" s="12"/>
      <c r="G7" s="27" t="s">
        <v>6</v>
      </c>
    </row>
    <row r="8" spans="1:14" x14ac:dyDescent="0.2">
      <c r="A8" s="10" t="s">
        <v>78</v>
      </c>
      <c r="B8" s="11"/>
      <c r="C8" s="11"/>
      <c r="D8" s="11"/>
      <c r="E8" s="11"/>
      <c r="F8" s="11"/>
      <c r="G8" s="27">
        <f>SUM(B8:F8)</f>
        <v>0</v>
      </c>
      <c r="N8" s="13"/>
    </row>
    <row r="9" spans="1:14" x14ac:dyDescent="0.2">
      <c r="A9" s="10" t="s">
        <v>61</v>
      </c>
      <c r="B9" s="11"/>
      <c r="C9" s="11"/>
      <c r="D9" s="11"/>
      <c r="E9" s="11"/>
      <c r="F9" s="11"/>
      <c r="G9" s="27">
        <f>SUM(B9:F9)</f>
        <v>0</v>
      </c>
    </row>
    <row r="10" spans="1:14" ht="12" thickBot="1" x14ac:dyDescent="0.25">
      <c r="A10" s="15" t="str">
        <f>CONCATENATE("Total ",A7)</f>
        <v>Total Senior Personnel Salary</v>
      </c>
      <c r="B10" s="16">
        <f>SUM(B7:B9)</f>
        <v>0</v>
      </c>
      <c r="C10" s="16">
        <f t="shared" ref="C10:F10" si="0">SUM(C7:C9)</f>
        <v>0</v>
      </c>
      <c r="D10" s="16">
        <f t="shared" si="0"/>
        <v>0</v>
      </c>
      <c r="E10" s="16">
        <f t="shared" si="0"/>
        <v>0</v>
      </c>
      <c r="F10" s="16">
        <f t="shared" si="0"/>
        <v>0</v>
      </c>
      <c r="G10" s="28">
        <f>SUM(G7:G9)</f>
        <v>0</v>
      </c>
    </row>
    <row r="11" spans="1:14" x14ac:dyDescent="0.2">
      <c r="A11" s="14" t="s">
        <v>137</v>
      </c>
      <c r="B11" s="11"/>
      <c r="C11" s="11"/>
      <c r="D11" s="12"/>
      <c r="E11" s="12"/>
      <c r="F11" s="12"/>
      <c r="G11" s="27"/>
    </row>
    <row r="12" spans="1:14" x14ac:dyDescent="0.2">
      <c r="A12" s="10" t="s">
        <v>88</v>
      </c>
      <c r="B12" s="11"/>
      <c r="C12" s="11"/>
      <c r="D12" s="12"/>
      <c r="E12" s="12"/>
      <c r="F12" s="12"/>
      <c r="G12" s="27">
        <f t="shared" ref="G12" si="1">SUM(B12:F12)</f>
        <v>0</v>
      </c>
    </row>
    <row r="13" spans="1:14" x14ac:dyDescent="0.2">
      <c r="A13" s="10" t="s">
        <v>85</v>
      </c>
      <c r="B13" s="11"/>
      <c r="C13" s="11"/>
      <c r="D13" s="12"/>
      <c r="E13" s="12"/>
      <c r="F13" s="12"/>
      <c r="G13" s="27">
        <f>SUM(B13:F13)</f>
        <v>0</v>
      </c>
    </row>
    <row r="14" spans="1:14" x14ac:dyDescent="0.2">
      <c r="A14" s="10" t="s">
        <v>89</v>
      </c>
      <c r="B14" s="11"/>
      <c r="C14" s="11"/>
      <c r="D14" s="11"/>
      <c r="E14" s="11"/>
      <c r="F14" s="11"/>
      <c r="G14" s="27">
        <f>SUM(B14:F14)</f>
        <v>0</v>
      </c>
    </row>
    <row r="15" spans="1:14" x14ac:dyDescent="0.2">
      <c r="A15" s="10" t="s">
        <v>90</v>
      </c>
      <c r="B15" s="11"/>
      <c r="C15" s="11"/>
      <c r="D15" s="11"/>
      <c r="E15" s="11"/>
      <c r="F15" s="11"/>
      <c r="G15" s="27">
        <f>SUM(B15:F15)</f>
        <v>0</v>
      </c>
    </row>
    <row r="16" spans="1:14" x14ac:dyDescent="0.2">
      <c r="A16" s="10" t="s">
        <v>29</v>
      </c>
      <c r="B16" s="11"/>
      <c r="C16" s="11"/>
      <c r="D16" s="12"/>
      <c r="E16" s="12"/>
      <c r="F16" s="12"/>
      <c r="G16" s="27">
        <f>SUM(B16:F16)</f>
        <v>0</v>
      </c>
    </row>
    <row r="17" spans="1:15" x14ac:dyDescent="0.2">
      <c r="A17" s="10"/>
      <c r="B17" s="11"/>
      <c r="C17" s="11"/>
      <c r="D17" s="12"/>
      <c r="E17" s="12"/>
      <c r="F17" s="12"/>
      <c r="G17" s="27">
        <f>SUM(B17:F17)</f>
        <v>0</v>
      </c>
      <c r="N17" s="13"/>
      <c r="O17" s="13"/>
    </row>
    <row r="18" spans="1:15" ht="12" thickBot="1" x14ac:dyDescent="0.25">
      <c r="A18" s="15" t="str">
        <f>CONCATENATE("Total ",A11)</f>
        <v>Total Other Personnel Salary</v>
      </c>
      <c r="B18" s="16">
        <f>SUM(B11:B17)</f>
        <v>0</v>
      </c>
      <c r="C18" s="16">
        <f t="shared" ref="C18:F18" si="2">SUM(C11:C17)</f>
        <v>0</v>
      </c>
      <c r="D18" s="16">
        <f>SUM(D11:D17)</f>
        <v>0</v>
      </c>
      <c r="E18" s="16">
        <f>SUM(E11:E17)</f>
        <v>0</v>
      </c>
      <c r="F18" s="16">
        <f t="shared" si="2"/>
        <v>0</v>
      </c>
      <c r="G18" s="28">
        <f>SUM(G11:G17)</f>
        <v>0</v>
      </c>
    </row>
    <row r="19" spans="1:15" x14ac:dyDescent="0.2">
      <c r="A19" s="17" t="s">
        <v>7</v>
      </c>
      <c r="B19" s="11" t="s">
        <v>6</v>
      </c>
      <c r="C19" s="11"/>
      <c r="D19" s="12"/>
      <c r="E19" s="12"/>
      <c r="F19" s="12"/>
      <c r="G19" s="27"/>
    </row>
    <row r="20" spans="1:15" x14ac:dyDescent="0.2">
      <c r="A20" s="10" t="str">
        <f>+A8</f>
        <v>PI</v>
      </c>
      <c r="B20" s="11"/>
      <c r="C20" s="11"/>
      <c r="D20" s="11"/>
      <c r="E20" s="11"/>
      <c r="F20" s="11"/>
      <c r="G20" s="27">
        <f>SUM(B20:F20)</f>
        <v>0</v>
      </c>
    </row>
    <row r="21" spans="1:15" x14ac:dyDescent="0.2">
      <c r="A21" s="10" t="str">
        <f>+A9</f>
        <v>Co-PI</v>
      </c>
      <c r="B21" s="11"/>
      <c r="C21" s="11"/>
      <c r="D21" s="11"/>
      <c r="E21" s="11"/>
      <c r="F21" s="11"/>
      <c r="G21" s="27">
        <f t="shared" ref="G21:G24" si="3">SUM(B21:F21)</f>
        <v>0</v>
      </c>
    </row>
    <row r="22" spans="1:15" x14ac:dyDescent="0.2">
      <c r="A22" s="10" t="s">
        <v>88</v>
      </c>
      <c r="B22" s="11"/>
      <c r="C22" s="11"/>
      <c r="D22" s="11"/>
      <c r="E22" s="11"/>
      <c r="F22" s="11"/>
      <c r="G22" s="27">
        <f t="shared" si="3"/>
        <v>0</v>
      </c>
    </row>
    <row r="23" spans="1:15" x14ac:dyDescent="0.2">
      <c r="A23" s="10" t="s">
        <v>90</v>
      </c>
      <c r="B23" s="11"/>
      <c r="C23" s="11"/>
      <c r="D23" s="11"/>
      <c r="E23" s="11"/>
      <c r="F23" s="11"/>
      <c r="G23" s="27">
        <f t="shared" si="3"/>
        <v>0</v>
      </c>
      <c r="N23" s="13"/>
      <c r="O23" s="13"/>
    </row>
    <row r="24" spans="1:15" x14ac:dyDescent="0.2">
      <c r="A24" s="10" t="s">
        <v>29</v>
      </c>
      <c r="B24" s="11"/>
      <c r="C24" s="11"/>
      <c r="D24" s="11"/>
      <c r="E24" s="11"/>
      <c r="F24" s="11"/>
      <c r="G24" s="27">
        <f t="shared" si="3"/>
        <v>0</v>
      </c>
      <c r="N24" s="13"/>
      <c r="O24" s="13"/>
    </row>
    <row r="25" spans="1:15" ht="12" thickBot="1" x14ac:dyDescent="0.25">
      <c r="A25" s="15" t="s">
        <v>93</v>
      </c>
      <c r="B25" s="16">
        <f>SUM(B19:B24)</f>
        <v>0</v>
      </c>
      <c r="C25" s="16">
        <f>SUM(C19:C24)</f>
        <v>0</v>
      </c>
      <c r="D25" s="16">
        <f>SUM(D19:D24)</f>
        <v>0</v>
      </c>
      <c r="E25" s="16">
        <f t="shared" ref="E25:F25" si="4">SUM(E19:E24)</f>
        <v>0</v>
      </c>
      <c r="F25" s="16">
        <f t="shared" si="4"/>
        <v>0</v>
      </c>
      <c r="G25" s="28">
        <f>SUM(G19:G24)</f>
        <v>0</v>
      </c>
      <c r="N25" s="13"/>
      <c r="O25" s="13"/>
    </row>
    <row r="26" spans="1:15" ht="12" thickBot="1" x14ac:dyDescent="0.25">
      <c r="A26" s="143" t="s">
        <v>131</v>
      </c>
      <c r="B26" s="144">
        <f>+B10+B18+B25</f>
        <v>0</v>
      </c>
      <c r="C26" s="144">
        <f>+C10+C18+C25</f>
        <v>0</v>
      </c>
      <c r="D26" s="144">
        <f t="shared" ref="D26:F26" si="5">+D10+D18+D25</f>
        <v>0</v>
      </c>
      <c r="E26" s="144">
        <f t="shared" si="5"/>
        <v>0</v>
      </c>
      <c r="F26" s="144">
        <f t="shared" si="5"/>
        <v>0</v>
      </c>
      <c r="G26" s="145">
        <f>+G10+G18+G25</f>
        <v>0</v>
      </c>
      <c r="N26" s="13"/>
      <c r="O26" s="13"/>
    </row>
    <row r="27" spans="1:15" x14ac:dyDescent="0.2">
      <c r="A27" s="17" t="s">
        <v>25</v>
      </c>
      <c r="B27" s="11"/>
      <c r="C27" s="11"/>
      <c r="D27" s="12"/>
      <c r="E27" s="12"/>
      <c r="F27" s="12"/>
      <c r="G27" s="27"/>
      <c r="N27" s="13"/>
      <c r="O27" s="13"/>
    </row>
    <row r="28" spans="1:15" x14ac:dyDescent="0.2">
      <c r="A28" s="10" t="s">
        <v>66</v>
      </c>
      <c r="B28" s="11"/>
      <c r="C28" s="11"/>
      <c r="D28" s="12"/>
      <c r="E28" s="12"/>
      <c r="F28" s="12"/>
      <c r="G28" s="27">
        <f>SUM(B28:F28)</f>
        <v>0</v>
      </c>
    </row>
    <row r="29" spans="1:15" x14ac:dyDescent="0.2">
      <c r="A29" s="10"/>
      <c r="B29" s="11"/>
      <c r="C29" s="11"/>
      <c r="D29" s="12"/>
      <c r="E29" s="12"/>
      <c r="F29" s="12"/>
      <c r="G29" s="27">
        <f>SUM(B29:F29)</f>
        <v>0</v>
      </c>
    </row>
    <row r="30" spans="1:15" ht="12" thickBot="1" x14ac:dyDescent="0.25">
      <c r="A30" s="15" t="s">
        <v>26</v>
      </c>
      <c r="B30" s="16">
        <f>SUM(B27:B29)</f>
        <v>0</v>
      </c>
      <c r="C30" s="16">
        <f>SUM(C27:C29)</f>
        <v>0</v>
      </c>
      <c r="D30" s="16">
        <f>SUM(D27:D29)</f>
        <v>0</v>
      </c>
      <c r="E30" s="16">
        <f t="shared" ref="E30:F30" si="6">SUM(E27:E29)</f>
        <v>0</v>
      </c>
      <c r="F30" s="16">
        <f t="shared" si="6"/>
        <v>0</v>
      </c>
      <c r="G30" s="28">
        <f>SUM(G27:G29)</f>
        <v>0</v>
      </c>
    </row>
    <row r="31" spans="1:15" x14ac:dyDescent="0.2">
      <c r="A31" s="17" t="s">
        <v>34</v>
      </c>
      <c r="B31" s="11"/>
      <c r="C31" s="11"/>
      <c r="D31" s="12"/>
      <c r="E31" s="12"/>
      <c r="F31" s="12"/>
      <c r="G31" s="27"/>
    </row>
    <row r="32" spans="1:15" x14ac:dyDescent="0.2">
      <c r="A32" s="10" t="s">
        <v>10</v>
      </c>
      <c r="B32" s="11"/>
      <c r="C32" s="11"/>
      <c r="D32" s="11"/>
      <c r="E32" s="11"/>
      <c r="F32" s="11"/>
      <c r="G32" s="27">
        <f>SUM(B32:F32)</f>
        <v>0</v>
      </c>
      <c r="N32" s="13"/>
      <c r="O32" s="13"/>
    </row>
    <row r="33" spans="1:15" x14ac:dyDescent="0.2">
      <c r="A33" s="10" t="s">
        <v>11</v>
      </c>
      <c r="B33" s="11"/>
      <c r="C33" s="11"/>
      <c r="D33" s="11"/>
      <c r="E33" s="11"/>
      <c r="F33" s="11"/>
      <c r="G33" s="27">
        <f>SUM(B33:F33)</f>
        <v>0</v>
      </c>
      <c r="N33" s="13"/>
      <c r="O33" s="13"/>
    </row>
    <row r="34" spans="1:15" ht="12" thickBot="1" x14ac:dyDescent="0.25">
      <c r="A34" s="15" t="s">
        <v>12</v>
      </c>
      <c r="B34" s="16">
        <f>SUM(B31:B33)</f>
        <v>0</v>
      </c>
      <c r="C34" s="16">
        <f>SUM(C31:C33)</f>
        <v>0</v>
      </c>
      <c r="D34" s="16">
        <f>SUM(D31:D33)</f>
        <v>0</v>
      </c>
      <c r="E34" s="16">
        <f t="shared" ref="E34:F34" si="7">SUM(E31:E33)</f>
        <v>0</v>
      </c>
      <c r="F34" s="16">
        <f t="shared" si="7"/>
        <v>0</v>
      </c>
      <c r="G34" s="28">
        <f>SUM(G31:G33)</f>
        <v>0</v>
      </c>
      <c r="N34" s="13"/>
      <c r="O34" s="13"/>
    </row>
    <row r="35" spans="1:15" x14ac:dyDescent="0.2">
      <c r="A35" s="17" t="s">
        <v>27</v>
      </c>
      <c r="B35" s="11"/>
      <c r="C35" s="11"/>
      <c r="D35" s="12"/>
      <c r="E35" s="12"/>
      <c r="F35" s="12"/>
      <c r="G35" s="27"/>
      <c r="N35" s="13"/>
      <c r="O35" s="13"/>
    </row>
    <row r="36" spans="1:15" x14ac:dyDescent="0.2">
      <c r="A36" s="10" t="s">
        <v>91</v>
      </c>
      <c r="B36" s="11"/>
      <c r="C36" s="11"/>
      <c r="D36" s="12"/>
      <c r="E36" s="12"/>
      <c r="F36" s="12"/>
      <c r="G36" s="27">
        <f>SUM(B36:F36)</f>
        <v>0</v>
      </c>
      <c r="N36" s="13"/>
      <c r="O36" s="13"/>
    </row>
    <row r="37" spans="1:15" x14ac:dyDescent="0.2">
      <c r="A37" s="10" t="s">
        <v>47</v>
      </c>
      <c r="B37" s="11"/>
      <c r="C37" s="11"/>
      <c r="D37" s="12"/>
      <c r="E37" s="12"/>
      <c r="F37" s="12"/>
      <c r="G37" s="27">
        <f>SUM(B37:F37)</f>
        <v>0</v>
      </c>
      <c r="N37" s="13"/>
      <c r="O37" s="13"/>
    </row>
    <row r="38" spans="1:15" x14ac:dyDescent="0.2">
      <c r="A38" s="10" t="s">
        <v>34</v>
      </c>
      <c r="B38" s="11"/>
      <c r="C38" s="11"/>
      <c r="D38" s="12"/>
      <c r="E38" s="12"/>
      <c r="F38" s="12"/>
      <c r="G38" s="27">
        <f t="shared" ref="G38:G40" si="8">SUM(B38:F38)</f>
        <v>0</v>
      </c>
    </row>
    <row r="39" spans="1:15" x14ac:dyDescent="0.2">
      <c r="A39" s="10" t="s">
        <v>48</v>
      </c>
      <c r="B39" s="11"/>
      <c r="C39" s="11"/>
      <c r="D39" s="12"/>
      <c r="E39" s="12"/>
      <c r="F39" s="12"/>
      <c r="G39" s="27">
        <f t="shared" si="8"/>
        <v>0</v>
      </c>
    </row>
    <row r="40" spans="1:15" x14ac:dyDescent="0.2">
      <c r="A40" s="10" t="s">
        <v>29</v>
      </c>
      <c r="B40" s="11"/>
      <c r="C40" s="11"/>
      <c r="D40" s="12"/>
      <c r="E40" s="12"/>
      <c r="F40" s="12"/>
      <c r="G40" s="27">
        <f t="shared" si="8"/>
        <v>0</v>
      </c>
    </row>
    <row r="41" spans="1:15" ht="12" thickBot="1" x14ac:dyDescent="0.25">
      <c r="A41" s="15" t="s">
        <v>28</v>
      </c>
      <c r="B41" s="16">
        <f>SUM(B35:B40)</f>
        <v>0</v>
      </c>
      <c r="C41" s="16">
        <f>SUM(C35:C40)</f>
        <v>0</v>
      </c>
      <c r="D41" s="16">
        <f>SUM(D35:D40)</f>
        <v>0</v>
      </c>
      <c r="E41" s="16">
        <f t="shared" ref="E41:F41" si="9">SUM(E35:E40)</f>
        <v>0</v>
      </c>
      <c r="F41" s="16">
        <f t="shared" si="9"/>
        <v>0</v>
      </c>
      <c r="G41" s="28">
        <f>SUM(G35:G40)</f>
        <v>0</v>
      </c>
    </row>
    <row r="42" spans="1:15" x14ac:dyDescent="0.2">
      <c r="A42" s="17" t="s">
        <v>13</v>
      </c>
      <c r="B42" s="11"/>
      <c r="C42" s="11"/>
      <c r="D42" s="12"/>
      <c r="E42" s="12"/>
      <c r="F42" s="12"/>
      <c r="G42" s="27"/>
    </row>
    <row r="43" spans="1:15" x14ac:dyDescent="0.2">
      <c r="A43" s="10" t="str">
        <f>+'Lead Budget'!A46</f>
        <v>Materials &amp; Supplies</v>
      </c>
      <c r="B43" s="18"/>
      <c r="C43" s="18"/>
      <c r="D43" s="18"/>
      <c r="E43" s="18"/>
      <c r="F43" s="18"/>
      <c r="G43" s="27">
        <f>SUM(B43:F43)</f>
        <v>0</v>
      </c>
    </row>
    <row r="44" spans="1:15" x14ac:dyDescent="0.2">
      <c r="A44" s="10" t="str">
        <f>+'Lead Budget'!A47</f>
        <v>Publication Costs</v>
      </c>
      <c r="B44" s="11"/>
      <c r="C44" s="11"/>
      <c r="D44" s="11"/>
      <c r="E44" s="11"/>
      <c r="F44" s="11"/>
      <c r="G44" s="27">
        <f t="shared" ref="G44:G51" si="10">SUM(B44:F44)</f>
        <v>0</v>
      </c>
    </row>
    <row r="45" spans="1:15" x14ac:dyDescent="0.2">
      <c r="A45" s="10" t="str">
        <f>+'Lead Budget'!A48</f>
        <v>Consultant Services</v>
      </c>
      <c r="B45" s="11"/>
      <c r="C45" s="11"/>
      <c r="D45" s="12"/>
      <c r="E45" s="12"/>
      <c r="F45" s="12"/>
      <c r="G45" s="27">
        <f t="shared" si="10"/>
        <v>0</v>
      </c>
    </row>
    <row r="46" spans="1:15" x14ac:dyDescent="0.2">
      <c r="A46" s="10" t="str">
        <f>+'Lead Budget'!A49</f>
        <v>ADP/Computer Services</v>
      </c>
      <c r="B46" s="11"/>
      <c r="C46" s="11"/>
      <c r="D46" s="11"/>
      <c r="E46" s="11"/>
      <c r="F46" s="11"/>
      <c r="G46" s="27">
        <f t="shared" si="10"/>
        <v>0</v>
      </c>
    </row>
    <row r="47" spans="1:15" x14ac:dyDescent="0.2">
      <c r="A47" s="10" t="str">
        <f>+'Lead Budget'!A50</f>
        <v xml:space="preserve">SubContracts </v>
      </c>
      <c r="B47" s="11"/>
      <c r="C47" s="11"/>
      <c r="D47" s="11"/>
      <c r="E47" s="11"/>
      <c r="F47" s="11"/>
      <c r="G47" s="27">
        <f t="shared" si="10"/>
        <v>0</v>
      </c>
    </row>
    <row r="48" spans="1:15" x14ac:dyDescent="0.2">
      <c r="A48" s="10" t="str">
        <f>+'Lead Budget'!A51</f>
        <v xml:space="preserve">Equipment or Facility Rental/User Fees </v>
      </c>
      <c r="B48" s="11"/>
      <c r="C48" s="11"/>
      <c r="D48" s="11"/>
      <c r="E48" s="11"/>
      <c r="F48" s="11"/>
      <c r="G48" s="27">
        <f t="shared" si="10"/>
        <v>0</v>
      </c>
    </row>
    <row r="49" spans="1:15" x14ac:dyDescent="0.2">
      <c r="A49" s="10" t="str">
        <f>+'Lead Budget'!A52</f>
        <v>Other: Tuition</v>
      </c>
      <c r="B49" s="11"/>
      <c r="C49" s="11"/>
      <c r="D49" s="11"/>
      <c r="E49" s="11"/>
      <c r="F49" s="11"/>
      <c r="G49" s="27">
        <f t="shared" si="10"/>
        <v>0</v>
      </c>
    </row>
    <row r="50" spans="1:15" x14ac:dyDescent="0.2">
      <c r="A50" s="10" t="str">
        <f>+'Lead Budget'!A53</f>
        <v>Other: Health Insurance</v>
      </c>
      <c r="B50" s="11"/>
      <c r="C50" s="11"/>
      <c r="D50" s="11"/>
      <c r="E50" s="11"/>
      <c r="F50" s="11"/>
      <c r="G50" s="27">
        <f t="shared" si="10"/>
        <v>0</v>
      </c>
    </row>
    <row r="51" spans="1:15" x14ac:dyDescent="0.2">
      <c r="A51" s="10" t="str">
        <f>+'Lead Budget'!A54</f>
        <v>Other</v>
      </c>
      <c r="B51" s="11"/>
      <c r="C51" s="11"/>
      <c r="D51" s="11"/>
      <c r="E51" s="11"/>
      <c r="F51" s="11"/>
      <c r="G51" s="27">
        <f t="shared" si="10"/>
        <v>0</v>
      </c>
    </row>
    <row r="52" spans="1:15" ht="12" thickBot="1" x14ac:dyDescent="0.25">
      <c r="A52" s="15" t="s">
        <v>94</v>
      </c>
      <c r="B52" s="16">
        <f t="shared" ref="B52:G52" si="11">SUM(B42:B51)</f>
        <v>0</v>
      </c>
      <c r="C52" s="16">
        <f t="shared" si="11"/>
        <v>0</v>
      </c>
      <c r="D52" s="16">
        <f t="shared" si="11"/>
        <v>0</v>
      </c>
      <c r="E52" s="16">
        <f t="shared" si="11"/>
        <v>0</v>
      </c>
      <c r="F52" s="16">
        <f t="shared" si="11"/>
        <v>0</v>
      </c>
      <c r="G52" s="28">
        <f t="shared" si="11"/>
        <v>0</v>
      </c>
      <c r="K52" s="2"/>
      <c r="N52" s="13"/>
      <c r="O52" s="13"/>
    </row>
    <row r="53" spans="1:15" ht="12" thickBot="1" x14ac:dyDescent="0.25">
      <c r="A53" s="107" t="s">
        <v>16</v>
      </c>
      <c r="B53" s="105">
        <f>SUM(+B10+B18+B25+B30+B34+B41+B52)</f>
        <v>0</v>
      </c>
      <c r="C53" s="105">
        <f>SUM(+C10+C18+C25+C30+C34+C41+C52)</f>
        <v>0</v>
      </c>
      <c r="D53" s="105">
        <f>SUM(+D10+D18+D25+D30+D34+D41+D52)</f>
        <v>0</v>
      </c>
      <c r="E53" s="105">
        <f>SUM(+E10+E18+E25+E30+E34+E41+E52)</f>
        <v>0</v>
      </c>
      <c r="F53" s="105">
        <f t="shared" ref="F53" si="12">SUM(+F10+F18+F25+F30+F34+F41+F52)</f>
        <v>0</v>
      </c>
      <c r="G53" s="106">
        <f>SUM(+G10+G18+G25+G30+G34+G41+G52)</f>
        <v>0</v>
      </c>
      <c r="N53" s="13"/>
      <c r="O53" s="13"/>
    </row>
    <row r="54" spans="1:15" ht="12" thickBot="1" x14ac:dyDescent="0.25">
      <c r="A54" s="632" t="s">
        <v>289</v>
      </c>
      <c r="B54" s="631"/>
      <c r="C54" s="631"/>
      <c r="D54" s="631"/>
      <c r="E54" s="631"/>
      <c r="F54" s="631"/>
      <c r="G54" s="633">
        <f>SUM(B54:F54)</f>
        <v>0</v>
      </c>
      <c r="N54" s="13"/>
      <c r="O54" s="13"/>
    </row>
    <row r="55" spans="1:15" ht="12" thickBot="1" x14ac:dyDescent="0.25">
      <c r="A55" s="7" t="s">
        <v>290</v>
      </c>
      <c r="B55" s="105">
        <f>+B53-B54</f>
        <v>0</v>
      </c>
      <c r="C55" s="105">
        <f>+C53-C54</f>
        <v>0</v>
      </c>
      <c r="D55" s="105">
        <f t="shared" ref="D55:F55" si="13">+D53-D54</f>
        <v>0</v>
      </c>
      <c r="E55" s="105">
        <f t="shared" si="13"/>
        <v>0</v>
      </c>
      <c r="F55" s="105">
        <f t="shared" si="13"/>
        <v>0</v>
      </c>
      <c r="G55" s="106">
        <f>SUM(B55:F55)</f>
        <v>0</v>
      </c>
      <c r="N55" s="13"/>
      <c r="O55" s="13"/>
    </row>
    <row r="56" spans="1:15" ht="12" thickBot="1" x14ac:dyDescent="0.25">
      <c r="A56" s="7" t="s">
        <v>18</v>
      </c>
      <c r="B56" s="21">
        <f>ROUND(B55*$B$59,0)</f>
        <v>0</v>
      </c>
      <c r="C56" s="21">
        <f t="shared" ref="C56:F56" si="14">ROUND(C55*$B$59,0)</f>
        <v>0</v>
      </c>
      <c r="D56" s="21">
        <f t="shared" si="14"/>
        <v>0</v>
      </c>
      <c r="E56" s="21">
        <f t="shared" si="14"/>
        <v>0</v>
      </c>
      <c r="F56" s="21">
        <f t="shared" si="14"/>
        <v>0</v>
      </c>
      <c r="G56" s="106">
        <f>SUM(B56:F56)</f>
        <v>0</v>
      </c>
      <c r="N56" s="13"/>
      <c r="O56" s="13"/>
    </row>
    <row r="57" spans="1:15" ht="12" thickBot="1" x14ac:dyDescent="0.25">
      <c r="A57" s="19" t="s">
        <v>19</v>
      </c>
      <c r="B57" s="98">
        <f>+B53+B56</f>
        <v>0</v>
      </c>
      <c r="C57" s="98">
        <f t="shared" ref="C57:F57" si="15">+C53+C56</f>
        <v>0</v>
      </c>
      <c r="D57" s="98">
        <f t="shared" si="15"/>
        <v>0</v>
      </c>
      <c r="E57" s="98">
        <f t="shared" si="15"/>
        <v>0</v>
      </c>
      <c r="F57" s="98">
        <f t="shared" si="15"/>
        <v>0</v>
      </c>
      <c r="G57" s="20">
        <f>SUM(B57:F57)</f>
        <v>0</v>
      </c>
      <c r="L57" s="12"/>
      <c r="N57" s="13"/>
      <c r="O57" s="13"/>
    </row>
    <row r="58" spans="1:15" x14ac:dyDescent="0.2">
      <c r="A58" s="22"/>
      <c r="B58" s="12"/>
      <c r="C58" s="12"/>
      <c r="D58" s="12"/>
      <c r="E58" s="12"/>
      <c r="F58" s="12"/>
      <c r="I58" s="39"/>
      <c r="J58" s="12"/>
      <c r="K58" s="39"/>
      <c r="L58" s="39"/>
      <c r="M58" s="39"/>
      <c r="N58" s="13"/>
      <c r="O58" s="13"/>
    </row>
    <row r="59" spans="1:15" x14ac:dyDescent="0.2">
      <c r="A59" s="650" t="s">
        <v>317</v>
      </c>
      <c r="B59" s="630">
        <v>0.42857000000000001</v>
      </c>
      <c r="C59" s="3" t="str">
        <f ca="1">CONCATENATE("Indirect Cost Rate for ",""&amp;MID('rates, dates, etc'!AH12,FIND("]",'rates, dates, etc'!AH12)+1,25))</f>
        <v>Indirect Cost Rate for Consortium 4</v>
      </c>
      <c r="D59" s="39"/>
      <c r="G59" s="39"/>
      <c r="I59" s="39"/>
      <c r="J59" s="12"/>
      <c r="K59" s="39"/>
      <c r="L59" s="39"/>
      <c r="M59" s="39"/>
      <c r="N59" s="13"/>
      <c r="O59" s="13"/>
    </row>
    <row r="60" spans="1:15" x14ac:dyDescent="0.2">
      <c r="A60" s="22"/>
      <c r="B60" s="39"/>
      <c r="C60" s="39"/>
      <c r="D60" s="39"/>
      <c r="E60" s="39"/>
      <c r="F60" s="39"/>
      <c r="G60" s="39"/>
      <c r="I60" s="39"/>
      <c r="J60" s="12"/>
      <c r="K60" s="39"/>
      <c r="L60" s="39"/>
      <c r="M60" s="39"/>
      <c r="N60" s="13"/>
      <c r="O60" s="13"/>
    </row>
    <row r="61" spans="1:15" ht="12" thickBot="1" x14ac:dyDescent="0.25">
      <c r="A61" s="32"/>
      <c r="B61" s="33"/>
      <c r="C61" s="33"/>
      <c r="D61" s="33"/>
      <c r="E61" s="33"/>
      <c r="F61" s="33"/>
      <c r="G61" s="33"/>
      <c r="H61" s="34"/>
      <c r="I61" s="34"/>
      <c r="J61" s="34"/>
      <c r="K61" s="12"/>
    </row>
    <row r="63" spans="1:15" x14ac:dyDescent="0.2">
      <c r="A63" s="2" t="s">
        <v>42</v>
      </c>
      <c r="B63" s="40">
        <f>IF(B57&lt;25000,B57,25000)</f>
        <v>0</v>
      </c>
      <c r="C63" s="40">
        <f>IF(+B57&gt;25000,0,IF(B57+C57&gt;25000,(25000-B57),C57))</f>
        <v>0</v>
      </c>
      <c r="D63" s="40">
        <f>IF(+B57+C57&gt;25000,0,IF(B57+C57+D57&gt;25000,(25000-(B57+C57)),D57))</f>
        <v>0</v>
      </c>
      <c r="E63" s="40">
        <f>IF(B57+C57+D57&gt;25000,0,IF(B57+C57+D57+E57&gt;25000,(25000-(B57+C57+D57)),E57))</f>
        <v>0</v>
      </c>
      <c r="F63" s="40">
        <f>IF(B57+C57+D57+E57&gt;25000,0,IF(B57+C57+D57+E57+F57&gt;25000,(25000-(B57+C57+D57+E57)),F57))</f>
        <v>0</v>
      </c>
      <c r="G63" s="11">
        <f>SUM(B63:F63)</f>
        <v>0</v>
      </c>
      <c r="H63" s="11"/>
      <c r="I63" s="2"/>
    </row>
    <row r="64" spans="1:15" x14ac:dyDescent="0.2">
      <c r="A64" s="2" t="s">
        <v>43</v>
      </c>
      <c r="B64" s="40">
        <f>+B57-B63</f>
        <v>0</v>
      </c>
      <c r="C64" s="40">
        <f>+C57-C63</f>
        <v>0</v>
      </c>
      <c r="D64" s="40">
        <f>+D57-D63</f>
        <v>0</v>
      </c>
      <c r="E64" s="40">
        <f>+E57-E63</f>
        <v>0</v>
      </c>
      <c r="F64" s="40">
        <f>+F57-F63</f>
        <v>0</v>
      </c>
      <c r="G64" s="11">
        <f t="shared" ref="G64:G66" si="16">SUM(B64:F64)</f>
        <v>0</v>
      </c>
      <c r="H64" s="11"/>
      <c r="I64" s="2"/>
    </row>
    <row r="65" spans="2:7" x14ac:dyDescent="0.2">
      <c r="C65" s="13"/>
      <c r="G65" s="11"/>
    </row>
    <row r="66" spans="2:7" x14ac:dyDescent="0.2">
      <c r="B66" s="13">
        <f>SUM(B63:B64)</f>
        <v>0</v>
      </c>
      <c r="C66" s="13">
        <f>SUM(C63:C64)</f>
        <v>0</v>
      </c>
      <c r="D66" s="13">
        <f t="shared" ref="D66:F66" si="17">SUM(D63:D64)</f>
        <v>0</v>
      </c>
      <c r="E66" s="13">
        <f t="shared" si="17"/>
        <v>0</v>
      </c>
      <c r="F66" s="13">
        <f t="shared" si="17"/>
        <v>0</v>
      </c>
      <c r="G66" s="11">
        <f t="shared" si="16"/>
        <v>0</v>
      </c>
    </row>
  </sheetData>
  <pageMargins left="0.75" right="0.53" top="0.7" bottom="0.64" header="0.5" footer="0.5"/>
  <pageSetup scale="96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8">
    <pageSetUpPr fitToPage="1"/>
  </sheetPr>
  <dimension ref="A1:O66"/>
  <sheetViews>
    <sheetView zoomScale="130" zoomScaleNormal="130" workbookViewId="0">
      <selection activeCell="A8" sqref="A8"/>
    </sheetView>
  </sheetViews>
  <sheetFormatPr defaultColWidth="9.28515625" defaultRowHeight="11.25" x14ac:dyDescent="0.2"/>
  <cols>
    <col min="1" max="1" width="33.42578125" style="2" customWidth="1"/>
    <col min="2" max="6" width="8.42578125" style="2" customWidth="1"/>
    <col min="7" max="7" width="9.5703125" style="3" bestFit="1" customWidth="1"/>
    <col min="8" max="8" width="9.7109375" style="3" customWidth="1"/>
    <col min="9" max="9" width="18.5703125" style="3" bestFit="1" customWidth="1"/>
    <col min="10" max="10" width="6.7109375" style="3" bestFit="1" customWidth="1"/>
    <col min="11" max="11" width="9.7109375" style="3" customWidth="1"/>
    <col min="12" max="13" width="9.7109375" style="2" customWidth="1"/>
    <col min="14" max="16384" width="9.28515625" style="2"/>
  </cols>
  <sheetData>
    <row r="1" spans="1:14" ht="12.75" x14ac:dyDescent="0.2">
      <c r="A1" s="1" t="str">
        <f>+'Lead Budget'!A1</f>
        <v>Assessing the Potential for Demand Response to Manage Generation Shortfalls in a Zero-Carbon Electricity Grid”</v>
      </c>
    </row>
    <row r="2" spans="1:14" ht="12.75" x14ac:dyDescent="0.2">
      <c r="A2" s="1" t="str">
        <f>+'Lead Budget'!A2</f>
        <v>USDA</v>
      </c>
    </row>
    <row r="3" spans="1:14" ht="12.75" customHeight="1" thickBot="1" x14ac:dyDescent="0.25"/>
    <row r="4" spans="1:14" x14ac:dyDescent="0.2">
      <c r="A4" s="4"/>
      <c r="B4" s="5" t="s">
        <v>1</v>
      </c>
      <c r="C4" s="5" t="s">
        <v>2</v>
      </c>
      <c r="D4" s="5" t="s">
        <v>3</v>
      </c>
      <c r="E4" s="5" t="s">
        <v>44</v>
      </c>
      <c r="F4" s="5" t="s">
        <v>50</v>
      </c>
      <c r="G4" s="23"/>
    </row>
    <row r="5" spans="1:14" ht="12" thickBot="1" x14ac:dyDescent="0.25">
      <c r="A5" s="4" t="str">
        <f ca="1">""&amp;MID('rates, dates, etc'!AH13,FIND("]",'rates, dates, etc'!AH13)+1,25)</f>
        <v>Consortium 5</v>
      </c>
      <c r="B5" s="6">
        <f>+'Lead Budget'!B5</f>
        <v>44927</v>
      </c>
      <c r="C5" s="6">
        <f>+'Lead Budget'!C5</f>
        <v>45292</v>
      </c>
      <c r="D5" s="6">
        <f>+'Lead Budget'!D5</f>
        <v>45658</v>
      </c>
      <c r="E5" s="6">
        <f>+'Lead Budget'!E5</f>
        <v>46023</v>
      </c>
      <c r="F5" s="6">
        <f>+'Lead Budget'!F5</f>
        <v>46388</v>
      </c>
      <c r="G5" s="24"/>
    </row>
    <row r="6" spans="1:14" ht="12" thickBot="1" x14ac:dyDescent="0.25">
      <c r="A6" s="7" t="s">
        <v>4</v>
      </c>
      <c r="B6" s="46">
        <f>+'Lead Budget'!B6</f>
        <v>45291</v>
      </c>
      <c r="C6" s="8">
        <f>+'Lead Budget'!C6</f>
        <v>45657</v>
      </c>
      <c r="D6" s="8">
        <f>+'Lead Budget'!D6</f>
        <v>46022</v>
      </c>
      <c r="E6" s="8">
        <f>+'Lead Budget'!E6</f>
        <v>46387</v>
      </c>
      <c r="F6" s="8">
        <f>+'Lead Budget'!F6</f>
        <v>46752</v>
      </c>
      <c r="G6" s="25" t="s">
        <v>5</v>
      </c>
    </row>
    <row r="7" spans="1:14" x14ac:dyDescent="0.2">
      <c r="A7" s="9" t="s">
        <v>136</v>
      </c>
      <c r="B7" s="11"/>
      <c r="C7" s="11"/>
      <c r="D7" s="12"/>
      <c r="E7" s="12"/>
      <c r="F7" s="12"/>
      <c r="G7" s="27" t="s">
        <v>6</v>
      </c>
    </row>
    <row r="8" spans="1:14" x14ac:dyDescent="0.2">
      <c r="A8" s="10" t="s">
        <v>78</v>
      </c>
      <c r="B8" s="11"/>
      <c r="C8" s="11"/>
      <c r="D8" s="11"/>
      <c r="E8" s="11"/>
      <c r="F8" s="11"/>
      <c r="G8" s="27">
        <f>SUM(B8:F8)</f>
        <v>0</v>
      </c>
      <c r="N8" s="13"/>
    </row>
    <row r="9" spans="1:14" x14ac:dyDescent="0.2">
      <c r="A9" s="10" t="s">
        <v>61</v>
      </c>
      <c r="B9" s="11"/>
      <c r="C9" s="11"/>
      <c r="D9" s="11"/>
      <c r="E9" s="11"/>
      <c r="F9" s="11"/>
      <c r="G9" s="27">
        <f>SUM(B9:F9)</f>
        <v>0</v>
      </c>
    </row>
    <row r="10" spans="1:14" ht="12" thickBot="1" x14ac:dyDescent="0.25">
      <c r="A10" s="15" t="str">
        <f>CONCATENATE("Total ",A7)</f>
        <v>Total Senior Personnel Salary</v>
      </c>
      <c r="B10" s="16">
        <f>SUM(B7:B9)</f>
        <v>0</v>
      </c>
      <c r="C10" s="16">
        <f t="shared" ref="C10:F10" si="0">SUM(C7:C9)</f>
        <v>0</v>
      </c>
      <c r="D10" s="16">
        <f t="shared" si="0"/>
        <v>0</v>
      </c>
      <c r="E10" s="16">
        <f t="shared" si="0"/>
        <v>0</v>
      </c>
      <c r="F10" s="16">
        <f t="shared" si="0"/>
        <v>0</v>
      </c>
      <c r="G10" s="28">
        <f>SUM(G7:G9)</f>
        <v>0</v>
      </c>
    </row>
    <row r="11" spans="1:14" x14ac:dyDescent="0.2">
      <c r="A11" s="14" t="s">
        <v>137</v>
      </c>
      <c r="B11" s="11"/>
      <c r="C11" s="11"/>
      <c r="D11" s="12"/>
      <c r="E11" s="12"/>
      <c r="F11" s="12"/>
      <c r="G11" s="27"/>
    </row>
    <row r="12" spans="1:14" x14ac:dyDescent="0.2">
      <c r="A12" s="10" t="s">
        <v>88</v>
      </c>
      <c r="B12" s="11"/>
      <c r="C12" s="11"/>
      <c r="D12" s="12"/>
      <c r="E12" s="12"/>
      <c r="F12" s="12"/>
      <c r="G12" s="27">
        <f t="shared" ref="G12" si="1">SUM(B12:F12)</f>
        <v>0</v>
      </c>
    </row>
    <row r="13" spans="1:14" x14ac:dyDescent="0.2">
      <c r="A13" s="10" t="s">
        <v>85</v>
      </c>
      <c r="B13" s="11"/>
      <c r="C13" s="11"/>
      <c r="D13" s="12"/>
      <c r="E13" s="12"/>
      <c r="F13" s="12"/>
      <c r="G13" s="27">
        <f>SUM(B13:F13)</f>
        <v>0</v>
      </c>
    </row>
    <row r="14" spans="1:14" x14ac:dyDescent="0.2">
      <c r="A14" s="10" t="s">
        <v>89</v>
      </c>
      <c r="B14" s="11"/>
      <c r="C14" s="11"/>
      <c r="D14" s="11"/>
      <c r="E14" s="11"/>
      <c r="F14" s="11"/>
      <c r="G14" s="27">
        <f>SUM(B14:F14)</f>
        <v>0</v>
      </c>
    </row>
    <row r="15" spans="1:14" x14ac:dyDescent="0.2">
      <c r="A15" s="10" t="s">
        <v>90</v>
      </c>
      <c r="B15" s="11"/>
      <c r="C15" s="11"/>
      <c r="D15" s="11"/>
      <c r="E15" s="11"/>
      <c r="F15" s="11"/>
      <c r="G15" s="27">
        <f>SUM(B15:F15)</f>
        <v>0</v>
      </c>
    </row>
    <row r="16" spans="1:14" x14ac:dyDescent="0.2">
      <c r="A16" s="10" t="s">
        <v>29</v>
      </c>
      <c r="B16" s="11"/>
      <c r="C16" s="11"/>
      <c r="D16" s="12"/>
      <c r="E16" s="12"/>
      <c r="F16" s="12"/>
      <c r="G16" s="27">
        <f>SUM(B16:F16)</f>
        <v>0</v>
      </c>
    </row>
    <row r="17" spans="1:15" x14ac:dyDescent="0.2">
      <c r="A17" s="10"/>
      <c r="B17" s="11"/>
      <c r="C17" s="11"/>
      <c r="D17" s="12"/>
      <c r="E17" s="12"/>
      <c r="F17" s="12"/>
      <c r="G17" s="27">
        <f>SUM(B17:F17)</f>
        <v>0</v>
      </c>
      <c r="N17" s="13"/>
      <c r="O17" s="13"/>
    </row>
    <row r="18" spans="1:15" ht="12" thickBot="1" x14ac:dyDescent="0.25">
      <c r="A18" s="15" t="str">
        <f>CONCATENATE("Total ",A11)</f>
        <v>Total Other Personnel Salary</v>
      </c>
      <c r="B18" s="16">
        <f>SUM(B11:B17)</f>
        <v>0</v>
      </c>
      <c r="C18" s="16">
        <f t="shared" ref="C18:F18" si="2">SUM(C11:C17)</f>
        <v>0</v>
      </c>
      <c r="D18" s="16">
        <f>SUM(D11:D17)</f>
        <v>0</v>
      </c>
      <c r="E18" s="16">
        <f>SUM(E11:E17)</f>
        <v>0</v>
      </c>
      <c r="F18" s="16">
        <f t="shared" si="2"/>
        <v>0</v>
      </c>
      <c r="G18" s="28">
        <f>SUM(G11:G17)</f>
        <v>0</v>
      </c>
    </row>
    <row r="19" spans="1:15" x14ac:dyDescent="0.2">
      <c r="A19" s="17" t="s">
        <v>7</v>
      </c>
      <c r="B19" s="11" t="s">
        <v>6</v>
      </c>
      <c r="C19" s="11"/>
      <c r="D19" s="12"/>
      <c r="E19" s="12"/>
      <c r="F19" s="12"/>
      <c r="G19" s="27"/>
    </row>
    <row r="20" spans="1:15" x14ac:dyDescent="0.2">
      <c r="A20" s="10" t="str">
        <f>+A8</f>
        <v>PI</v>
      </c>
      <c r="B20" s="11"/>
      <c r="C20" s="11"/>
      <c r="D20" s="11"/>
      <c r="E20" s="11"/>
      <c r="F20" s="11"/>
      <c r="G20" s="27">
        <f>SUM(B20:F20)</f>
        <v>0</v>
      </c>
    </row>
    <row r="21" spans="1:15" x14ac:dyDescent="0.2">
      <c r="A21" s="10" t="str">
        <f>+A9</f>
        <v>Co-PI</v>
      </c>
      <c r="B21" s="11"/>
      <c r="C21" s="11"/>
      <c r="D21" s="11"/>
      <c r="E21" s="11"/>
      <c r="F21" s="11"/>
      <c r="G21" s="27">
        <f t="shared" ref="G21:G24" si="3">SUM(B21:F21)</f>
        <v>0</v>
      </c>
    </row>
    <row r="22" spans="1:15" x14ac:dyDescent="0.2">
      <c r="A22" s="10" t="s">
        <v>88</v>
      </c>
      <c r="B22" s="11"/>
      <c r="C22" s="11"/>
      <c r="D22" s="11"/>
      <c r="E22" s="11"/>
      <c r="F22" s="11"/>
      <c r="G22" s="27">
        <f t="shared" si="3"/>
        <v>0</v>
      </c>
    </row>
    <row r="23" spans="1:15" x14ac:dyDescent="0.2">
      <c r="A23" s="10" t="s">
        <v>90</v>
      </c>
      <c r="B23" s="11"/>
      <c r="C23" s="11"/>
      <c r="D23" s="11"/>
      <c r="E23" s="11"/>
      <c r="F23" s="11"/>
      <c r="G23" s="27">
        <f t="shared" si="3"/>
        <v>0</v>
      </c>
      <c r="N23" s="13"/>
      <c r="O23" s="13"/>
    </row>
    <row r="24" spans="1:15" x14ac:dyDescent="0.2">
      <c r="A24" s="10" t="s">
        <v>29</v>
      </c>
      <c r="B24" s="11"/>
      <c r="C24" s="11"/>
      <c r="D24" s="11"/>
      <c r="E24" s="11"/>
      <c r="F24" s="11"/>
      <c r="G24" s="27">
        <f t="shared" si="3"/>
        <v>0</v>
      </c>
      <c r="N24" s="13"/>
      <c r="O24" s="13"/>
    </row>
    <row r="25" spans="1:15" ht="12" thickBot="1" x14ac:dyDescent="0.25">
      <c r="A25" s="15" t="s">
        <v>93</v>
      </c>
      <c r="B25" s="16">
        <f>SUM(B19:B24)</f>
        <v>0</v>
      </c>
      <c r="C25" s="16">
        <f>SUM(C19:C24)</f>
        <v>0</v>
      </c>
      <c r="D25" s="16">
        <f>SUM(D19:D24)</f>
        <v>0</v>
      </c>
      <c r="E25" s="16">
        <f t="shared" ref="E25:F25" si="4">SUM(E19:E24)</f>
        <v>0</v>
      </c>
      <c r="F25" s="16">
        <f t="shared" si="4"/>
        <v>0</v>
      </c>
      <c r="G25" s="28">
        <f>SUM(G19:G24)</f>
        <v>0</v>
      </c>
      <c r="N25" s="13"/>
      <c r="O25" s="13"/>
    </row>
    <row r="26" spans="1:15" ht="12" thickBot="1" x14ac:dyDescent="0.25">
      <c r="A26" s="143" t="s">
        <v>131</v>
      </c>
      <c r="B26" s="144">
        <f>+B10+B18+B25</f>
        <v>0</v>
      </c>
      <c r="C26" s="144">
        <f>+C10+C18+C25</f>
        <v>0</v>
      </c>
      <c r="D26" s="144">
        <f t="shared" ref="D26:F26" si="5">+D10+D18+D25</f>
        <v>0</v>
      </c>
      <c r="E26" s="144">
        <f t="shared" si="5"/>
        <v>0</v>
      </c>
      <c r="F26" s="144">
        <f t="shared" si="5"/>
        <v>0</v>
      </c>
      <c r="G26" s="145">
        <f>+G10+G18+G25</f>
        <v>0</v>
      </c>
      <c r="N26" s="13"/>
      <c r="O26" s="13"/>
    </row>
    <row r="27" spans="1:15" x14ac:dyDescent="0.2">
      <c r="A27" s="17" t="s">
        <v>25</v>
      </c>
      <c r="B27" s="11"/>
      <c r="C27" s="11"/>
      <c r="D27" s="12"/>
      <c r="E27" s="12"/>
      <c r="F27" s="12"/>
      <c r="G27" s="27"/>
      <c r="N27" s="13"/>
      <c r="O27" s="13"/>
    </row>
    <row r="28" spans="1:15" x14ac:dyDescent="0.2">
      <c r="A28" s="10" t="s">
        <v>66</v>
      </c>
      <c r="B28" s="11"/>
      <c r="C28" s="11"/>
      <c r="D28" s="12"/>
      <c r="E28" s="12"/>
      <c r="F28" s="12"/>
      <c r="G28" s="27">
        <f>SUM(B28:F28)</f>
        <v>0</v>
      </c>
    </row>
    <row r="29" spans="1:15" x14ac:dyDescent="0.2">
      <c r="A29" s="10"/>
      <c r="B29" s="11"/>
      <c r="C29" s="11"/>
      <c r="D29" s="12"/>
      <c r="E29" s="12"/>
      <c r="F29" s="12"/>
      <c r="G29" s="27">
        <f>SUM(B29:F29)</f>
        <v>0</v>
      </c>
    </row>
    <row r="30" spans="1:15" ht="12" thickBot="1" x14ac:dyDescent="0.25">
      <c r="A30" s="15" t="s">
        <v>26</v>
      </c>
      <c r="B30" s="16">
        <f>SUM(B27:B29)</f>
        <v>0</v>
      </c>
      <c r="C30" s="16">
        <f>SUM(C27:C29)</f>
        <v>0</v>
      </c>
      <c r="D30" s="16">
        <f>SUM(D27:D29)</f>
        <v>0</v>
      </c>
      <c r="E30" s="16">
        <f t="shared" ref="E30:F30" si="6">SUM(E27:E29)</f>
        <v>0</v>
      </c>
      <c r="F30" s="16">
        <f t="shared" si="6"/>
        <v>0</v>
      </c>
      <c r="G30" s="28">
        <f>SUM(G27:G29)</f>
        <v>0</v>
      </c>
    </row>
    <row r="31" spans="1:15" x14ac:dyDescent="0.2">
      <c r="A31" s="17" t="s">
        <v>34</v>
      </c>
      <c r="B31" s="11"/>
      <c r="C31" s="11"/>
      <c r="D31" s="12"/>
      <c r="E31" s="12"/>
      <c r="F31" s="12"/>
      <c r="G31" s="27"/>
    </row>
    <row r="32" spans="1:15" x14ac:dyDescent="0.2">
      <c r="A32" s="10" t="s">
        <v>10</v>
      </c>
      <c r="B32" s="11"/>
      <c r="C32" s="11"/>
      <c r="D32" s="11"/>
      <c r="E32" s="11"/>
      <c r="F32" s="11"/>
      <c r="G32" s="27">
        <f>SUM(B32:F32)</f>
        <v>0</v>
      </c>
      <c r="N32" s="13"/>
      <c r="O32" s="13"/>
    </row>
    <row r="33" spans="1:15" x14ac:dyDescent="0.2">
      <c r="A33" s="10" t="s">
        <v>11</v>
      </c>
      <c r="B33" s="11"/>
      <c r="C33" s="11"/>
      <c r="D33" s="11"/>
      <c r="E33" s="11"/>
      <c r="F33" s="11"/>
      <c r="G33" s="27">
        <f>SUM(B33:F33)</f>
        <v>0</v>
      </c>
      <c r="N33" s="13"/>
      <c r="O33" s="13"/>
    </row>
    <row r="34" spans="1:15" ht="12" thickBot="1" x14ac:dyDescent="0.25">
      <c r="A34" s="15" t="s">
        <v>12</v>
      </c>
      <c r="B34" s="16">
        <f>SUM(B31:B33)</f>
        <v>0</v>
      </c>
      <c r="C34" s="16">
        <f>SUM(C31:C33)</f>
        <v>0</v>
      </c>
      <c r="D34" s="16">
        <f>SUM(D31:D33)</f>
        <v>0</v>
      </c>
      <c r="E34" s="16">
        <f t="shared" ref="E34:F34" si="7">SUM(E31:E33)</f>
        <v>0</v>
      </c>
      <c r="F34" s="16">
        <f t="shared" si="7"/>
        <v>0</v>
      </c>
      <c r="G34" s="28">
        <f>SUM(G31:G33)</f>
        <v>0</v>
      </c>
      <c r="N34" s="13"/>
      <c r="O34" s="13"/>
    </row>
    <row r="35" spans="1:15" x14ac:dyDescent="0.2">
      <c r="A35" s="17" t="s">
        <v>27</v>
      </c>
      <c r="B35" s="11"/>
      <c r="C35" s="11"/>
      <c r="D35" s="12"/>
      <c r="E35" s="12"/>
      <c r="F35" s="12"/>
      <c r="G35" s="27"/>
      <c r="N35" s="13"/>
      <c r="O35" s="13"/>
    </row>
    <row r="36" spans="1:15" x14ac:dyDescent="0.2">
      <c r="A36" s="10" t="s">
        <v>91</v>
      </c>
      <c r="B36" s="11"/>
      <c r="C36" s="11"/>
      <c r="D36" s="12"/>
      <c r="E36" s="12"/>
      <c r="F36" s="12"/>
      <c r="G36" s="27">
        <f>SUM(B36:F36)</f>
        <v>0</v>
      </c>
      <c r="N36" s="13"/>
      <c r="O36" s="13"/>
    </row>
    <row r="37" spans="1:15" x14ac:dyDescent="0.2">
      <c r="A37" s="10" t="s">
        <v>47</v>
      </c>
      <c r="B37" s="11"/>
      <c r="C37" s="11"/>
      <c r="D37" s="12"/>
      <c r="E37" s="12"/>
      <c r="F37" s="12"/>
      <c r="G37" s="27">
        <f>SUM(B37:F37)</f>
        <v>0</v>
      </c>
      <c r="N37" s="13"/>
      <c r="O37" s="13"/>
    </row>
    <row r="38" spans="1:15" x14ac:dyDescent="0.2">
      <c r="A38" s="10" t="s">
        <v>34</v>
      </c>
      <c r="B38" s="11"/>
      <c r="C38" s="11"/>
      <c r="D38" s="12"/>
      <c r="E38" s="12"/>
      <c r="F38" s="12"/>
      <c r="G38" s="27">
        <f t="shared" ref="G38:G40" si="8">SUM(B38:F38)</f>
        <v>0</v>
      </c>
    </row>
    <row r="39" spans="1:15" x14ac:dyDescent="0.2">
      <c r="A39" s="10" t="s">
        <v>48</v>
      </c>
      <c r="B39" s="11"/>
      <c r="C39" s="11"/>
      <c r="D39" s="12"/>
      <c r="E39" s="12"/>
      <c r="F39" s="12"/>
      <c r="G39" s="27">
        <f t="shared" si="8"/>
        <v>0</v>
      </c>
    </row>
    <row r="40" spans="1:15" x14ac:dyDescent="0.2">
      <c r="A40" s="10" t="s">
        <v>29</v>
      </c>
      <c r="B40" s="11"/>
      <c r="C40" s="11"/>
      <c r="D40" s="12"/>
      <c r="E40" s="12"/>
      <c r="F40" s="12"/>
      <c r="G40" s="27">
        <f t="shared" si="8"/>
        <v>0</v>
      </c>
    </row>
    <row r="41" spans="1:15" ht="12" thickBot="1" x14ac:dyDescent="0.25">
      <c r="A41" s="15" t="s">
        <v>28</v>
      </c>
      <c r="B41" s="16">
        <f>SUM(B35:B40)</f>
        <v>0</v>
      </c>
      <c r="C41" s="16">
        <f>SUM(C35:C40)</f>
        <v>0</v>
      </c>
      <c r="D41" s="16">
        <f>SUM(D35:D40)</f>
        <v>0</v>
      </c>
      <c r="E41" s="16">
        <f t="shared" ref="E41:F41" si="9">SUM(E35:E40)</f>
        <v>0</v>
      </c>
      <c r="F41" s="16">
        <f t="shared" si="9"/>
        <v>0</v>
      </c>
      <c r="G41" s="28">
        <f>SUM(G35:G40)</f>
        <v>0</v>
      </c>
    </row>
    <row r="42" spans="1:15" x14ac:dyDescent="0.2">
      <c r="A42" s="17" t="s">
        <v>13</v>
      </c>
      <c r="B42" s="11"/>
      <c r="C42" s="11"/>
      <c r="D42" s="12"/>
      <c r="E42" s="12"/>
      <c r="F42" s="12"/>
      <c r="G42" s="27"/>
    </row>
    <row r="43" spans="1:15" x14ac:dyDescent="0.2">
      <c r="A43" s="10" t="str">
        <f>+'Lead Budget'!A46</f>
        <v>Materials &amp; Supplies</v>
      </c>
      <c r="B43" s="18"/>
      <c r="C43" s="18"/>
      <c r="D43" s="18"/>
      <c r="E43" s="18"/>
      <c r="F43" s="18"/>
      <c r="G43" s="27">
        <f>SUM(B43:F43)</f>
        <v>0</v>
      </c>
    </row>
    <row r="44" spans="1:15" x14ac:dyDescent="0.2">
      <c r="A44" s="10" t="str">
        <f>+'Lead Budget'!A47</f>
        <v>Publication Costs</v>
      </c>
      <c r="B44" s="11"/>
      <c r="C44" s="11"/>
      <c r="D44" s="11"/>
      <c r="E44" s="11"/>
      <c r="F44" s="11"/>
      <c r="G44" s="27">
        <f t="shared" ref="G44:G51" si="10">SUM(B44:F44)</f>
        <v>0</v>
      </c>
    </row>
    <row r="45" spans="1:15" x14ac:dyDescent="0.2">
      <c r="A45" s="10" t="str">
        <f>+'Lead Budget'!A48</f>
        <v>Consultant Services</v>
      </c>
      <c r="B45" s="11"/>
      <c r="C45" s="11"/>
      <c r="D45" s="12"/>
      <c r="E45" s="12"/>
      <c r="F45" s="12"/>
      <c r="G45" s="27">
        <f t="shared" si="10"/>
        <v>0</v>
      </c>
    </row>
    <row r="46" spans="1:15" x14ac:dyDescent="0.2">
      <c r="A46" s="10" t="str">
        <f>+'Lead Budget'!A49</f>
        <v>ADP/Computer Services</v>
      </c>
      <c r="B46" s="11"/>
      <c r="C46" s="11"/>
      <c r="D46" s="11"/>
      <c r="E46" s="11"/>
      <c r="F46" s="11"/>
      <c r="G46" s="27">
        <f t="shared" si="10"/>
        <v>0</v>
      </c>
    </row>
    <row r="47" spans="1:15" x14ac:dyDescent="0.2">
      <c r="A47" s="10" t="str">
        <f>+'Lead Budget'!A50</f>
        <v xml:space="preserve">SubContracts </v>
      </c>
      <c r="B47" s="11"/>
      <c r="C47" s="11"/>
      <c r="D47" s="11"/>
      <c r="E47" s="11"/>
      <c r="F47" s="11"/>
      <c r="G47" s="27">
        <f t="shared" si="10"/>
        <v>0</v>
      </c>
    </row>
    <row r="48" spans="1:15" x14ac:dyDescent="0.2">
      <c r="A48" s="10" t="str">
        <f>+'Lead Budget'!A51</f>
        <v xml:space="preserve">Equipment or Facility Rental/User Fees </v>
      </c>
      <c r="B48" s="11"/>
      <c r="C48" s="11"/>
      <c r="D48" s="11"/>
      <c r="E48" s="11"/>
      <c r="F48" s="11"/>
      <c r="G48" s="27">
        <f t="shared" si="10"/>
        <v>0</v>
      </c>
    </row>
    <row r="49" spans="1:15" x14ac:dyDescent="0.2">
      <c r="A49" s="10" t="str">
        <f>+'Lead Budget'!A52</f>
        <v>Other: Tuition</v>
      </c>
      <c r="B49" s="11"/>
      <c r="C49" s="11"/>
      <c r="D49" s="11"/>
      <c r="E49" s="11"/>
      <c r="F49" s="11"/>
      <c r="G49" s="27">
        <f t="shared" si="10"/>
        <v>0</v>
      </c>
    </row>
    <row r="50" spans="1:15" x14ac:dyDescent="0.2">
      <c r="A50" s="10" t="str">
        <f>+'Lead Budget'!A53</f>
        <v>Other: Health Insurance</v>
      </c>
      <c r="B50" s="11"/>
      <c r="C50" s="11"/>
      <c r="D50" s="11"/>
      <c r="E50" s="11"/>
      <c r="F50" s="11"/>
      <c r="G50" s="27">
        <f t="shared" si="10"/>
        <v>0</v>
      </c>
    </row>
    <row r="51" spans="1:15" x14ac:dyDescent="0.2">
      <c r="A51" s="10" t="str">
        <f>+'Lead Budget'!A54</f>
        <v>Other</v>
      </c>
      <c r="B51" s="11"/>
      <c r="C51" s="11"/>
      <c r="D51" s="11"/>
      <c r="E51" s="11"/>
      <c r="F51" s="11"/>
      <c r="G51" s="27">
        <f t="shared" si="10"/>
        <v>0</v>
      </c>
    </row>
    <row r="52" spans="1:15" ht="12" thickBot="1" x14ac:dyDescent="0.25">
      <c r="A52" s="15" t="s">
        <v>94</v>
      </c>
      <c r="B52" s="16">
        <f t="shared" ref="B52:G52" si="11">SUM(B42:B51)</f>
        <v>0</v>
      </c>
      <c r="C52" s="16">
        <f t="shared" si="11"/>
        <v>0</v>
      </c>
      <c r="D52" s="16">
        <f t="shared" si="11"/>
        <v>0</v>
      </c>
      <c r="E52" s="16">
        <f t="shared" si="11"/>
        <v>0</v>
      </c>
      <c r="F52" s="16">
        <f t="shared" si="11"/>
        <v>0</v>
      </c>
      <c r="G52" s="28">
        <f t="shared" si="11"/>
        <v>0</v>
      </c>
      <c r="K52" s="2"/>
      <c r="N52" s="13"/>
      <c r="O52" s="13"/>
    </row>
    <row r="53" spans="1:15" ht="12" thickBot="1" x14ac:dyDescent="0.25">
      <c r="A53" s="107" t="s">
        <v>16</v>
      </c>
      <c r="B53" s="105">
        <f>SUM(+B10+B18+B25+B30+B34+B41+B52)</f>
        <v>0</v>
      </c>
      <c r="C53" s="105">
        <f>SUM(+C10+C18+C25+C30+C34+C41+C52)</f>
        <v>0</v>
      </c>
      <c r="D53" s="105">
        <f>SUM(+D10+D18+D25+D30+D34+D41+D52)</f>
        <v>0</v>
      </c>
      <c r="E53" s="105">
        <f>SUM(+E10+E18+E25+E30+E34+E41+E52)</f>
        <v>0</v>
      </c>
      <c r="F53" s="105">
        <f t="shared" ref="F53" si="12">SUM(+F10+F18+F25+F30+F34+F41+F52)</f>
        <v>0</v>
      </c>
      <c r="G53" s="106">
        <f>SUM(+G10+G18+G25+G30+G34+G41+G52)</f>
        <v>0</v>
      </c>
      <c r="N53" s="13"/>
      <c r="O53" s="13"/>
    </row>
    <row r="54" spans="1:15" ht="12" thickBot="1" x14ac:dyDescent="0.25">
      <c r="A54" s="632" t="s">
        <v>289</v>
      </c>
      <c r="B54" s="631"/>
      <c r="C54" s="631"/>
      <c r="D54" s="631"/>
      <c r="E54" s="631"/>
      <c r="F54" s="631"/>
      <c r="G54" s="633">
        <f>SUM(B54:F54)</f>
        <v>0</v>
      </c>
      <c r="N54" s="13"/>
      <c r="O54" s="13"/>
    </row>
    <row r="55" spans="1:15" ht="12" thickBot="1" x14ac:dyDescent="0.25">
      <c r="A55" s="7" t="s">
        <v>290</v>
      </c>
      <c r="B55" s="105">
        <f>+B53-B54</f>
        <v>0</v>
      </c>
      <c r="C55" s="105">
        <f>+C53-C54</f>
        <v>0</v>
      </c>
      <c r="D55" s="105">
        <f t="shared" ref="D55:F55" si="13">+D53-D54</f>
        <v>0</v>
      </c>
      <c r="E55" s="105">
        <f t="shared" si="13"/>
        <v>0</v>
      </c>
      <c r="F55" s="105">
        <f t="shared" si="13"/>
        <v>0</v>
      </c>
      <c r="G55" s="106">
        <f>SUM(B55:F55)</f>
        <v>0</v>
      </c>
      <c r="N55" s="13"/>
      <c r="O55" s="13"/>
    </row>
    <row r="56" spans="1:15" ht="12" thickBot="1" x14ac:dyDescent="0.25">
      <c r="A56" s="7" t="s">
        <v>18</v>
      </c>
      <c r="B56" s="21">
        <f>ROUND(B55*$B$59,0)</f>
        <v>0</v>
      </c>
      <c r="C56" s="21">
        <f t="shared" ref="C56:F56" si="14">ROUND(C55*$B$59,0)</f>
        <v>0</v>
      </c>
      <c r="D56" s="21">
        <f t="shared" si="14"/>
        <v>0</v>
      </c>
      <c r="E56" s="21">
        <f t="shared" si="14"/>
        <v>0</v>
      </c>
      <c r="F56" s="21">
        <f t="shared" si="14"/>
        <v>0</v>
      </c>
      <c r="G56" s="106">
        <f>SUM(B56:F56)</f>
        <v>0</v>
      </c>
      <c r="N56" s="13"/>
      <c r="O56" s="13"/>
    </row>
    <row r="57" spans="1:15" ht="12" thickBot="1" x14ac:dyDescent="0.25">
      <c r="A57" s="19" t="s">
        <v>19</v>
      </c>
      <c r="B57" s="98">
        <f>+B53+B56</f>
        <v>0</v>
      </c>
      <c r="C57" s="98">
        <f t="shared" ref="C57:F57" si="15">+C53+C56</f>
        <v>0</v>
      </c>
      <c r="D57" s="98">
        <f t="shared" si="15"/>
        <v>0</v>
      </c>
      <c r="E57" s="98">
        <f t="shared" si="15"/>
        <v>0</v>
      </c>
      <c r="F57" s="98">
        <f t="shared" si="15"/>
        <v>0</v>
      </c>
      <c r="G57" s="20">
        <f>SUM(B57:F57)</f>
        <v>0</v>
      </c>
      <c r="L57" s="12"/>
      <c r="N57" s="13"/>
      <c r="O57" s="13"/>
    </row>
    <row r="58" spans="1:15" x14ac:dyDescent="0.2">
      <c r="A58" s="22"/>
      <c r="B58" s="12"/>
      <c r="C58" s="12"/>
      <c r="D58" s="12"/>
      <c r="E58" s="12"/>
      <c r="F58" s="12"/>
      <c r="I58" s="39"/>
      <c r="J58" s="12"/>
      <c r="K58" s="39"/>
      <c r="L58" s="39"/>
      <c r="M58" s="39"/>
      <c r="N58" s="13"/>
      <c r="O58" s="13"/>
    </row>
    <row r="59" spans="1:15" x14ac:dyDescent="0.2">
      <c r="A59" s="650" t="s">
        <v>317</v>
      </c>
      <c r="B59" s="630">
        <v>0.42857000000000001</v>
      </c>
      <c r="C59" s="3" t="str">
        <f ca="1">CONCATENATE("Indirect Cost Rate for ",""&amp;MID('rates, dates, etc'!AH13,FIND("]",'rates, dates, etc'!AH13)+1,25))</f>
        <v>Indirect Cost Rate for Consortium 5</v>
      </c>
      <c r="D59" s="39"/>
      <c r="G59" s="39"/>
      <c r="I59" s="39"/>
      <c r="J59" s="12"/>
      <c r="K59" s="39"/>
      <c r="L59" s="39"/>
      <c r="M59" s="39"/>
      <c r="N59" s="13"/>
      <c r="O59" s="13"/>
    </row>
    <row r="60" spans="1:15" x14ac:dyDescent="0.2">
      <c r="A60" s="22"/>
      <c r="B60" s="39"/>
      <c r="C60" s="39"/>
      <c r="D60" s="39"/>
      <c r="E60" s="39"/>
      <c r="F60" s="39"/>
      <c r="G60" s="39"/>
      <c r="I60" s="39"/>
      <c r="J60" s="12"/>
      <c r="K60" s="39"/>
      <c r="L60" s="39"/>
      <c r="M60" s="39"/>
      <c r="N60" s="13"/>
      <c r="O60" s="13"/>
    </row>
    <row r="61" spans="1:15" ht="12" thickBot="1" x14ac:dyDescent="0.25">
      <c r="A61" s="32"/>
      <c r="B61" s="33"/>
      <c r="C61" s="33"/>
      <c r="D61" s="33"/>
      <c r="E61" s="33"/>
      <c r="F61" s="33"/>
      <c r="G61" s="33"/>
      <c r="H61" s="34"/>
      <c r="I61" s="34"/>
      <c r="J61" s="34"/>
      <c r="K61" s="12"/>
    </row>
    <row r="63" spans="1:15" x14ac:dyDescent="0.2">
      <c r="A63" s="2" t="s">
        <v>42</v>
      </c>
      <c r="B63" s="40">
        <f>IF(B57&lt;25000,B57,25000)</f>
        <v>0</v>
      </c>
      <c r="C63" s="40">
        <f>IF(+B57&gt;25000,0,IF(B57+C57&gt;25000,(25000-B57),C57))</f>
        <v>0</v>
      </c>
      <c r="D63" s="40">
        <f>IF(+B57+C57&gt;25000,0,IF(B57+C57+D57&gt;25000,(25000-(B57+C57)),D57))</f>
        <v>0</v>
      </c>
      <c r="E63" s="40">
        <f>IF(B57+C57+D57&gt;25000,0,IF(B57+C57+D57+E57&gt;25000,(25000-(B57+C57+D57)),E57))</f>
        <v>0</v>
      </c>
      <c r="F63" s="40">
        <f>IF(B57+C57+D57+E57&gt;25000,0,IF(B57+C57+D57+E57+F57&gt;25000,(25000-(B57+C57+D57+E57)),F57))</f>
        <v>0</v>
      </c>
      <c r="G63" s="11">
        <f>SUM(B63:F63)</f>
        <v>0</v>
      </c>
      <c r="H63" s="11"/>
      <c r="I63" s="2"/>
    </row>
    <row r="64" spans="1:15" x14ac:dyDescent="0.2">
      <c r="A64" s="2" t="s">
        <v>43</v>
      </c>
      <c r="B64" s="40">
        <f>+B57-B63</f>
        <v>0</v>
      </c>
      <c r="C64" s="40">
        <f>+C57-C63</f>
        <v>0</v>
      </c>
      <c r="D64" s="40">
        <f>+D57-D63</f>
        <v>0</v>
      </c>
      <c r="E64" s="40">
        <f>+E57-E63</f>
        <v>0</v>
      </c>
      <c r="F64" s="40">
        <f>+F57-F63</f>
        <v>0</v>
      </c>
      <c r="G64" s="11">
        <f t="shared" ref="G64:G66" si="16">SUM(B64:F64)</f>
        <v>0</v>
      </c>
      <c r="H64" s="11"/>
      <c r="I64" s="2"/>
    </row>
    <row r="65" spans="2:7" x14ac:dyDescent="0.2">
      <c r="C65" s="13"/>
      <c r="G65" s="11"/>
    </row>
    <row r="66" spans="2:7" x14ac:dyDescent="0.2">
      <c r="B66" s="13">
        <f>SUM(B63:B64)</f>
        <v>0</v>
      </c>
      <c r="C66" s="13">
        <f>SUM(C63:C64)</f>
        <v>0</v>
      </c>
      <c r="D66" s="13">
        <f t="shared" ref="D66:F66" si="17">SUM(D63:D64)</f>
        <v>0</v>
      </c>
      <c r="E66" s="13">
        <f t="shared" si="17"/>
        <v>0</v>
      </c>
      <c r="F66" s="13">
        <f t="shared" si="17"/>
        <v>0</v>
      </c>
      <c r="G66" s="11">
        <f t="shared" si="16"/>
        <v>0</v>
      </c>
    </row>
  </sheetData>
  <pageMargins left="0.75" right="0.53" top="0.7" bottom="0.64" header="0.5" footer="0.5"/>
  <pageSetup scale="96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O66"/>
  <sheetViews>
    <sheetView zoomScale="130" zoomScaleNormal="130" workbookViewId="0">
      <selection activeCell="A8" sqref="A8"/>
    </sheetView>
  </sheetViews>
  <sheetFormatPr defaultColWidth="9.28515625" defaultRowHeight="11.25" x14ac:dyDescent="0.2"/>
  <cols>
    <col min="1" max="1" width="33.42578125" style="2" customWidth="1"/>
    <col min="2" max="6" width="8.42578125" style="2" customWidth="1"/>
    <col min="7" max="7" width="9.5703125" style="3" bestFit="1" customWidth="1"/>
    <col min="8" max="8" width="9.7109375" style="3" customWidth="1"/>
    <col min="9" max="9" width="18.5703125" style="3" bestFit="1" customWidth="1"/>
    <col min="10" max="10" width="6.7109375" style="3" bestFit="1" customWidth="1"/>
    <col min="11" max="11" width="9.7109375" style="3" customWidth="1"/>
    <col min="12" max="13" width="9.7109375" style="2" customWidth="1"/>
    <col min="14" max="16384" width="9.28515625" style="2"/>
  </cols>
  <sheetData>
    <row r="1" spans="1:14" ht="12.75" x14ac:dyDescent="0.2">
      <c r="A1" s="1" t="str">
        <f>+'Lead Budget'!A1</f>
        <v>Assessing the Potential for Demand Response to Manage Generation Shortfalls in a Zero-Carbon Electricity Grid”</v>
      </c>
    </row>
    <row r="2" spans="1:14" ht="12.75" x14ac:dyDescent="0.2">
      <c r="A2" s="1" t="str">
        <f>+'Lead Budget'!A2</f>
        <v>USDA</v>
      </c>
    </row>
    <row r="3" spans="1:14" ht="12.75" customHeight="1" thickBot="1" x14ac:dyDescent="0.25"/>
    <row r="4" spans="1:14" x14ac:dyDescent="0.2">
      <c r="A4" s="4"/>
      <c r="B4" s="5" t="s">
        <v>1</v>
      </c>
      <c r="C4" s="5" t="s">
        <v>2</v>
      </c>
      <c r="D4" s="5" t="s">
        <v>3</v>
      </c>
      <c r="E4" s="5" t="s">
        <v>44</v>
      </c>
      <c r="F4" s="5" t="s">
        <v>50</v>
      </c>
      <c r="G4" s="23"/>
    </row>
    <row r="5" spans="1:14" ht="12" thickBot="1" x14ac:dyDescent="0.25">
      <c r="A5" s="4" t="str">
        <f ca="1">""&amp;MID('rates, dates, etc'!AH14,FIND("]",'rates, dates, etc'!AH14)+1,25)</f>
        <v>Consortium 6</v>
      </c>
      <c r="B5" s="6">
        <f>+'Lead Budget'!B5</f>
        <v>44927</v>
      </c>
      <c r="C5" s="6">
        <f>+'Lead Budget'!C5</f>
        <v>45292</v>
      </c>
      <c r="D5" s="6">
        <f>+'Lead Budget'!D5</f>
        <v>45658</v>
      </c>
      <c r="E5" s="6">
        <f>+'Lead Budget'!E5</f>
        <v>46023</v>
      </c>
      <c r="F5" s="6">
        <f>+'Lead Budget'!F5</f>
        <v>46388</v>
      </c>
      <c r="G5" s="24"/>
    </row>
    <row r="6" spans="1:14" ht="12" thickBot="1" x14ac:dyDescent="0.25">
      <c r="A6" s="7" t="s">
        <v>4</v>
      </c>
      <c r="B6" s="46">
        <f>+'Lead Budget'!B6</f>
        <v>45291</v>
      </c>
      <c r="C6" s="8">
        <f>+'Lead Budget'!C6</f>
        <v>45657</v>
      </c>
      <c r="D6" s="8">
        <f>+'Lead Budget'!D6</f>
        <v>46022</v>
      </c>
      <c r="E6" s="8">
        <f>+'Lead Budget'!E6</f>
        <v>46387</v>
      </c>
      <c r="F6" s="8">
        <f>+'Lead Budget'!F6</f>
        <v>46752</v>
      </c>
      <c r="G6" s="25" t="s">
        <v>5</v>
      </c>
    </row>
    <row r="7" spans="1:14" x14ac:dyDescent="0.2">
      <c r="A7" s="9" t="s">
        <v>136</v>
      </c>
      <c r="B7" s="11"/>
      <c r="C7" s="11"/>
      <c r="D7" s="12"/>
      <c r="E7" s="12"/>
      <c r="F7" s="12"/>
      <c r="G7" s="27" t="s">
        <v>6</v>
      </c>
    </row>
    <row r="8" spans="1:14" x14ac:dyDescent="0.2">
      <c r="A8" s="10" t="s">
        <v>78</v>
      </c>
      <c r="B8" s="11"/>
      <c r="C8" s="11"/>
      <c r="D8" s="11"/>
      <c r="E8" s="11"/>
      <c r="F8" s="11"/>
      <c r="G8" s="27">
        <f>SUM(B8:F8)</f>
        <v>0</v>
      </c>
      <c r="N8" s="13"/>
    </row>
    <row r="9" spans="1:14" x14ac:dyDescent="0.2">
      <c r="A9" s="10" t="s">
        <v>61</v>
      </c>
      <c r="B9" s="11"/>
      <c r="C9" s="11"/>
      <c r="D9" s="11"/>
      <c r="E9" s="11"/>
      <c r="F9" s="11"/>
      <c r="G9" s="27">
        <f>SUM(B9:F9)</f>
        <v>0</v>
      </c>
    </row>
    <row r="10" spans="1:14" ht="12" thickBot="1" x14ac:dyDescent="0.25">
      <c r="A10" s="15" t="str">
        <f>CONCATENATE("Total ",A7)</f>
        <v>Total Senior Personnel Salary</v>
      </c>
      <c r="B10" s="16">
        <f>SUM(B7:B9)</f>
        <v>0</v>
      </c>
      <c r="C10" s="16">
        <f t="shared" ref="C10:F10" si="0">SUM(C7:C9)</f>
        <v>0</v>
      </c>
      <c r="D10" s="16">
        <f t="shared" si="0"/>
        <v>0</v>
      </c>
      <c r="E10" s="16">
        <f t="shared" si="0"/>
        <v>0</v>
      </c>
      <c r="F10" s="16">
        <f t="shared" si="0"/>
        <v>0</v>
      </c>
      <c r="G10" s="28">
        <f>SUM(G7:G9)</f>
        <v>0</v>
      </c>
    </row>
    <row r="11" spans="1:14" x14ac:dyDescent="0.2">
      <c r="A11" s="14" t="s">
        <v>137</v>
      </c>
      <c r="B11" s="11"/>
      <c r="C11" s="11"/>
      <c r="D11" s="12"/>
      <c r="E11" s="12"/>
      <c r="F11" s="12"/>
      <c r="G11" s="27"/>
    </row>
    <row r="12" spans="1:14" x14ac:dyDescent="0.2">
      <c r="A12" s="10" t="s">
        <v>88</v>
      </c>
      <c r="B12" s="11"/>
      <c r="C12" s="11"/>
      <c r="D12" s="12"/>
      <c r="E12" s="12"/>
      <c r="F12" s="12"/>
      <c r="G12" s="27">
        <f t="shared" ref="G12" si="1">SUM(B12:F12)</f>
        <v>0</v>
      </c>
    </row>
    <row r="13" spans="1:14" x14ac:dyDescent="0.2">
      <c r="A13" s="10" t="s">
        <v>85</v>
      </c>
      <c r="B13" s="11"/>
      <c r="C13" s="11"/>
      <c r="D13" s="12"/>
      <c r="E13" s="12"/>
      <c r="F13" s="12"/>
      <c r="G13" s="27">
        <f>SUM(B13:F13)</f>
        <v>0</v>
      </c>
    </row>
    <row r="14" spans="1:14" x14ac:dyDescent="0.2">
      <c r="A14" s="10" t="s">
        <v>89</v>
      </c>
      <c r="B14" s="11"/>
      <c r="C14" s="11"/>
      <c r="D14" s="11"/>
      <c r="E14" s="11"/>
      <c r="F14" s="11"/>
      <c r="G14" s="27">
        <f>SUM(B14:F14)</f>
        <v>0</v>
      </c>
    </row>
    <row r="15" spans="1:14" x14ac:dyDescent="0.2">
      <c r="A15" s="10" t="s">
        <v>90</v>
      </c>
      <c r="B15" s="11"/>
      <c r="C15" s="11"/>
      <c r="D15" s="11"/>
      <c r="E15" s="11"/>
      <c r="F15" s="11"/>
      <c r="G15" s="27">
        <f>SUM(B15:F15)</f>
        <v>0</v>
      </c>
    </row>
    <row r="16" spans="1:14" x14ac:dyDescent="0.2">
      <c r="A16" s="10" t="s">
        <v>29</v>
      </c>
      <c r="B16" s="11"/>
      <c r="C16" s="11"/>
      <c r="D16" s="12"/>
      <c r="E16" s="12"/>
      <c r="F16" s="12"/>
      <c r="G16" s="27">
        <f>SUM(B16:F16)</f>
        <v>0</v>
      </c>
    </row>
    <row r="17" spans="1:15" x14ac:dyDescent="0.2">
      <c r="A17" s="10"/>
      <c r="B17" s="11"/>
      <c r="C17" s="11"/>
      <c r="D17" s="12"/>
      <c r="E17" s="12"/>
      <c r="F17" s="12"/>
      <c r="G17" s="27">
        <f>SUM(B17:F17)</f>
        <v>0</v>
      </c>
      <c r="N17" s="13"/>
      <c r="O17" s="13"/>
    </row>
    <row r="18" spans="1:15" ht="12" thickBot="1" x14ac:dyDescent="0.25">
      <c r="A18" s="15" t="str">
        <f>CONCATENATE("Total ",A11)</f>
        <v>Total Other Personnel Salary</v>
      </c>
      <c r="B18" s="16">
        <f>SUM(B11:B17)</f>
        <v>0</v>
      </c>
      <c r="C18" s="16">
        <f t="shared" ref="C18:F18" si="2">SUM(C11:C17)</f>
        <v>0</v>
      </c>
      <c r="D18" s="16">
        <f>SUM(D11:D17)</f>
        <v>0</v>
      </c>
      <c r="E18" s="16">
        <f>SUM(E11:E17)</f>
        <v>0</v>
      </c>
      <c r="F18" s="16">
        <f t="shared" si="2"/>
        <v>0</v>
      </c>
      <c r="G18" s="28">
        <f>SUM(G11:G17)</f>
        <v>0</v>
      </c>
    </row>
    <row r="19" spans="1:15" x14ac:dyDescent="0.2">
      <c r="A19" s="17" t="s">
        <v>7</v>
      </c>
      <c r="B19" s="11" t="s">
        <v>6</v>
      </c>
      <c r="C19" s="11"/>
      <c r="D19" s="12"/>
      <c r="E19" s="12"/>
      <c r="F19" s="12"/>
      <c r="G19" s="27"/>
    </row>
    <row r="20" spans="1:15" x14ac:dyDescent="0.2">
      <c r="A20" s="10" t="str">
        <f>+A8</f>
        <v>PI</v>
      </c>
      <c r="B20" s="11"/>
      <c r="C20" s="11"/>
      <c r="D20" s="11"/>
      <c r="E20" s="11"/>
      <c r="F20" s="11"/>
      <c r="G20" s="27">
        <f>SUM(B20:F20)</f>
        <v>0</v>
      </c>
    </row>
    <row r="21" spans="1:15" x14ac:dyDescent="0.2">
      <c r="A21" s="10" t="str">
        <f>+A9</f>
        <v>Co-PI</v>
      </c>
      <c r="B21" s="11"/>
      <c r="C21" s="11"/>
      <c r="D21" s="11"/>
      <c r="E21" s="11"/>
      <c r="F21" s="11"/>
      <c r="G21" s="27">
        <f t="shared" ref="G21:G24" si="3">SUM(B21:F21)</f>
        <v>0</v>
      </c>
    </row>
    <row r="22" spans="1:15" x14ac:dyDescent="0.2">
      <c r="A22" s="10" t="s">
        <v>88</v>
      </c>
      <c r="B22" s="11"/>
      <c r="C22" s="11"/>
      <c r="D22" s="11"/>
      <c r="E22" s="11"/>
      <c r="F22" s="11"/>
      <c r="G22" s="27">
        <f t="shared" si="3"/>
        <v>0</v>
      </c>
    </row>
    <row r="23" spans="1:15" x14ac:dyDescent="0.2">
      <c r="A23" s="10" t="s">
        <v>90</v>
      </c>
      <c r="B23" s="11"/>
      <c r="C23" s="11"/>
      <c r="D23" s="11"/>
      <c r="E23" s="11"/>
      <c r="F23" s="11"/>
      <c r="G23" s="27">
        <f t="shared" si="3"/>
        <v>0</v>
      </c>
      <c r="N23" s="13"/>
      <c r="O23" s="13"/>
    </row>
    <row r="24" spans="1:15" x14ac:dyDescent="0.2">
      <c r="A24" s="10" t="s">
        <v>29</v>
      </c>
      <c r="B24" s="11"/>
      <c r="C24" s="11"/>
      <c r="D24" s="11"/>
      <c r="E24" s="11"/>
      <c r="F24" s="11"/>
      <c r="G24" s="27">
        <f t="shared" si="3"/>
        <v>0</v>
      </c>
      <c r="N24" s="13"/>
      <c r="O24" s="13"/>
    </row>
    <row r="25" spans="1:15" ht="12" thickBot="1" x14ac:dyDescent="0.25">
      <c r="A25" s="15" t="s">
        <v>93</v>
      </c>
      <c r="B25" s="16">
        <f>SUM(B19:B24)</f>
        <v>0</v>
      </c>
      <c r="C25" s="16">
        <f>SUM(C19:C24)</f>
        <v>0</v>
      </c>
      <c r="D25" s="16">
        <f>SUM(D19:D24)</f>
        <v>0</v>
      </c>
      <c r="E25" s="16">
        <f t="shared" ref="E25:F25" si="4">SUM(E19:E24)</f>
        <v>0</v>
      </c>
      <c r="F25" s="16">
        <f t="shared" si="4"/>
        <v>0</v>
      </c>
      <c r="G25" s="28">
        <f>SUM(G19:G24)</f>
        <v>0</v>
      </c>
      <c r="N25" s="13"/>
      <c r="O25" s="13"/>
    </row>
    <row r="26" spans="1:15" ht="12" thickBot="1" x14ac:dyDescent="0.25">
      <c r="A26" s="143" t="s">
        <v>131</v>
      </c>
      <c r="B26" s="144">
        <f>+B10+B18+B25</f>
        <v>0</v>
      </c>
      <c r="C26" s="144">
        <f>+C10+C18+C25</f>
        <v>0</v>
      </c>
      <c r="D26" s="144">
        <f t="shared" ref="D26:F26" si="5">+D10+D18+D25</f>
        <v>0</v>
      </c>
      <c r="E26" s="144">
        <f t="shared" si="5"/>
        <v>0</v>
      </c>
      <c r="F26" s="144">
        <f t="shared" si="5"/>
        <v>0</v>
      </c>
      <c r="G26" s="145">
        <f>+G10+G18+G25</f>
        <v>0</v>
      </c>
      <c r="N26" s="13"/>
      <c r="O26" s="13"/>
    </row>
    <row r="27" spans="1:15" x14ac:dyDescent="0.2">
      <c r="A27" s="17" t="s">
        <v>25</v>
      </c>
      <c r="B27" s="11"/>
      <c r="C27" s="11"/>
      <c r="D27" s="12"/>
      <c r="E27" s="12"/>
      <c r="F27" s="12"/>
      <c r="G27" s="27"/>
      <c r="N27" s="13"/>
      <c r="O27" s="13"/>
    </row>
    <row r="28" spans="1:15" x14ac:dyDescent="0.2">
      <c r="A28" s="10" t="s">
        <v>66</v>
      </c>
      <c r="B28" s="11"/>
      <c r="C28" s="11"/>
      <c r="D28" s="12"/>
      <c r="E28" s="12"/>
      <c r="F28" s="12"/>
      <c r="G28" s="27">
        <f>SUM(B28:F28)</f>
        <v>0</v>
      </c>
    </row>
    <row r="29" spans="1:15" x14ac:dyDescent="0.2">
      <c r="A29" s="10"/>
      <c r="B29" s="11"/>
      <c r="C29" s="11"/>
      <c r="D29" s="12"/>
      <c r="E29" s="12"/>
      <c r="F29" s="12"/>
      <c r="G29" s="27">
        <f>SUM(B29:F29)</f>
        <v>0</v>
      </c>
    </row>
    <row r="30" spans="1:15" ht="12" thickBot="1" x14ac:dyDescent="0.25">
      <c r="A30" s="15" t="s">
        <v>26</v>
      </c>
      <c r="B30" s="16">
        <f>SUM(B27:B29)</f>
        <v>0</v>
      </c>
      <c r="C30" s="16">
        <f>SUM(C27:C29)</f>
        <v>0</v>
      </c>
      <c r="D30" s="16">
        <f>SUM(D27:D29)</f>
        <v>0</v>
      </c>
      <c r="E30" s="16">
        <f t="shared" ref="E30:F30" si="6">SUM(E27:E29)</f>
        <v>0</v>
      </c>
      <c r="F30" s="16">
        <f t="shared" si="6"/>
        <v>0</v>
      </c>
      <c r="G30" s="28">
        <f>SUM(G27:G29)</f>
        <v>0</v>
      </c>
    </row>
    <row r="31" spans="1:15" x14ac:dyDescent="0.2">
      <c r="A31" s="17" t="s">
        <v>34</v>
      </c>
      <c r="B31" s="11"/>
      <c r="C31" s="11"/>
      <c r="D31" s="12"/>
      <c r="E31" s="12"/>
      <c r="F31" s="12"/>
      <c r="G31" s="27"/>
    </row>
    <row r="32" spans="1:15" x14ac:dyDescent="0.2">
      <c r="A32" s="10" t="s">
        <v>10</v>
      </c>
      <c r="B32" s="11"/>
      <c r="C32" s="11"/>
      <c r="D32" s="11"/>
      <c r="E32" s="11"/>
      <c r="F32" s="11"/>
      <c r="G32" s="27">
        <f>SUM(B32:F32)</f>
        <v>0</v>
      </c>
      <c r="N32" s="13"/>
      <c r="O32" s="13"/>
    </row>
    <row r="33" spans="1:15" x14ac:dyDescent="0.2">
      <c r="A33" s="10" t="s">
        <v>11</v>
      </c>
      <c r="B33" s="11"/>
      <c r="C33" s="11"/>
      <c r="D33" s="11"/>
      <c r="E33" s="11"/>
      <c r="F33" s="11"/>
      <c r="G33" s="27">
        <f>SUM(B33:F33)</f>
        <v>0</v>
      </c>
      <c r="N33" s="13"/>
      <c r="O33" s="13"/>
    </row>
    <row r="34" spans="1:15" ht="12" thickBot="1" x14ac:dyDescent="0.25">
      <c r="A34" s="15" t="s">
        <v>12</v>
      </c>
      <c r="B34" s="16">
        <f>SUM(B31:B33)</f>
        <v>0</v>
      </c>
      <c r="C34" s="16">
        <f>SUM(C31:C33)</f>
        <v>0</v>
      </c>
      <c r="D34" s="16">
        <f>SUM(D31:D33)</f>
        <v>0</v>
      </c>
      <c r="E34" s="16">
        <f t="shared" ref="E34:F34" si="7">SUM(E31:E33)</f>
        <v>0</v>
      </c>
      <c r="F34" s="16">
        <f t="shared" si="7"/>
        <v>0</v>
      </c>
      <c r="G34" s="28">
        <f>SUM(G31:G33)</f>
        <v>0</v>
      </c>
      <c r="N34" s="13"/>
      <c r="O34" s="13"/>
    </row>
    <row r="35" spans="1:15" x14ac:dyDescent="0.2">
      <c r="A35" s="17" t="s">
        <v>27</v>
      </c>
      <c r="B35" s="11"/>
      <c r="C35" s="11"/>
      <c r="D35" s="12"/>
      <c r="E35" s="12"/>
      <c r="F35" s="12"/>
      <c r="G35" s="27"/>
      <c r="N35" s="13"/>
      <c r="O35" s="13"/>
    </row>
    <row r="36" spans="1:15" x14ac:dyDescent="0.2">
      <c r="A36" s="10" t="s">
        <v>91</v>
      </c>
      <c r="B36" s="11"/>
      <c r="C36" s="11"/>
      <c r="D36" s="12"/>
      <c r="E36" s="12"/>
      <c r="F36" s="12"/>
      <c r="G36" s="27">
        <f>SUM(B36:F36)</f>
        <v>0</v>
      </c>
      <c r="N36" s="13"/>
      <c r="O36" s="13"/>
    </row>
    <row r="37" spans="1:15" x14ac:dyDescent="0.2">
      <c r="A37" s="10" t="s">
        <v>47</v>
      </c>
      <c r="B37" s="11"/>
      <c r="C37" s="11"/>
      <c r="D37" s="12"/>
      <c r="E37" s="12"/>
      <c r="F37" s="12"/>
      <c r="G37" s="27">
        <f>SUM(B37:F37)</f>
        <v>0</v>
      </c>
      <c r="N37" s="13"/>
      <c r="O37" s="13"/>
    </row>
    <row r="38" spans="1:15" x14ac:dyDescent="0.2">
      <c r="A38" s="10" t="s">
        <v>34</v>
      </c>
      <c r="B38" s="11"/>
      <c r="C38" s="11"/>
      <c r="D38" s="12"/>
      <c r="E38" s="12"/>
      <c r="F38" s="12"/>
      <c r="G38" s="27">
        <f t="shared" ref="G38:G40" si="8">SUM(B38:F38)</f>
        <v>0</v>
      </c>
    </row>
    <row r="39" spans="1:15" x14ac:dyDescent="0.2">
      <c r="A39" s="10" t="s">
        <v>48</v>
      </c>
      <c r="B39" s="11"/>
      <c r="C39" s="11"/>
      <c r="D39" s="12"/>
      <c r="E39" s="12"/>
      <c r="F39" s="12"/>
      <c r="G39" s="27">
        <f t="shared" si="8"/>
        <v>0</v>
      </c>
    </row>
    <row r="40" spans="1:15" x14ac:dyDescent="0.2">
      <c r="A40" s="10" t="s">
        <v>29</v>
      </c>
      <c r="B40" s="11"/>
      <c r="C40" s="11"/>
      <c r="D40" s="12"/>
      <c r="E40" s="12"/>
      <c r="F40" s="12"/>
      <c r="G40" s="27">
        <f t="shared" si="8"/>
        <v>0</v>
      </c>
    </row>
    <row r="41" spans="1:15" ht="12" thickBot="1" x14ac:dyDescent="0.25">
      <c r="A41" s="15" t="s">
        <v>28</v>
      </c>
      <c r="B41" s="16">
        <f>SUM(B35:B40)</f>
        <v>0</v>
      </c>
      <c r="C41" s="16">
        <f>SUM(C35:C40)</f>
        <v>0</v>
      </c>
      <c r="D41" s="16">
        <f>SUM(D35:D40)</f>
        <v>0</v>
      </c>
      <c r="E41" s="16">
        <f t="shared" ref="E41:F41" si="9">SUM(E35:E40)</f>
        <v>0</v>
      </c>
      <c r="F41" s="16">
        <f t="shared" si="9"/>
        <v>0</v>
      </c>
      <c r="G41" s="28">
        <f>SUM(G35:G40)</f>
        <v>0</v>
      </c>
    </row>
    <row r="42" spans="1:15" x14ac:dyDescent="0.2">
      <c r="A42" s="17" t="s">
        <v>13</v>
      </c>
      <c r="B42" s="11"/>
      <c r="C42" s="11"/>
      <c r="D42" s="12"/>
      <c r="E42" s="12"/>
      <c r="F42" s="12"/>
      <c r="G42" s="27"/>
    </row>
    <row r="43" spans="1:15" x14ac:dyDescent="0.2">
      <c r="A43" s="10" t="str">
        <f>+'Lead Budget'!A46</f>
        <v>Materials &amp; Supplies</v>
      </c>
      <c r="B43" s="18"/>
      <c r="C43" s="18"/>
      <c r="D43" s="18"/>
      <c r="E43" s="18"/>
      <c r="F43" s="18"/>
      <c r="G43" s="27">
        <f>SUM(B43:F43)</f>
        <v>0</v>
      </c>
    </row>
    <row r="44" spans="1:15" x14ac:dyDescent="0.2">
      <c r="A44" s="10" t="str">
        <f>+'Lead Budget'!A47</f>
        <v>Publication Costs</v>
      </c>
      <c r="B44" s="11"/>
      <c r="C44" s="11"/>
      <c r="D44" s="11"/>
      <c r="E44" s="11"/>
      <c r="F44" s="11"/>
      <c r="G44" s="27">
        <f t="shared" ref="G44:G51" si="10">SUM(B44:F44)</f>
        <v>0</v>
      </c>
    </row>
    <row r="45" spans="1:15" x14ac:dyDescent="0.2">
      <c r="A45" s="10" t="str">
        <f>+'Lead Budget'!A48</f>
        <v>Consultant Services</v>
      </c>
      <c r="B45" s="11"/>
      <c r="C45" s="11"/>
      <c r="D45" s="12"/>
      <c r="E45" s="12"/>
      <c r="F45" s="12"/>
      <c r="G45" s="27">
        <f t="shared" si="10"/>
        <v>0</v>
      </c>
    </row>
    <row r="46" spans="1:15" x14ac:dyDescent="0.2">
      <c r="A46" s="10" t="str">
        <f>+'Lead Budget'!A49</f>
        <v>ADP/Computer Services</v>
      </c>
      <c r="B46" s="11"/>
      <c r="C46" s="11"/>
      <c r="D46" s="11"/>
      <c r="E46" s="11"/>
      <c r="F46" s="11"/>
      <c r="G46" s="27">
        <f t="shared" si="10"/>
        <v>0</v>
      </c>
    </row>
    <row r="47" spans="1:15" x14ac:dyDescent="0.2">
      <c r="A47" s="10" t="str">
        <f>+'Lead Budget'!A50</f>
        <v xml:space="preserve">SubContracts </v>
      </c>
      <c r="B47" s="11"/>
      <c r="C47" s="11"/>
      <c r="D47" s="11"/>
      <c r="E47" s="11"/>
      <c r="F47" s="11"/>
      <c r="G47" s="27">
        <f t="shared" si="10"/>
        <v>0</v>
      </c>
    </row>
    <row r="48" spans="1:15" x14ac:dyDescent="0.2">
      <c r="A48" s="10" t="str">
        <f>+'Lead Budget'!A51</f>
        <v xml:space="preserve">Equipment or Facility Rental/User Fees </v>
      </c>
      <c r="B48" s="11"/>
      <c r="C48" s="11"/>
      <c r="D48" s="11"/>
      <c r="E48" s="11"/>
      <c r="F48" s="11"/>
      <c r="G48" s="27">
        <f t="shared" si="10"/>
        <v>0</v>
      </c>
    </row>
    <row r="49" spans="1:15" x14ac:dyDescent="0.2">
      <c r="A49" s="10" t="str">
        <f>+'Lead Budget'!A52</f>
        <v>Other: Tuition</v>
      </c>
      <c r="B49" s="11"/>
      <c r="C49" s="11"/>
      <c r="D49" s="11"/>
      <c r="E49" s="11"/>
      <c r="F49" s="11"/>
      <c r="G49" s="27">
        <f t="shared" si="10"/>
        <v>0</v>
      </c>
    </row>
    <row r="50" spans="1:15" x14ac:dyDescent="0.2">
      <c r="A50" s="10" t="str">
        <f>+'Lead Budget'!A53</f>
        <v>Other: Health Insurance</v>
      </c>
      <c r="B50" s="11"/>
      <c r="C50" s="11"/>
      <c r="D50" s="11"/>
      <c r="E50" s="11"/>
      <c r="F50" s="11"/>
      <c r="G50" s="27">
        <f t="shared" si="10"/>
        <v>0</v>
      </c>
    </row>
    <row r="51" spans="1:15" x14ac:dyDescent="0.2">
      <c r="A51" s="10" t="str">
        <f>+'Lead Budget'!A54</f>
        <v>Other</v>
      </c>
      <c r="B51" s="11"/>
      <c r="C51" s="11"/>
      <c r="D51" s="11"/>
      <c r="E51" s="11"/>
      <c r="F51" s="11"/>
      <c r="G51" s="27">
        <f t="shared" si="10"/>
        <v>0</v>
      </c>
    </row>
    <row r="52" spans="1:15" ht="12" thickBot="1" x14ac:dyDescent="0.25">
      <c r="A52" s="15" t="s">
        <v>94</v>
      </c>
      <c r="B52" s="16">
        <f t="shared" ref="B52:G52" si="11">SUM(B42:B51)</f>
        <v>0</v>
      </c>
      <c r="C52" s="16">
        <f t="shared" si="11"/>
        <v>0</v>
      </c>
      <c r="D52" s="16">
        <f t="shared" si="11"/>
        <v>0</v>
      </c>
      <c r="E52" s="16">
        <f t="shared" si="11"/>
        <v>0</v>
      </c>
      <c r="F52" s="16">
        <f t="shared" si="11"/>
        <v>0</v>
      </c>
      <c r="G52" s="28">
        <f t="shared" si="11"/>
        <v>0</v>
      </c>
      <c r="K52" s="2"/>
      <c r="N52" s="13"/>
      <c r="O52" s="13"/>
    </row>
    <row r="53" spans="1:15" ht="12" thickBot="1" x14ac:dyDescent="0.25">
      <c r="A53" s="107" t="s">
        <v>16</v>
      </c>
      <c r="B53" s="105">
        <f>SUM(+B10+B18+B25+B30+B34+B41+B52)</f>
        <v>0</v>
      </c>
      <c r="C53" s="105">
        <f>SUM(+C10+C18+C25+C30+C34+C41+C52)</f>
        <v>0</v>
      </c>
      <c r="D53" s="105">
        <f>SUM(+D10+D18+D25+D30+D34+D41+D52)</f>
        <v>0</v>
      </c>
      <c r="E53" s="105">
        <f>SUM(+E10+E18+E25+E30+E34+E41+E52)</f>
        <v>0</v>
      </c>
      <c r="F53" s="105">
        <f t="shared" ref="F53" si="12">SUM(+F10+F18+F25+F30+F34+F41+F52)</f>
        <v>0</v>
      </c>
      <c r="G53" s="106">
        <f>SUM(+G10+G18+G25+G30+G34+G41+G52)</f>
        <v>0</v>
      </c>
      <c r="N53" s="13"/>
      <c r="O53" s="13"/>
    </row>
    <row r="54" spans="1:15" ht="12" thickBot="1" x14ac:dyDescent="0.25">
      <c r="A54" s="632" t="s">
        <v>289</v>
      </c>
      <c r="B54" s="631"/>
      <c r="C54" s="631"/>
      <c r="D54" s="631"/>
      <c r="E54" s="631"/>
      <c r="F54" s="631"/>
      <c r="G54" s="633">
        <f>SUM(B54:F54)</f>
        <v>0</v>
      </c>
      <c r="N54" s="13"/>
      <c r="O54" s="13"/>
    </row>
    <row r="55" spans="1:15" ht="12" thickBot="1" x14ac:dyDescent="0.25">
      <c r="A55" s="7" t="s">
        <v>290</v>
      </c>
      <c r="B55" s="105">
        <f>+B53-B54</f>
        <v>0</v>
      </c>
      <c r="C55" s="105">
        <f>+C53-C54</f>
        <v>0</v>
      </c>
      <c r="D55" s="105">
        <f t="shared" ref="D55:F55" si="13">+D53-D54</f>
        <v>0</v>
      </c>
      <c r="E55" s="105">
        <f t="shared" si="13"/>
        <v>0</v>
      </c>
      <c r="F55" s="105">
        <f t="shared" si="13"/>
        <v>0</v>
      </c>
      <c r="G55" s="106">
        <f>SUM(B55:F55)</f>
        <v>0</v>
      </c>
      <c r="N55" s="13"/>
      <c r="O55" s="13"/>
    </row>
    <row r="56" spans="1:15" ht="12" thickBot="1" x14ac:dyDescent="0.25">
      <c r="A56" s="7" t="s">
        <v>18</v>
      </c>
      <c r="B56" s="21">
        <f>ROUND(B55*$B$59,0)</f>
        <v>0</v>
      </c>
      <c r="C56" s="21">
        <f t="shared" ref="C56:F56" si="14">ROUND(C55*$B$59,0)</f>
        <v>0</v>
      </c>
      <c r="D56" s="21">
        <f t="shared" si="14"/>
        <v>0</v>
      </c>
      <c r="E56" s="21">
        <f t="shared" si="14"/>
        <v>0</v>
      </c>
      <c r="F56" s="21">
        <f t="shared" si="14"/>
        <v>0</v>
      </c>
      <c r="G56" s="106">
        <f>SUM(B56:F56)</f>
        <v>0</v>
      </c>
      <c r="N56" s="13"/>
      <c r="O56" s="13"/>
    </row>
    <row r="57" spans="1:15" ht="12" thickBot="1" x14ac:dyDescent="0.25">
      <c r="A57" s="19" t="s">
        <v>19</v>
      </c>
      <c r="B57" s="98">
        <f>+B53+B56</f>
        <v>0</v>
      </c>
      <c r="C57" s="98">
        <f t="shared" ref="C57:F57" si="15">+C53+C56</f>
        <v>0</v>
      </c>
      <c r="D57" s="98">
        <f t="shared" si="15"/>
        <v>0</v>
      </c>
      <c r="E57" s="98">
        <f t="shared" si="15"/>
        <v>0</v>
      </c>
      <c r="F57" s="98">
        <f t="shared" si="15"/>
        <v>0</v>
      </c>
      <c r="G57" s="20">
        <f>SUM(B57:F57)</f>
        <v>0</v>
      </c>
      <c r="L57" s="12"/>
      <c r="N57" s="13"/>
      <c r="O57" s="13"/>
    </row>
    <row r="58" spans="1:15" x14ac:dyDescent="0.2">
      <c r="A58" s="22"/>
      <c r="B58" s="12"/>
      <c r="C58" s="12"/>
      <c r="D58" s="12"/>
      <c r="E58" s="12"/>
      <c r="F58" s="12"/>
      <c r="L58" s="12"/>
      <c r="N58" s="13"/>
      <c r="O58" s="13"/>
    </row>
    <row r="59" spans="1:15" x14ac:dyDescent="0.2">
      <c r="A59" s="650" t="s">
        <v>317</v>
      </c>
      <c r="B59" s="630">
        <v>0.42857000000000001</v>
      </c>
      <c r="C59" s="3" t="str">
        <f ca="1">CONCATENATE("Indirect Cost Rate for ",""&amp;MID('rates, dates, etc'!AH14,FIND("]",'rates, dates, etc'!AH14)+1,25))</f>
        <v>Indirect Cost Rate for Consortium 6</v>
      </c>
      <c r="D59" s="39"/>
      <c r="G59" s="39"/>
      <c r="I59" s="39"/>
      <c r="J59" s="12"/>
      <c r="K59" s="39"/>
      <c r="L59" s="39"/>
      <c r="M59" s="39"/>
      <c r="N59" s="13"/>
      <c r="O59" s="13"/>
    </row>
    <row r="60" spans="1:15" x14ac:dyDescent="0.2">
      <c r="A60" s="22"/>
      <c r="B60" s="39"/>
      <c r="C60" s="39"/>
      <c r="D60" s="39"/>
      <c r="E60" s="39"/>
      <c r="F60" s="39"/>
      <c r="G60" s="39"/>
      <c r="I60" s="39"/>
      <c r="J60" s="12"/>
      <c r="K60" s="39"/>
      <c r="L60" s="39"/>
      <c r="M60" s="39"/>
      <c r="N60" s="13"/>
      <c r="O60" s="13"/>
    </row>
    <row r="61" spans="1:15" ht="12" thickBot="1" x14ac:dyDescent="0.25">
      <c r="A61" s="32"/>
      <c r="B61" s="33"/>
      <c r="C61" s="33"/>
      <c r="D61" s="33"/>
      <c r="E61" s="33"/>
      <c r="F61" s="33"/>
      <c r="G61" s="33"/>
      <c r="H61" s="34"/>
      <c r="I61" s="34"/>
      <c r="J61" s="34"/>
      <c r="K61" s="12"/>
    </row>
    <row r="63" spans="1:15" x14ac:dyDescent="0.2">
      <c r="A63" s="2" t="s">
        <v>42</v>
      </c>
      <c r="B63" s="40">
        <f>IF(B57&lt;25000,B57,25000)</f>
        <v>0</v>
      </c>
      <c r="C63" s="40">
        <f>IF(+B57&gt;25000,0,IF(B57+C57&gt;25000,(25000-B57),C57))</f>
        <v>0</v>
      </c>
      <c r="D63" s="40">
        <f>IF(+B57+C57&gt;25000,0,IF(B57+C57+D57&gt;25000,(25000-(B57+C57)),D57))</f>
        <v>0</v>
      </c>
      <c r="E63" s="40">
        <f>IF(B57+C57+D57&gt;25000,0,IF(B57+C57+D57+E57&gt;25000,(25000-(B57+C57+D57)),E57))</f>
        <v>0</v>
      </c>
      <c r="F63" s="40">
        <f>IF(B57+C57+D57+E57&gt;25000,0,IF(B57+C57+D57+E57+F57&gt;25000,(25000-(B57+C57+D57+E57)),F57))</f>
        <v>0</v>
      </c>
      <c r="G63" s="11">
        <f>SUM(B63:F63)</f>
        <v>0</v>
      </c>
      <c r="H63" s="11"/>
      <c r="I63" s="2"/>
    </row>
    <row r="64" spans="1:15" x14ac:dyDescent="0.2">
      <c r="A64" s="2" t="s">
        <v>43</v>
      </c>
      <c r="B64" s="40">
        <f>+B57-B63</f>
        <v>0</v>
      </c>
      <c r="C64" s="40">
        <f>+C57-C63</f>
        <v>0</v>
      </c>
      <c r="D64" s="40">
        <f>+D57-D63</f>
        <v>0</v>
      </c>
      <c r="E64" s="40">
        <f>+E57-E63</f>
        <v>0</v>
      </c>
      <c r="F64" s="40">
        <f>+F57-F63</f>
        <v>0</v>
      </c>
      <c r="G64" s="11">
        <f t="shared" ref="G64:G66" si="16">SUM(B64:F64)</f>
        <v>0</v>
      </c>
      <c r="H64" s="11"/>
      <c r="I64" s="2"/>
    </row>
    <row r="65" spans="2:7" x14ac:dyDescent="0.2">
      <c r="C65" s="13"/>
      <c r="G65" s="11"/>
    </row>
    <row r="66" spans="2:7" x14ac:dyDescent="0.2">
      <c r="B66" s="13">
        <f>SUM(B63:B64)</f>
        <v>0</v>
      </c>
      <c r="C66" s="13">
        <f>SUM(C63:C64)</f>
        <v>0</v>
      </c>
      <c r="D66" s="13">
        <f t="shared" ref="D66:F66" si="17">SUM(D63:D64)</f>
        <v>0</v>
      </c>
      <c r="E66" s="13">
        <f t="shared" si="17"/>
        <v>0</v>
      </c>
      <c r="F66" s="13">
        <f t="shared" si="17"/>
        <v>0</v>
      </c>
      <c r="G66" s="11">
        <f t="shared" si="16"/>
        <v>0</v>
      </c>
    </row>
  </sheetData>
  <pageMargins left="0.75" right="0.53" top="0.7" bottom="0.64" header="0.5" footer="0.5"/>
  <pageSetup scale="96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O66"/>
  <sheetViews>
    <sheetView zoomScale="130" zoomScaleNormal="130" workbookViewId="0">
      <selection activeCell="A8" sqref="A8"/>
    </sheetView>
  </sheetViews>
  <sheetFormatPr defaultColWidth="9.28515625" defaultRowHeight="11.25" x14ac:dyDescent="0.2"/>
  <cols>
    <col min="1" max="1" width="33.42578125" style="2" customWidth="1"/>
    <col min="2" max="6" width="8.42578125" style="2" customWidth="1"/>
    <col min="7" max="7" width="9.5703125" style="3" bestFit="1" customWidth="1"/>
    <col min="8" max="8" width="9.7109375" style="3" customWidth="1"/>
    <col min="9" max="9" width="18.5703125" style="3" bestFit="1" customWidth="1"/>
    <col min="10" max="10" width="6.7109375" style="3" bestFit="1" customWidth="1"/>
    <col min="11" max="11" width="9.7109375" style="3" customWidth="1"/>
    <col min="12" max="13" width="9.7109375" style="2" customWidth="1"/>
    <col min="14" max="16384" width="9.28515625" style="2"/>
  </cols>
  <sheetData>
    <row r="1" spans="1:14" ht="12.75" x14ac:dyDescent="0.2">
      <c r="A1" s="1" t="str">
        <f>+'Lead Budget'!A1</f>
        <v>Assessing the Potential for Demand Response to Manage Generation Shortfalls in a Zero-Carbon Electricity Grid”</v>
      </c>
    </row>
    <row r="2" spans="1:14" ht="12.75" x14ac:dyDescent="0.2">
      <c r="A2" s="1" t="str">
        <f>+'Lead Budget'!A2</f>
        <v>USDA</v>
      </c>
    </row>
    <row r="3" spans="1:14" ht="12.75" customHeight="1" thickBot="1" x14ac:dyDescent="0.25"/>
    <row r="4" spans="1:14" x14ac:dyDescent="0.2">
      <c r="A4" s="4"/>
      <c r="B4" s="5" t="s">
        <v>1</v>
      </c>
      <c r="C4" s="5" t="s">
        <v>2</v>
      </c>
      <c r="D4" s="5" t="s">
        <v>3</v>
      </c>
      <c r="E4" s="5" t="s">
        <v>44</v>
      </c>
      <c r="F4" s="5" t="s">
        <v>50</v>
      </c>
      <c r="G4" s="23"/>
    </row>
    <row r="5" spans="1:14" ht="12" thickBot="1" x14ac:dyDescent="0.25">
      <c r="A5" s="4" t="str">
        <f ca="1">""&amp;MID('rates, dates, etc'!AH15,FIND("]",'rates, dates, etc'!AH15)+1,25)</f>
        <v>Consortium 7</v>
      </c>
      <c r="B5" s="6">
        <f>+'Lead Budget'!B5</f>
        <v>44927</v>
      </c>
      <c r="C5" s="6">
        <f>+'Lead Budget'!C5</f>
        <v>45292</v>
      </c>
      <c r="D5" s="6">
        <f>+'Lead Budget'!D5</f>
        <v>45658</v>
      </c>
      <c r="E5" s="6">
        <f>+'Lead Budget'!E5</f>
        <v>46023</v>
      </c>
      <c r="F5" s="6">
        <f>+'Lead Budget'!F5</f>
        <v>46388</v>
      </c>
      <c r="G5" s="24"/>
    </row>
    <row r="6" spans="1:14" ht="12" thickBot="1" x14ac:dyDescent="0.25">
      <c r="A6" s="7" t="s">
        <v>4</v>
      </c>
      <c r="B6" s="46">
        <f>+'Lead Budget'!B6</f>
        <v>45291</v>
      </c>
      <c r="C6" s="8">
        <f>+'Lead Budget'!C6</f>
        <v>45657</v>
      </c>
      <c r="D6" s="8">
        <f>+'Lead Budget'!D6</f>
        <v>46022</v>
      </c>
      <c r="E6" s="8">
        <f>+'Lead Budget'!E6</f>
        <v>46387</v>
      </c>
      <c r="F6" s="8">
        <f>+'Lead Budget'!F6</f>
        <v>46752</v>
      </c>
      <c r="G6" s="25" t="s">
        <v>5</v>
      </c>
    </row>
    <row r="7" spans="1:14" x14ac:dyDescent="0.2">
      <c r="A7" s="9" t="s">
        <v>136</v>
      </c>
      <c r="B7" s="11"/>
      <c r="C7" s="11"/>
      <c r="D7" s="12"/>
      <c r="E7" s="12"/>
      <c r="F7" s="12"/>
      <c r="G7" s="27" t="s">
        <v>6</v>
      </c>
    </row>
    <row r="8" spans="1:14" x14ac:dyDescent="0.2">
      <c r="A8" s="10" t="s">
        <v>78</v>
      </c>
      <c r="B8" s="11"/>
      <c r="C8" s="11"/>
      <c r="D8" s="11"/>
      <c r="E8" s="11"/>
      <c r="F8" s="11"/>
      <c r="G8" s="27">
        <f>SUM(B8:F8)</f>
        <v>0</v>
      </c>
      <c r="N8" s="13"/>
    </row>
    <row r="9" spans="1:14" x14ac:dyDescent="0.2">
      <c r="A9" s="10" t="s">
        <v>61</v>
      </c>
      <c r="B9" s="11"/>
      <c r="C9" s="11"/>
      <c r="D9" s="11"/>
      <c r="E9" s="11"/>
      <c r="F9" s="11"/>
      <c r="G9" s="27">
        <f>SUM(B9:F9)</f>
        <v>0</v>
      </c>
    </row>
    <row r="10" spans="1:14" ht="12" thickBot="1" x14ac:dyDescent="0.25">
      <c r="A10" s="15" t="str">
        <f>CONCATENATE("Total ",A7)</f>
        <v>Total Senior Personnel Salary</v>
      </c>
      <c r="B10" s="16">
        <f>SUM(B7:B9)</f>
        <v>0</v>
      </c>
      <c r="C10" s="16">
        <f t="shared" ref="C10:F10" si="0">SUM(C7:C9)</f>
        <v>0</v>
      </c>
      <c r="D10" s="16">
        <f t="shared" si="0"/>
        <v>0</v>
      </c>
      <c r="E10" s="16">
        <f t="shared" si="0"/>
        <v>0</v>
      </c>
      <c r="F10" s="16">
        <f t="shared" si="0"/>
        <v>0</v>
      </c>
      <c r="G10" s="28">
        <f>SUM(G7:G9)</f>
        <v>0</v>
      </c>
    </row>
    <row r="11" spans="1:14" x14ac:dyDescent="0.2">
      <c r="A11" s="14" t="s">
        <v>137</v>
      </c>
      <c r="B11" s="11"/>
      <c r="C11" s="11"/>
      <c r="D11" s="12"/>
      <c r="E11" s="12"/>
      <c r="F11" s="12"/>
      <c r="G11" s="27"/>
    </row>
    <row r="12" spans="1:14" x14ac:dyDescent="0.2">
      <c r="A12" s="10" t="s">
        <v>88</v>
      </c>
      <c r="B12" s="11"/>
      <c r="C12" s="11"/>
      <c r="D12" s="12"/>
      <c r="E12" s="12"/>
      <c r="F12" s="12"/>
      <c r="G12" s="27">
        <f t="shared" ref="G12" si="1">SUM(B12:F12)</f>
        <v>0</v>
      </c>
    </row>
    <row r="13" spans="1:14" x14ac:dyDescent="0.2">
      <c r="A13" s="10" t="s">
        <v>85</v>
      </c>
      <c r="B13" s="11"/>
      <c r="C13" s="11"/>
      <c r="D13" s="12"/>
      <c r="E13" s="12"/>
      <c r="F13" s="12"/>
      <c r="G13" s="27">
        <f>SUM(B13:F13)</f>
        <v>0</v>
      </c>
    </row>
    <row r="14" spans="1:14" x14ac:dyDescent="0.2">
      <c r="A14" s="10" t="s">
        <v>89</v>
      </c>
      <c r="B14" s="11"/>
      <c r="C14" s="11"/>
      <c r="D14" s="11"/>
      <c r="E14" s="11"/>
      <c r="F14" s="11"/>
      <c r="G14" s="27">
        <f>SUM(B14:F14)</f>
        <v>0</v>
      </c>
    </row>
    <row r="15" spans="1:14" x14ac:dyDescent="0.2">
      <c r="A15" s="10" t="s">
        <v>90</v>
      </c>
      <c r="B15" s="11"/>
      <c r="C15" s="11"/>
      <c r="D15" s="11"/>
      <c r="E15" s="11"/>
      <c r="F15" s="11"/>
      <c r="G15" s="27">
        <f>SUM(B15:F15)</f>
        <v>0</v>
      </c>
    </row>
    <row r="16" spans="1:14" x14ac:dyDescent="0.2">
      <c r="A16" s="10" t="s">
        <v>29</v>
      </c>
      <c r="B16" s="11"/>
      <c r="C16" s="11"/>
      <c r="D16" s="12"/>
      <c r="E16" s="12"/>
      <c r="F16" s="12"/>
      <c r="G16" s="27">
        <f>SUM(B16:F16)</f>
        <v>0</v>
      </c>
    </row>
    <row r="17" spans="1:15" x14ac:dyDescent="0.2">
      <c r="A17" s="10"/>
      <c r="B17" s="11"/>
      <c r="C17" s="11"/>
      <c r="D17" s="12"/>
      <c r="E17" s="12"/>
      <c r="F17" s="12"/>
      <c r="G17" s="27">
        <f>SUM(B17:F17)</f>
        <v>0</v>
      </c>
      <c r="N17" s="13"/>
      <c r="O17" s="13"/>
    </row>
    <row r="18" spans="1:15" ht="12" thickBot="1" x14ac:dyDescent="0.25">
      <c r="A18" s="15" t="str">
        <f>CONCATENATE("Total ",A11)</f>
        <v>Total Other Personnel Salary</v>
      </c>
      <c r="B18" s="16">
        <f>SUM(B11:B17)</f>
        <v>0</v>
      </c>
      <c r="C18" s="16">
        <f t="shared" ref="C18:F18" si="2">SUM(C11:C17)</f>
        <v>0</v>
      </c>
      <c r="D18" s="16">
        <f>SUM(D11:D17)</f>
        <v>0</v>
      </c>
      <c r="E18" s="16">
        <f>SUM(E11:E17)</f>
        <v>0</v>
      </c>
      <c r="F18" s="16">
        <f t="shared" si="2"/>
        <v>0</v>
      </c>
      <c r="G18" s="28">
        <f>SUM(G11:G17)</f>
        <v>0</v>
      </c>
    </row>
    <row r="19" spans="1:15" x14ac:dyDescent="0.2">
      <c r="A19" s="17" t="s">
        <v>7</v>
      </c>
      <c r="B19" s="11" t="s">
        <v>6</v>
      </c>
      <c r="C19" s="11"/>
      <c r="D19" s="12"/>
      <c r="E19" s="12"/>
      <c r="F19" s="12"/>
      <c r="G19" s="27"/>
    </row>
    <row r="20" spans="1:15" x14ac:dyDescent="0.2">
      <c r="A20" s="10" t="str">
        <f>+A8</f>
        <v>PI</v>
      </c>
      <c r="B20" s="11"/>
      <c r="C20" s="11"/>
      <c r="D20" s="11"/>
      <c r="E20" s="11"/>
      <c r="F20" s="11"/>
      <c r="G20" s="27">
        <f>SUM(B20:F20)</f>
        <v>0</v>
      </c>
    </row>
    <row r="21" spans="1:15" x14ac:dyDescent="0.2">
      <c r="A21" s="10" t="str">
        <f>+A9</f>
        <v>Co-PI</v>
      </c>
      <c r="B21" s="11"/>
      <c r="C21" s="11"/>
      <c r="D21" s="11"/>
      <c r="E21" s="11"/>
      <c r="F21" s="11"/>
      <c r="G21" s="27">
        <f t="shared" ref="G21:G24" si="3">SUM(B21:F21)</f>
        <v>0</v>
      </c>
    </row>
    <row r="22" spans="1:15" x14ac:dyDescent="0.2">
      <c r="A22" s="10" t="s">
        <v>88</v>
      </c>
      <c r="B22" s="11"/>
      <c r="C22" s="11"/>
      <c r="D22" s="11"/>
      <c r="E22" s="11"/>
      <c r="F22" s="11"/>
      <c r="G22" s="27">
        <f t="shared" si="3"/>
        <v>0</v>
      </c>
    </row>
    <row r="23" spans="1:15" x14ac:dyDescent="0.2">
      <c r="A23" s="10" t="s">
        <v>90</v>
      </c>
      <c r="B23" s="11"/>
      <c r="C23" s="11"/>
      <c r="D23" s="11"/>
      <c r="E23" s="11"/>
      <c r="F23" s="11"/>
      <c r="G23" s="27">
        <f t="shared" si="3"/>
        <v>0</v>
      </c>
      <c r="N23" s="13"/>
      <c r="O23" s="13"/>
    </row>
    <row r="24" spans="1:15" x14ac:dyDescent="0.2">
      <c r="A24" s="10" t="s">
        <v>29</v>
      </c>
      <c r="B24" s="11"/>
      <c r="C24" s="11"/>
      <c r="D24" s="11"/>
      <c r="E24" s="11"/>
      <c r="F24" s="11"/>
      <c r="G24" s="27">
        <f t="shared" si="3"/>
        <v>0</v>
      </c>
      <c r="N24" s="13"/>
      <c r="O24" s="13"/>
    </row>
    <row r="25" spans="1:15" ht="12" thickBot="1" x14ac:dyDescent="0.25">
      <c r="A25" s="15" t="s">
        <v>93</v>
      </c>
      <c r="B25" s="16">
        <f>SUM(B19:B24)</f>
        <v>0</v>
      </c>
      <c r="C25" s="16">
        <f>SUM(C19:C24)</f>
        <v>0</v>
      </c>
      <c r="D25" s="16">
        <f>SUM(D19:D24)</f>
        <v>0</v>
      </c>
      <c r="E25" s="16">
        <f t="shared" ref="E25:F25" si="4">SUM(E19:E24)</f>
        <v>0</v>
      </c>
      <c r="F25" s="16">
        <f t="shared" si="4"/>
        <v>0</v>
      </c>
      <c r="G25" s="28">
        <f>SUM(G19:G24)</f>
        <v>0</v>
      </c>
      <c r="N25" s="13"/>
      <c r="O25" s="13"/>
    </row>
    <row r="26" spans="1:15" ht="12" thickBot="1" x14ac:dyDescent="0.25">
      <c r="A26" s="143" t="s">
        <v>131</v>
      </c>
      <c r="B26" s="144">
        <f>+B10+B18+B25</f>
        <v>0</v>
      </c>
      <c r="C26" s="144">
        <f>+C10+C18+C25</f>
        <v>0</v>
      </c>
      <c r="D26" s="144">
        <f t="shared" ref="D26:F26" si="5">+D10+D18+D25</f>
        <v>0</v>
      </c>
      <c r="E26" s="144">
        <f t="shared" si="5"/>
        <v>0</v>
      </c>
      <c r="F26" s="144">
        <f t="shared" si="5"/>
        <v>0</v>
      </c>
      <c r="G26" s="145">
        <f>+G10+G18+G25</f>
        <v>0</v>
      </c>
      <c r="N26" s="13"/>
      <c r="O26" s="13"/>
    </row>
    <row r="27" spans="1:15" x14ac:dyDescent="0.2">
      <c r="A27" s="17" t="s">
        <v>25</v>
      </c>
      <c r="B27" s="11"/>
      <c r="C27" s="11"/>
      <c r="D27" s="12"/>
      <c r="E27" s="12"/>
      <c r="F27" s="12"/>
      <c r="G27" s="27"/>
      <c r="N27" s="13"/>
      <c r="O27" s="13"/>
    </row>
    <row r="28" spans="1:15" x14ac:dyDescent="0.2">
      <c r="A28" s="10" t="s">
        <v>66</v>
      </c>
      <c r="B28" s="11"/>
      <c r="C28" s="11"/>
      <c r="D28" s="12"/>
      <c r="E28" s="12"/>
      <c r="F28" s="12"/>
      <c r="G28" s="27">
        <f>SUM(B28:F28)</f>
        <v>0</v>
      </c>
    </row>
    <row r="29" spans="1:15" x14ac:dyDescent="0.2">
      <c r="A29" s="10"/>
      <c r="B29" s="11"/>
      <c r="C29" s="11"/>
      <c r="D29" s="12"/>
      <c r="E29" s="12"/>
      <c r="F29" s="12"/>
      <c r="G29" s="27">
        <f>SUM(B29:F29)</f>
        <v>0</v>
      </c>
    </row>
    <row r="30" spans="1:15" ht="12" thickBot="1" x14ac:dyDescent="0.25">
      <c r="A30" s="15" t="s">
        <v>26</v>
      </c>
      <c r="B30" s="16">
        <f>SUM(B27:B29)</f>
        <v>0</v>
      </c>
      <c r="C30" s="16">
        <f>SUM(C27:C29)</f>
        <v>0</v>
      </c>
      <c r="D30" s="16">
        <f>SUM(D27:D29)</f>
        <v>0</v>
      </c>
      <c r="E30" s="16">
        <f t="shared" ref="E30:F30" si="6">SUM(E27:E29)</f>
        <v>0</v>
      </c>
      <c r="F30" s="16">
        <f t="shared" si="6"/>
        <v>0</v>
      </c>
      <c r="G30" s="28">
        <f>SUM(G27:G29)</f>
        <v>0</v>
      </c>
    </row>
    <row r="31" spans="1:15" x14ac:dyDescent="0.2">
      <c r="A31" s="17" t="s">
        <v>34</v>
      </c>
      <c r="B31" s="11"/>
      <c r="C31" s="11"/>
      <c r="D31" s="12"/>
      <c r="E31" s="12"/>
      <c r="F31" s="12"/>
      <c r="G31" s="27"/>
    </row>
    <row r="32" spans="1:15" x14ac:dyDescent="0.2">
      <c r="A32" s="10" t="s">
        <v>10</v>
      </c>
      <c r="B32" s="11"/>
      <c r="C32" s="11"/>
      <c r="D32" s="11"/>
      <c r="E32" s="11"/>
      <c r="F32" s="11"/>
      <c r="G32" s="27">
        <f>SUM(B32:F32)</f>
        <v>0</v>
      </c>
      <c r="N32" s="13"/>
      <c r="O32" s="13"/>
    </row>
    <row r="33" spans="1:15" x14ac:dyDescent="0.2">
      <c r="A33" s="10" t="s">
        <v>11</v>
      </c>
      <c r="B33" s="11"/>
      <c r="C33" s="11"/>
      <c r="D33" s="11"/>
      <c r="E33" s="11"/>
      <c r="F33" s="11"/>
      <c r="G33" s="27">
        <f>SUM(B33:F33)</f>
        <v>0</v>
      </c>
      <c r="N33" s="13"/>
      <c r="O33" s="13"/>
    </row>
    <row r="34" spans="1:15" ht="12" thickBot="1" x14ac:dyDescent="0.25">
      <c r="A34" s="15" t="s">
        <v>12</v>
      </c>
      <c r="B34" s="16">
        <f>SUM(B31:B33)</f>
        <v>0</v>
      </c>
      <c r="C34" s="16">
        <f>SUM(C31:C33)</f>
        <v>0</v>
      </c>
      <c r="D34" s="16">
        <f>SUM(D31:D33)</f>
        <v>0</v>
      </c>
      <c r="E34" s="16">
        <f t="shared" ref="E34:F34" si="7">SUM(E31:E33)</f>
        <v>0</v>
      </c>
      <c r="F34" s="16">
        <f t="shared" si="7"/>
        <v>0</v>
      </c>
      <c r="G34" s="28">
        <f>SUM(G31:G33)</f>
        <v>0</v>
      </c>
      <c r="N34" s="13"/>
      <c r="O34" s="13"/>
    </row>
    <row r="35" spans="1:15" x14ac:dyDescent="0.2">
      <c r="A35" s="17" t="s">
        <v>27</v>
      </c>
      <c r="B35" s="11"/>
      <c r="C35" s="11"/>
      <c r="D35" s="12"/>
      <c r="E35" s="12"/>
      <c r="F35" s="12"/>
      <c r="G35" s="27"/>
      <c r="N35" s="13"/>
      <c r="O35" s="13"/>
    </row>
    <row r="36" spans="1:15" x14ac:dyDescent="0.2">
      <c r="A36" s="10" t="s">
        <v>91</v>
      </c>
      <c r="B36" s="11"/>
      <c r="C36" s="11"/>
      <c r="D36" s="12"/>
      <c r="E36" s="12"/>
      <c r="F36" s="12"/>
      <c r="G36" s="27">
        <f>SUM(B36:F36)</f>
        <v>0</v>
      </c>
      <c r="N36" s="13"/>
      <c r="O36" s="13"/>
    </row>
    <row r="37" spans="1:15" x14ac:dyDescent="0.2">
      <c r="A37" s="10" t="s">
        <v>47</v>
      </c>
      <c r="B37" s="11"/>
      <c r="C37" s="11"/>
      <c r="D37" s="12"/>
      <c r="E37" s="12"/>
      <c r="F37" s="12"/>
      <c r="G37" s="27">
        <f>SUM(B37:F37)</f>
        <v>0</v>
      </c>
      <c r="N37" s="13"/>
      <c r="O37" s="13"/>
    </row>
    <row r="38" spans="1:15" x14ac:dyDescent="0.2">
      <c r="A38" s="10" t="s">
        <v>34</v>
      </c>
      <c r="B38" s="11"/>
      <c r="C38" s="11"/>
      <c r="D38" s="12"/>
      <c r="E38" s="12"/>
      <c r="F38" s="12"/>
      <c r="G38" s="27">
        <f t="shared" ref="G38:G40" si="8">SUM(B38:F38)</f>
        <v>0</v>
      </c>
    </row>
    <row r="39" spans="1:15" x14ac:dyDescent="0.2">
      <c r="A39" s="10" t="s">
        <v>48</v>
      </c>
      <c r="B39" s="11"/>
      <c r="C39" s="11"/>
      <c r="D39" s="12"/>
      <c r="E39" s="12"/>
      <c r="F39" s="12"/>
      <c r="G39" s="27">
        <f t="shared" si="8"/>
        <v>0</v>
      </c>
    </row>
    <row r="40" spans="1:15" x14ac:dyDescent="0.2">
      <c r="A40" s="10" t="s">
        <v>29</v>
      </c>
      <c r="B40" s="11"/>
      <c r="C40" s="11"/>
      <c r="D40" s="12"/>
      <c r="E40" s="12"/>
      <c r="F40" s="12"/>
      <c r="G40" s="27">
        <f t="shared" si="8"/>
        <v>0</v>
      </c>
    </row>
    <row r="41" spans="1:15" ht="12" thickBot="1" x14ac:dyDescent="0.25">
      <c r="A41" s="15" t="s">
        <v>28</v>
      </c>
      <c r="B41" s="16">
        <f>SUM(B35:B40)</f>
        <v>0</v>
      </c>
      <c r="C41" s="16">
        <f>SUM(C35:C40)</f>
        <v>0</v>
      </c>
      <c r="D41" s="16">
        <f>SUM(D35:D40)</f>
        <v>0</v>
      </c>
      <c r="E41" s="16">
        <f t="shared" ref="E41:F41" si="9">SUM(E35:E40)</f>
        <v>0</v>
      </c>
      <c r="F41" s="16">
        <f t="shared" si="9"/>
        <v>0</v>
      </c>
      <c r="G41" s="28">
        <f>SUM(G35:G40)</f>
        <v>0</v>
      </c>
    </row>
    <row r="42" spans="1:15" x14ac:dyDescent="0.2">
      <c r="A42" s="17" t="s">
        <v>13</v>
      </c>
      <c r="B42" s="11"/>
      <c r="C42" s="11"/>
      <c r="D42" s="12"/>
      <c r="E42" s="12"/>
      <c r="F42" s="12"/>
      <c r="G42" s="27"/>
    </row>
    <row r="43" spans="1:15" x14ac:dyDescent="0.2">
      <c r="A43" s="10" t="str">
        <f>+'Lead Budget'!A46</f>
        <v>Materials &amp; Supplies</v>
      </c>
      <c r="B43" s="18"/>
      <c r="C43" s="18"/>
      <c r="D43" s="18"/>
      <c r="E43" s="18"/>
      <c r="F43" s="18"/>
      <c r="G43" s="27">
        <f>SUM(B43:F43)</f>
        <v>0</v>
      </c>
    </row>
    <row r="44" spans="1:15" x14ac:dyDescent="0.2">
      <c r="A44" s="10" t="str">
        <f>+'Lead Budget'!A47</f>
        <v>Publication Costs</v>
      </c>
      <c r="B44" s="11"/>
      <c r="C44" s="11"/>
      <c r="D44" s="11"/>
      <c r="E44" s="11"/>
      <c r="F44" s="11"/>
      <c r="G44" s="27">
        <f t="shared" ref="G44:G51" si="10">SUM(B44:F44)</f>
        <v>0</v>
      </c>
    </row>
    <row r="45" spans="1:15" x14ac:dyDescent="0.2">
      <c r="A45" s="10" t="str">
        <f>+'Lead Budget'!A48</f>
        <v>Consultant Services</v>
      </c>
      <c r="B45" s="11"/>
      <c r="C45" s="11"/>
      <c r="D45" s="12"/>
      <c r="E45" s="12"/>
      <c r="F45" s="12"/>
      <c r="G45" s="27">
        <f t="shared" si="10"/>
        <v>0</v>
      </c>
    </row>
    <row r="46" spans="1:15" x14ac:dyDescent="0.2">
      <c r="A46" s="10" t="str">
        <f>+'Lead Budget'!A49</f>
        <v>ADP/Computer Services</v>
      </c>
      <c r="B46" s="11"/>
      <c r="C46" s="11"/>
      <c r="D46" s="11"/>
      <c r="E46" s="11"/>
      <c r="F46" s="11"/>
      <c r="G46" s="27">
        <f t="shared" si="10"/>
        <v>0</v>
      </c>
    </row>
    <row r="47" spans="1:15" x14ac:dyDescent="0.2">
      <c r="A47" s="10" t="str">
        <f>+'Lead Budget'!A50</f>
        <v xml:space="preserve">SubContracts </v>
      </c>
      <c r="B47" s="11"/>
      <c r="C47" s="11"/>
      <c r="D47" s="11"/>
      <c r="E47" s="11"/>
      <c r="F47" s="11"/>
      <c r="G47" s="27">
        <f t="shared" si="10"/>
        <v>0</v>
      </c>
    </row>
    <row r="48" spans="1:15" x14ac:dyDescent="0.2">
      <c r="A48" s="10" t="str">
        <f>+'Lead Budget'!A51</f>
        <v xml:space="preserve">Equipment or Facility Rental/User Fees </v>
      </c>
      <c r="B48" s="11"/>
      <c r="C48" s="11"/>
      <c r="D48" s="11"/>
      <c r="E48" s="11"/>
      <c r="F48" s="11"/>
      <c r="G48" s="27">
        <f t="shared" si="10"/>
        <v>0</v>
      </c>
    </row>
    <row r="49" spans="1:15" x14ac:dyDescent="0.2">
      <c r="A49" s="10" t="str">
        <f>+'Lead Budget'!A52</f>
        <v>Other: Tuition</v>
      </c>
      <c r="B49" s="11"/>
      <c r="C49" s="11"/>
      <c r="D49" s="11"/>
      <c r="E49" s="11"/>
      <c r="F49" s="11"/>
      <c r="G49" s="27">
        <f t="shared" si="10"/>
        <v>0</v>
      </c>
    </row>
    <row r="50" spans="1:15" x14ac:dyDescent="0.2">
      <c r="A50" s="10" t="str">
        <f>+'Lead Budget'!A53</f>
        <v>Other: Health Insurance</v>
      </c>
      <c r="B50" s="11"/>
      <c r="C50" s="11"/>
      <c r="D50" s="11"/>
      <c r="E50" s="11"/>
      <c r="F50" s="11"/>
      <c r="G50" s="27">
        <f t="shared" si="10"/>
        <v>0</v>
      </c>
    </row>
    <row r="51" spans="1:15" x14ac:dyDescent="0.2">
      <c r="A51" s="10" t="str">
        <f>+'Lead Budget'!A54</f>
        <v>Other</v>
      </c>
      <c r="B51" s="11"/>
      <c r="C51" s="11"/>
      <c r="D51" s="11"/>
      <c r="E51" s="11"/>
      <c r="F51" s="11"/>
      <c r="G51" s="27">
        <f t="shared" si="10"/>
        <v>0</v>
      </c>
    </row>
    <row r="52" spans="1:15" ht="12" thickBot="1" x14ac:dyDescent="0.25">
      <c r="A52" s="15" t="s">
        <v>94</v>
      </c>
      <c r="B52" s="16">
        <f t="shared" ref="B52:G52" si="11">SUM(B42:B51)</f>
        <v>0</v>
      </c>
      <c r="C52" s="16">
        <f t="shared" si="11"/>
        <v>0</v>
      </c>
      <c r="D52" s="16">
        <f t="shared" si="11"/>
        <v>0</v>
      </c>
      <c r="E52" s="16">
        <f t="shared" si="11"/>
        <v>0</v>
      </c>
      <c r="F52" s="16">
        <f t="shared" si="11"/>
        <v>0</v>
      </c>
      <c r="G52" s="28">
        <f t="shared" si="11"/>
        <v>0</v>
      </c>
      <c r="K52" s="2"/>
      <c r="N52" s="13"/>
      <c r="O52" s="13"/>
    </row>
    <row r="53" spans="1:15" ht="12" thickBot="1" x14ac:dyDescent="0.25">
      <c r="A53" s="107" t="s">
        <v>16</v>
      </c>
      <c r="B53" s="105">
        <f>SUM(+B10+B18+B25+B30+B34+B41+B52)</f>
        <v>0</v>
      </c>
      <c r="C53" s="105">
        <f>SUM(+C10+C18+C25+C30+C34+C41+C52)</f>
        <v>0</v>
      </c>
      <c r="D53" s="105">
        <f>SUM(+D10+D18+D25+D30+D34+D41+D52)</f>
        <v>0</v>
      </c>
      <c r="E53" s="105">
        <f>SUM(+E10+E18+E25+E30+E34+E41+E52)</f>
        <v>0</v>
      </c>
      <c r="F53" s="105">
        <f t="shared" ref="F53" si="12">SUM(+F10+F18+F25+F30+F34+F41+F52)</f>
        <v>0</v>
      </c>
      <c r="G53" s="106">
        <f>SUM(+G10+G18+G25+G30+G34+G41+G52)</f>
        <v>0</v>
      </c>
      <c r="N53" s="13"/>
      <c r="O53" s="13"/>
    </row>
    <row r="54" spans="1:15" ht="12" thickBot="1" x14ac:dyDescent="0.25">
      <c r="A54" s="632" t="s">
        <v>289</v>
      </c>
      <c r="B54" s="631"/>
      <c r="C54" s="631"/>
      <c r="D54" s="631"/>
      <c r="E54" s="631"/>
      <c r="F54" s="631"/>
      <c r="G54" s="633">
        <f>SUM(B54:F54)</f>
        <v>0</v>
      </c>
      <c r="N54" s="13"/>
      <c r="O54" s="13"/>
    </row>
    <row r="55" spans="1:15" ht="12" thickBot="1" x14ac:dyDescent="0.25">
      <c r="A55" s="7" t="s">
        <v>290</v>
      </c>
      <c r="B55" s="105">
        <f>+B53-B54</f>
        <v>0</v>
      </c>
      <c r="C55" s="105">
        <f>+C53-C54</f>
        <v>0</v>
      </c>
      <c r="D55" s="105">
        <f t="shared" ref="D55:F55" si="13">+D53-D54</f>
        <v>0</v>
      </c>
      <c r="E55" s="105">
        <f t="shared" si="13"/>
        <v>0</v>
      </c>
      <c r="F55" s="105">
        <f t="shared" si="13"/>
        <v>0</v>
      </c>
      <c r="G55" s="106">
        <f>SUM(B55:F55)</f>
        <v>0</v>
      </c>
      <c r="N55" s="13"/>
      <c r="O55" s="13"/>
    </row>
    <row r="56" spans="1:15" ht="12" thickBot="1" x14ac:dyDescent="0.25">
      <c r="A56" s="7" t="s">
        <v>18</v>
      </c>
      <c r="B56" s="21">
        <f>ROUND(B55*$B$59,0)</f>
        <v>0</v>
      </c>
      <c r="C56" s="21">
        <f t="shared" ref="C56:F56" si="14">ROUND(C55*$B$59,0)</f>
        <v>0</v>
      </c>
      <c r="D56" s="21">
        <f t="shared" si="14"/>
        <v>0</v>
      </c>
      <c r="E56" s="21">
        <f t="shared" si="14"/>
        <v>0</v>
      </c>
      <c r="F56" s="21">
        <f t="shared" si="14"/>
        <v>0</v>
      </c>
      <c r="G56" s="106">
        <f>SUM(B56:F56)</f>
        <v>0</v>
      </c>
      <c r="N56" s="13"/>
      <c r="O56" s="13"/>
    </row>
    <row r="57" spans="1:15" ht="12" thickBot="1" x14ac:dyDescent="0.25">
      <c r="A57" s="19" t="s">
        <v>19</v>
      </c>
      <c r="B57" s="98">
        <f>+B53+B56</f>
        <v>0</v>
      </c>
      <c r="C57" s="98">
        <f t="shared" ref="C57:F57" si="15">+C53+C56</f>
        <v>0</v>
      </c>
      <c r="D57" s="98">
        <f t="shared" si="15"/>
        <v>0</v>
      </c>
      <c r="E57" s="98">
        <f t="shared" si="15"/>
        <v>0</v>
      </c>
      <c r="F57" s="98">
        <f t="shared" si="15"/>
        <v>0</v>
      </c>
      <c r="G57" s="20">
        <f>SUM(B57:F57)</f>
        <v>0</v>
      </c>
      <c r="L57" s="12"/>
      <c r="N57" s="13"/>
      <c r="O57" s="13"/>
    </row>
    <row r="58" spans="1:15" x14ac:dyDescent="0.2">
      <c r="A58" s="22"/>
      <c r="B58" s="12"/>
      <c r="C58" s="12"/>
      <c r="D58" s="12"/>
      <c r="E58" s="12"/>
      <c r="F58" s="12"/>
      <c r="I58" s="39"/>
      <c r="J58" s="12"/>
      <c r="K58" s="39"/>
      <c r="L58" s="39"/>
      <c r="M58" s="39"/>
      <c r="N58" s="13"/>
      <c r="O58" s="13"/>
    </row>
    <row r="59" spans="1:15" x14ac:dyDescent="0.2">
      <c r="A59" s="650" t="s">
        <v>317</v>
      </c>
      <c r="B59" s="630">
        <v>0.42857000000000001</v>
      </c>
      <c r="C59" s="3" t="str">
        <f ca="1">CONCATENATE("Indirect Cost Rate for ",""&amp;MID('rates, dates, etc'!AH15,FIND("]",'rates, dates, etc'!AH15)+1,25))</f>
        <v>Indirect Cost Rate for Consortium 7</v>
      </c>
      <c r="D59" s="39"/>
      <c r="G59" s="39"/>
      <c r="I59" s="39"/>
      <c r="J59" s="12"/>
      <c r="K59" s="39"/>
      <c r="L59" s="39"/>
      <c r="M59" s="39"/>
      <c r="N59" s="13"/>
      <c r="O59" s="13"/>
    </row>
    <row r="60" spans="1:15" x14ac:dyDescent="0.2">
      <c r="A60" s="22"/>
      <c r="B60" s="39"/>
      <c r="C60" s="39"/>
      <c r="D60" s="39"/>
      <c r="E60" s="39"/>
      <c r="F60" s="39"/>
      <c r="G60" s="39"/>
      <c r="I60" s="39"/>
      <c r="J60" s="12"/>
      <c r="K60" s="39"/>
      <c r="L60" s="39"/>
      <c r="M60" s="39"/>
      <c r="N60" s="13"/>
      <c r="O60" s="13"/>
    </row>
    <row r="61" spans="1:15" ht="12" thickBot="1" x14ac:dyDescent="0.25">
      <c r="A61" s="32"/>
      <c r="B61" s="33"/>
      <c r="C61" s="33"/>
      <c r="D61" s="33"/>
      <c r="E61" s="33"/>
      <c r="F61" s="33"/>
      <c r="G61" s="33"/>
      <c r="H61" s="34"/>
      <c r="I61" s="34"/>
      <c r="J61" s="34"/>
      <c r="K61" s="12"/>
    </row>
    <row r="63" spans="1:15" x14ac:dyDescent="0.2">
      <c r="A63" s="2" t="s">
        <v>42</v>
      </c>
      <c r="B63" s="40">
        <f>IF(B57&lt;25000,B57,25000)</f>
        <v>0</v>
      </c>
      <c r="C63" s="40">
        <f>IF(+B57&gt;25000,0,IF(B57+C57&gt;25000,(25000-B57),C57))</f>
        <v>0</v>
      </c>
      <c r="D63" s="40">
        <f>IF(+B57+C57&gt;25000,0,IF(B57+C57+D57&gt;25000,(25000-(B57+C57)),D57))</f>
        <v>0</v>
      </c>
      <c r="E63" s="40">
        <f>IF(B57+C57+D57&gt;25000,0,IF(B57+C57+D57+E57&gt;25000,(25000-(B57+C57+D57)),E57))</f>
        <v>0</v>
      </c>
      <c r="F63" s="40">
        <f>IF(B57+C57+D57+E57&gt;25000,0,IF(B57+C57+D57+E57+F57&gt;25000,(25000-(B57+C57+D57+E57)),F57))</f>
        <v>0</v>
      </c>
      <c r="G63" s="11">
        <f>SUM(B63:F63)</f>
        <v>0</v>
      </c>
      <c r="H63" s="11"/>
      <c r="I63" s="2"/>
    </row>
    <row r="64" spans="1:15" x14ac:dyDescent="0.2">
      <c r="A64" s="2" t="s">
        <v>43</v>
      </c>
      <c r="B64" s="40">
        <f>+B57-B63</f>
        <v>0</v>
      </c>
      <c r="C64" s="40">
        <f>+C57-C63</f>
        <v>0</v>
      </c>
      <c r="D64" s="40">
        <f>+D57-D63</f>
        <v>0</v>
      </c>
      <c r="E64" s="40">
        <f>+E57-E63</f>
        <v>0</v>
      </c>
      <c r="F64" s="40">
        <f>+F57-F63</f>
        <v>0</v>
      </c>
      <c r="G64" s="11">
        <f t="shared" ref="G64:G66" si="16">SUM(B64:F64)</f>
        <v>0</v>
      </c>
      <c r="H64" s="11"/>
      <c r="I64" s="2"/>
    </row>
    <row r="65" spans="2:7" x14ac:dyDescent="0.2">
      <c r="C65" s="13"/>
      <c r="G65" s="11"/>
    </row>
    <row r="66" spans="2:7" x14ac:dyDescent="0.2">
      <c r="B66" s="13">
        <f>SUM(B63:B64)</f>
        <v>0</v>
      </c>
      <c r="C66" s="13">
        <f>SUM(C63:C64)</f>
        <v>0</v>
      </c>
      <c r="D66" s="13">
        <f t="shared" ref="D66:F66" si="17">SUM(D63:D64)</f>
        <v>0</v>
      </c>
      <c r="E66" s="13">
        <f t="shared" si="17"/>
        <v>0</v>
      </c>
      <c r="F66" s="13">
        <f t="shared" si="17"/>
        <v>0</v>
      </c>
      <c r="G66" s="11">
        <f t="shared" si="16"/>
        <v>0</v>
      </c>
    </row>
  </sheetData>
  <pageMargins left="0.75" right="0.53" top="0.7" bottom="0.64" header="0.5" footer="0.5"/>
  <pageSetup scale="96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O66"/>
  <sheetViews>
    <sheetView zoomScale="130" zoomScaleNormal="130" workbookViewId="0">
      <selection activeCell="A8" sqref="A8"/>
    </sheetView>
  </sheetViews>
  <sheetFormatPr defaultColWidth="9.28515625" defaultRowHeight="11.25" x14ac:dyDescent="0.2"/>
  <cols>
    <col min="1" max="1" width="33.42578125" style="2" customWidth="1"/>
    <col min="2" max="6" width="8.42578125" style="2" customWidth="1"/>
    <col min="7" max="7" width="9.5703125" style="3" bestFit="1" customWidth="1"/>
    <col min="8" max="8" width="9.7109375" style="3" customWidth="1"/>
    <col min="9" max="9" width="18.5703125" style="3" bestFit="1" customWidth="1"/>
    <col min="10" max="10" width="6.7109375" style="3" bestFit="1" customWidth="1"/>
    <col min="11" max="11" width="9.7109375" style="3" customWidth="1"/>
    <col min="12" max="13" width="9.7109375" style="2" customWidth="1"/>
    <col min="14" max="16384" width="9.28515625" style="2"/>
  </cols>
  <sheetData>
    <row r="1" spans="1:14" ht="12.75" x14ac:dyDescent="0.2">
      <c r="A1" s="1" t="str">
        <f>+'Lead Budget'!A1</f>
        <v>Assessing the Potential for Demand Response to Manage Generation Shortfalls in a Zero-Carbon Electricity Grid”</v>
      </c>
    </row>
    <row r="2" spans="1:14" ht="12.75" x14ac:dyDescent="0.2">
      <c r="A2" s="1" t="str">
        <f>+'Lead Budget'!A2</f>
        <v>USDA</v>
      </c>
    </row>
    <row r="3" spans="1:14" ht="12.75" customHeight="1" thickBot="1" x14ac:dyDescent="0.25"/>
    <row r="4" spans="1:14" x14ac:dyDescent="0.2">
      <c r="A4" s="4"/>
      <c r="B4" s="5" t="s">
        <v>1</v>
      </c>
      <c r="C4" s="5" t="s">
        <v>2</v>
      </c>
      <c r="D4" s="5" t="s">
        <v>3</v>
      </c>
      <c r="E4" s="5" t="s">
        <v>44</v>
      </c>
      <c r="F4" s="5" t="s">
        <v>50</v>
      </c>
      <c r="G4" s="23"/>
    </row>
    <row r="5" spans="1:14" ht="12" thickBot="1" x14ac:dyDescent="0.25">
      <c r="A5" s="4" t="str">
        <f ca="1">""&amp;MID('rates, dates, etc'!AH16,FIND("]",'rates, dates, etc'!AH16)+1,25)</f>
        <v>Consortium 8</v>
      </c>
      <c r="B5" s="6">
        <f>+'Lead Budget'!B5</f>
        <v>44927</v>
      </c>
      <c r="C5" s="6">
        <f>+'Lead Budget'!C5</f>
        <v>45292</v>
      </c>
      <c r="D5" s="6">
        <f>+'Lead Budget'!D5</f>
        <v>45658</v>
      </c>
      <c r="E5" s="6">
        <f>+'Lead Budget'!E5</f>
        <v>46023</v>
      </c>
      <c r="F5" s="6">
        <f>+'Lead Budget'!F5</f>
        <v>46388</v>
      </c>
      <c r="G5" s="24"/>
    </row>
    <row r="6" spans="1:14" ht="12" thickBot="1" x14ac:dyDescent="0.25">
      <c r="A6" s="7" t="s">
        <v>4</v>
      </c>
      <c r="B6" s="46">
        <f>+'Lead Budget'!B6</f>
        <v>45291</v>
      </c>
      <c r="C6" s="8">
        <f>+'Lead Budget'!C6</f>
        <v>45657</v>
      </c>
      <c r="D6" s="8">
        <f>+'Lead Budget'!D6</f>
        <v>46022</v>
      </c>
      <c r="E6" s="8">
        <f>+'Lead Budget'!E6</f>
        <v>46387</v>
      </c>
      <c r="F6" s="8">
        <f>+'Lead Budget'!F6</f>
        <v>46752</v>
      </c>
      <c r="G6" s="25" t="s">
        <v>5</v>
      </c>
    </row>
    <row r="7" spans="1:14" x14ac:dyDescent="0.2">
      <c r="A7" s="9" t="s">
        <v>136</v>
      </c>
      <c r="B7" s="11"/>
      <c r="C7" s="11"/>
      <c r="D7" s="12"/>
      <c r="E7" s="12"/>
      <c r="F7" s="12"/>
      <c r="G7" s="27" t="s">
        <v>6</v>
      </c>
    </row>
    <row r="8" spans="1:14" x14ac:dyDescent="0.2">
      <c r="A8" s="10" t="s">
        <v>78</v>
      </c>
      <c r="B8" s="11"/>
      <c r="C8" s="11"/>
      <c r="D8" s="11"/>
      <c r="E8" s="11"/>
      <c r="F8" s="11"/>
      <c r="G8" s="27">
        <f>SUM(B8:F8)</f>
        <v>0</v>
      </c>
      <c r="N8" s="13"/>
    </row>
    <row r="9" spans="1:14" x14ac:dyDescent="0.2">
      <c r="A9" s="10" t="s">
        <v>61</v>
      </c>
      <c r="B9" s="11"/>
      <c r="C9" s="11"/>
      <c r="D9" s="11"/>
      <c r="E9" s="11"/>
      <c r="F9" s="11"/>
      <c r="G9" s="27">
        <f>SUM(B9:F9)</f>
        <v>0</v>
      </c>
    </row>
    <row r="10" spans="1:14" ht="12" thickBot="1" x14ac:dyDescent="0.25">
      <c r="A10" s="15" t="str">
        <f>CONCATENATE("Total ",A7)</f>
        <v>Total Senior Personnel Salary</v>
      </c>
      <c r="B10" s="16">
        <f>SUM(B7:B9)</f>
        <v>0</v>
      </c>
      <c r="C10" s="16">
        <f t="shared" ref="C10:F10" si="0">SUM(C7:C9)</f>
        <v>0</v>
      </c>
      <c r="D10" s="16">
        <f t="shared" si="0"/>
        <v>0</v>
      </c>
      <c r="E10" s="16">
        <f t="shared" si="0"/>
        <v>0</v>
      </c>
      <c r="F10" s="16">
        <f t="shared" si="0"/>
        <v>0</v>
      </c>
      <c r="G10" s="28">
        <f>SUM(G7:G9)</f>
        <v>0</v>
      </c>
    </row>
    <row r="11" spans="1:14" x14ac:dyDescent="0.2">
      <c r="A11" s="14" t="s">
        <v>137</v>
      </c>
      <c r="B11" s="11"/>
      <c r="C11" s="11"/>
      <c r="D11" s="12"/>
      <c r="E11" s="12"/>
      <c r="F11" s="12"/>
      <c r="G11" s="27"/>
    </row>
    <row r="12" spans="1:14" x14ac:dyDescent="0.2">
      <c r="A12" s="10" t="s">
        <v>88</v>
      </c>
      <c r="B12" s="11"/>
      <c r="C12" s="11"/>
      <c r="D12" s="12"/>
      <c r="E12" s="12"/>
      <c r="F12" s="12"/>
      <c r="G12" s="27">
        <f t="shared" ref="G12" si="1">SUM(B12:F12)</f>
        <v>0</v>
      </c>
    </row>
    <row r="13" spans="1:14" x14ac:dyDescent="0.2">
      <c r="A13" s="10" t="s">
        <v>85</v>
      </c>
      <c r="B13" s="11"/>
      <c r="C13" s="11"/>
      <c r="D13" s="12"/>
      <c r="E13" s="12"/>
      <c r="F13" s="12"/>
      <c r="G13" s="27">
        <f>SUM(B13:F13)</f>
        <v>0</v>
      </c>
    </row>
    <row r="14" spans="1:14" x14ac:dyDescent="0.2">
      <c r="A14" s="10" t="s">
        <v>89</v>
      </c>
      <c r="B14" s="11"/>
      <c r="C14" s="11"/>
      <c r="D14" s="11"/>
      <c r="E14" s="11"/>
      <c r="F14" s="11"/>
      <c r="G14" s="27">
        <f>SUM(B14:F14)</f>
        <v>0</v>
      </c>
    </row>
    <row r="15" spans="1:14" x14ac:dyDescent="0.2">
      <c r="A15" s="10" t="s">
        <v>90</v>
      </c>
      <c r="B15" s="11"/>
      <c r="C15" s="11"/>
      <c r="D15" s="11"/>
      <c r="E15" s="11"/>
      <c r="F15" s="11"/>
      <c r="G15" s="27">
        <f>SUM(B15:F15)</f>
        <v>0</v>
      </c>
    </row>
    <row r="16" spans="1:14" x14ac:dyDescent="0.2">
      <c r="A16" s="10" t="s">
        <v>29</v>
      </c>
      <c r="B16" s="11"/>
      <c r="C16" s="11"/>
      <c r="D16" s="12"/>
      <c r="E16" s="12"/>
      <c r="F16" s="12"/>
      <c r="G16" s="27">
        <f>SUM(B16:F16)</f>
        <v>0</v>
      </c>
    </row>
    <row r="17" spans="1:15" x14ac:dyDescent="0.2">
      <c r="A17" s="10"/>
      <c r="B17" s="11"/>
      <c r="C17" s="11"/>
      <c r="D17" s="12"/>
      <c r="E17" s="12"/>
      <c r="F17" s="12"/>
      <c r="G17" s="27">
        <f>SUM(B17:F17)</f>
        <v>0</v>
      </c>
      <c r="N17" s="13"/>
      <c r="O17" s="13"/>
    </row>
    <row r="18" spans="1:15" ht="12" thickBot="1" x14ac:dyDescent="0.25">
      <c r="A18" s="15" t="str">
        <f>CONCATENATE("Total ",A11)</f>
        <v>Total Other Personnel Salary</v>
      </c>
      <c r="B18" s="16">
        <f>SUM(B11:B17)</f>
        <v>0</v>
      </c>
      <c r="C18" s="16">
        <f t="shared" ref="C18:F18" si="2">SUM(C11:C17)</f>
        <v>0</v>
      </c>
      <c r="D18" s="16">
        <f>SUM(D11:D17)</f>
        <v>0</v>
      </c>
      <c r="E18" s="16">
        <f>SUM(E11:E17)</f>
        <v>0</v>
      </c>
      <c r="F18" s="16">
        <f t="shared" si="2"/>
        <v>0</v>
      </c>
      <c r="G18" s="28">
        <f>SUM(G11:G17)</f>
        <v>0</v>
      </c>
    </row>
    <row r="19" spans="1:15" x14ac:dyDescent="0.2">
      <c r="A19" s="17" t="s">
        <v>7</v>
      </c>
      <c r="B19" s="11" t="s">
        <v>6</v>
      </c>
      <c r="C19" s="11"/>
      <c r="D19" s="12"/>
      <c r="E19" s="12"/>
      <c r="F19" s="12"/>
      <c r="G19" s="27"/>
    </row>
    <row r="20" spans="1:15" x14ac:dyDescent="0.2">
      <c r="A20" s="10" t="str">
        <f>+A8</f>
        <v>PI</v>
      </c>
      <c r="B20" s="11"/>
      <c r="C20" s="11"/>
      <c r="D20" s="11"/>
      <c r="E20" s="11"/>
      <c r="F20" s="11"/>
      <c r="G20" s="27">
        <f>SUM(B20:F20)</f>
        <v>0</v>
      </c>
    </row>
    <row r="21" spans="1:15" x14ac:dyDescent="0.2">
      <c r="A21" s="10" t="str">
        <f>+A9</f>
        <v>Co-PI</v>
      </c>
      <c r="B21" s="11"/>
      <c r="C21" s="11"/>
      <c r="D21" s="11"/>
      <c r="E21" s="11"/>
      <c r="F21" s="11"/>
      <c r="G21" s="27">
        <f t="shared" ref="G21:G24" si="3">SUM(B21:F21)</f>
        <v>0</v>
      </c>
    </row>
    <row r="22" spans="1:15" x14ac:dyDescent="0.2">
      <c r="A22" s="10" t="s">
        <v>88</v>
      </c>
      <c r="B22" s="11"/>
      <c r="C22" s="11"/>
      <c r="D22" s="11"/>
      <c r="E22" s="11"/>
      <c r="F22" s="11"/>
      <c r="G22" s="27">
        <f t="shared" si="3"/>
        <v>0</v>
      </c>
    </row>
    <row r="23" spans="1:15" x14ac:dyDescent="0.2">
      <c r="A23" s="10" t="s">
        <v>90</v>
      </c>
      <c r="B23" s="11"/>
      <c r="C23" s="11"/>
      <c r="D23" s="11"/>
      <c r="E23" s="11"/>
      <c r="F23" s="11"/>
      <c r="G23" s="27">
        <f t="shared" si="3"/>
        <v>0</v>
      </c>
      <c r="N23" s="13"/>
      <c r="O23" s="13"/>
    </row>
    <row r="24" spans="1:15" x14ac:dyDescent="0.2">
      <c r="A24" s="10" t="s">
        <v>29</v>
      </c>
      <c r="B24" s="11"/>
      <c r="C24" s="11"/>
      <c r="D24" s="11"/>
      <c r="E24" s="11"/>
      <c r="F24" s="11"/>
      <c r="G24" s="27">
        <f t="shared" si="3"/>
        <v>0</v>
      </c>
      <c r="N24" s="13"/>
      <c r="O24" s="13"/>
    </row>
    <row r="25" spans="1:15" ht="12" thickBot="1" x14ac:dyDescent="0.25">
      <c r="A25" s="15" t="s">
        <v>93</v>
      </c>
      <c r="B25" s="16">
        <f>SUM(B19:B24)</f>
        <v>0</v>
      </c>
      <c r="C25" s="16">
        <f>SUM(C19:C24)</f>
        <v>0</v>
      </c>
      <c r="D25" s="16">
        <f>SUM(D19:D24)</f>
        <v>0</v>
      </c>
      <c r="E25" s="16">
        <f t="shared" ref="E25:F25" si="4">SUM(E19:E24)</f>
        <v>0</v>
      </c>
      <c r="F25" s="16">
        <f t="shared" si="4"/>
        <v>0</v>
      </c>
      <c r="G25" s="28">
        <f>SUM(G19:G24)</f>
        <v>0</v>
      </c>
      <c r="N25" s="13"/>
      <c r="O25" s="13"/>
    </row>
    <row r="26" spans="1:15" ht="12" thickBot="1" x14ac:dyDescent="0.25">
      <c r="A26" s="143" t="s">
        <v>131</v>
      </c>
      <c r="B26" s="144">
        <f>+B10+B18+B25</f>
        <v>0</v>
      </c>
      <c r="C26" s="144">
        <f>+C10+C18+C25</f>
        <v>0</v>
      </c>
      <c r="D26" s="144">
        <f t="shared" ref="D26:F26" si="5">+D10+D18+D25</f>
        <v>0</v>
      </c>
      <c r="E26" s="144">
        <f t="shared" si="5"/>
        <v>0</v>
      </c>
      <c r="F26" s="144">
        <f t="shared" si="5"/>
        <v>0</v>
      </c>
      <c r="G26" s="145">
        <f>+G10+G18+G25</f>
        <v>0</v>
      </c>
      <c r="N26" s="13"/>
      <c r="O26" s="13"/>
    </row>
    <row r="27" spans="1:15" x14ac:dyDescent="0.2">
      <c r="A27" s="17" t="s">
        <v>25</v>
      </c>
      <c r="B27" s="11"/>
      <c r="C27" s="11"/>
      <c r="D27" s="12"/>
      <c r="E27" s="12"/>
      <c r="F27" s="12"/>
      <c r="G27" s="27"/>
      <c r="N27" s="13"/>
      <c r="O27" s="13"/>
    </row>
    <row r="28" spans="1:15" x14ac:dyDescent="0.2">
      <c r="A28" s="10" t="s">
        <v>66</v>
      </c>
      <c r="B28" s="11"/>
      <c r="C28" s="11"/>
      <c r="D28" s="12"/>
      <c r="E28" s="12"/>
      <c r="F28" s="12"/>
      <c r="G28" s="27">
        <f>SUM(B28:F28)</f>
        <v>0</v>
      </c>
    </row>
    <row r="29" spans="1:15" x14ac:dyDescent="0.2">
      <c r="A29" s="10"/>
      <c r="B29" s="11"/>
      <c r="C29" s="11"/>
      <c r="D29" s="12"/>
      <c r="E29" s="12"/>
      <c r="F29" s="12"/>
      <c r="G29" s="27">
        <f>SUM(B29:F29)</f>
        <v>0</v>
      </c>
    </row>
    <row r="30" spans="1:15" ht="12" thickBot="1" x14ac:dyDescent="0.25">
      <c r="A30" s="15" t="s">
        <v>26</v>
      </c>
      <c r="B30" s="16">
        <f>SUM(B27:B29)</f>
        <v>0</v>
      </c>
      <c r="C30" s="16">
        <f>SUM(C27:C29)</f>
        <v>0</v>
      </c>
      <c r="D30" s="16">
        <f>SUM(D27:D29)</f>
        <v>0</v>
      </c>
      <c r="E30" s="16">
        <f t="shared" ref="E30:F30" si="6">SUM(E27:E29)</f>
        <v>0</v>
      </c>
      <c r="F30" s="16">
        <f t="shared" si="6"/>
        <v>0</v>
      </c>
      <c r="G30" s="28">
        <f>SUM(G27:G29)</f>
        <v>0</v>
      </c>
    </row>
    <row r="31" spans="1:15" x14ac:dyDescent="0.2">
      <c r="A31" s="17" t="s">
        <v>34</v>
      </c>
      <c r="B31" s="11"/>
      <c r="C31" s="11"/>
      <c r="D31" s="12"/>
      <c r="E31" s="12"/>
      <c r="F31" s="12"/>
      <c r="G31" s="27"/>
    </row>
    <row r="32" spans="1:15" x14ac:dyDescent="0.2">
      <c r="A32" s="10" t="s">
        <v>10</v>
      </c>
      <c r="B32" s="11"/>
      <c r="C32" s="11"/>
      <c r="D32" s="11"/>
      <c r="E32" s="11"/>
      <c r="F32" s="11"/>
      <c r="G32" s="27">
        <f>SUM(B32:F32)</f>
        <v>0</v>
      </c>
      <c r="N32" s="13"/>
      <c r="O32" s="13"/>
    </row>
    <row r="33" spans="1:15" x14ac:dyDescent="0.2">
      <c r="A33" s="10" t="s">
        <v>11</v>
      </c>
      <c r="B33" s="11"/>
      <c r="C33" s="11"/>
      <c r="D33" s="11"/>
      <c r="E33" s="11"/>
      <c r="F33" s="11"/>
      <c r="G33" s="27">
        <f>SUM(B33:F33)</f>
        <v>0</v>
      </c>
      <c r="N33" s="13"/>
      <c r="O33" s="13"/>
    </row>
    <row r="34" spans="1:15" ht="12" thickBot="1" x14ac:dyDescent="0.25">
      <c r="A34" s="15" t="s">
        <v>12</v>
      </c>
      <c r="B34" s="16">
        <f>SUM(B31:B33)</f>
        <v>0</v>
      </c>
      <c r="C34" s="16">
        <f>SUM(C31:C33)</f>
        <v>0</v>
      </c>
      <c r="D34" s="16">
        <f>SUM(D31:D33)</f>
        <v>0</v>
      </c>
      <c r="E34" s="16">
        <f t="shared" ref="E34:F34" si="7">SUM(E31:E33)</f>
        <v>0</v>
      </c>
      <c r="F34" s="16">
        <f t="shared" si="7"/>
        <v>0</v>
      </c>
      <c r="G34" s="28">
        <f>SUM(G31:G33)</f>
        <v>0</v>
      </c>
      <c r="N34" s="13"/>
      <c r="O34" s="13"/>
    </row>
    <row r="35" spans="1:15" x14ac:dyDescent="0.2">
      <c r="A35" s="17" t="s">
        <v>27</v>
      </c>
      <c r="B35" s="11"/>
      <c r="C35" s="11"/>
      <c r="D35" s="12"/>
      <c r="E35" s="12"/>
      <c r="F35" s="12"/>
      <c r="G35" s="27"/>
      <c r="N35" s="13"/>
      <c r="O35" s="13"/>
    </row>
    <row r="36" spans="1:15" x14ac:dyDescent="0.2">
      <c r="A36" s="10" t="s">
        <v>91</v>
      </c>
      <c r="B36" s="11"/>
      <c r="C36" s="11"/>
      <c r="D36" s="12"/>
      <c r="E36" s="12"/>
      <c r="F36" s="12"/>
      <c r="G36" s="27">
        <f>SUM(B36:F36)</f>
        <v>0</v>
      </c>
      <c r="N36" s="13"/>
      <c r="O36" s="13"/>
    </row>
    <row r="37" spans="1:15" x14ac:dyDescent="0.2">
      <c r="A37" s="10" t="s">
        <v>47</v>
      </c>
      <c r="B37" s="11"/>
      <c r="C37" s="11"/>
      <c r="D37" s="12"/>
      <c r="E37" s="12"/>
      <c r="F37" s="12"/>
      <c r="G37" s="27">
        <f>SUM(B37:F37)</f>
        <v>0</v>
      </c>
      <c r="N37" s="13"/>
      <c r="O37" s="13"/>
    </row>
    <row r="38" spans="1:15" x14ac:dyDescent="0.2">
      <c r="A38" s="10" t="s">
        <v>34</v>
      </c>
      <c r="B38" s="11"/>
      <c r="C38" s="11"/>
      <c r="D38" s="12"/>
      <c r="E38" s="12"/>
      <c r="F38" s="12"/>
      <c r="G38" s="27">
        <f t="shared" ref="G38:G40" si="8">SUM(B38:F38)</f>
        <v>0</v>
      </c>
    </row>
    <row r="39" spans="1:15" x14ac:dyDescent="0.2">
      <c r="A39" s="10" t="s">
        <v>48</v>
      </c>
      <c r="B39" s="11"/>
      <c r="C39" s="11"/>
      <c r="D39" s="12"/>
      <c r="E39" s="12"/>
      <c r="F39" s="12"/>
      <c r="G39" s="27">
        <f t="shared" si="8"/>
        <v>0</v>
      </c>
    </row>
    <row r="40" spans="1:15" x14ac:dyDescent="0.2">
      <c r="A40" s="10" t="s">
        <v>29</v>
      </c>
      <c r="B40" s="11"/>
      <c r="C40" s="11"/>
      <c r="D40" s="12"/>
      <c r="E40" s="12"/>
      <c r="F40" s="12"/>
      <c r="G40" s="27">
        <f t="shared" si="8"/>
        <v>0</v>
      </c>
    </row>
    <row r="41" spans="1:15" ht="12" thickBot="1" x14ac:dyDescent="0.25">
      <c r="A41" s="15" t="s">
        <v>28</v>
      </c>
      <c r="B41" s="16">
        <f>SUM(B35:B40)</f>
        <v>0</v>
      </c>
      <c r="C41" s="16">
        <f>SUM(C35:C40)</f>
        <v>0</v>
      </c>
      <c r="D41" s="16">
        <f>SUM(D35:D40)</f>
        <v>0</v>
      </c>
      <c r="E41" s="16">
        <f t="shared" ref="E41:F41" si="9">SUM(E35:E40)</f>
        <v>0</v>
      </c>
      <c r="F41" s="16">
        <f t="shared" si="9"/>
        <v>0</v>
      </c>
      <c r="G41" s="28">
        <f>SUM(G35:G40)</f>
        <v>0</v>
      </c>
    </row>
    <row r="42" spans="1:15" x14ac:dyDescent="0.2">
      <c r="A42" s="17" t="s">
        <v>13</v>
      </c>
      <c r="B42" s="11"/>
      <c r="C42" s="11"/>
      <c r="D42" s="12"/>
      <c r="E42" s="12"/>
      <c r="F42" s="12"/>
      <c r="G42" s="27"/>
    </row>
    <row r="43" spans="1:15" x14ac:dyDescent="0.2">
      <c r="A43" s="10" t="str">
        <f>+'Lead Budget'!A46</f>
        <v>Materials &amp; Supplies</v>
      </c>
      <c r="B43" s="18"/>
      <c r="C43" s="18"/>
      <c r="D43" s="18"/>
      <c r="E43" s="18"/>
      <c r="F43" s="18"/>
      <c r="G43" s="27">
        <f>SUM(B43:F43)</f>
        <v>0</v>
      </c>
    </row>
    <row r="44" spans="1:15" x14ac:dyDescent="0.2">
      <c r="A44" s="10" t="str">
        <f>+'Lead Budget'!A47</f>
        <v>Publication Costs</v>
      </c>
      <c r="B44" s="11"/>
      <c r="C44" s="11"/>
      <c r="D44" s="11"/>
      <c r="E44" s="11"/>
      <c r="F44" s="11"/>
      <c r="G44" s="27">
        <f t="shared" ref="G44:G51" si="10">SUM(B44:F44)</f>
        <v>0</v>
      </c>
    </row>
    <row r="45" spans="1:15" x14ac:dyDescent="0.2">
      <c r="A45" s="10" t="str">
        <f>+'Lead Budget'!A48</f>
        <v>Consultant Services</v>
      </c>
      <c r="B45" s="11"/>
      <c r="C45" s="11"/>
      <c r="D45" s="12"/>
      <c r="E45" s="12"/>
      <c r="F45" s="12"/>
      <c r="G45" s="27">
        <f t="shared" si="10"/>
        <v>0</v>
      </c>
    </row>
    <row r="46" spans="1:15" x14ac:dyDescent="0.2">
      <c r="A46" s="10" t="str">
        <f>+'Lead Budget'!A49</f>
        <v>ADP/Computer Services</v>
      </c>
      <c r="B46" s="11"/>
      <c r="C46" s="11"/>
      <c r="D46" s="11"/>
      <c r="E46" s="11"/>
      <c r="F46" s="11"/>
      <c r="G46" s="27">
        <f t="shared" si="10"/>
        <v>0</v>
      </c>
    </row>
    <row r="47" spans="1:15" x14ac:dyDescent="0.2">
      <c r="A47" s="10" t="str">
        <f>+'Lead Budget'!A50</f>
        <v xml:space="preserve">SubContracts </v>
      </c>
      <c r="B47" s="11"/>
      <c r="C47" s="11"/>
      <c r="D47" s="11"/>
      <c r="E47" s="11"/>
      <c r="F47" s="11"/>
      <c r="G47" s="27">
        <f t="shared" si="10"/>
        <v>0</v>
      </c>
    </row>
    <row r="48" spans="1:15" x14ac:dyDescent="0.2">
      <c r="A48" s="10" t="str">
        <f>+'Lead Budget'!A51</f>
        <v xml:space="preserve">Equipment or Facility Rental/User Fees </v>
      </c>
      <c r="B48" s="11"/>
      <c r="C48" s="11"/>
      <c r="D48" s="11"/>
      <c r="E48" s="11"/>
      <c r="F48" s="11"/>
      <c r="G48" s="27">
        <f t="shared" si="10"/>
        <v>0</v>
      </c>
    </row>
    <row r="49" spans="1:15" x14ac:dyDescent="0.2">
      <c r="A49" s="10" t="str">
        <f>+'Lead Budget'!A52</f>
        <v>Other: Tuition</v>
      </c>
      <c r="B49" s="11"/>
      <c r="C49" s="11"/>
      <c r="D49" s="11"/>
      <c r="E49" s="11"/>
      <c r="F49" s="11"/>
      <c r="G49" s="27">
        <f t="shared" si="10"/>
        <v>0</v>
      </c>
    </row>
    <row r="50" spans="1:15" x14ac:dyDescent="0.2">
      <c r="A50" s="10" t="str">
        <f>+'Lead Budget'!A53</f>
        <v>Other: Health Insurance</v>
      </c>
      <c r="B50" s="11"/>
      <c r="C50" s="11"/>
      <c r="D50" s="11"/>
      <c r="E50" s="11"/>
      <c r="F50" s="11"/>
      <c r="G50" s="27">
        <f t="shared" si="10"/>
        <v>0</v>
      </c>
    </row>
    <row r="51" spans="1:15" x14ac:dyDescent="0.2">
      <c r="A51" s="10" t="str">
        <f>+'Lead Budget'!A54</f>
        <v>Other</v>
      </c>
      <c r="B51" s="11"/>
      <c r="C51" s="11"/>
      <c r="D51" s="11"/>
      <c r="E51" s="11"/>
      <c r="F51" s="11"/>
      <c r="G51" s="27">
        <f t="shared" si="10"/>
        <v>0</v>
      </c>
    </row>
    <row r="52" spans="1:15" ht="12" thickBot="1" x14ac:dyDescent="0.25">
      <c r="A52" s="15" t="s">
        <v>94</v>
      </c>
      <c r="B52" s="16">
        <f t="shared" ref="B52:G52" si="11">SUM(B42:B51)</f>
        <v>0</v>
      </c>
      <c r="C52" s="16">
        <f t="shared" si="11"/>
        <v>0</v>
      </c>
      <c r="D52" s="16">
        <f t="shared" si="11"/>
        <v>0</v>
      </c>
      <c r="E52" s="16">
        <f t="shared" si="11"/>
        <v>0</v>
      </c>
      <c r="F52" s="16">
        <f t="shared" si="11"/>
        <v>0</v>
      </c>
      <c r="G52" s="28">
        <f t="shared" si="11"/>
        <v>0</v>
      </c>
      <c r="K52" s="2"/>
      <c r="N52" s="13"/>
      <c r="O52" s="13"/>
    </row>
    <row r="53" spans="1:15" ht="12" thickBot="1" x14ac:dyDescent="0.25">
      <c r="A53" s="107" t="s">
        <v>16</v>
      </c>
      <c r="B53" s="105">
        <f>SUM(+B10+B18+B25+B30+B34+B41+B52)</f>
        <v>0</v>
      </c>
      <c r="C53" s="105">
        <f>SUM(+C10+C18+C25+C30+C34+C41+C52)</f>
        <v>0</v>
      </c>
      <c r="D53" s="105">
        <f>SUM(+D10+D18+D25+D30+D34+D41+D52)</f>
        <v>0</v>
      </c>
      <c r="E53" s="105">
        <f>SUM(+E10+E18+E25+E30+E34+E41+E52)</f>
        <v>0</v>
      </c>
      <c r="F53" s="105">
        <f t="shared" ref="F53" si="12">SUM(+F10+F18+F25+F30+F34+F41+F52)</f>
        <v>0</v>
      </c>
      <c r="G53" s="106">
        <f>SUM(+G10+G18+G25+G30+G34+G41+G52)</f>
        <v>0</v>
      </c>
      <c r="N53" s="13"/>
      <c r="O53" s="13"/>
    </row>
    <row r="54" spans="1:15" ht="12" thickBot="1" x14ac:dyDescent="0.25">
      <c r="A54" s="632" t="s">
        <v>289</v>
      </c>
      <c r="B54" s="631"/>
      <c r="C54" s="631"/>
      <c r="D54" s="631"/>
      <c r="E54" s="631"/>
      <c r="F54" s="631"/>
      <c r="G54" s="633">
        <f>SUM(B54:F54)</f>
        <v>0</v>
      </c>
      <c r="N54" s="13"/>
      <c r="O54" s="13"/>
    </row>
    <row r="55" spans="1:15" ht="12" thickBot="1" x14ac:dyDescent="0.25">
      <c r="A55" s="7" t="s">
        <v>290</v>
      </c>
      <c r="B55" s="105">
        <f>+B53-B54</f>
        <v>0</v>
      </c>
      <c r="C55" s="105">
        <f>+C53-C54</f>
        <v>0</v>
      </c>
      <c r="D55" s="105">
        <f t="shared" ref="D55:F55" si="13">+D53-D54</f>
        <v>0</v>
      </c>
      <c r="E55" s="105">
        <f t="shared" si="13"/>
        <v>0</v>
      </c>
      <c r="F55" s="105">
        <f t="shared" si="13"/>
        <v>0</v>
      </c>
      <c r="G55" s="106">
        <f>SUM(B55:F55)</f>
        <v>0</v>
      </c>
      <c r="N55" s="13"/>
      <c r="O55" s="13"/>
    </row>
    <row r="56" spans="1:15" ht="12" thickBot="1" x14ac:dyDescent="0.25">
      <c r="A56" s="7" t="s">
        <v>18</v>
      </c>
      <c r="B56" s="21">
        <f>ROUND(B55*$B$59,0)</f>
        <v>0</v>
      </c>
      <c r="C56" s="21">
        <f t="shared" ref="C56:F56" si="14">ROUND(C55*$B$59,0)</f>
        <v>0</v>
      </c>
      <c r="D56" s="21">
        <f t="shared" si="14"/>
        <v>0</v>
      </c>
      <c r="E56" s="21">
        <f t="shared" si="14"/>
        <v>0</v>
      </c>
      <c r="F56" s="21">
        <f t="shared" si="14"/>
        <v>0</v>
      </c>
      <c r="G56" s="106">
        <f>SUM(B56:F56)</f>
        <v>0</v>
      </c>
      <c r="N56" s="13"/>
      <c r="O56" s="13"/>
    </row>
    <row r="57" spans="1:15" ht="12" thickBot="1" x14ac:dyDescent="0.25">
      <c r="A57" s="19" t="s">
        <v>19</v>
      </c>
      <c r="B57" s="98">
        <f>+B53+B56</f>
        <v>0</v>
      </c>
      <c r="C57" s="98">
        <f t="shared" ref="C57:F57" si="15">+C53+C56</f>
        <v>0</v>
      </c>
      <c r="D57" s="98">
        <f t="shared" si="15"/>
        <v>0</v>
      </c>
      <c r="E57" s="98">
        <f t="shared" si="15"/>
        <v>0</v>
      </c>
      <c r="F57" s="98">
        <f t="shared" si="15"/>
        <v>0</v>
      </c>
      <c r="G57" s="20">
        <f>SUM(B57:F57)</f>
        <v>0</v>
      </c>
      <c r="L57" s="12"/>
      <c r="N57" s="13"/>
      <c r="O57" s="13"/>
    </row>
    <row r="58" spans="1:15" x14ac:dyDescent="0.2">
      <c r="A58" s="22"/>
      <c r="B58" s="12"/>
      <c r="C58" s="12"/>
      <c r="D58" s="12"/>
      <c r="E58" s="12"/>
      <c r="F58" s="12"/>
      <c r="I58" s="39"/>
      <c r="J58" s="12"/>
      <c r="K58" s="39"/>
      <c r="L58" s="39"/>
      <c r="M58" s="39"/>
      <c r="N58" s="13"/>
      <c r="O58" s="13"/>
    </row>
    <row r="59" spans="1:15" x14ac:dyDescent="0.2">
      <c r="A59" s="650" t="s">
        <v>317</v>
      </c>
      <c r="B59" s="630">
        <v>0.42857000000000001</v>
      </c>
      <c r="C59" s="3" t="str">
        <f ca="1">CONCATENATE("Indirect Cost Rate for ",""&amp;MID('rates, dates, etc'!AH16,FIND("]",'rates, dates, etc'!AH16)+1,25))</f>
        <v>Indirect Cost Rate for Consortium 8</v>
      </c>
      <c r="D59" s="39"/>
      <c r="G59" s="39"/>
      <c r="I59" s="39"/>
      <c r="J59" s="12"/>
      <c r="K59" s="39"/>
      <c r="L59" s="39"/>
      <c r="M59" s="39"/>
      <c r="N59" s="13"/>
      <c r="O59" s="13"/>
    </row>
    <row r="60" spans="1:15" x14ac:dyDescent="0.2">
      <c r="A60" s="22"/>
      <c r="B60" s="39"/>
      <c r="C60" s="39"/>
      <c r="D60" s="39"/>
      <c r="E60" s="39"/>
      <c r="F60" s="39"/>
      <c r="G60" s="39"/>
      <c r="I60" s="39"/>
      <c r="J60" s="12"/>
      <c r="K60" s="39"/>
      <c r="L60" s="39"/>
      <c r="M60" s="39"/>
      <c r="N60" s="13"/>
      <c r="O60" s="13"/>
    </row>
    <row r="61" spans="1:15" ht="12" thickBot="1" x14ac:dyDescent="0.25">
      <c r="A61" s="32"/>
      <c r="B61" s="33"/>
      <c r="C61" s="33"/>
      <c r="D61" s="33"/>
      <c r="E61" s="33"/>
      <c r="F61" s="33"/>
      <c r="G61" s="33"/>
      <c r="H61" s="34"/>
      <c r="I61" s="34"/>
      <c r="J61" s="34"/>
      <c r="K61" s="12"/>
    </row>
    <row r="63" spans="1:15" x14ac:dyDescent="0.2">
      <c r="A63" s="2" t="s">
        <v>42</v>
      </c>
      <c r="B63" s="40">
        <f>IF(B57&lt;25000,B57,25000)</f>
        <v>0</v>
      </c>
      <c r="C63" s="40">
        <f>IF(+B57&gt;25000,0,IF(B57+C57&gt;25000,(25000-B57),C57))</f>
        <v>0</v>
      </c>
      <c r="D63" s="40">
        <f>IF(+B57+C57&gt;25000,0,IF(B57+C57+D57&gt;25000,(25000-(B57+C57)),D57))</f>
        <v>0</v>
      </c>
      <c r="E63" s="40">
        <f>IF(B57+C57+D57&gt;25000,0,IF(B57+C57+D57+E57&gt;25000,(25000-(B57+C57+D57)),E57))</f>
        <v>0</v>
      </c>
      <c r="F63" s="40">
        <f>IF(B57+C57+D57+E57&gt;25000,0,IF(B57+C57+D57+E57+F57&gt;25000,(25000-(B57+C57+D57+E57)),F57))</f>
        <v>0</v>
      </c>
      <c r="G63" s="11">
        <f>SUM(B63:F63)</f>
        <v>0</v>
      </c>
      <c r="H63" s="11"/>
      <c r="I63" s="2"/>
    </row>
    <row r="64" spans="1:15" x14ac:dyDescent="0.2">
      <c r="A64" s="2" t="s">
        <v>43</v>
      </c>
      <c r="B64" s="40">
        <f>+B57-B63</f>
        <v>0</v>
      </c>
      <c r="C64" s="40">
        <f>+C57-C63</f>
        <v>0</v>
      </c>
      <c r="D64" s="40">
        <f>+D57-D63</f>
        <v>0</v>
      </c>
      <c r="E64" s="40">
        <f>+E57-E63</f>
        <v>0</v>
      </c>
      <c r="F64" s="40">
        <f>+F57-F63</f>
        <v>0</v>
      </c>
      <c r="G64" s="11">
        <f t="shared" ref="G64:G66" si="16">SUM(B64:F64)</f>
        <v>0</v>
      </c>
      <c r="H64" s="11"/>
      <c r="I64" s="2"/>
    </row>
    <row r="65" spans="2:7" x14ac:dyDescent="0.2">
      <c r="C65" s="13"/>
      <c r="G65" s="11"/>
    </row>
    <row r="66" spans="2:7" x14ac:dyDescent="0.2">
      <c r="B66" s="13">
        <f>SUM(B63:B64)</f>
        <v>0</v>
      </c>
      <c r="C66" s="13">
        <f>SUM(C63:C64)</f>
        <v>0</v>
      </c>
      <c r="D66" s="13">
        <f t="shared" ref="D66:F66" si="17">SUM(D63:D64)</f>
        <v>0</v>
      </c>
      <c r="E66" s="13">
        <f t="shared" si="17"/>
        <v>0</v>
      </c>
      <c r="F66" s="13">
        <f t="shared" si="17"/>
        <v>0</v>
      </c>
      <c r="G66" s="11">
        <f t="shared" si="16"/>
        <v>0</v>
      </c>
    </row>
  </sheetData>
  <pageMargins left="0.75" right="0.53" top="0.7" bottom="0.64" header="0.5" footer="0.5"/>
  <pageSetup scale="96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O66"/>
  <sheetViews>
    <sheetView zoomScale="130" zoomScaleNormal="130" workbookViewId="0">
      <selection activeCell="A8" sqref="A8"/>
    </sheetView>
  </sheetViews>
  <sheetFormatPr defaultColWidth="9.28515625" defaultRowHeight="11.25" x14ac:dyDescent="0.2"/>
  <cols>
    <col min="1" max="1" width="33.42578125" style="2" customWidth="1"/>
    <col min="2" max="6" width="8.42578125" style="2" customWidth="1"/>
    <col min="7" max="7" width="9.5703125" style="3" bestFit="1" customWidth="1"/>
    <col min="8" max="8" width="9.7109375" style="3" customWidth="1"/>
    <col min="9" max="9" width="18.5703125" style="3" bestFit="1" customWidth="1"/>
    <col min="10" max="10" width="6.7109375" style="3" bestFit="1" customWidth="1"/>
    <col min="11" max="11" width="9.7109375" style="3" customWidth="1"/>
    <col min="12" max="13" width="9.7109375" style="2" customWidth="1"/>
    <col min="14" max="16384" width="9.28515625" style="2"/>
  </cols>
  <sheetData>
    <row r="1" spans="1:14" ht="12.75" x14ac:dyDescent="0.2">
      <c r="A1" s="1" t="str">
        <f>+'Lead Budget'!A1</f>
        <v>Assessing the Potential for Demand Response to Manage Generation Shortfalls in a Zero-Carbon Electricity Grid”</v>
      </c>
    </row>
    <row r="2" spans="1:14" ht="12.75" x14ac:dyDescent="0.2">
      <c r="A2" s="1" t="str">
        <f>+'Lead Budget'!A2</f>
        <v>USDA</v>
      </c>
    </row>
    <row r="3" spans="1:14" ht="12.75" customHeight="1" thickBot="1" x14ac:dyDescent="0.25"/>
    <row r="4" spans="1:14" x14ac:dyDescent="0.2">
      <c r="A4" s="4"/>
      <c r="B4" s="5" t="s">
        <v>1</v>
      </c>
      <c r="C4" s="5" t="s">
        <v>2</v>
      </c>
      <c r="D4" s="5" t="s">
        <v>3</v>
      </c>
      <c r="E4" s="5" t="s">
        <v>44</v>
      </c>
      <c r="F4" s="5" t="s">
        <v>50</v>
      </c>
      <c r="G4" s="23"/>
    </row>
    <row r="5" spans="1:14" ht="12" thickBot="1" x14ac:dyDescent="0.25">
      <c r="A5" s="4" t="str">
        <f ca="1">""&amp;MID('rates, dates, etc'!AH17,FIND("]",'rates, dates, etc'!AH17)+1,25)</f>
        <v>Consortium 9</v>
      </c>
      <c r="B5" s="6">
        <f>+'Lead Budget'!B5</f>
        <v>44927</v>
      </c>
      <c r="C5" s="6">
        <f>+'Lead Budget'!C5</f>
        <v>45292</v>
      </c>
      <c r="D5" s="6">
        <f>+'Lead Budget'!D5</f>
        <v>45658</v>
      </c>
      <c r="E5" s="6">
        <f>+'Lead Budget'!E5</f>
        <v>46023</v>
      </c>
      <c r="F5" s="6">
        <f>+'Lead Budget'!F5</f>
        <v>46388</v>
      </c>
      <c r="G5" s="24"/>
    </row>
    <row r="6" spans="1:14" ht="12" thickBot="1" x14ac:dyDescent="0.25">
      <c r="A6" s="7" t="s">
        <v>4</v>
      </c>
      <c r="B6" s="46">
        <f>+'Lead Budget'!B6</f>
        <v>45291</v>
      </c>
      <c r="C6" s="8">
        <f>+'Lead Budget'!C6</f>
        <v>45657</v>
      </c>
      <c r="D6" s="8">
        <f>+'Lead Budget'!D6</f>
        <v>46022</v>
      </c>
      <c r="E6" s="8">
        <f>+'Lead Budget'!E6</f>
        <v>46387</v>
      </c>
      <c r="F6" s="8">
        <f>+'Lead Budget'!F6</f>
        <v>46752</v>
      </c>
      <c r="G6" s="25" t="s">
        <v>5</v>
      </c>
    </row>
    <row r="7" spans="1:14" x14ac:dyDescent="0.2">
      <c r="A7" s="9" t="s">
        <v>136</v>
      </c>
      <c r="B7" s="11"/>
      <c r="C7" s="11"/>
      <c r="D7" s="12"/>
      <c r="E7" s="12"/>
      <c r="F7" s="12"/>
      <c r="G7" s="27" t="s">
        <v>6</v>
      </c>
    </row>
    <row r="8" spans="1:14" x14ac:dyDescent="0.2">
      <c r="A8" s="10" t="s">
        <v>78</v>
      </c>
      <c r="B8" s="11"/>
      <c r="C8" s="11"/>
      <c r="D8" s="11"/>
      <c r="E8" s="11"/>
      <c r="F8" s="11"/>
      <c r="G8" s="27">
        <f>SUM(B8:F8)</f>
        <v>0</v>
      </c>
      <c r="N8" s="13"/>
    </row>
    <row r="9" spans="1:14" x14ac:dyDescent="0.2">
      <c r="A9" s="10" t="s">
        <v>61</v>
      </c>
      <c r="B9" s="11"/>
      <c r="C9" s="11"/>
      <c r="D9" s="11"/>
      <c r="E9" s="11"/>
      <c r="F9" s="11"/>
      <c r="G9" s="27">
        <f>SUM(B9:F9)</f>
        <v>0</v>
      </c>
    </row>
    <row r="10" spans="1:14" ht="12" thickBot="1" x14ac:dyDescent="0.25">
      <c r="A10" s="15" t="str">
        <f>CONCATENATE("Total ",A7)</f>
        <v>Total Senior Personnel Salary</v>
      </c>
      <c r="B10" s="16">
        <f>SUM(B7:B9)</f>
        <v>0</v>
      </c>
      <c r="C10" s="16">
        <f t="shared" ref="C10:F10" si="0">SUM(C7:C9)</f>
        <v>0</v>
      </c>
      <c r="D10" s="16">
        <f t="shared" si="0"/>
        <v>0</v>
      </c>
      <c r="E10" s="16">
        <f t="shared" si="0"/>
        <v>0</v>
      </c>
      <c r="F10" s="16">
        <f t="shared" si="0"/>
        <v>0</v>
      </c>
      <c r="G10" s="28">
        <f>SUM(G7:G9)</f>
        <v>0</v>
      </c>
    </row>
    <row r="11" spans="1:14" x14ac:dyDescent="0.2">
      <c r="A11" s="14" t="s">
        <v>137</v>
      </c>
      <c r="B11" s="11"/>
      <c r="C11" s="11"/>
      <c r="D11" s="12"/>
      <c r="E11" s="12"/>
      <c r="F11" s="12"/>
      <c r="G11" s="27"/>
    </row>
    <row r="12" spans="1:14" x14ac:dyDescent="0.2">
      <c r="A12" s="10" t="s">
        <v>88</v>
      </c>
      <c r="B12" s="11"/>
      <c r="C12" s="11"/>
      <c r="D12" s="12"/>
      <c r="E12" s="12"/>
      <c r="F12" s="12"/>
      <c r="G12" s="27">
        <f t="shared" ref="G12" si="1">SUM(B12:F12)</f>
        <v>0</v>
      </c>
    </row>
    <row r="13" spans="1:14" x14ac:dyDescent="0.2">
      <c r="A13" s="10" t="s">
        <v>85</v>
      </c>
      <c r="B13" s="11"/>
      <c r="C13" s="11"/>
      <c r="D13" s="12"/>
      <c r="E13" s="12"/>
      <c r="F13" s="12"/>
      <c r="G13" s="27">
        <f>SUM(B13:F13)</f>
        <v>0</v>
      </c>
    </row>
    <row r="14" spans="1:14" x14ac:dyDescent="0.2">
      <c r="A14" s="10" t="s">
        <v>89</v>
      </c>
      <c r="B14" s="11"/>
      <c r="C14" s="11"/>
      <c r="D14" s="11"/>
      <c r="E14" s="11"/>
      <c r="F14" s="11"/>
      <c r="G14" s="27">
        <f>SUM(B14:F14)</f>
        <v>0</v>
      </c>
    </row>
    <row r="15" spans="1:14" x14ac:dyDescent="0.2">
      <c r="A15" s="10" t="s">
        <v>90</v>
      </c>
      <c r="B15" s="11"/>
      <c r="C15" s="11"/>
      <c r="D15" s="11"/>
      <c r="E15" s="11"/>
      <c r="F15" s="11"/>
      <c r="G15" s="27">
        <f>SUM(B15:F15)</f>
        <v>0</v>
      </c>
    </row>
    <row r="16" spans="1:14" x14ac:dyDescent="0.2">
      <c r="A16" s="10" t="s">
        <v>29</v>
      </c>
      <c r="B16" s="11"/>
      <c r="C16" s="11"/>
      <c r="D16" s="12"/>
      <c r="E16" s="12"/>
      <c r="F16" s="12"/>
      <c r="G16" s="27">
        <f>SUM(B16:F16)</f>
        <v>0</v>
      </c>
    </row>
    <row r="17" spans="1:15" x14ac:dyDescent="0.2">
      <c r="A17" s="10"/>
      <c r="B17" s="11"/>
      <c r="C17" s="11"/>
      <c r="D17" s="12"/>
      <c r="E17" s="12"/>
      <c r="F17" s="12"/>
      <c r="G17" s="27">
        <f>SUM(B17:F17)</f>
        <v>0</v>
      </c>
      <c r="N17" s="13"/>
      <c r="O17" s="13"/>
    </row>
    <row r="18" spans="1:15" ht="12" thickBot="1" x14ac:dyDescent="0.25">
      <c r="A18" s="15" t="str">
        <f>CONCATENATE("Total ",A11)</f>
        <v>Total Other Personnel Salary</v>
      </c>
      <c r="B18" s="16">
        <f>SUM(B11:B17)</f>
        <v>0</v>
      </c>
      <c r="C18" s="16">
        <f t="shared" ref="C18:F18" si="2">SUM(C11:C17)</f>
        <v>0</v>
      </c>
      <c r="D18" s="16">
        <f>SUM(D11:D17)</f>
        <v>0</v>
      </c>
      <c r="E18" s="16">
        <f>SUM(E11:E17)</f>
        <v>0</v>
      </c>
      <c r="F18" s="16">
        <f t="shared" si="2"/>
        <v>0</v>
      </c>
      <c r="G18" s="28">
        <f>SUM(G11:G17)</f>
        <v>0</v>
      </c>
    </row>
    <row r="19" spans="1:15" x14ac:dyDescent="0.2">
      <c r="A19" s="17" t="s">
        <v>7</v>
      </c>
      <c r="B19" s="11" t="s">
        <v>6</v>
      </c>
      <c r="C19" s="11"/>
      <c r="D19" s="12"/>
      <c r="E19" s="12"/>
      <c r="F19" s="12"/>
      <c r="G19" s="27"/>
    </row>
    <row r="20" spans="1:15" x14ac:dyDescent="0.2">
      <c r="A20" s="10" t="str">
        <f>+A8</f>
        <v>PI</v>
      </c>
      <c r="B20" s="11"/>
      <c r="C20" s="11"/>
      <c r="D20" s="11"/>
      <c r="E20" s="11"/>
      <c r="F20" s="11"/>
      <c r="G20" s="27">
        <f>SUM(B20:F20)</f>
        <v>0</v>
      </c>
    </row>
    <row r="21" spans="1:15" x14ac:dyDescent="0.2">
      <c r="A21" s="10" t="str">
        <f>+A9</f>
        <v>Co-PI</v>
      </c>
      <c r="B21" s="11"/>
      <c r="C21" s="11"/>
      <c r="D21" s="11"/>
      <c r="E21" s="11"/>
      <c r="F21" s="11"/>
      <c r="G21" s="27">
        <f t="shared" ref="G21:G24" si="3">SUM(B21:F21)</f>
        <v>0</v>
      </c>
    </row>
    <row r="22" spans="1:15" x14ac:dyDescent="0.2">
      <c r="A22" s="10" t="s">
        <v>88</v>
      </c>
      <c r="B22" s="11"/>
      <c r="C22" s="11"/>
      <c r="D22" s="11"/>
      <c r="E22" s="11"/>
      <c r="F22" s="11"/>
      <c r="G22" s="27">
        <f t="shared" si="3"/>
        <v>0</v>
      </c>
    </row>
    <row r="23" spans="1:15" x14ac:dyDescent="0.2">
      <c r="A23" s="10" t="s">
        <v>90</v>
      </c>
      <c r="B23" s="11"/>
      <c r="C23" s="11"/>
      <c r="D23" s="11"/>
      <c r="E23" s="11"/>
      <c r="F23" s="11"/>
      <c r="G23" s="27">
        <f t="shared" si="3"/>
        <v>0</v>
      </c>
      <c r="N23" s="13"/>
      <c r="O23" s="13"/>
    </row>
    <row r="24" spans="1:15" x14ac:dyDescent="0.2">
      <c r="A24" s="10" t="s">
        <v>29</v>
      </c>
      <c r="B24" s="11"/>
      <c r="C24" s="11"/>
      <c r="D24" s="11"/>
      <c r="E24" s="11"/>
      <c r="F24" s="11"/>
      <c r="G24" s="27">
        <f t="shared" si="3"/>
        <v>0</v>
      </c>
      <c r="N24" s="13"/>
      <c r="O24" s="13"/>
    </row>
    <row r="25" spans="1:15" ht="12" thickBot="1" x14ac:dyDescent="0.25">
      <c r="A25" s="15" t="s">
        <v>93</v>
      </c>
      <c r="B25" s="16">
        <f>SUM(B19:B24)</f>
        <v>0</v>
      </c>
      <c r="C25" s="16">
        <f>SUM(C19:C24)</f>
        <v>0</v>
      </c>
      <c r="D25" s="16">
        <f>SUM(D19:D24)</f>
        <v>0</v>
      </c>
      <c r="E25" s="16">
        <f t="shared" ref="E25:F25" si="4">SUM(E19:E24)</f>
        <v>0</v>
      </c>
      <c r="F25" s="16">
        <f t="shared" si="4"/>
        <v>0</v>
      </c>
      <c r="G25" s="28">
        <f>SUM(G19:G24)</f>
        <v>0</v>
      </c>
      <c r="N25" s="13"/>
      <c r="O25" s="13"/>
    </row>
    <row r="26" spans="1:15" ht="12" thickBot="1" x14ac:dyDescent="0.25">
      <c r="A26" s="143" t="s">
        <v>131</v>
      </c>
      <c r="B26" s="144">
        <f>+B10+B18+B25</f>
        <v>0</v>
      </c>
      <c r="C26" s="144">
        <f>+C10+C18+C25</f>
        <v>0</v>
      </c>
      <c r="D26" s="144">
        <f t="shared" ref="D26:F26" si="5">+D10+D18+D25</f>
        <v>0</v>
      </c>
      <c r="E26" s="144">
        <f t="shared" si="5"/>
        <v>0</v>
      </c>
      <c r="F26" s="144">
        <f t="shared" si="5"/>
        <v>0</v>
      </c>
      <c r="G26" s="145">
        <f>+G10+G18+G25</f>
        <v>0</v>
      </c>
      <c r="N26" s="13"/>
      <c r="O26" s="13"/>
    </row>
    <row r="27" spans="1:15" x14ac:dyDescent="0.2">
      <c r="A27" s="17" t="s">
        <v>25</v>
      </c>
      <c r="B27" s="11"/>
      <c r="C27" s="11"/>
      <c r="D27" s="12"/>
      <c r="E27" s="12"/>
      <c r="F27" s="12"/>
      <c r="G27" s="27"/>
      <c r="N27" s="13"/>
      <c r="O27" s="13"/>
    </row>
    <row r="28" spans="1:15" x14ac:dyDescent="0.2">
      <c r="A28" s="10" t="s">
        <v>66</v>
      </c>
      <c r="B28" s="11"/>
      <c r="C28" s="11"/>
      <c r="D28" s="12"/>
      <c r="E28" s="12"/>
      <c r="F28" s="12"/>
      <c r="G28" s="27">
        <f>SUM(B28:F28)</f>
        <v>0</v>
      </c>
    </row>
    <row r="29" spans="1:15" x14ac:dyDescent="0.2">
      <c r="A29" s="10"/>
      <c r="B29" s="11"/>
      <c r="C29" s="11"/>
      <c r="D29" s="12"/>
      <c r="E29" s="12"/>
      <c r="F29" s="12"/>
      <c r="G29" s="27">
        <f>SUM(B29:F29)</f>
        <v>0</v>
      </c>
    </row>
    <row r="30" spans="1:15" ht="12" thickBot="1" x14ac:dyDescent="0.25">
      <c r="A30" s="15" t="s">
        <v>26</v>
      </c>
      <c r="B30" s="16">
        <f>SUM(B27:B29)</f>
        <v>0</v>
      </c>
      <c r="C30" s="16">
        <f>SUM(C27:C29)</f>
        <v>0</v>
      </c>
      <c r="D30" s="16">
        <f>SUM(D27:D29)</f>
        <v>0</v>
      </c>
      <c r="E30" s="16">
        <f t="shared" ref="E30:F30" si="6">SUM(E27:E29)</f>
        <v>0</v>
      </c>
      <c r="F30" s="16">
        <f t="shared" si="6"/>
        <v>0</v>
      </c>
      <c r="G30" s="28">
        <f>SUM(G27:G29)</f>
        <v>0</v>
      </c>
    </row>
    <row r="31" spans="1:15" x14ac:dyDescent="0.2">
      <c r="A31" s="17" t="s">
        <v>34</v>
      </c>
      <c r="B31" s="11"/>
      <c r="C31" s="11"/>
      <c r="D31" s="12"/>
      <c r="E31" s="12"/>
      <c r="F31" s="12"/>
      <c r="G31" s="27"/>
    </row>
    <row r="32" spans="1:15" x14ac:dyDescent="0.2">
      <c r="A32" s="10" t="s">
        <v>10</v>
      </c>
      <c r="B32" s="11"/>
      <c r="C32" s="11"/>
      <c r="D32" s="11"/>
      <c r="E32" s="11"/>
      <c r="F32" s="11"/>
      <c r="G32" s="27">
        <f>SUM(B32:F32)</f>
        <v>0</v>
      </c>
      <c r="N32" s="13"/>
      <c r="O32" s="13"/>
    </row>
    <row r="33" spans="1:15" x14ac:dyDescent="0.2">
      <c r="A33" s="10" t="s">
        <v>11</v>
      </c>
      <c r="B33" s="11"/>
      <c r="C33" s="11"/>
      <c r="D33" s="11"/>
      <c r="E33" s="11"/>
      <c r="F33" s="11"/>
      <c r="G33" s="27">
        <f>SUM(B33:F33)</f>
        <v>0</v>
      </c>
      <c r="N33" s="13"/>
      <c r="O33" s="13"/>
    </row>
    <row r="34" spans="1:15" ht="12" thickBot="1" x14ac:dyDescent="0.25">
      <c r="A34" s="15" t="s">
        <v>12</v>
      </c>
      <c r="B34" s="16">
        <f>SUM(B31:B33)</f>
        <v>0</v>
      </c>
      <c r="C34" s="16">
        <f>SUM(C31:C33)</f>
        <v>0</v>
      </c>
      <c r="D34" s="16">
        <f>SUM(D31:D33)</f>
        <v>0</v>
      </c>
      <c r="E34" s="16">
        <f t="shared" ref="E34:F34" si="7">SUM(E31:E33)</f>
        <v>0</v>
      </c>
      <c r="F34" s="16">
        <f t="shared" si="7"/>
        <v>0</v>
      </c>
      <c r="G34" s="28">
        <f>SUM(G31:G33)</f>
        <v>0</v>
      </c>
      <c r="N34" s="13"/>
      <c r="O34" s="13"/>
    </row>
    <row r="35" spans="1:15" x14ac:dyDescent="0.2">
      <c r="A35" s="17" t="s">
        <v>27</v>
      </c>
      <c r="B35" s="11"/>
      <c r="C35" s="11"/>
      <c r="D35" s="12"/>
      <c r="E35" s="12"/>
      <c r="F35" s="12"/>
      <c r="G35" s="27"/>
      <c r="N35" s="13"/>
      <c r="O35" s="13"/>
    </row>
    <row r="36" spans="1:15" x14ac:dyDescent="0.2">
      <c r="A36" s="10" t="s">
        <v>91</v>
      </c>
      <c r="B36" s="11"/>
      <c r="C36" s="11"/>
      <c r="D36" s="12"/>
      <c r="E36" s="12"/>
      <c r="F36" s="12"/>
      <c r="G36" s="27">
        <f>SUM(B36:F36)</f>
        <v>0</v>
      </c>
      <c r="N36" s="13"/>
      <c r="O36" s="13"/>
    </row>
    <row r="37" spans="1:15" x14ac:dyDescent="0.2">
      <c r="A37" s="10" t="s">
        <v>47</v>
      </c>
      <c r="B37" s="11"/>
      <c r="C37" s="11"/>
      <c r="D37" s="12"/>
      <c r="E37" s="12"/>
      <c r="F37" s="12"/>
      <c r="G37" s="27">
        <f>SUM(B37:F37)</f>
        <v>0</v>
      </c>
      <c r="N37" s="13"/>
      <c r="O37" s="13"/>
    </row>
    <row r="38" spans="1:15" x14ac:dyDescent="0.2">
      <c r="A38" s="10" t="s">
        <v>34</v>
      </c>
      <c r="B38" s="11"/>
      <c r="C38" s="11"/>
      <c r="D38" s="12"/>
      <c r="E38" s="12"/>
      <c r="F38" s="12"/>
      <c r="G38" s="27">
        <f t="shared" ref="G38:G40" si="8">SUM(B38:F38)</f>
        <v>0</v>
      </c>
    </row>
    <row r="39" spans="1:15" x14ac:dyDescent="0.2">
      <c r="A39" s="10" t="s">
        <v>48</v>
      </c>
      <c r="B39" s="11"/>
      <c r="C39" s="11"/>
      <c r="D39" s="12"/>
      <c r="E39" s="12"/>
      <c r="F39" s="12"/>
      <c r="G39" s="27">
        <f t="shared" si="8"/>
        <v>0</v>
      </c>
    </row>
    <row r="40" spans="1:15" x14ac:dyDescent="0.2">
      <c r="A40" s="10" t="s">
        <v>29</v>
      </c>
      <c r="B40" s="11"/>
      <c r="C40" s="11"/>
      <c r="D40" s="12"/>
      <c r="E40" s="12"/>
      <c r="F40" s="12"/>
      <c r="G40" s="27">
        <f t="shared" si="8"/>
        <v>0</v>
      </c>
    </row>
    <row r="41" spans="1:15" ht="12" thickBot="1" x14ac:dyDescent="0.25">
      <c r="A41" s="15" t="s">
        <v>28</v>
      </c>
      <c r="B41" s="16">
        <f>SUM(B35:B40)</f>
        <v>0</v>
      </c>
      <c r="C41" s="16">
        <f>SUM(C35:C40)</f>
        <v>0</v>
      </c>
      <c r="D41" s="16">
        <f>SUM(D35:D40)</f>
        <v>0</v>
      </c>
      <c r="E41" s="16">
        <f t="shared" ref="E41:F41" si="9">SUM(E35:E40)</f>
        <v>0</v>
      </c>
      <c r="F41" s="16">
        <f t="shared" si="9"/>
        <v>0</v>
      </c>
      <c r="G41" s="28">
        <f>SUM(G35:G40)</f>
        <v>0</v>
      </c>
    </row>
    <row r="42" spans="1:15" x14ac:dyDescent="0.2">
      <c r="A42" s="17" t="s">
        <v>13</v>
      </c>
      <c r="B42" s="11"/>
      <c r="C42" s="11"/>
      <c r="D42" s="12"/>
      <c r="E42" s="12"/>
      <c r="F42" s="12"/>
      <c r="G42" s="27"/>
    </row>
    <row r="43" spans="1:15" x14ac:dyDescent="0.2">
      <c r="A43" s="10" t="str">
        <f>+'Lead Budget'!A46</f>
        <v>Materials &amp; Supplies</v>
      </c>
      <c r="B43" s="18"/>
      <c r="C43" s="18"/>
      <c r="D43" s="18"/>
      <c r="E43" s="18"/>
      <c r="F43" s="18"/>
      <c r="G43" s="27">
        <f>SUM(B43:F43)</f>
        <v>0</v>
      </c>
    </row>
    <row r="44" spans="1:15" x14ac:dyDescent="0.2">
      <c r="A44" s="10" t="str">
        <f>+'Lead Budget'!A47</f>
        <v>Publication Costs</v>
      </c>
      <c r="B44" s="11"/>
      <c r="C44" s="11"/>
      <c r="D44" s="11"/>
      <c r="E44" s="11"/>
      <c r="F44" s="11"/>
      <c r="G44" s="27">
        <f t="shared" ref="G44:G51" si="10">SUM(B44:F44)</f>
        <v>0</v>
      </c>
    </row>
    <row r="45" spans="1:15" x14ac:dyDescent="0.2">
      <c r="A45" s="10" t="str">
        <f>+'Lead Budget'!A48</f>
        <v>Consultant Services</v>
      </c>
      <c r="B45" s="11"/>
      <c r="C45" s="11"/>
      <c r="D45" s="12"/>
      <c r="E45" s="12"/>
      <c r="F45" s="12"/>
      <c r="G45" s="27">
        <f t="shared" si="10"/>
        <v>0</v>
      </c>
    </row>
    <row r="46" spans="1:15" x14ac:dyDescent="0.2">
      <c r="A46" s="10" t="str">
        <f>+'Lead Budget'!A49</f>
        <v>ADP/Computer Services</v>
      </c>
      <c r="B46" s="11"/>
      <c r="C46" s="11"/>
      <c r="D46" s="11"/>
      <c r="E46" s="11"/>
      <c r="F46" s="11"/>
      <c r="G46" s="27">
        <f t="shared" si="10"/>
        <v>0</v>
      </c>
    </row>
    <row r="47" spans="1:15" x14ac:dyDescent="0.2">
      <c r="A47" s="10" t="str">
        <f>+'Lead Budget'!A50</f>
        <v xml:space="preserve">SubContracts </v>
      </c>
      <c r="B47" s="11"/>
      <c r="C47" s="11"/>
      <c r="D47" s="11"/>
      <c r="E47" s="11"/>
      <c r="F47" s="11"/>
      <c r="G47" s="27">
        <f t="shared" si="10"/>
        <v>0</v>
      </c>
    </row>
    <row r="48" spans="1:15" x14ac:dyDescent="0.2">
      <c r="A48" s="10" t="str">
        <f>+'Lead Budget'!A51</f>
        <v xml:space="preserve">Equipment or Facility Rental/User Fees </v>
      </c>
      <c r="B48" s="11"/>
      <c r="C48" s="11"/>
      <c r="D48" s="11"/>
      <c r="E48" s="11"/>
      <c r="F48" s="11"/>
      <c r="G48" s="27">
        <f t="shared" si="10"/>
        <v>0</v>
      </c>
    </row>
    <row r="49" spans="1:15" x14ac:dyDescent="0.2">
      <c r="A49" s="10" t="str">
        <f>+'Lead Budget'!A52</f>
        <v>Other: Tuition</v>
      </c>
      <c r="B49" s="11"/>
      <c r="C49" s="11"/>
      <c r="D49" s="11"/>
      <c r="E49" s="11"/>
      <c r="F49" s="11"/>
      <c r="G49" s="27">
        <f t="shared" si="10"/>
        <v>0</v>
      </c>
    </row>
    <row r="50" spans="1:15" x14ac:dyDescent="0.2">
      <c r="A50" s="10" t="str">
        <f>+'Lead Budget'!A53</f>
        <v>Other: Health Insurance</v>
      </c>
      <c r="B50" s="11"/>
      <c r="C50" s="11"/>
      <c r="D50" s="11"/>
      <c r="E50" s="11"/>
      <c r="F50" s="11"/>
      <c r="G50" s="27">
        <f t="shared" si="10"/>
        <v>0</v>
      </c>
    </row>
    <row r="51" spans="1:15" x14ac:dyDescent="0.2">
      <c r="A51" s="10" t="str">
        <f>+'Lead Budget'!A54</f>
        <v>Other</v>
      </c>
      <c r="B51" s="11"/>
      <c r="C51" s="11"/>
      <c r="D51" s="11"/>
      <c r="E51" s="11"/>
      <c r="F51" s="11"/>
      <c r="G51" s="27">
        <f t="shared" si="10"/>
        <v>0</v>
      </c>
    </row>
    <row r="52" spans="1:15" ht="12" thickBot="1" x14ac:dyDescent="0.25">
      <c r="A52" s="15" t="s">
        <v>94</v>
      </c>
      <c r="B52" s="16">
        <f t="shared" ref="B52:G52" si="11">SUM(B42:B51)</f>
        <v>0</v>
      </c>
      <c r="C52" s="16">
        <f t="shared" si="11"/>
        <v>0</v>
      </c>
      <c r="D52" s="16">
        <f t="shared" si="11"/>
        <v>0</v>
      </c>
      <c r="E52" s="16">
        <f t="shared" si="11"/>
        <v>0</v>
      </c>
      <c r="F52" s="16">
        <f t="shared" si="11"/>
        <v>0</v>
      </c>
      <c r="G52" s="28">
        <f t="shared" si="11"/>
        <v>0</v>
      </c>
      <c r="K52" s="2"/>
      <c r="N52" s="13"/>
      <c r="O52" s="13"/>
    </row>
    <row r="53" spans="1:15" ht="12" thickBot="1" x14ac:dyDescent="0.25">
      <c r="A53" s="107" t="s">
        <v>16</v>
      </c>
      <c r="B53" s="105">
        <f>SUM(+B10+B18+B25+B30+B34+B41+B52)</f>
        <v>0</v>
      </c>
      <c r="C53" s="105">
        <f>SUM(+C10+C18+C25+C30+C34+C41+C52)</f>
        <v>0</v>
      </c>
      <c r="D53" s="105">
        <f>SUM(+D10+D18+D25+D30+D34+D41+D52)</f>
        <v>0</v>
      </c>
      <c r="E53" s="105">
        <f>SUM(+E10+E18+E25+E30+E34+E41+E52)</f>
        <v>0</v>
      </c>
      <c r="F53" s="105">
        <f t="shared" ref="F53" si="12">SUM(+F10+F18+F25+F30+F34+F41+F52)</f>
        <v>0</v>
      </c>
      <c r="G53" s="106">
        <f>SUM(+G10+G18+G25+G30+G34+G41+G52)</f>
        <v>0</v>
      </c>
      <c r="N53" s="13"/>
      <c r="O53" s="13"/>
    </row>
    <row r="54" spans="1:15" ht="12" thickBot="1" x14ac:dyDescent="0.25">
      <c r="A54" s="632" t="s">
        <v>289</v>
      </c>
      <c r="B54" s="631"/>
      <c r="C54" s="631"/>
      <c r="D54" s="631"/>
      <c r="E54" s="631"/>
      <c r="F54" s="631"/>
      <c r="G54" s="633">
        <f>SUM(B54:F54)</f>
        <v>0</v>
      </c>
      <c r="N54" s="13"/>
      <c r="O54" s="13"/>
    </row>
    <row r="55" spans="1:15" ht="12" thickBot="1" x14ac:dyDescent="0.25">
      <c r="A55" s="7" t="s">
        <v>290</v>
      </c>
      <c r="B55" s="105">
        <f>+B53-B54</f>
        <v>0</v>
      </c>
      <c r="C55" s="105">
        <f>+C53-C54</f>
        <v>0</v>
      </c>
      <c r="D55" s="105">
        <f t="shared" ref="D55:F55" si="13">+D53-D54</f>
        <v>0</v>
      </c>
      <c r="E55" s="105">
        <f t="shared" si="13"/>
        <v>0</v>
      </c>
      <c r="F55" s="105">
        <f t="shared" si="13"/>
        <v>0</v>
      </c>
      <c r="G55" s="106">
        <f>SUM(B55:F55)</f>
        <v>0</v>
      </c>
      <c r="N55" s="13"/>
      <c r="O55" s="13"/>
    </row>
    <row r="56" spans="1:15" ht="12" thickBot="1" x14ac:dyDescent="0.25">
      <c r="A56" s="7" t="s">
        <v>18</v>
      </c>
      <c r="B56" s="21">
        <f>ROUND(B55*$B$59,0)</f>
        <v>0</v>
      </c>
      <c r="C56" s="21">
        <f t="shared" ref="C56:F56" si="14">ROUND(C55*$B$59,0)</f>
        <v>0</v>
      </c>
      <c r="D56" s="21">
        <f t="shared" si="14"/>
        <v>0</v>
      </c>
      <c r="E56" s="21">
        <f t="shared" si="14"/>
        <v>0</v>
      </c>
      <c r="F56" s="21">
        <f t="shared" si="14"/>
        <v>0</v>
      </c>
      <c r="G56" s="106">
        <f>SUM(B56:F56)</f>
        <v>0</v>
      </c>
      <c r="N56" s="13"/>
      <c r="O56" s="13"/>
    </row>
    <row r="57" spans="1:15" ht="12" thickBot="1" x14ac:dyDescent="0.25">
      <c r="A57" s="19" t="s">
        <v>19</v>
      </c>
      <c r="B57" s="98">
        <f>+B53+B56</f>
        <v>0</v>
      </c>
      <c r="C57" s="98">
        <f t="shared" ref="C57:F57" si="15">+C53+C56</f>
        <v>0</v>
      </c>
      <c r="D57" s="98">
        <f t="shared" si="15"/>
        <v>0</v>
      </c>
      <c r="E57" s="98">
        <f t="shared" si="15"/>
        <v>0</v>
      </c>
      <c r="F57" s="98">
        <f t="shared" si="15"/>
        <v>0</v>
      </c>
      <c r="G57" s="20">
        <f>SUM(B57:F57)</f>
        <v>0</v>
      </c>
      <c r="L57" s="12"/>
      <c r="N57" s="13"/>
      <c r="O57" s="13"/>
    </row>
    <row r="58" spans="1:15" x14ac:dyDescent="0.2">
      <c r="A58" s="22"/>
      <c r="B58" s="12"/>
      <c r="C58" s="12"/>
      <c r="D58" s="12"/>
      <c r="E58" s="12"/>
      <c r="F58" s="12"/>
      <c r="I58" s="39"/>
      <c r="J58" s="12"/>
      <c r="K58" s="39"/>
      <c r="L58" s="39"/>
      <c r="M58" s="39"/>
      <c r="N58" s="13"/>
      <c r="O58" s="13"/>
    </row>
    <row r="59" spans="1:15" x14ac:dyDescent="0.2">
      <c r="A59" s="650" t="s">
        <v>317</v>
      </c>
      <c r="B59" s="630">
        <v>0.42857000000000001</v>
      </c>
      <c r="C59" s="3" t="str">
        <f ca="1">CONCATENATE("Indirect Cost Rate for ",""&amp;MID('rates, dates, etc'!AH17,FIND("]",'rates, dates, etc'!AH17)+1,25))</f>
        <v>Indirect Cost Rate for Consortium 9</v>
      </c>
      <c r="D59" s="39"/>
      <c r="G59" s="39"/>
      <c r="I59" s="39"/>
      <c r="J59" s="12"/>
      <c r="K59" s="39"/>
      <c r="L59" s="39"/>
      <c r="M59" s="39"/>
      <c r="N59" s="13"/>
      <c r="O59" s="13"/>
    </row>
    <row r="60" spans="1:15" x14ac:dyDescent="0.2">
      <c r="A60" s="22"/>
      <c r="B60" s="39"/>
      <c r="C60" s="39"/>
      <c r="D60" s="39"/>
      <c r="E60" s="39"/>
      <c r="F60" s="39"/>
      <c r="G60" s="39"/>
      <c r="I60" s="39"/>
      <c r="J60" s="12"/>
      <c r="K60" s="39"/>
      <c r="L60" s="39"/>
      <c r="M60" s="39"/>
      <c r="N60" s="13"/>
      <c r="O60" s="13"/>
    </row>
    <row r="61" spans="1:15" ht="12" thickBot="1" x14ac:dyDescent="0.25">
      <c r="A61" s="32"/>
      <c r="B61" s="33"/>
      <c r="C61" s="33"/>
      <c r="D61" s="33"/>
      <c r="E61" s="33"/>
      <c r="F61" s="33"/>
      <c r="G61" s="33"/>
      <c r="H61" s="34"/>
      <c r="I61" s="34"/>
      <c r="J61" s="34"/>
      <c r="K61" s="12"/>
    </row>
    <row r="63" spans="1:15" x14ac:dyDescent="0.2">
      <c r="A63" s="2" t="s">
        <v>42</v>
      </c>
      <c r="B63" s="40">
        <f>IF(B57&lt;25000,B57,25000)</f>
        <v>0</v>
      </c>
      <c r="C63" s="40">
        <f>IF(+B57&gt;25000,0,IF(B57+C57&gt;25000,(25000-B57),C57))</f>
        <v>0</v>
      </c>
      <c r="D63" s="40">
        <f>IF(+B57+C57&gt;25000,0,IF(B57+C57+D57&gt;25000,(25000-(B57+C57)),D57))</f>
        <v>0</v>
      </c>
      <c r="E63" s="40">
        <f>IF(B57+C57+D57&gt;25000,0,IF(B57+C57+D57+E57&gt;25000,(25000-(B57+C57+D57)),E57))</f>
        <v>0</v>
      </c>
      <c r="F63" s="40">
        <f>IF(B57+C57+D57+E57&gt;25000,0,IF(B57+C57+D57+E57+F57&gt;25000,(25000-(B57+C57+D57+E57)),F57))</f>
        <v>0</v>
      </c>
      <c r="G63" s="11">
        <f>SUM(B63:F63)</f>
        <v>0</v>
      </c>
      <c r="H63" s="11"/>
      <c r="I63" s="2"/>
    </row>
    <row r="64" spans="1:15" x14ac:dyDescent="0.2">
      <c r="A64" s="2" t="s">
        <v>43</v>
      </c>
      <c r="B64" s="40">
        <f>+B57-B63</f>
        <v>0</v>
      </c>
      <c r="C64" s="40">
        <f>+C57-C63</f>
        <v>0</v>
      </c>
      <c r="D64" s="40">
        <f>+D57-D63</f>
        <v>0</v>
      </c>
      <c r="E64" s="40">
        <f>+E57-E63</f>
        <v>0</v>
      </c>
      <c r="F64" s="40">
        <f>+F57-F63</f>
        <v>0</v>
      </c>
      <c r="G64" s="11">
        <f t="shared" ref="G64:G66" si="16">SUM(B64:F64)</f>
        <v>0</v>
      </c>
      <c r="H64" s="11"/>
      <c r="I64" s="2"/>
    </row>
    <row r="65" spans="2:7" x14ac:dyDescent="0.2">
      <c r="C65" s="13"/>
      <c r="G65" s="11"/>
    </row>
    <row r="66" spans="2:7" x14ac:dyDescent="0.2">
      <c r="B66" s="13">
        <f>SUM(B63:B64)</f>
        <v>0</v>
      </c>
      <c r="C66" s="13">
        <f>SUM(C63:C64)</f>
        <v>0</v>
      </c>
      <c r="D66" s="13">
        <f t="shared" ref="D66:F66" si="17">SUM(D63:D64)</f>
        <v>0</v>
      </c>
      <c r="E66" s="13">
        <f t="shared" si="17"/>
        <v>0</v>
      </c>
      <c r="F66" s="13">
        <f t="shared" si="17"/>
        <v>0</v>
      </c>
      <c r="G66" s="11">
        <f t="shared" si="16"/>
        <v>0</v>
      </c>
    </row>
  </sheetData>
  <pageMargins left="0.75" right="0.53" top="0.7" bottom="0.64" header="0.5" footer="0.5"/>
  <pageSetup scale="96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O66"/>
  <sheetViews>
    <sheetView zoomScale="130" zoomScaleNormal="130" workbookViewId="0">
      <selection activeCell="A8" sqref="A8"/>
    </sheetView>
  </sheetViews>
  <sheetFormatPr defaultColWidth="9.28515625" defaultRowHeight="11.25" x14ac:dyDescent="0.2"/>
  <cols>
    <col min="1" max="1" width="33.42578125" style="2" customWidth="1"/>
    <col min="2" max="6" width="8.42578125" style="2" customWidth="1"/>
    <col min="7" max="7" width="9.5703125" style="3" bestFit="1" customWidth="1"/>
    <col min="8" max="8" width="9.7109375" style="3" customWidth="1"/>
    <col min="9" max="9" width="18.5703125" style="3" bestFit="1" customWidth="1"/>
    <col min="10" max="10" width="6.7109375" style="3" bestFit="1" customWidth="1"/>
    <col min="11" max="11" width="9.7109375" style="3" customWidth="1"/>
    <col min="12" max="13" width="9.7109375" style="2" customWidth="1"/>
    <col min="14" max="16384" width="9.28515625" style="2"/>
  </cols>
  <sheetData>
    <row r="1" spans="1:14" ht="12.75" x14ac:dyDescent="0.2">
      <c r="A1" s="1" t="str">
        <f>+'Lead Budget'!A1</f>
        <v>Assessing the Potential for Demand Response to Manage Generation Shortfalls in a Zero-Carbon Electricity Grid”</v>
      </c>
    </row>
    <row r="2" spans="1:14" ht="12.75" x14ac:dyDescent="0.2">
      <c r="A2" s="1" t="str">
        <f>+'Lead Budget'!A2</f>
        <v>USDA</v>
      </c>
    </row>
    <row r="3" spans="1:14" ht="12.75" customHeight="1" thickBot="1" x14ac:dyDescent="0.25"/>
    <row r="4" spans="1:14" x14ac:dyDescent="0.2">
      <c r="A4" s="4"/>
      <c r="B4" s="5" t="s">
        <v>1</v>
      </c>
      <c r="C4" s="5" t="s">
        <v>2</v>
      </c>
      <c r="D4" s="5" t="s">
        <v>3</v>
      </c>
      <c r="E4" s="5" t="s">
        <v>44</v>
      </c>
      <c r="F4" s="5" t="s">
        <v>50</v>
      </c>
      <c r="G4" s="23"/>
    </row>
    <row r="5" spans="1:14" ht="12" thickBot="1" x14ac:dyDescent="0.25">
      <c r="A5" s="4" t="str">
        <f ca="1">""&amp;MID('rates, dates, etc'!AH18,FIND("]",'rates, dates, etc'!AH18)+1,25)</f>
        <v>Consortium 10</v>
      </c>
      <c r="B5" s="6">
        <f>+'Lead Budget'!B5</f>
        <v>44927</v>
      </c>
      <c r="C5" s="6">
        <f>+'Lead Budget'!C5</f>
        <v>45292</v>
      </c>
      <c r="D5" s="6">
        <f>+'Lead Budget'!D5</f>
        <v>45658</v>
      </c>
      <c r="E5" s="6">
        <f>+'Lead Budget'!E5</f>
        <v>46023</v>
      </c>
      <c r="F5" s="6">
        <f>+'Lead Budget'!F5</f>
        <v>46388</v>
      </c>
      <c r="G5" s="24"/>
    </row>
    <row r="6" spans="1:14" ht="12" thickBot="1" x14ac:dyDescent="0.25">
      <c r="A6" s="7" t="s">
        <v>4</v>
      </c>
      <c r="B6" s="46">
        <f>+'Lead Budget'!B6</f>
        <v>45291</v>
      </c>
      <c r="C6" s="8">
        <f>+'Lead Budget'!C6</f>
        <v>45657</v>
      </c>
      <c r="D6" s="8">
        <f>+'Lead Budget'!D6</f>
        <v>46022</v>
      </c>
      <c r="E6" s="8">
        <f>+'Lead Budget'!E6</f>
        <v>46387</v>
      </c>
      <c r="F6" s="8">
        <f>+'Lead Budget'!F6</f>
        <v>46752</v>
      </c>
      <c r="G6" s="25" t="s">
        <v>5</v>
      </c>
    </row>
    <row r="7" spans="1:14" x14ac:dyDescent="0.2">
      <c r="A7" s="9" t="s">
        <v>136</v>
      </c>
      <c r="B7" s="11"/>
      <c r="C7" s="11"/>
      <c r="D7" s="12"/>
      <c r="E7" s="12"/>
      <c r="F7" s="12"/>
      <c r="G7" s="27" t="s">
        <v>6</v>
      </c>
    </row>
    <row r="8" spans="1:14" x14ac:dyDescent="0.2">
      <c r="A8" s="10" t="s">
        <v>78</v>
      </c>
      <c r="B8" s="11"/>
      <c r="C8" s="11"/>
      <c r="D8" s="11"/>
      <c r="E8" s="11"/>
      <c r="F8" s="11"/>
      <c r="G8" s="27">
        <f>SUM(B8:F8)</f>
        <v>0</v>
      </c>
      <c r="N8" s="13"/>
    </row>
    <row r="9" spans="1:14" x14ac:dyDescent="0.2">
      <c r="A9" s="10" t="s">
        <v>61</v>
      </c>
      <c r="B9" s="11"/>
      <c r="C9" s="11"/>
      <c r="D9" s="11"/>
      <c r="E9" s="11"/>
      <c r="F9" s="11"/>
      <c r="G9" s="27">
        <f>SUM(B9:F9)</f>
        <v>0</v>
      </c>
    </row>
    <row r="10" spans="1:14" ht="12" thickBot="1" x14ac:dyDescent="0.25">
      <c r="A10" s="15" t="str">
        <f>CONCATENATE("Total ",A7)</f>
        <v>Total Senior Personnel Salary</v>
      </c>
      <c r="B10" s="16">
        <f>SUM(B7:B9)</f>
        <v>0</v>
      </c>
      <c r="C10" s="16">
        <f t="shared" ref="C10:F10" si="0">SUM(C7:C9)</f>
        <v>0</v>
      </c>
      <c r="D10" s="16">
        <f t="shared" si="0"/>
        <v>0</v>
      </c>
      <c r="E10" s="16">
        <f t="shared" si="0"/>
        <v>0</v>
      </c>
      <c r="F10" s="16">
        <f t="shared" si="0"/>
        <v>0</v>
      </c>
      <c r="G10" s="28">
        <f>SUM(G7:G9)</f>
        <v>0</v>
      </c>
    </row>
    <row r="11" spans="1:14" x14ac:dyDescent="0.2">
      <c r="A11" s="14" t="s">
        <v>137</v>
      </c>
      <c r="B11" s="11"/>
      <c r="C11" s="11"/>
      <c r="D11" s="12"/>
      <c r="E11" s="12"/>
      <c r="F11" s="12"/>
      <c r="G11" s="27"/>
    </row>
    <row r="12" spans="1:14" x14ac:dyDescent="0.2">
      <c r="A12" s="10" t="s">
        <v>88</v>
      </c>
      <c r="B12" s="11"/>
      <c r="C12" s="11"/>
      <c r="D12" s="12"/>
      <c r="E12" s="12"/>
      <c r="F12" s="12"/>
      <c r="G12" s="27">
        <f t="shared" ref="G12" si="1">SUM(B12:F12)</f>
        <v>0</v>
      </c>
    </row>
    <row r="13" spans="1:14" x14ac:dyDescent="0.2">
      <c r="A13" s="10" t="s">
        <v>85</v>
      </c>
      <c r="B13" s="11"/>
      <c r="C13" s="11"/>
      <c r="D13" s="12"/>
      <c r="E13" s="12"/>
      <c r="F13" s="12"/>
      <c r="G13" s="27">
        <f>SUM(B13:F13)</f>
        <v>0</v>
      </c>
    </row>
    <row r="14" spans="1:14" x14ac:dyDescent="0.2">
      <c r="A14" s="10" t="s">
        <v>89</v>
      </c>
      <c r="B14" s="11"/>
      <c r="C14" s="11"/>
      <c r="D14" s="11"/>
      <c r="E14" s="11"/>
      <c r="F14" s="11"/>
      <c r="G14" s="27">
        <f>SUM(B14:F14)</f>
        <v>0</v>
      </c>
    </row>
    <row r="15" spans="1:14" x14ac:dyDescent="0.2">
      <c r="A15" s="10" t="s">
        <v>90</v>
      </c>
      <c r="B15" s="11"/>
      <c r="C15" s="11"/>
      <c r="D15" s="11"/>
      <c r="E15" s="11"/>
      <c r="F15" s="11"/>
      <c r="G15" s="27">
        <f>SUM(B15:F15)</f>
        <v>0</v>
      </c>
    </row>
    <row r="16" spans="1:14" x14ac:dyDescent="0.2">
      <c r="A16" s="10" t="s">
        <v>29</v>
      </c>
      <c r="B16" s="11"/>
      <c r="C16" s="11"/>
      <c r="D16" s="12"/>
      <c r="E16" s="12"/>
      <c r="F16" s="12"/>
      <c r="G16" s="27">
        <f>SUM(B16:F16)</f>
        <v>0</v>
      </c>
    </row>
    <row r="17" spans="1:15" x14ac:dyDescent="0.2">
      <c r="A17" s="10"/>
      <c r="B17" s="11"/>
      <c r="C17" s="11"/>
      <c r="D17" s="12"/>
      <c r="E17" s="12"/>
      <c r="F17" s="12"/>
      <c r="G17" s="27">
        <f>SUM(B17:F17)</f>
        <v>0</v>
      </c>
      <c r="N17" s="13"/>
      <c r="O17" s="13"/>
    </row>
    <row r="18" spans="1:15" ht="12" thickBot="1" x14ac:dyDescent="0.25">
      <c r="A18" s="15" t="str">
        <f>CONCATENATE("Total ",A11)</f>
        <v>Total Other Personnel Salary</v>
      </c>
      <c r="B18" s="16">
        <f>SUM(B11:B17)</f>
        <v>0</v>
      </c>
      <c r="C18" s="16">
        <f t="shared" ref="C18:F18" si="2">SUM(C11:C17)</f>
        <v>0</v>
      </c>
      <c r="D18" s="16">
        <f>SUM(D11:D17)</f>
        <v>0</v>
      </c>
      <c r="E18" s="16">
        <f>SUM(E11:E17)</f>
        <v>0</v>
      </c>
      <c r="F18" s="16">
        <f t="shared" si="2"/>
        <v>0</v>
      </c>
      <c r="G18" s="28">
        <f>SUM(G11:G17)</f>
        <v>0</v>
      </c>
    </row>
    <row r="19" spans="1:15" x14ac:dyDescent="0.2">
      <c r="A19" s="17" t="s">
        <v>7</v>
      </c>
      <c r="B19" s="11" t="s">
        <v>6</v>
      </c>
      <c r="C19" s="11"/>
      <c r="D19" s="12"/>
      <c r="E19" s="12"/>
      <c r="F19" s="12"/>
      <c r="G19" s="27"/>
    </row>
    <row r="20" spans="1:15" x14ac:dyDescent="0.2">
      <c r="A20" s="10" t="str">
        <f>+A8</f>
        <v>PI</v>
      </c>
      <c r="B20" s="11"/>
      <c r="C20" s="11"/>
      <c r="D20" s="11"/>
      <c r="E20" s="11"/>
      <c r="F20" s="11"/>
      <c r="G20" s="27">
        <f>SUM(B20:F20)</f>
        <v>0</v>
      </c>
    </row>
    <row r="21" spans="1:15" x14ac:dyDescent="0.2">
      <c r="A21" s="10" t="str">
        <f>+A9</f>
        <v>Co-PI</v>
      </c>
      <c r="B21" s="11"/>
      <c r="C21" s="11"/>
      <c r="D21" s="11"/>
      <c r="E21" s="11"/>
      <c r="F21" s="11"/>
      <c r="G21" s="27">
        <f t="shared" ref="G21:G24" si="3">SUM(B21:F21)</f>
        <v>0</v>
      </c>
    </row>
    <row r="22" spans="1:15" x14ac:dyDescent="0.2">
      <c r="A22" s="10" t="s">
        <v>88</v>
      </c>
      <c r="B22" s="11"/>
      <c r="C22" s="11"/>
      <c r="D22" s="11"/>
      <c r="E22" s="11"/>
      <c r="F22" s="11"/>
      <c r="G22" s="27">
        <f t="shared" si="3"/>
        <v>0</v>
      </c>
    </row>
    <row r="23" spans="1:15" x14ac:dyDescent="0.2">
      <c r="A23" s="10" t="s">
        <v>90</v>
      </c>
      <c r="B23" s="11"/>
      <c r="C23" s="11"/>
      <c r="D23" s="11"/>
      <c r="E23" s="11"/>
      <c r="F23" s="11"/>
      <c r="G23" s="27">
        <f t="shared" si="3"/>
        <v>0</v>
      </c>
      <c r="N23" s="13"/>
      <c r="O23" s="13"/>
    </row>
    <row r="24" spans="1:15" x14ac:dyDescent="0.2">
      <c r="A24" s="10" t="s">
        <v>29</v>
      </c>
      <c r="B24" s="11"/>
      <c r="C24" s="11"/>
      <c r="D24" s="11"/>
      <c r="E24" s="11"/>
      <c r="F24" s="11"/>
      <c r="G24" s="27">
        <f t="shared" si="3"/>
        <v>0</v>
      </c>
      <c r="N24" s="13"/>
      <c r="O24" s="13"/>
    </row>
    <row r="25" spans="1:15" ht="12" thickBot="1" x14ac:dyDescent="0.25">
      <c r="A25" s="15" t="s">
        <v>93</v>
      </c>
      <c r="B25" s="16">
        <f>SUM(B19:B24)</f>
        <v>0</v>
      </c>
      <c r="C25" s="16">
        <f>SUM(C19:C24)</f>
        <v>0</v>
      </c>
      <c r="D25" s="16">
        <f>SUM(D19:D24)</f>
        <v>0</v>
      </c>
      <c r="E25" s="16">
        <f t="shared" ref="E25:F25" si="4">SUM(E19:E24)</f>
        <v>0</v>
      </c>
      <c r="F25" s="16">
        <f t="shared" si="4"/>
        <v>0</v>
      </c>
      <c r="G25" s="28">
        <f>SUM(G19:G24)</f>
        <v>0</v>
      </c>
      <c r="N25" s="13"/>
      <c r="O25" s="13"/>
    </row>
    <row r="26" spans="1:15" ht="12" thickBot="1" x14ac:dyDescent="0.25">
      <c r="A26" s="143" t="s">
        <v>131</v>
      </c>
      <c r="B26" s="144">
        <f>+B10+B18+B25</f>
        <v>0</v>
      </c>
      <c r="C26" s="144">
        <f>+C10+C18+C25</f>
        <v>0</v>
      </c>
      <c r="D26" s="144">
        <f t="shared" ref="D26:F26" si="5">+D10+D18+D25</f>
        <v>0</v>
      </c>
      <c r="E26" s="144">
        <f t="shared" si="5"/>
        <v>0</v>
      </c>
      <c r="F26" s="144">
        <f t="shared" si="5"/>
        <v>0</v>
      </c>
      <c r="G26" s="145">
        <f>+G10+G18+G25</f>
        <v>0</v>
      </c>
      <c r="N26" s="13"/>
      <c r="O26" s="13"/>
    </row>
    <row r="27" spans="1:15" x14ac:dyDescent="0.2">
      <c r="A27" s="17" t="s">
        <v>25</v>
      </c>
      <c r="B27" s="11"/>
      <c r="C27" s="11"/>
      <c r="D27" s="12"/>
      <c r="E27" s="12"/>
      <c r="F27" s="12"/>
      <c r="G27" s="27"/>
      <c r="N27" s="13"/>
      <c r="O27" s="13"/>
    </row>
    <row r="28" spans="1:15" x14ac:dyDescent="0.2">
      <c r="A28" s="10" t="s">
        <v>66</v>
      </c>
      <c r="B28" s="11"/>
      <c r="C28" s="11"/>
      <c r="D28" s="12"/>
      <c r="E28" s="12"/>
      <c r="F28" s="12"/>
      <c r="G28" s="27">
        <f>SUM(B28:F28)</f>
        <v>0</v>
      </c>
    </row>
    <row r="29" spans="1:15" x14ac:dyDescent="0.2">
      <c r="A29" s="10"/>
      <c r="B29" s="11"/>
      <c r="C29" s="11"/>
      <c r="D29" s="12"/>
      <c r="E29" s="12"/>
      <c r="F29" s="12"/>
      <c r="G29" s="27">
        <f>SUM(B29:F29)</f>
        <v>0</v>
      </c>
    </row>
    <row r="30" spans="1:15" ht="12" thickBot="1" x14ac:dyDescent="0.25">
      <c r="A30" s="15" t="s">
        <v>26</v>
      </c>
      <c r="B30" s="16">
        <f>SUM(B27:B29)</f>
        <v>0</v>
      </c>
      <c r="C30" s="16">
        <f>SUM(C27:C29)</f>
        <v>0</v>
      </c>
      <c r="D30" s="16">
        <f>SUM(D27:D29)</f>
        <v>0</v>
      </c>
      <c r="E30" s="16">
        <f t="shared" ref="E30:F30" si="6">SUM(E27:E29)</f>
        <v>0</v>
      </c>
      <c r="F30" s="16">
        <f t="shared" si="6"/>
        <v>0</v>
      </c>
      <c r="G30" s="28">
        <f>SUM(G27:G29)</f>
        <v>0</v>
      </c>
    </row>
    <row r="31" spans="1:15" x14ac:dyDescent="0.2">
      <c r="A31" s="17" t="s">
        <v>34</v>
      </c>
      <c r="B31" s="11"/>
      <c r="C31" s="11"/>
      <c r="D31" s="12"/>
      <c r="E31" s="12"/>
      <c r="F31" s="12"/>
      <c r="G31" s="27"/>
    </row>
    <row r="32" spans="1:15" x14ac:dyDescent="0.2">
      <c r="A32" s="10" t="s">
        <v>10</v>
      </c>
      <c r="B32" s="11"/>
      <c r="C32" s="11"/>
      <c r="D32" s="11"/>
      <c r="E32" s="11"/>
      <c r="F32" s="11"/>
      <c r="G32" s="27">
        <f>SUM(B32:F32)</f>
        <v>0</v>
      </c>
      <c r="N32" s="13"/>
      <c r="O32" s="13"/>
    </row>
    <row r="33" spans="1:15" x14ac:dyDescent="0.2">
      <c r="A33" s="10" t="s">
        <v>11</v>
      </c>
      <c r="B33" s="11"/>
      <c r="C33" s="11"/>
      <c r="D33" s="11"/>
      <c r="E33" s="11"/>
      <c r="F33" s="11"/>
      <c r="G33" s="27">
        <f>SUM(B33:F33)</f>
        <v>0</v>
      </c>
      <c r="N33" s="13"/>
      <c r="O33" s="13"/>
    </row>
    <row r="34" spans="1:15" ht="12" thickBot="1" x14ac:dyDescent="0.25">
      <c r="A34" s="15" t="s">
        <v>12</v>
      </c>
      <c r="B34" s="16">
        <f>SUM(B31:B33)</f>
        <v>0</v>
      </c>
      <c r="C34" s="16">
        <f>SUM(C31:C33)</f>
        <v>0</v>
      </c>
      <c r="D34" s="16">
        <f>SUM(D31:D33)</f>
        <v>0</v>
      </c>
      <c r="E34" s="16">
        <f t="shared" ref="E34:F34" si="7">SUM(E31:E33)</f>
        <v>0</v>
      </c>
      <c r="F34" s="16">
        <f t="shared" si="7"/>
        <v>0</v>
      </c>
      <c r="G34" s="28">
        <f>SUM(G31:G33)</f>
        <v>0</v>
      </c>
      <c r="N34" s="13"/>
      <c r="O34" s="13"/>
    </row>
    <row r="35" spans="1:15" x14ac:dyDescent="0.2">
      <c r="A35" s="17" t="s">
        <v>27</v>
      </c>
      <c r="B35" s="11"/>
      <c r="C35" s="11"/>
      <c r="D35" s="12"/>
      <c r="E35" s="12"/>
      <c r="F35" s="12"/>
      <c r="G35" s="27"/>
      <c r="N35" s="13"/>
      <c r="O35" s="13"/>
    </row>
    <row r="36" spans="1:15" x14ac:dyDescent="0.2">
      <c r="A36" s="10" t="s">
        <v>91</v>
      </c>
      <c r="B36" s="11"/>
      <c r="C36" s="11"/>
      <c r="D36" s="12"/>
      <c r="E36" s="12"/>
      <c r="F36" s="12"/>
      <c r="G36" s="27">
        <f>SUM(B36:F36)</f>
        <v>0</v>
      </c>
      <c r="N36" s="13"/>
      <c r="O36" s="13"/>
    </row>
    <row r="37" spans="1:15" x14ac:dyDescent="0.2">
      <c r="A37" s="10" t="s">
        <v>47</v>
      </c>
      <c r="B37" s="11"/>
      <c r="C37" s="11"/>
      <c r="D37" s="12"/>
      <c r="E37" s="12"/>
      <c r="F37" s="12"/>
      <c r="G37" s="27">
        <f>SUM(B37:F37)</f>
        <v>0</v>
      </c>
      <c r="N37" s="13"/>
      <c r="O37" s="13"/>
    </row>
    <row r="38" spans="1:15" x14ac:dyDescent="0.2">
      <c r="A38" s="10" t="s">
        <v>34</v>
      </c>
      <c r="B38" s="11"/>
      <c r="C38" s="11"/>
      <c r="D38" s="12"/>
      <c r="E38" s="12"/>
      <c r="F38" s="12"/>
      <c r="G38" s="27">
        <f t="shared" ref="G38:G40" si="8">SUM(B38:F38)</f>
        <v>0</v>
      </c>
    </row>
    <row r="39" spans="1:15" x14ac:dyDescent="0.2">
      <c r="A39" s="10" t="s">
        <v>48</v>
      </c>
      <c r="B39" s="11"/>
      <c r="C39" s="11"/>
      <c r="D39" s="12"/>
      <c r="E39" s="12"/>
      <c r="F39" s="12"/>
      <c r="G39" s="27">
        <f t="shared" si="8"/>
        <v>0</v>
      </c>
    </row>
    <row r="40" spans="1:15" x14ac:dyDescent="0.2">
      <c r="A40" s="10" t="s">
        <v>29</v>
      </c>
      <c r="B40" s="11"/>
      <c r="C40" s="11"/>
      <c r="D40" s="12"/>
      <c r="E40" s="12"/>
      <c r="F40" s="12"/>
      <c r="G40" s="27">
        <f t="shared" si="8"/>
        <v>0</v>
      </c>
    </row>
    <row r="41" spans="1:15" ht="12" thickBot="1" x14ac:dyDescent="0.25">
      <c r="A41" s="15" t="s">
        <v>28</v>
      </c>
      <c r="B41" s="16">
        <f>SUM(B35:B40)</f>
        <v>0</v>
      </c>
      <c r="C41" s="16">
        <f>SUM(C35:C40)</f>
        <v>0</v>
      </c>
      <c r="D41" s="16">
        <f>SUM(D35:D40)</f>
        <v>0</v>
      </c>
      <c r="E41" s="16">
        <f t="shared" ref="E41:F41" si="9">SUM(E35:E40)</f>
        <v>0</v>
      </c>
      <c r="F41" s="16">
        <f t="shared" si="9"/>
        <v>0</v>
      </c>
      <c r="G41" s="28">
        <f>SUM(G35:G40)</f>
        <v>0</v>
      </c>
    </row>
    <row r="42" spans="1:15" x14ac:dyDescent="0.2">
      <c r="A42" s="17" t="s">
        <v>13</v>
      </c>
      <c r="B42" s="11"/>
      <c r="C42" s="11"/>
      <c r="D42" s="12"/>
      <c r="E42" s="12"/>
      <c r="F42" s="12"/>
      <c r="G42" s="27"/>
    </row>
    <row r="43" spans="1:15" x14ac:dyDescent="0.2">
      <c r="A43" s="10" t="str">
        <f>+'Lead Budget'!A46</f>
        <v>Materials &amp; Supplies</v>
      </c>
      <c r="B43" s="18"/>
      <c r="C43" s="18"/>
      <c r="D43" s="18"/>
      <c r="E43" s="18"/>
      <c r="F43" s="18"/>
      <c r="G43" s="27">
        <f>SUM(B43:F43)</f>
        <v>0</v>
      </c>
    </row>
    <row r="44" spans="1:15" x14ac:dyDescent="0.2">
      <c r="A44" s="10" t="str">
        <f>+'Lead Budget'!A47</f>
        <v>Publication Costs</v>
      </c>
      <c r="B44" s="11"/>
      <c r="C44" s="11"/>
      <c r="D44" s="11"/>
      <c r="E44" s="11"/>
      <c r="F44" s="11"/>
      <c r="G44" s="27">
        <f t="shared" ref="G44:G51" si="10">SUM(B44:F44)</f>
        <v>0</v>
      </c>
    </row>
    <row r="45" spans="1:15" x14ac:dyDescent="0.2">
      <c r="A45" s="10" t="str">
        <f>+'Lead Budget'!A48</f>
        <v>Consultant Services</v>
      </c>
      <c r="B45" s="11"/>
      <c r="C45" s="11"/>
      <c r="D45" s="12"/>
      <c r="E45" s="12"/>
      <c r="F45" s="12"/>
      <c r="G45" s="27">
        <f t="shared" si="10"/>
        <v>0</v>
      </c>
    </row>
    <row r="46" spans="1:15" x14ac:dyDescent="0.2">
      <c r="A46" s="10" t="str">
        <f>+'Lead Budget'!A49</f>
        <v>ADP/Computer Services</v>
      </c>
      <c r="B46" s="11"/>
      <c r="C46" s="11"/>
      <c r="D46" s="11"/>
      <c r="E46" s="11"/>
      <c r="F46" s="11"/>
      <c r="G46" s="27">
        <f t="shared" si="10"/>
        <v>0</v>
      </c>
    </row>
    <row r="47" spans="1:15" x14ac:dyDescent="0.2">
      <c r="A47" s="10" t="str">
        <f>+'Lead Budget'!A50</f>
        <v xml:space="preserve">SubContracts </v>
      </c>
      <c r="B47" s="11"/>
      <c r="C47" s="11"/>
      <c r="D47" s="11"/>
      <c r="E47" s="11"/>
      <c r="F47" s="11"/>
      <c r="G47" s="27">
        <f t="shared" si="10"/>
        <v>0</v>
      </c>
    </row>
    <row r="48" spans="1:15" x14ac:dyDescent="0.2">
      <c r="A48" s="10" t="str">
        <f>+'Lead Budget'!A51</f>
        <v xml:space="preserve">Equipment or Facility Rental/User Fees </v>
      </c>
      <c r="B48" s="11"/>
      <c r="C48" s="11"/>
      <c r="D48" s="11"/>
      <c r="E48" s="11"/>
      <c r="F48" s="11"/>
      <c r="G48" s="27">
        <f t="shared" si="10"/>
        <v>0</v>
      </c>
    </row>
    <row r="49" spans="1:15" x14ac:dyDescent="0.2">
      <c r="A49" s="10" t="str">
        <f>+'Lead Budget'!A52</f>
        <v>Other: Tuition</v>
      </c>
      <c r="B49" s="11"/>
      <c r="C49" s="11"/>
      <c r="D49" s="11"/>
      <c r="E49" s="11"/>
      <c r="F49" s="11"/>
      <c r="G49" s="27">
        <f t="shared" si="10"/>
        <v>0</v>
      </c>
    </row>
    <row r="50" spans="1:15" x14ac:dyDescent="0.2">
      <c r="A50" s="10" t="str">
        <f>+'Lead Budget'!A53</f>
        <v>Other: Health Insurance</v>
      </c>
      <c r="B50" s="11"/>
      <c r="C50" s="11"/>
      <c r="D50" s="11"/>
      <c r="E50" s="11"/>
      <c r="F50" s="11"/>
      <c r="G50" s="27">
        <f t="shared" si="10"/>
        <v>0</v>
      </c>
    </row>
    <row r="51" spans="1:15" x14ac:dyDescent="0.2">
      <c r="A51" s="10" t="str">
        <f>+'Lead Budget'!A54</f>
        <v>Other</v>
      </c>
      <c r="B51" s="11"/>
      <c r="C51" s="11"/>
      <c r="D51" s="11"/>
      <c r="E51" s="11"/>
      <c r="F51" s="11"/>
      <c r="G51" s="27">
        <f t="shared" si="10"/>
        <v>0</v>
      </c>
    </row>
    <row r="52" spans="1:15" ht="12" thickBot="1" x14ac:dyDescent="0.25">
      <c r="A52" s="15" t="s">
        <v>94</v>
      </c>
      <c r="B52" s="16">
        <f t="shared" ref="B52:G52" si="11">SUM(B42:B51)</f>
        <v>0</v>
      </c>
      <c r="C52" s="16">
        <f t="shared" si="11"/>
        <v>0</v>
      </c>
      <c r="D52" s="16">
        <f t="shared" si="11"/>
        <v>0</v>
      </c>
      <c r="E52" s="16">
        <f t="shared" si="11"/>
        <v>0</v>
      </c>
      <c r="F52" s="16">
        <f t="shared" si="11"/>
        <v>0</v>
      </c>
      <c r="G52" s="28">
        <f t="shared" si="11"/>
        <v>0</v>
      </c>
      <c r="K52" s="2"/>
      <c r="N52" s="13"/>
      <c r="O52" s="13"/>
    </row>
    <row r="53" spans="1:15" ht="12" thickBot="1" x14ac:dyDescent="0.25">
      <c r="A53" s="107" t="s">
        <v>16</v>
      </c>
      <c r="B53" s="105">
        <f>SUM(+B10+B18+B25+B30+B34+B41+B52)</f>
        <v>0</v>
      </c>
      <c r="C53" s="105">
        <f>SUM(+C10+C18+C25+C30+C34+C41+C52)</f>
        <v>0</v>
      </c>
      <c r="D53" s="105">
        <f>SUM(+D10+D18+D25+D30+D34+D41+D52)</f>
        <v>0</v>
      </c>
      <c r="E53" s="105">
        <f>SUM(+E10+E18+E25+E30+E34+E41+E52)</f>
        <v>0</v>
      </c>
      <c r="F53" s="105">
        <f t="shared" ref="F53" si="12">SUM(+F10+F18+F25+F30+F34+F41+F52)</f>
        <v>0</v>
      </c>
      <c r="G53" s="106">
        <f>SUM(+G10+G18+G25+G30+G34+G41+G52)</f>
        <v>0</v>
      </c>
      <c r="N53" s="13"/>
      <c r="O53" s="13"/>
    </row>
    <row r="54" spans="1:15" ht="12" thickBot="1" x14ac:dyDescent="0.25">
      <c r="A54" s="632" t="s">
        <v>289</v>
      </c>
      <c r="B54" s="631"/>
      <c r="C54" s="631"/>
      <c r="D54" s="631"/>
      <c r="E54" s="631"/>
      <c r="F54" s="631"/>
      <c r="G54" s="633">
        <f>SUM(B54:F54)</f>
        <v>0</v>
      </c>
      <c r="N54" s="13"/>
      <c r="O54" s="13"/>
    </row>
    <row r="55" spans="1:15" ht="12" thickBot="1" x14ac:dyDescent="0.25">
      <c r="A55" s="7" t="s">
        <v>290</v>
      </c>
      <c r="B55" s="105">
        <f>+B53-B54</f>
        <v>0</v>
      </c>
      <c r="C55" s="105">
        <f>+C53-C54</f>
        <v>0</v>
      </c>
      <c r="D55" s="105">
        <f t="shared" ref="D55:F55" si="13">+D53-D54</f>
        <v>0</v>
      </c>
      <c r="E55" s="105">
        <f t="shared" si="13"/>
        <v>0</v>
      </c>
      <c r="F55" s="105">
        <f t="shared" si="13"/>
        <v>0</v>
      </c>
      <c r="G55" s="106">
        <f>SUM(B55:F55)</f>
        <v>0</v>
      </c>
      <c r="N55" s="13"/>
      <c r="O55" s="13"/>
    </row>
    <row r="56" spans="1:15" ht="12" thickBot="1" x14ac:dyDescent="0.25">
      <c r="A56" s="7" t="s">
        <v>18</v>
      </c>
      <c r="B56" s="21">
        <f>ROUND(B55*$B$59,0)</f>
        <v>0</v>
      </c>
      <c r="C56" s="21">
        <f t="shared" ref="C56:F56" si="14">ROUND(C55*$B$59,0)</f>
        <v>0</v>
      </c>
      <c r="D56" s="21">
        <f t="shared" si="14"/>
        <v>0</v>
      </c>
      <c r="E56" s="21">
        <f t="shared" si="14"/>
        <v>0</v>
      </c>
      <c r="F56" s="21">
        <f t="shared" si="14"/>
        <v>0</v>
      </c>
      <c r="G56" s="106">
        <f>SUM(B56:F56)</f>
        <v>0</v>
      </c>
      <c r="N56" s="13"/>
      <c r="O56" s="13"/>
    </row>
    <row r="57" spans="1:15" ht="12" thickBot="1" x14ac:dyDescent="0.25">
      <c r="A57" s="19" t="s">
        <v>19</v>
      </c>
      <c r="B57" s="98">
        <f>+B53+B56</f>
        <v>0</v>
      </c>
      <c r="C57" s="98">
        <f t="shared" ref="C57:F57" si="15">+C53+C56</f>
        <v>0</v>
      </c>
      <c r="D57" s="98">
        <f t="shared" si="15"/>
        <v>0</v>
      </c>
      <c r="E57" s="98">
        <f t="shared" si="15"/>
        <v>0</v>
      </c>
      <c r="F57" s="98">
        <f t="shared" si="15"/>
        <v>0</v>
      </c>
      <c r="G57" s="20">
        <f>SUM(B57:F57)</f>
        <v>0</v>
      </c>
      <c r="L57" s="12"/>
      <c r="N57" s="13"/>
      <c r="O57" s="13"/>
    </row>
    <row r="58" spans="1:15" x14ac:dyDescent="0.2">
      <c r="A58" s="22"/>
      <c r="B58" s="12"/>
      <c r="C58" s="12"/>
      <c r="D58" s="12"/>
      <c r="E58" s="12"/>
      <c r="F58" s="12"/>
      <c r="I58" s="39"/>
      <c r="J58" s="12"/>
      <c r="K58" s="39"/>
      <c r="L58" s="39"/>
      <c r="M58" s="39"/>
      <c r="N58" s="13"/>
      <c r="O58" s="13"/>
    </row>
    <row r="59" spans="1:15" x14ac:dyDescent="0.2">
      <c r="A59" s="650" t="s">
        <v>317</v>
      </c>
      <c r="B59" s="630">
        <v>0.42857000000000001</v>
      </c>
      <c r="C59" s="3" t="str">
        <f ca="1">CONCATENATE("Indirect Cost Rate for ",""&amp;MID('rates, dates, etc'!AH18,FIND("]",'rates, dates, etc'!AH18)+1,25))</f>
        <v>Indirect Cost Rate for Consortium 10</v>
      </c>
      <c r="D59" s="39"/>
      <c r="G59" s="39"/>
      <c r="I59" s="39"/>
      <c r="J59" s="12"/>
      <c r="K59" s="39"/>
      <c r="L59" s="39"/>
      <c r="M59" s="39"/>
      <c r="N59" s="13"/>
      <c r="O59" s="13"/>
    </row>
    <row r="60" spans="1:15" x14ac:dyDescent="0.2">
      <c r="A60" s="22"/>
      <c r="B60" s="39"/>
      <c r="C60" s="39"/>
      <c r="D60" s="39"/>
      <c r="E60" s="39"/>
      <c r="F60" s="39"/>
      <c r="G60" s="39"/>
      <c r="I60" s="39"/>
      <c r="J60" s="12"/>
      <c r="K60" s="39"/>
      <c r="L60" s="39"/>
      <c r="M60" s="39"/>
      <c r="N60" s="13"/>
      <c r="O60" s="13"/>
    </row>
    <row r="61" spans="1:15" ht="12" thickBot="1" x14ac:dyDescent="0.25">
      <c r="A61" s="32"/>
      <c r="B61" s="33"/>
      <c r="C61" s="33"/>
      <c r="D61" s="33"/>
      <c r="E61" s="33"/>
      <c r="F61" s="33"/>
      <c r="G61" s="33"/>
      <c r="H61" s="34"/>
      <c r="I61" s="34"/>
      <c r="J61" s="34"/>
      <c r="K61" s="12"/>
    </row>
    <row r="63" spans="1:15" x14ac:dyDescent="0.2">
      <c r="A63" s="2" t="s">
        <v>42</v>
      </c>
      <c r="B63" s="40">
        <f>IF(B57&lt;25000,B57,25000)</f>
        <v>0</v>
      </c>
      <c r="C63" s="40">
        <f>IF(+B57&gt;25000,0,IF(B57+C57&gt;25000,(25000-B57),C57))</f>
        <v>0</v>
      </c>
      <c r="D63" s="40">
        <f>IF(+B57+C57&gt;25000,0,IF(B57+C57+D57&gt;25000,(25000-(B57+C57)),D57))</f>
        <v>0</v>
      </c>
      <c r="E63" s="40">
        <f>IF(B57+C57+D57&gt;25000,0,IF(B57+C57+D57+E57&gt;25000,(25000-(B57+C57+D57)),E57))</f>
        <v>0</v>
      </c>
      <c r="F63" s="40">
        <f>IF(B57+C57+D57+E57&gt;25000,0,IF(B57+C57+D57+E57+F57&gt;25000,(25000-(B57+C57+D57+E57)),F57))</f>
        <v>0</v>
      </c>
      <c r="G63" s="11">
        <f>SUM(B63:F63)</f>
        <v>0</v>
      </c>
      <c r="H63" s="11"/>
      <c r="I63" s="2"/>
    </row>
    <row r="64" spans="1:15" x14ac:dyDescent="0.2">
      <c r="A64" s="2" t="s">
        <v>43</v>
      </c>
      <c r="B64" s="40">
        <f>+B57-B63</f>
        <v>0</v>
      </c>
      <c r="C64" s="40">
        <f>+C57-C63</f>
        <v>0</v>
      </c>
      <c r="D64" s="40">
        <f>+D57-D63</f>
        <v>0</v>
      </c>
      <c r="E64" s="40">
        <f>+E57-E63</f>
        <v>0</v>
      </c>
      <c r="F64" s="40">
        <f>+F57-F63</f>
        <v>0</v>
      </c>
      <c r="G64" s="11">
        <f t="shared" ref="G64:G66" si="16">SUM(B64:F64)</f>
        <v>0</v>
      </c>
      <c r="H64" s="11"/>
      <c r="I64" s="2"/>
    </row>
    <row r="65" spans="2:7" x14ac:dyDescent="0.2">
      <c r="C65" s="13"/>
      <c r="G65" s="11"/>
    </row>
    <row r="66" spans="2:7" x14ac:dyDescent="0.2">
      <c r="B66" s="13">
        <f>SUM(B63:B64)</f>
        <v>0</v>
      </c>
      <c r="C66" s="13">
        <f>SUM(C63:C64)</f>
        <v>0</v>
      </c>
      <c r="D66" s="13">
        <f t="shared" ref="D66:F66" si="17">SUM(D63:D64)</f>
        <v>0</v>
      </c>
      <c r="E66" s="13">
        <f t="shared" si="17"/>
        <v>0</v>
      </c>
      <c r="F66" s="13">
        <f t="shared" si="17"/>
        <v>0</v>
      </c>
      <c r="G66" s="11">
        <f t="shared" si="16"/>
        <v>0</v>
      </c>
    </row>
  </sheetData>
  <pageMargins left="0.75" right="0.53" top="0.7" bottom="0.64" header="0.5" footer="0.5"/>
  <pageSetup scale="96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X79"/>
  <sheetViews>
    <sheetView topLeftCell="A46" workbookViewId="0">
      <selection activeCell="H66" sqref="H66"/>
    </sheetView>
  </sheetViews>
  <sheetFormatPr defaultRowHeight="15" x14ac:dyDescent="0.25"/>
  <cols>
    <col min="1" max="1" width="10.7109375" customWidth="1"/>
    <col min="2" max="2" width="11" customWidth="1"/>
    <col min="3" max="3" width="12" bestFit="1" customWidth="1"/>
    <col min="4" max="4" width="12.7109375" bestFit="1" customWidth="1"/>
    <col min="5" max="5" width="12.28515625" bestFit="1" customWidth="1"/>
    <col min="6" max="6" width="10.7109375" bestFit="1" customWidth="1"/>
    <col min="7" max="8" width="12.42578125" bestFit="1" customWidth="1"/>
    <col min="9" max="9" width="5.42578125" customWidth="1"/>
    <col min="10" max="10" width="19.5703125" customWidth="1"/>
    <col min="11" max="11" width="8.7109375" bestFit="1" customWidth="1"/>
    <col min="12" max="12" width="9.28515625" bestFit="1" customWidth="1"/>
    <col min="13" max="13" width="11" bestFit="1" customWidth="1"/>
    <col min="14" max="14" width="12" bestFit="1" customWidth="1"/>
    <col min="15" max="15" width="12.28515625" bestFit="1" customWidth="1"/>
    <col min="16" max="16" width="9.28515625" bestFit="1" customWidth="1"/>
    <col min="17" max="17" width="10.7109375" bestFit="1" customWidth="1"/>
    <col min="18" max="19" width="10.28515625" bestFit="1" customWidth="1"/>
    <col min="20" max="20" width="12.28515625" bestFit="1" customWidth="1"/>
  </cols>
  <sheetData>
    <row r="1" spans="1:24" ht="15.75" thickBot="1" x14ac:dyDescent="0.3">
      <c r="U1" s="71" t="s">
        <v>144</v>
      </c>
      <c r="V1" s="31" t="s">
        <v>36</v>
      </c>
      <c r="W1" s="31" t="s">
        <v>56</v>
      </c>
      <c r="X1" s="2"/>
    </row>
    <row r="2" spans="1:24" ht="30" thickBot="1" x14ac:dyDescent="0.3">
      <c r="A2" s="494" t="s">
        <v>196</v>
      </c>
      <c r="B2" s="495" t="str">
        <f t="shared" ref="B2:G11" si="0">+B45</f>
        <v>TDC Base</v>
      </c>
      <c r="C2" s="495" t="str">
        <f t="shared" si="0"/>
        <v>Equipment</v>
      </c>
      <c r="D2" s="495" t="str">
        <f t="shared" si="0"/>
        <v>Participants</v>
      </c>
      <c r="E2" s="495" t="str">
        <f t="shared" si="0"/>
        <v>Subcontract</v>
      </c>
      <c r="F2" s="495" t="str">
        <f t="shared" si="0"/>
        <v>Tuition</v>
      </c>
      <c r="G2" s="495" t="str">
        <f t="shared" si="0"/>
        <v>Health Ins.</v>
      </c>
      <c r="H2" s="495" t="s">
        <v>199</v>
      </c>
      <c r="I2" s="496" t="s">
        <v>201</v>
      </c>
      <c r="J2" s="497" t="s">
        <v>205</v>
      </c>
      <c r="K2" s="50"/>
      <c r="L2" s="498"/>
      <c r="U2" s="71"/>
      <c r="V2" s="31"/>
      <c r="W2" s="31"/>
      <c r="X2" s="2"/>
    </row>
    <row r="3" spans="1:24" x14ac:dyDescent="0.25">
      <c r="A3" s="501">
        <v>1</v>
      </c>
      <c r="B3" s="502">
        <f t="shared" si="0"/>
        <v>53407</v>
      </c>
      <c r="C3" s="502">
        <f t="shared" si="0"/>
        <v>0</v>
      </c>
      <c r="D3" s="502">
        <f t="shared" si="0"/>
        <v>0</v>
      </c>
      <c r="E3" s="502">
        <f t="shared" si="0"/>
        <v>0</v>
      </c>
      <c r="F3" s="502">
        <f t="shared" si="0"/>
        <v>0</v>
      </c>
      <c r="G3" s="502">
        <f t="shared" si="0"/>
        <v>0</v>
      </c>
      <c r="H3" s="502">
        <f>IF(I3=I4,'Budget Summary'!B94,ROUNDDOWN(H46,0))</f>
        <v>106815</v>
      </c>
      <c r="I3" s="503">
        <f>+'Budget Summary'!J105</f>
        <v>0.56999999999999995</v>
      </c>
      <c r="J3" s="504">
        <f t="shared" ref="J3:J32" si="1">ROUNDDOWN(I3*H3,0)</f>
        <v>60884</v>
      </c>
      <c r="K3" s="50"/>
      <c r="L3" s="505"/>
      <c r="U3" s="71"/>
      <c r="V3" s="31"/>
      <c r="W3" s="31"/>
      <c r="X3" s="2"/>
    </row>
    <row r="4" spans="1:24" x14ac:dyDescent="0.25">
      <c r="A4" s="508">
        <v>1</v>
      </c>
      <c r="B4" s="509">
        <f t="shared" si="0"/>
        <v>53408</v>
      </c>
      <c r="C4" s="509">
        <f t="shared" si="0"/>
        <v>0</v>
      </c>
      <c r="D4" s="509">
        <f t="shared" si="0"/>
        <v>0</v>
      </c>
      <c r="E4" s="509">
        <f t="shared" si="0"/>
        <v>0</v>
      </c>
      <c r="F4" s="509">
        <f t="shared" si="0"/>
        <v>0</v>
      </c>
      <c r="G4" s="509">
        <f t="shared" si="0"/>
        <v>0</v>
      </c>
      <c r="H4" s="509">
        <f>IF(I3=I4,0,ROUND(IF(((($H46*$I3)+($H47*$I4))='Budget Summary'!B94),($H47*$I4),('Budget Summary'!B94-H3)),0))</f>
        <v>0</v>
      </c>
      <c r="I4" s="510">
        <f>+'Budget Summary'!K105</f>
        <v>0.56999999999999995</v>
      </c>
      <c r="J4" s="511">
        <f t="shared" si="1"/>
        <v>0</v>
      </c>
      <c r="K4" s="49"/>
      <c r="L4" s="94"/>
      <c r="U4" s="71"/>
      <c r="V4" s="31"/>
      <c r="W4" s="31"/>
      <c r="X4" s="2"/>
    </row>
    <row r="5" spans="1:24" x14ac:dyDescent="0.25">
      <c r="A5" s="508">
        <v>1</v>
      </c>
      <c r="B5" s="509">
        <f t="shared" si="0"/>
        <v>0</v>
      </c>
      <c r="C5" s="509">
        <f t="shared" si="0"/>
        <v>0</v>
      </c>
      <c r="D5" s="509">
        <f t="shared" si="0"/>
        <v>0</v>
      </c>
      <c r="E5" s="509">
        <f t="shared" si="0"/>
        <v>0</v>
      </c>
      <c r="F5" s="509">
        <f t="shared" si="0"/>
        <v>0</v>
      </c>
      <c r="G5" s="509">
        <f t="shared" si="0"/>
        <v>0</v>
      </c>
      <c r="H5" s="509">
        <f>IF(I5=I6,'Budget Summary'!B96,ROUNDDOWN(H48,0))</f>
        <v>0</v>
      </c>
      <c r="I5" s="510">
        <f>+'Budget Summary'!J106</f>
        <v>0.64</v>
      </c>
      <c r="J5" s="511">
        <f t="shared" si="1"/>
        <v>0</v>
      </c>
      <c r="K5" s="49"/>
      <c r="L5" s="94"/>
      <c r="U5" s="71"/>
      <c r="V5" s="31"/>
      <c r="W5" s="31"/>
      <c r="X5" s="2"/>
    </row>
    <row r="6" spans="1:24" x14ac:dyDescent="0.25">
      <c r="A6" s="508">
        <v>1</v>
      </c>
      <c r="B6" s="509">
        <f t="shared" si="0"/>
        <v>0</v>
      </c>
      <c r="C6" s="509">
        <f t="shared" si="0"/>
        <v>0</v>
      </c>
      <c r="D6" s="509">
        <f t="shared" si="0"/>
        <v>0</v>
      </c>
      <c r="E6" s="509">
        <f t="shared" si="0"/>
        <v>0</v>
      </c>
      <c r="F6" s="509">
        <f t="shared" si="0"/>
        <v>0</v>
      </c>
      <c r="G6" s="509">
        <f t="shared" si="0"/>
        <v>0</v>
      </c>
      <c r="H6" s="509">
        <f>IF(I5=I6,0,ROUND(IF(((($H48*$I5)+($H49*$I6))='Budget Summary'!B96),($H49*$I6),('Budget Summary'!B96-H5)),0))</f>
        <v>0</v>
      </c>
      <c r="I6" s="510">
        <f>+'Budget Summary'!K106</f>
        <v>0.64</v>
      </c>
      <c r="J6" s="511">
        <f t="shared" si="1"/>
        <v>0</v>
      </c>
      <c r="K6" s="49"/>
      <c r="L6" s="94"/>
      <c r="U6" s="71"/>
      <c r="V6" s="31"/>
      <c r="W6" s="31"/>
      <c r="X6" s="2"/>
    </row>
    <row r="7" spans="1:24" x14ac:dyDescent="0.25">
      <c r="A7" s="508">
        <v>1</v>
      </c>
      <c r="B7" s="509">
        <f t="shared" si="0"/>
        <v>0</v>
      </c>
      <c r="C7" s="509">
        <f t="shared" si="0"/>
        <v>0</v>
      </c>
      <c r="D7" s="509">
        <f t="shared" si="0"/>
        <v>0</v>
      </c>
      <c r="E7" s="509">
        <f t="shared" si="0"/>
        <v>0</v>
      </c>
      <c r="F7" s="509">
        <f t="shared" si="0"/>
        <v>0</v>
      </c>
      <c r="G7" s="509">
        <f t="shared" si="0"/>
        <v>0</v>
      </c>
      <c r="H7" s="509">
        <f>IF(I7=I8,'Budget Summary'!B95+'Budget Summary'!B97,ROUNDDOWN(H50,0))</f>
        <v>0</v>
      </c>
      <c r="I7" s="510">
        <f>+'Budget Summary'!J108</f>
        <v>0</v>
      </c>
      <c r="J7" s="511">
        <f t="shared" si="1"/>
        <v>0</v>
      </c>
      <c r="K7" s="49"/>
      <c r="L7" s="94"/>
      <c r="U7" s="71"/>
      <c r="V7" s="31"/>
      <c r="W7" s="31"/>
      <c r="X7" s="2"/>
    </row>
    <row r="8" spans="1:24" x14ac:dyDescent="0.25">
      <c r="A8" s="508">
        <v>1</v>
      </c>
      <c r="B8" s="509">
        <f t="shared" si="0"/>
        <v>0</v>
      </c>
      <c r="C8" s="509">
        <f t="shared" si="0"/>
        <v>0</v>
      </c>
      <c r="D8" s="509">
        <f t="shared" si="0"/>
        <v>0</v>
      </c>
      <c r="E8" s="509">
        <f t="shared" si="0"/>
        <v>0</v>
      </c>
      <c r="F8" s="509">
        <f t="shared" si="0"/>
        <v>0</v>
      </c>
      <c r="G8" s="509">
        <f t="shared" si="0"/>
        <v>0</v>
      </c>
      <c r="H8" s="509">
        <f>IF(I7=I8,0,ROUND(IF(((($H50*$I7)+($H51*$I8))=('Budget Summary'!B95+'Budget Summary'!B97)),($H51*$I8),(('Budget Summary'!B95+'Budget Summary'!B97)-H7)),0))</f>
        <v>0</v>
      </c>
      <c r="I8" s="510">
        <f>+'Budget Summary'!K108</f>
        <v>0</v>
      </c>
      <c r="J8" s="511">
        <f t="shared" si="1"/>
        <v>0</v>
      </c>
      <c r="K8" s="110">
        <f>SUM(J3:J8)</f>
        <v>60884</v>
      </c>
      <c r="L8" s="513">
        <f>+'Budget Summary'!B98</f>
        <v>21363</v>
      </c>
      <c r="U8" s="71"/>
      <c r="V8" s="31"/>
      <c r="W8" s="31"/>
      <c r="X8" s="2"/>
    </row>
    <row r="9" spans="1:24" x14ac:dyDescent="0.25">
      <c r="A9" s="516">
        <v>2</v>
      </c>
      <c r="B9" s="517">
        <f t="shared" si="0"/>
        <v>50078</v>
      </c>
      <c r="C9" s="517">
        <f t="shared" si="0"/>
        <v>0</v>
      </c>
      <c r="D9" s="517">
        <f t="shared" si="0"/>
        <v>0</v>
      </c>
      <c r="E9" s="517">
        <f t="shared" si="0"/>
        <v>0</v>
      </c>
      <c r="F9" s="517">
        <f t="shared" si="0"/>
        <v>0</v>
      </c>
      <c r="G9" s="517">
        <f t="shared" si="0"/>
        <v>0</v>
      </c>
      <c r="H9" s="517">
        <f>IF(I9=I10,'Budget Summary'!C94,ROUNDDOWN(H52,0))</f>
        <v>100157</v>
      </c>
      <c r="I9" s="518">
        <f>+'Budget Summary'!K105</f>
        <v>0.56999999999999995</v>
      </c>
      <c r="J9" s="519">
        <f t="shared" si="1"/>
        <v>57089</v>
      </c>
      <c r="K9" s="49"/>
      <c r="L9" s="94"/>
      <c r="U9" s="71"/>
      <c r="V9" s="31"/>
      <c r="W9" s="31"/>
      <c r="X9" s="2"/>
    </row>
    <row r="10" spans="1:24" x14ac:dyDescent="0.25">
      <c r="A10" s="516">
        <v>2</v>
      </c>
      <c r="B10" s="517">
        <f t="shared" si="0"/>
        <v>50079</v>
      </c>
      <c r="C10" s="517">
        <f t="shared" si="0"/>
        <v>0</v>
      </c>
      <c r="D10" s="517">
        <f t="shared" si="0"/>
        <v>0</v>
      </c>
      <c r="E10" s="517">
        <f t="shared" si="0"/>
        <v>0</v>
      </c>
      <c r="F10" s="517">
        <f t="shared" si="0"/>
        <v>0</v>
      </c>
      <c r="G10" s="517">
        <f t="shared" si="0"/>
        <v>0</v>
      </c>
      <c r="H10" s="517">
        <f>IF(I9=I10,0,ROUND(IF(((($H52*$I9)+($H53*$I10))='Budget Summary'!C94),($H53*$I10),('Budget Summary'!C94-H9)),0))</f>
        <v>0</v>
      </c>
      <c r="I10" s="518">
        <f>+'Budget Summary'!L105</f>
        <v>0.56999999999999995</v>
      </c>
      <c r="J10" s="519">
        <f t="shared" si="1"/>
        <v>0</v>
      </c>
      <c r="K10" s="49"/>
      <c r="L10" s="94"/>
      <c r="U10" s="71"/>
      <c r="V10" s="31"/>
      <c r="W10" s="31"/>
      <c r="X10" s="2"/>
    </row>
    <row r="11" spans="1:24" x14ac:dyDescent="0.25">
      <c r="A11" s="516">
        <v>2</v>
      </c>
      <c r="B11" s="521">
        <f t="shared" si="0"/>
        <v>0</v>
      </c>
      <c r="C11" s="521">
        <f t="shared" si="0"/>
        <v>0</v>
      </c>
      <c r="D11" s="521">
        <f t="shared" si="0"/>
        <v>0</v>
      </c>
      <c r="E11" s="521">
        <f t="shared" si="0"/>
        <v>0</v>
      </c>
      <c r="F11" s="521">
        <f t="shared" si="0"/>
        <v>0</v>
      </c>
      <c r="G11" s="521">
        <f t="shared" si="0"/>
        <v>0</v>
      </c>
      <c r="H11" s="521">
        <f>IF(I11=I12,'Budget Summary'!C96,ROUNDDOWN(H54,0))</f>
        <v>0</v>
      </c>
      <c r="I11" s="518">
        <f>+'Budget Summary'!K106</f>
        <v>0.64</v>
      </c>
      <c r="J11" s="519">
        <f t="shared" si="1"/>
        <v>0</v>
      </c>
      <c r="K11" s="49"/>
      <c r="L11" s="513"/>
      <c r="U11" s="71"/>
      <c r="V11" s="31"/>
      <c r="W11" s="31"/>
      <c r="X11" s="2"/>
    </row>
    <row r="12" spans="1:24" x14ac:dyDescent="0.25">
      <c r="A12" s="516">
        <v>2</v>
      </c>
      <c r="B12" s="521">
        <f t="shared" ref="B12:G21" si="2">+B55</f>
        <v>0</v>
      </c>
      <c r="C12" s="521">
        <f t="shared" si="2"/>
        <v>0</v>
      </c>
      <c r="D12" s="521">
        <f t="shared" si="2"/>
        <v>0</v>
      </c>
      <c r="E12" s="521">
        <f t="shared" si="2"/>
        <v>0</v>
      </c>
      <c r="F12" s="521">
        <f t="shared" si="2"/>
        <v>0</v>
      </c>
      <c r="G12" s="521">
        <f t="shared" si="2"/>
        <v>0</v>
      </c>
      <c r="H12" s="521">
        <f>IF(I11=I12,0,ROUND(IF(((($H54*$I11)+($H55*$I12))='Budget Summary'!C96),($H55*$I12),('Budget Summary'!C96-H11)),0))</f>
        <v>0</v>
      </c>
      <c r="I12" s="518">
        <f>+'Budget Summary'!L106</f>
        <v>0.64</v>
      </c>
      <c r="J12" s="519">
        <f t="shared" si="1"/>
        <v>0</v>
      </c>
      <c r="K12" s="110"/>
      <c r="L12" s="94"/>
      <c r="U12" s="71"/>
      <c r="V12" s="31"/>
      <c r="W12" s="31"/>
      <c r="X12" s="2"/>
    </row>
    <row r="13" spans="1:24" x14ac:dyDescent="0.25">
      <c r="A13" s="516">
        <v>2</v>
      </c>
      <c r="B13" s="517">
        <f t="shared" si="2"/>
        <v>0</v>
      </c>
      <c r="C13" s="517">
        <f t="shared" si="2"/>
        <v>0</v>
      </c>
      <c r="D13" s="517">
        <f t="shared" si="2"/>
        <v>0</v>
      </c>
      <c r="E13" s="517">
        <f t="shared" si="2"/>
        <v>0</v>
      </c>
      <c r="F13" s="517">
        <f t="shared" si="2"/>
        <v>0</v>
      </c>
      <c r="G13" s="517">
        <f t="shared" si="2"/>
        <v>0</v>
      </c>
      <c r="H13" s="517">
        <f>IF(I13=I14,'Budget Summary'!C95+'Budget Summary'!C97,ROUNDDOWN(H56,0))</f>
        <v>0</v>
      </c>
      <c r="I13" s="518">
        <f>+'Budget Summary'!K108</f>
        <v>0</v>
      </c>
      <c r="J13" s="519">
        <f t="shared" si="1"/>
        <v>0</v>
      </c>
      <c r="K13" s="49"/>
      <c r="L13" s="94"/>
      <c r="U13" s="71"/>
      <c r="V13" s="31"/>
      <c r="W13" s="31"/>
      <c r="X13" s="2"/>
    </row>
    <row r="14" spans="1:24" x14ac:dyDescent="0.25">
      <c r="A14" s="516">
        <v>2</v>
      </c>
      <c r="B14" s="517">
        <f t="shared" si="2"/>
        <v>0</v>
      </c>
      <c r="C14" s="517">
        <f t="shared" si="2"/>
        <v>0</v>
      </c>
      <c r="D14" s="517">
        <f t="shared" si="2"/>
        <v>0</v>
      </c>
      <c r="E14" s="517">
        <f t="shared" si="2"/>
        <v>0</v>
      </c>
      <c r="F14" s="517">
        <f t="shared" si="2"/>
        <v>0</v>
      </c>
      <c r="G14" s="517">
        <f t="shared" si="2"/>
        <v>0</v>
      </c>
      <c r="H14" s="517">
        <f>IF(I13=I14,0,ROUND(IF(((($H56*$I13)+($H57*$I14))=('Budget Summary'!C95+'Budget Summary'!C97)),($H57*$I14),(('Budget Summary'!C95+'Budget Summary'!C97)-H13)),0))</f>
        <v>0</v>
      </c>
      <c r="I14" s="518">
        <f>+'Budget Summary'!L108</f>
        <v>0</v>
      </c>
      <c r="J14" s="519">
        <f t="shared" si="1"/>
        <v>0</v>
      </c>
      <c r="K14" s="110">
        <f>SUM(J9:J14)</f>
        <v>57089</v>
      </c>
      <c r="L14" s="513">
        <f>+'Budget Summary'!C98</f>
        <v>20031</v>
      </c>
      <c r="U14" s="71"/>
      <c r="V14" s="31"/>
      <c r="W14" s="31"/>
      <c r="X14" s="2"/>
    </row>
    <row r="15" spans="1:24" x14ac:dyDescent="0.25">
      <c r="A15" s="524">
        <v>3</v>
      </c>
      <c r="B15" s="525">
        <f t="shared" si="2"/>
        <v>0</v>
      </c>
      <c r="C15" s="525">
        <f t="shared" si="2"/>
        <v>0</v>
      </c>
      <c r="D15" s="525">
        <f t="shared" si="2"/>
        <v>0</v>
      </c>
      <c r="E15" s="525">
        <f t="shared" si="2"/>
        <v>0</v>
      </c>
      <c r="F15" s="525">
        <f t="shared" si="2"/>
        <v>0</v>
      </c>
      <c r="G15" s="525">
        <f t="shared" si="2"/>
        <v>0</v>
      </c>
      <c r="H15" s="525">
        <f>IF(I15=I16,'Budget Summary'!D94,ROUNDDOWN(H58,0))</f>
        <v>0</v>
      </c>
      <c r="I15" s="526">
        <f>+'Budget Summary'!L105</f>
        <v>0.56999999999999995</v>
      </c>
      <c r="J15" s="527">
        <f t="shared" si="1"/>
        <v>0</v>
      </c>
      <c r="K15" s="49"/>
      <c r="L15" s="94"/>
      <c r="U15" s="71"/>
      <c r="V15" s="31"/>
      <c r="W15" s="31"/>
      <c r="X15" s="2"/>
    </row>
    <row r="16" spans="1:24" x14ac:dyDescent="0.25">
      <c r="A16" s="524">
        <v>3</v>
      </c>
      <c r="B16" s="525">
        <f t="shared" si="2"/>
        <v>0</v>
      </c>
      <c r="C16" s="525">
        <f t="shared" si="2"/>
        <v>0</v>
      </c>
      <c r="D16" s="525">
        <f t="shared" si="2"/>
        <v>0</v>
      </c>
      <c r="E16" s="525">
        <f t="shared" si="2"/>
        <v>0</v>
      </c>
      <c r="F16" s="525">
        <f t="shared" si="2"/>
        <v>0</v>
      </c>
      <c r="G16" s="525">
        <f t="shared" si="2"/>
        <v>0</v>
      </c>
      <c r="H16" s="525">
        <f>IF(I15=I16,0,ROUND(IF(((($H58*$I15)+($H59*$I16))='Budget Summary'!D94),($H59*$I16),('Budget Summary'!D94-H15)),0))</f>
        <v>0</v>
      </c>
      <c r="I16" s="526">
        <f>+'Budget Summary'!M105</f>
        <v>0.56999999999999995</v>
      </c>
      <c r="J16" s="527">
        <f t="shared" si="1"/>
        <v>0</v>
      </c>
      <c r="K16" s="49"/>
      <c r="L16" s="94"/>
      <c r="U16" s="71"/>
      <c r="V16" s="31"/>
      <c r="W16" s="31"/>
      <c r="X16" s="2"/>
    </row>
    <row r="17" spans="1:24" x14ac:dyDescent="0.25">
      <c r="A17" s="524">
        <v>3</v>
      </c>
      <c r="B17" s="525">
        <f t="shared" si="2"/>
        <v>0</v>
      </c>
      <c r="C17" s="525">
        <f t="shared" si="2"/>
        <v>0</v>
      </c>
      <c r="D17" s="525">
        <f t="shared" si="2"/>
        <v>0</v>
      </c>
      <c r="E17" s="525">
        <f t="shared" si="2"/>
        <v>0</v>
      </c>
      <c r="F17" s="525">
        <f t="shared" si="2"/>
        <v>0</v>
      </c>
      <c r="G17" s="525">
        <f t="shared" si="2"/>
        <v>0</v>
      </c>
      <c r="H17" s="525">
        <f>IF(I17=I18,'Budget Summary'!D96,ROUNDDOWN(H60,0))</f>
        <v>0</v>
      </c>
      <c r="I17" s="526">
        <f>+'Budget Summary'!L106</f>
        <v>0.64</v>
      </c>
      <c r="J17" s="527">
        <f t="shared" si="1"/>
        <v>0</v>
      </c>
      <c r="K17" s="49"/>
      <c r="L17" s="94"/>
      <c r="U17" s="71"/>
      <c r="V17" s="31"/>
      <c r="W17" s="31"/>
      <c r="X17" s="2"/>
    </row>
    <row r="18" spans="1:24" x14ac:dyDescent="0.25">
      <c r="A18" s="524">
        <v>3</v>
      </c>
      <c r="B18" s="525">
        <f t="shared" si="2"/>
        <v>0</v>
      </c>
      <c r="C18" s="525">
        <f t="shared" si="2"/>
        <v>0</v>
      </c>
      <c r="D18" s="525">
        <f t="shared" si="2"/>
        <v>0</v>
      </c>
      <c r="E18" s="525">
        <f t="shared" si="2"/>
        <v>0</v>
      </c>
      <c r="F18" s="525">
        <f t="shared" si="2"/>
        <v>0</v>
      </c>
      <c r="G18" s="525">
        <f t="shared" si="2"/>
        <v>0</v>
      </c>
      <c r="H18" s="525">
        <f>IF(I17=I18,0,ROUND(IF(((($H60*$I17)+($H61*$I18))='Budget Summary'!D96),($H61*$I18),('Budget Summary'!D96-H17)),0))</f>
        <v>0</v>
      </c>
      <c r="I18" s="526">
        <f>+'Budget Summary'!M106</f>
        <v>0.64</v>
      </c>
      <c r="J18" s="527">
        <f t="shared" si="1"/>
        <v>0</v>
      </c>
      <c r="K18" s="49"/>
      <c r="L18" s="94"/>
      <c r="U18" s="71"/>
      <c r="V18" s="31"/>
      <c r="W18" s="31"/>
      <c r="X18" s="2"/>
    </row>
    <row r="19" spans="1:24" x14ac:dyDescent="0.25">
      <c r="A19" s="524">
        <v>3</v>
      </c>
      <c r="B19" s="525">
        <f t="shared" si="2"/>
        <v>0</v>
      </c>
      <c r="C19" s="525">
        <f t="shared" si="2"/>
        <v>0</v>
      </c>
      <c r="D19" s="525">
        <f t="shared" si="2"/>
        <v>0</v>
      </c>
      <c r="E19" s="525">
        <f t="shared" si="2"/>
        <v>0</v>
      </c>
      <c r="F19" s="525">
        <f t="shared" si="2"/>
        <v>0</v>
      </c>
      <c r="G19" s="525">
        <f t="shared" si="2"/>
        <v>0</v>
      </c>
      <c r="H19" s="525">
        <f>IF(I19=I20,'Budget Summary'!D95+'Budget Summary'!D97,ROUNDDOWN(H62,0))</f>
        <v>0</v>
      </c>
      <c r="I19" s="526">
        <f>+'Budget Summary'!L108</f>
        <v>0</v>
      </c>
      <c r="J19" s="527">
        <f t="shared" si="1"/>
        <v>0</v>
      </c>
      <c r="K19" s="49"/>
      <c r="L19" s="94"/>
      <c r="U19" s="71"/>
      <c r="V19" s="31"/>
      <c r="W19" s="31"/>
      <c r="X19" s="2"/>
    </row>
    <row r="20" spans="1:24" x14ac:dyDescent="0.25">
      <c r="A20" s="524">
        <v>3</v>
      </c>
      <c r="B20" s="525">
        <f t="shared" si="2"/>
        <v>0</v>
      </c>
      <c r="C20" s="525">
        <f t="shared" si="2"/>
        <v>0</v>
      </c>
      <c r="D20" s="525">
        <f t="shared" si="2"/>
        <v>0</v>
      </c>
      <c r="E20" s="525">
        <f t="shared" si="2"/>
        <v>0</v>
      </c>
      <c r="F20" s="525">
        <f t="shared" si="2"/>
        <v>0</v>
      </c>
      <c r="G20" s="525">
        <f t="shared" si="2"/>
        <v>0</v>
      </c>
      <c r="H20" s="525">
        <f>IF(I19=I20,0,ROUND(IF(((($H62*$I19)+($H63*$I20))=('Budget Summary'!D95+'Budget Summary'!D97)),($H63*$I20),(('Budget Summary'!D95+'Budget Summary'!D97)-H19)),0))</f>
        <v>0</v>
      </c>
      <c r="I20" s="526">
        <f>+'Budget Summary'!M108</f>
        <v>0</v>
      </c>
      <c r="J20" s="527">
        <f t="shared" si="1"/>
        <v>0</v>
      </c>
      <c r="K20" s="110">
        <f>SUM(J15:J20)</f>
        <v>0</v>
      </c>
      <c r="L20" s="513">
        <f>+'Budget Summary'!D98</f>
        <v>0</v>
      </c>
      <c r="U20" s="71"/>
      <c r="V20" s="31"/>
      <c r="W20" s="31"/>
      <c r="X20" s="2"/>
    </row>
    <row r="21" spans="1:24" x14ac:dyDescent="0.25">
      <c r="A21" s="530">
        <v>4</v>
      </c>
      <c r="B21" s="531">
        <f t="shared" si="2"/>
        <v>0</v>
      </c>
      <c r="C21" s="531">
        <f t="shared" si="2"/>
        <v>0</v>
      </c>
      <c r="D21" s="531">
        <f t="shared" si="2"/>
        <v>0</v>
      </c>
      <c r="E21" s="531">
        <f t="shared" si="2"/>
        <v>0</v>
      </c>
      <c r="F21" s="531">
        <f t="shared" si="2"/>
        <v>0</v>
      </c>
      <c r="G21" s="531">
        <f t="shared" si="2"/>
        <v>0</v>
      </c>
      <c r="H21" s="531">
        <f>IF(I21=I22,'Budget Summary'!E94,ROUNDDOWN(H64,0))</f>
        <v>0</v>
      </c>
      <c r="I21" s="532">
        <f>+'Budget Summary'!M105</f>
        <v>0.56999999999999995</v>
      </c>
      <c r="J21" s="533">
        <f t="shared" si="1"/>
        <v>0</v>
      </c>
      <c r="K21" s="49"/>
      <c r="L21" s="94"/>
      <c r="U21" s="71"/>
      <c r="V21" s="31"/>
      <c r="W21" s="31"/>
      <c r="X21" s="2"/>
    </row>
    <row r="22" spans="1:24" x14ac:dyDescent="0.25">
      <c r="A22" s="530">
        <v>4</v>
      </c>
      <c r="B22" s="531">
        <f t="shared" ref="B22:G31" si="3">+B65</f>
        <v>0</v>
      </c>
      <c r="C22" s="531">
        <f t="shared" si="3"/>
        <v>0</v>
      </c>
      <c r="D22" s="531">
        <f t="shared" si="3"/>
        <v>0</v>
      </c>
      <c r="E22" s="531">
        <f t="shared" si="3"/>
        <v>0</v>
      </c>
      <c r="F22" s="531">
        <f t="shared" si="3"/>
        <v>0</v>
      </c>
      <c r="G22" s="531">
        <f t="shared" si="3"/>
        <v>0</v>
      </c>
      <c r="H22" s="531">
        <f>IF(I21=I22,0,ROUND(IF(((($H64*$I21)+($H65*$I22))='Budget Summary'!E94),($H65*$I22),('Budget Summary'!E94-H21)),0))</f>
        <v>0</v>
      </c>
      <c r="I22" s="532">
        <f>+'Budget Summary'!N105</f>
        <v>0.56999999999999995</v>
      </c>
      <c r="J22" s="533">
        <f t="shared" si="1"/>
        <v>0</v>
      </c>
      <c r="K22" s="49"/>
      <c r="L22" s="94"/>
      <c r="U22" s="71"/>
      <c r="V22" s="31"/>
      <c r="W22" s="31"/>
      <c r="X22" s="2"/>
    </row>
    <row r="23" spans="1:24" x14ac:dyDescent="0.25">
      <c r="A23" s="530">
        <v>4</v>
      </c>
      <c r="B23" s="531">
        <f t="shared" si="3"/>
        <v>0</v>
      </c>
      <c r="C23" s="531">
        <f t="shared" si="3"/>
        <v>0</v>
      </c>
      <c r="D23" s="531">
        <f t="shared" si="3"/>
        <v>0</v>
      </c>
      <c r="E23" s="531">
        <f t="shared" si="3"/>
        <v>0</v>
      </c>
      <c r="F23" s="531">
        <f t="shared" si="3"/>
        <v>0</v>
      </c>
      <c r="G23" s="531">
        <f t="shared" si="3"/>
        <v>0</v>
      </c>
      <c r="H23" s="531">
        <f>IF(I23=I24,'Budget Summary'!E96,ROUNDDOWN(H66,0))</f>
        <v>0</v>
      </c>
      <c r="I23" s="532">
        <f>+'Budget Summary'!M106</f>
        <v>0.64</v>
      </c>
      <c r="J23" s="533">
        <f t="shared" si="1"/>
        <v>0</v>
      </c>
      <c r="K23" s="110"/>
      <c r="L23" s="94"/>
      <c r="U23" s="71"/>
      <c r="V23" s="31"/>
      <c r="W23" s="31"/>
      <c r="X23" s="2"/>
    </row>
    <row r="24" spans="1:24" x14ac:dyDescent="0.25">
      <c r="A24" s="530">
        <v>4</v>
      </c>
      <c r="B24" s="531">
        <f t="shared" si="3"/>
        <v>0</v>
      </c>
      <c r="C24" s="531">
        <f t="shared" si="3"/>
        <v>0</v>
      </c>
      <c r="D24" s="531">
        <f t="shared" si="3"/>
        <v>0</v>
      </c>
      <c r="E24" s="531">
        <f t="shared" si="3"/>
        <v>0</v>
      </c>
      <c r="F24" s="531">
        <f t="shared" si="3"/>
        <v>0</v>
      </c>
      <c r="G24" s="531">
        <f t="shared" si="3"/>
        <v>0</v>
      </c>
      <c r="H24" s="531">
        <f>IF(I23=I24,0,ROUND(IF(((($H66*$I23)+($H67*$I24))='Budget Summary'!E96),($H67*$I24),('Budget Summary'!E96-H23)),0))</f>
        <v>0</v>
      </c>
      <c r="I24" s="532">
        <f>+'Budget Summary'!N106</f>
        <v>0.64</v>
      </c>
      <c r="J24" s="533">
        <f t="shared" si="1"/>
        <v>0</v>
      </c>
      <c r="K24" s="49"/>
      <c r="L24" s="94"/>
      <c r="U24" s="71"/>
      <c r="V24" s="31"/>
      <c r="W24" s="31"/>
      <c r="X24" s="2"/>
    </row>
    <row r="25" spans="1:24" x14ac:dyDescent="0.25">
      <c r="A25" s="530">
        <v>4</v>
      </c>
      <c r="B25" s="531">
        <f t="shared" si="3"/>
        <v>0</v>
      </c>
      <c r="C25" s="531">
        <f t="shared" si="3"/>
        <v>0</v>
      </c>
      <c r="D25" s="531">
        <f t="shared" si="3"/>
        <v>0</v>
      </c>
      <c r="E25" s="531">
        <f t="shared" si="3"/>
        <v>0</v>
      </c>
      <c r="F25" s="531">
        <f t="shared" si="3"/>
        <v>0</v>
      </c>
      <c r="G25" s="531">
        <f t="shared" si="3"/>
        <v>0</v>
      </c>
      <c r="H25" s="531">
        <f>IF(I25=I26,'Budget Summary'!E95+'Budget Summary'!E97,ROUNDDOWN(H68,0))</f>
        <v>0</v>
      </c>
      <c r="I25" s="532">
        <f>+'Budget Summary'!M108</f>
        <v>0</v>
      </c>
      <c r="J25" s="533">
        <f t="shared" si="1"/>
        <v>0</v>
      </c>
      <c r="K25" s="49"/>
      <c r="L25" s="94"/>
      <c r="U25" s="71"/>
      <c r="V25" s="31"/>
      <c r="W25" s="31"/>
      <c r="X25" s="2"/>
    </row>
    <row r="26" spans="1:24" x14ac:dyDescent="0.25">
      <c r="A26" s="530">
        <v>4</v>
      </c>
      <c r="B26" s="531">
        <f t="shared" si="3"/>
        <v>0</v>
      </c>
      <c r="C26" s="531">
        <f t="shared" si="3"/>
        <v>0</v>
      </c>
      <c r="D26" s="531">
        <f t="shared" si="3"/>
        <v>0</v>
      </c>
      <c r="E26" s="531">
        <f t="shared" si="3"/>
        <v>0</v>
      </c>
      <c r="F26" s="531">
        <f t="shared" si="3"/>
        <v>0</v>
      </c>
      <c r="G26" s="531">
        <f t="shared" si="3"/>
        <v>0</v>
      </c>
      <c r="H26" s="531">
        <f>IF(I25=I26,0,ROUND(IF(((($H68*$I25)+($H69*$I26))=('Budget Summary'!E95+'Budget Summary'!E97)),($H69*$I26),(('Budget Summary'!E95+'Budget Summary'!E97)-H25)),0))</f>
        <v>0</v>
      </c>
      <c r="I26" s="532">
        <f>+'Budget Summary'!N108</f>
        <v>0</v>
      </c>
      <c r="J26" s="533">
        <f t="shared" si="1"/>
        <v>0</v>
      </c>
      <c r="K26" s="110">
        <f>SUM(J21:J26)</f>
        <v>0</v>
      </c>
      <c r="L26" s="513">
        <f>+'Budget Summary'!E98</f>
        <v>0</v>
      </c>
      <c r="U26" s="71"/>
      <c r="V26" s="31"/>
      <c r="W26" s="31"/>
      <c r="X26" s="2"/>
    </row>
    <row r="27" spans="1:24" x14ac:dyDescent="0.25">
      <c r="A27" s="536">
        <v>5</v>
      </c>
      <c r="B27" s="537">
        <f t="shared" si="3"/>
        <v>0</v>
      </c>
      <c r="C27" s="537">
        <f t="shared" si="3"/>
        <v>0</v>
      </c>
      <c r="D27" s="537">
        <f t="shared" si="3"/>
        <v>0</v>
      </c>
      <c r="E27" s="537">
        <f t="shared" si="3"/>
        <v>0</v>
      </c>
      <c r="F27" s="537">
        <f t="shared" si="3"/>
        <v>0</v>
      </c>
      <c r="G27" s="537">
        <f t="shared" si="3"/>
        <v>0</v>
      </c>
      <c r="H27" s="537">
        <f>IF(I27=I28,'Budget Summary'!F94,ROUNDDOWN(H70,0))</f>
        <v>0</v>
      </c>
      <c r="I27" s="538">
        <f>+'Budget Summary'!N105</f>
        <v>0.56999999999999995</v>
      </c>
      <c r="J27" s="539">
        <f t="shared" si="1"/>
        <v>0</v>
      </c>
      <c r="K27" s="49"/>
      <c r="L27" s="94"/>
      <c r="U27" s="71"/>
      <c r="V27" s="31"/>
      <c r="W27" s="31"/>
      <c r="X27" s="2"/>
    </row>
    <row r="28" spans="1:24" x14ac:dyDescent="0.25">
      <c r="A28" s="536">
        <v>5</v>
      </c>
      <c r="B28" s="537">
        <f t="shared" si="3"/>
        <v>0</v>
      </c>
      <c r="C28" s="537">
        <f t="shared" si="3"/>
        <v>0</v>
      </c>
      <c r="D28" s="537">
        <f t="shared" si="3"/>
        <v>0</v>
      </c>
      <c r="E28" s="537">
        <f t="shared" si="3"/>
        <v>0</v>
      </c>
      <c r="F28" s="537">
        <f t="shared" si="3"/>
        <v>0</v>
      </c>
      <c r="G28" s="537">
        <f t="shared" si="3"/>
        <v>0</v>
      </c>
      <c r="H28" s="537">
        <f>IF(I27=I28,0,ROUND(IF(((($H70*$I27)+($H71*$I28))='Budget Summary'!F94),($H71*$I28),('Budget Summary'!F94-H27)),0))</f>
        <v>0</v>
      </c>
      <c r="I28" s="538">
        <f>+'Budget Summary'!O105</f>
        <v>0.56999999999999995</v>
      </c>
      <c r="J28" s="539">
        <f t="shared" si="1"/>
        <v>0</v>
      </c>
      <c r="K28" s="49"/>
      <c r="L28" s="94"/>
      <c r="U28" s="71"/>
      <c r="V28" s="31"/>
      <c r="W28" s="31"/>
      <c r="X28" s="2"/>
    </row>
    <row r="29" spans="1:24" x14ac:dyDescent="0.25">
      <c r="A29" s="536">
        <v>5</v>
      </c>
      <c r="B29" s="537">
        <f t="shared" si="3"/>
        <v>0</v>
      </c>
      <c r="C29" s="537">
        <f t="shared" si="3"/>
        <v>0</v>
      </c>
      <c r="D29" s="537">
        <f t="shared" si="3"/>
        <v>0</v>
      </c>
      <c r="E29" s="537">
        <f t="shared" si="3"/>
        <v>0</v>
      </c>
      <c r="F29" s="537">
        <f t="shared" si="3"/>
        <v>0</v>
      </c>
      <c r="G29" s="537">
        <f t="shared" si="3"/>
        <v>0</v>
      </c>
      <c r="H29" s="537">
        <f>IF(I29=I30,'Budget Summary'!F96,ROUNDDOWN(H72,0))</f>
        <v>0</v>
      </c>
      <c r="I29" s="538">
        <f>+'Budget Summary'!N106</f>
        <v>0.64</v>
      </c>
      <c r="J29" s="539">
        <f t="shared" si="1"/>
        <v>0</v>
      </c>
      <c r="K29" s="50"/>
      <c r="L29" s="505"/>
      <c r="U29" s="71"/>
      <c r="V29" s="31"/>
      <c r="W29" s="31"/>
      <c r="X29" s="2"/>
    </row>
    <row r="30" spans="1:24" x14ac:dyDescent="0.25">
      <c r="A30" s="536">
        <v>5</v>
      </c>
      <c r="B30" s="537">
        <f t="shared" si="3"/>
        <v>0</v>
      </c>
      <c r="C30" s="537">
        <f t="shared" si="3"/>
        <v>0</v>
      </c>
      <c r="D30" s="537">
        <f t="shared" si="3"/>
        <v>0</v>
      </c>
      <c r="E30" s="537">
        <f t="shared" si="3"/>
        <v>0</v>
      </c>
      <c r="F30" s="537">
        <f t="shared" si="3"/>
        <v>0</v>
      </c>
      <c r="G30" s="537">
        <f t="shared" si="3"/>
        <v>0</v>
      </c>
      <c r="H30" s="537">
        <f>IF(I29=I30,0,ROUND(IF(((($H72*$I29)+($H73*$I30))='Budget Summary'!F96),($H73*$I30),('Budget Summary'!F96-H29)),0))</f>
        <v>0</v>
      </c>
      <c r="I30" s="538">
        <f>+'Budget Summary'!O106</f>
        <v>0.64</v>
      </c>
      <c r="J30" s="539">
        <f t="shared" si="1"/>
        <v>0</v>
      </c>
      <c r="K30" s="50"/>
      <c r="L30" s="505"/>
      <c r="U30" s="71"/>
      <c r="V30" s="31"/>
      <c r="W30" s="31"/>
      <c r="X30" s="2"/>
    </row>
    <row r="31" spans="1:24" x14ac:dyDescent="0.25">
      <c r="A31" s="536">
        <v>5</v>
      </c>
      <c r="B31" s="537">
        <f t="shared" si="3"/>
        <v>0</v>
      </c>
      <c r="C31" s="537">
        <f t="shared" si="3"/>
        <v>0</v>
      </c>
      <c r="D31" s="537">
        <f t="shared" si="3"/>
        <v>0</v>
      </c>
      <c r="E31" s="537">
        <f t="shared" si="3"/>
        <v>0</v>
      </c>
      <c r="F31" s="537">
        <f t="shared" si="3"/>
        <v>0</v>
      </c>
      <c r="G31" s="537">
        <f t="shared" si="3"/>
        <v>0</v>
      </c>
      <c r="H31" s="537">
        <f>IF(I31=I32,'Budget Summary'!F95+'Budget Summary'!F97,ROUNDDOWN(H74,0))</f>
        <v>0</v>
      </c>
      <c r="I31" s="538">
        <f>+'Budget Summary'!N108</f>
        <v>0</v>
      </c>
      <c r="J31" s="539">
        <f t="shared" si="1"/>
        <v>0</v>
      </c>
      <c r="K31" s="50"/>
      <c r="L31" s="505"/>
      <c r="U31" s="71"/>
      <c r="V31" s="31"/>
      <c r="W31" s="31"/>
      <c r="X31" s="2"/>
    </row>
    <row r="32" spans="1:24" x14ac:dyDescent="0.25">
      <c r="A32" s="536">
        <v>5</v>
      </c>
      <c r="B32" s="537">
        <f t="shared" ref="B32:G33" si="4">+B75</f>
        <v>0</v>
      </c>
      <c r="C32" s="537">
        <f t="shared" si="4"/>
        <v>0</v>
      </c>
      <c r="D32" s="537">
        <f t="shared" si="4"/>
        <v>0</v>
      </c>
      <c r="E32" s="537">
        <f t="shared" si="4"/>
        <v>0</v>
      </c>
      <c r="F32" s="537">
        <f t="shared" si="4"/>
        <v>0</v>
      </c>
      <c r="G32" s="537">
        <f t="shared" si="4"/>
        <v>0</v>
      </c>
      <c r="H32" s="537">
        <f>IF(I31=I32,0,ROUND(IF(((($H74*$I31)+($H75*$I32))=('Budget Summary'!F95+'Budget Summary'!F97)),($H75*$I32),(('Budget Summary'!F95+'Budget Summary'!F97)-H31)),0))</f>
        <v>0</v>
      </c>
      <c r="I32" s="538">
        <f>+'Budget Summary'!O108</f>
        <v>0</v>
      </c>
      <c r="J32" s="539">
        <f t="shared" si="1"/>
        <v>0</v>
      </c>
      <c r="K32" s="110">
        <f>SUM(J27:J32)</f>
        <v>0</v>
      </c>
      <c r="L32" s="513">
        <f>+'Budget Summary'!F98</f>
        <v>0</v>
      </c>
      <c r="U32" s="71"/>
      <c r="V32" s="31"/>
      <c r="W32" s="31"/>
      <c r="X32" s="2"/>
    </row>
    <row r="33" spans="1:24" ht="15.75" thickBot="1" x14ac:dyDescent="0.3">
      <c r="A33" s="541" t="s">
        <v>5</v>
      </c>
      <c r="B33" s="542">
        <f t="shared" si="4"/>
        <v>206972</v>
      </c>
      <c r="C33" s="542">
        <f t="shared" si="4"/>
        <v>0</v>
      </c>
      <c r="D33" s="542">
        <f t="shared" si="4"/>
        <v>0</v>
      </c>
      <c r="E33" s="542">
        <f t="shared" si="4"/>
        <v>0</v>
      </c>
      <c r="F33" s="542">
        <f t="shared" si="4"/>
        <v>0</v>
      </c>
      <c r="G33" s="542">
        <f t="shared" si="4"/>
        <v>0</v>
      </c>
      <c r="H33" s="542">
        <f>SUM(H3:H32)</f>
        <v>206972</v>
      </c>
      <c r="I33" s="543"/>
      <c r="J33" s="544">
        <f>SUM(J3:J32)</f>
        <v>117973</v>
      </c>
      <c r="K33" s="50"/>
      <c r="L33" s="505"/>
      <c r="U33" s="71"/>
      <c r="V33" s="31"/>
      <c r="W33" s="31"/>
      <c r="X33" s="2"/>
    </row>
    <row r="34" spans="1:24" x14ac:dyDescent="0.25">
      <c r="A34" s="47"/>
      <c r="H34" s="47"/>
      <c r="I34" s="47"/>
      <c r="J34" s="50">
        <f>+'Budget Summary'!G98</f>
        <v>41394</v>
      </c>
      <c r="K34" s="47"/>
      <c r="L34" s="47"/>
    </row>
    <row r="35" spans="1:24" x14ac:dyDescent="0.25">
      <c r="A35" s="47"/>
      <c r="G35" s="50"/>
      <c r="H35" s="47"/>
      <c r="I35" s="47"/>
      <c r="J35" s="491">
        <f>+J34-J33</f>
        <v>-76579</v>
      </c>
      <c r="K35" s="492" t="s">
        <v>150</v>
      </c>
      <c r="L35" s="47"/>
      <c r="Q35" s="49"/>
      <c r="R35" s="49"/>
      <c r="S35" s="49"/>
      <c r="T35" s="47"/>
    </row>
    <row r="36" spans="1:24" x14ac:dyDescent="0.25">
      <c r="A36" s="47"/>
      <c r="B36" s="47"/>
      <c r="C36" s="47"/>
      <c r="D36" s="491"/>
      <c r="E36" s="492"/>
      <c r="F36" s="47"/>
      <c r="G36" s="50"/>
      <c r="H36" s="50"/>
      <c r="I36" s="50"/>
      <c r="J36" s="50"/>
      <c r="K36" s="49"/>
      <c r="L36" s="49"/>
      <c r="M36" s="49"/>
      <c r="N36" s="49"/>
      <c r="O36" s="49"/>
      <c r="P36" s="49"/>
      <c r="Q36" s="49"/>
      <c r="R36" s="49"/>
      <c r="S36" s="49"/>
      <c r="T36" s="47"/>
    </row>
    <row r="37" spans="1:24" x14ac:dyDescent="0.25">
      <c r="A37" s="47"/>
      <c r="B37" s="47"/>
      <c r="C37" s="47"/>
      <c r="D37" s="491"/>
      <c r="E37" s="492"/>
      <c r="F37" s="47"/>
      <c r="G37" s="50"/>
      <c r="H37" s="50"/>
      <c r="I37" s="50"/>
      <c r="J37" s="50"/>
      <c r="K37" s="49"/>
      <c r="L37" s="49"/>
      <c r="M37" s="49"/>
      <c r="N37" s="49"/>
      <c r="O37" s="49"/>
      <c r="P37" s="49"/>
      <c r="Q37" s="49"/>
      <c r="R37" s="49"/>
      <c r="S37" s="49"/>
      <c r="T37" s="47"/>
    </row>
    <row r="38" spans="1:24" x14ac:dyDescent="0.25">
      <c r="A38" s="47"/>
      <c r="B38" s="47"/>
      <c r="C38" s="47"/>
      <c r="D38" s="491"/>
      <c r="E38" s="492"/>
      <c r="F38" s="47"/>
      <c r="G38" s="50"/>
      <c r="H38" s="50"/>
      <c r="I38" s="50"/>
      <c r="J38" s="50"/>
      <c r="K38" s="49"/>
      <c r="L38" s="49"/>
      <c r="M38" s="49"/>
      <c r="N38" s="49"/>
      <c r="O38" s="49"/>
      <c r="P38" s="49"/>
      <c r="Q38" s="49"/>
      <c r="R38" s="49"/>
      <c r="S38" s="49"/>
      <c r="T38" s="47"/>
    </row>
    <row r="39" spans="1:24" x14ac:dyDescent="0.25">
      <c r="A39" s="47"/>
      <c r="B39" s="47"/>
      <c r="C39" s="47"/>
      <c r="D39" s="491"/>
      <c r="E39" s="492"/>
      <c r="F39" s="47"/>
      <c r="G39" s="50"/>
      <c r="H39" s="50"/>
      <c r="I39" s="50"/>
      <c r="J39" s="50"/>
      <c r="K39" s="49"/>
      <c r="L39" s="49"/>
      <c r="M39" s="49"/>
      <c r="N39" s="49"/>
      <c r="O39" s="49"/>
      <c r="P39" s="49"/>
      <c r="Q39" s="49"/>
      <c r="R39" s="49"/>
      <c r="S39" s="49"/>
      <c r="T39" s="47"/>
    </row>
    <row r="40" spans="1:24" x14ac:dyDescent="0.25">
      <c r="A40" s="47"/>
      <c r="B40" s="47"/>
      <c r="C40" s="47"/>
      <c r="D40" s="491"/>
      <c r="E40" s="492"/>
      <c r="F40" s="47"/>
      <c r="G40" s="50"/>
      <c r="H40" s="50"/>
      <c r="I40" s="50"/>
      <c r="J40" s="72" t="s">
        <v>51</v>
      </c>
      <c r="K40" s="68">
        <f>+'Budget Summary'!J111</f>
        <v>6</v>
      </c>
      <c r="L40" s="487">
        <f>+'Budget Summary'!K111</f>
        <v>0.5</v>
      </c>
      <c r="M40" s="2"/>
      <c r="N40" s="49"/>
      <c r="O40" s="49"/>
      <c r="P40" s="49"/>
      <c r="Q40" s="49"/>
      <c r="R40" s="49"/>
      <c r="S40" s="49"/>
      <c r="T40" s="47"/>
    </row>
    <row r="41" spans="1:24" x14ac:dyDescent="0.25">
      <c r="A41" s="47"/>
      <c r="B41" s="47"/>
      <c r="C41" s="47"/>
      <c r="D41" s="491"/>
      <c r="E41" s="492"/>
      <c r="F41" s="47"/>
      <c r="G41" s="50"/>
      <c r="H41" s="50"/>
      <c r="I41" s="50"/>
      <c r="J41" s="65" t="s">
        <v>52</v>
      </c>
      <c r="K41" s="68">
        <f>+'Budget Summary'!J112</f>
        <v>6</v>
      </c>
      <c r="L41" s="68">
        <f>+'Budget Summary'!K112</f>
        <v>0.5</v>
      </c>
      <c r="M41" s="2"/>
      <c r="N41" s="49"/>
      <c r="O41" s="49"/>
      <c r="P41" s="49"/>
      <c r="Q41" s="49"/>
      <c r="R41" s="49"/>
      <c r="S41" s="49"/>
      <c r="T41" s="47"/>
    </row>
    <row r="42" spans="1:24" x14ac:dyDescent="0.25">
      <c r="A42" s="47"/>
      <c r="B42" s="47"/>
      <c r="C42" s="47"/>
      <c r="D42" s="491"/>
      <c r="E42" s="492"/>
      <c r="F42" s="47"/>
      <c r="G42" s="50"/>
      <c r="H42" s="50"/>
      <c r="I42" s="50"/>
      <c r="J42" s="65"/>
      <c r="K42" s="73">
        <f>SUM(K40:K41)</f>
        <v>12</v>
      </c>
      <c r="L42" s="2" t="s">
        <v>97</v>
      </c>
      <c r="M42" s="2"/>
      <c r="N42" s="49"/>
      <c r="O42" s="49"/>
      <c r="P42" s="49"/>
      <c r="Q42" s="49"/>
      <c r="R42" s="49"/>
      <c r="S42" s="49"/>
      <c r="T42" s="47"/>
    </row>
    <row r="43" spans="1:24" x14ac:dyDescent="0.25">
      <c r="A43" s="47"/>
      <c r="B43" s="47"/>
      <c r="C43" s="47"/>
      <c r="D43" s="491"/>
      <c r="E43" s="492"/>
      <c r="F43" s="47"/>
      <c r="G43" s="50"/>
      <c r="H43" s="50"/>
      <c r="I43" s="50"/>
      <c r="N43" s="49"/>
      <c r="O43" s="49"/>
      <c r="P43" s="49"/>
      <c r="Q43" s="49"/>
      <c r="R43" s="49"/>
      <c r="S43" s="49"/>
      <c r="T43" s="47"/>
    </row>
    <row r="44" spans="1:24" x14ac:dyDescent="0.25">
      <c r="A44" s="47"/>
      <c r="B44" s="47"/>
      <c r="C44" s="47"/>
      <c r="D44" s="491"/>
      <c r="E44" s="492"/>
      <c r="F44" s="47"/>
      <c r="G44" s="50"/>
      <c r="H44" s="50"/>
      <c r="I44" s="50"/>
      <c r="J44" s="50"/>
      <c r="K44" s="49"/>
      <c r="L44" s="49"/>
      <c r="M44" s="49"/>
      <c r="N44" s="49"/>
      <c r="O44" s="49"/>
      <c r="P44" s="49"/>
      <c r="Q44" s="49"/>
      <c r="R44" s="49"/>
      <c r="S44" s="49"/>
      <c r="T44" s="47"/>
    </row>
    <row r="45" spans="1:24" ht="29.25" x14ac:dyDescent="0.25">
      <c r="A45" s="493" t="s">
        <v>196</v>
      </c>
      <c r="B45" s="48" t="s">
        <v>200</v>
      </c>
      <c r="C45" s="48" t="s">
        <v>25</v>
      </c>
      <c r="D45" s="48" t="s">
        <v>197</v>
      </c>
      <c r="E45" s="48" t="s">
        <v>206</v>
      </c>
      <c r="F45" s="48" t="s">
        <v>8</v>
      </c>
      <c r="G45" s="48" t="s">
        <v>198</v>
      </c>
      <c r="H45" s="112" t="s">
        <v>199</v>
      </c>
      <c r="I45" s="112"/>
      <c r="J45" s="498"/>
      <c r="K45" s="493" t="s">
        <v>196</v>
      </c>
      <c r="L45" s="48" t="s">
        <v>173</v>
      </c>
      <c r="M45" s="48" t="s">
        <v>25</v>
      </c>
      <c r="N45" s="48" t="s">
        <v>197</v>
      </c>
      <c r="O45" s="48" t="s">
        <v>206</v>
      </c>
      <c r="P45" s="48" t="s">
        <v>8</v>
      </c>
      <c r="Q45" s="48" t="s">
        <v>198</v>
      </c>
      <c r="R45" s="48" t="s">
        <v>207</v>
      </c>
      <c r="S45" s="545" t="s">
        <v>208</v>
      </c>
      <c r="T45" s="47"/>
    </row>
    <row r="46" spans="1:24" x14ac:dyDescent="0.25">
      <c r="A46" s="596">
        <v>1</v>
      </c>
      <c r="B46" s="499">
        <f t="shared" ref="B46:G46" si="5">ROUNDDOWN(L46*$L$40,0)</f>
        <v>53407</v>
      </c>
      <c r="C46" s="499">
        <f t="shared" si="5"/>
        <v>0</v>
      </c>
      <c r="D46" s="499">
        <f t="shared" si="5"/>
        <v>0</v>
      </c>
      <c r="E46" s="499">
        <f t="shared" si="5"/>
        <v>0</v>
      </c>
      <c r="F46" s="499">
        <f t="shared" si="5"/>
        <v>0</v>
      </c>
      <c r="G46" s="499">
        <f t="shared" si="5"/>
        <v>0</v>
      </c>
      <c r="H46" s="499">
        <f>+B46-SUM(C46:G46)</f>
        <v>53407</v>
      </c>
      <c r="I46" s="500">
        <f>+H3+H4-'Budget Summary'!B94</f>
        <v>0</v>
      </c>
      <c r="J46" s="548" t="s">
        <v>209</v>
      </c>
      <c r="K46" s="506">
        <v>1</v>
      </c>
      <c r="L46" s="507">
        <f>IF(AND('rates, dates, etc'!$B$30="Contract College",'rates, dates, etc'!$B$31="On"),'Lead Budget'!$B$56,0)+IF(AND('rates, dates, etc'!$B$136="Contract College",'rates, dates, etc'!$B$137="On"),Stedman!$B$56,0)+IF(AND('rates, dates, etc'!$B$242="Contract College",'rates, dates, etc'!$B$243="On"),'Co PI 2'!$B$56,0)+IF(AND('rates, dates, etc'!$B$348="Contract College",'rates, dates, etc'!$B$349="On"),'Co PI 3'!$B$56,0)+IF(AND('rates, dates, etc'!$B$454="Contract College",'rates, dates, etc'!$B$455="On"),'Co-PI Budget (4)'!$B$56,0)+IF(AND('rates, dates, etc'!$B$560="Contract College",'rates, dates, etc'!$B$561="On"),'Co-PI Budget (5)'!$B$56,0)</f>
        <v>106815</v>
      </c>
      <c r="M46" s="49">
        <f>IF(AND('rates, dates, etc'!$B$30="Contract College",'rates, dates, etc'!$B$31="On"),'Lead Budget'!$B$33,0)+IF(AND('rates, dates, etc'!$B$136="Contract College",'rates, dates, etc'!$B$137="On"),Stedman!$B$33,0)+IF(AND('rates, dates, etc'!$B$242="Contract College",'rates, dates, etc'!$B$243="On"),'Co PI 2'!$B$33,0)+IF(AND('rates, dates, etc'!$B$348="Contract College",'rates, dates, etc'!$B$349="On"),'Co PI 3'!$B$33,0)+IF(AND('rates, dates, etc'!$B$454="Contract College",'rates, dates, etc'!$B$455="On"),'Co-PI Budget (4)'!$B$33,0)+IF(AND('rates, dates, etc'!$B$560="Contract College",'rates, dates, etc'!$B$561="On"),'Co-PI Budget (5)'!$B$33,0)</f>
        <v>0</v>
      </c>
      <c r="N46" s="49">
        <f>IF(AND('rates, dates, etc'!$B$30="Contract College",'rates, dates, etc'!$B$31="On"),'Lead Budget'!$B$44,0)+IF(AND('rates, dates, etc'!$B$136="Contract College",'rates, dates, etc'!$B$137="On"),Stedman!$B$44,0)+IF(AND('rates, dates, etc'!$B$242="Contract College",'rates, dates, etc'!$B$243="On"),'Co PI 2'!$B$44,0)+IF(AND('rates, dates, etc'!$B$348="Contract College",'rates, dates, etc'!$B$349="On"),'Co PI 3'!$B$44,0)+IF(AND('rates, dates, etc'!$B$454="Contract College",'rates, dates, etc'!$B$455="On"),'Co-PI Budget (4)'!$B$44,0)+IF(AND('rates, dates, etc'!$B$560="Contract College",'rates, dates, etc'!$B$561="On"),'Co-PI Budget (5)'!$B$44,0)</f>
        <v>0</v>
      </c>
      <c r="O46" s="49">
        <f>IF(AND('rates, dates, etc'!$B$30="Contract College",'rates, dates, etc'!$B$31="On"),'Lead Budget'!$B$63,0)+IF(AND('rates, dates, etc'!$B$136="Contract College",'rates, dates, etc'!$B$137="On"),Stedman!$B$63,0)+IF(AND('rates, dates, etc'!$B$242="Contract College",'rates, dates, etc'!$B$243="On"),'Co PI 2'!$B$63,0)+IF(AND('rates, dates, etc'!$B$348="Contract College",'rates, dates, etc'!$B$349="On"),'Co PI 3'!$B$63,0)+IF(AND('rates, dates, etc'!$B$454="Contract College",'rates, dates, etc'!$B$455="On"),'Co-PI Budget (4)'!$B$63,0)+IF(AND('rates, dates, etc'!$B$560="Contract College",'rates, dates, etc'!$B$561="On"),'Co-PI Budget (5)'!$B$63,0)</f>
        <v>0</v>
      </c>
      <c r="P46" s="49">
        <f>IF(AND('rates, dates, etc'!$B$30="Contract College",'rates, dates, etc'!$B$31="On"),'Lead Budget'!$J$15,0)+IF(AND('rates, dates, etc'!$B$136="Contract College",'rates, dates, etc'!$B$137="On"),Stedman!$J$15,0)+IF(AND('rates, dates, etc'!$B$242="Contract College",'rates, dates, etc'!$B$243="On"),'Co PI 2'!$J$15,0)+IF(AND('rates, dates, etc'!$B$348="Contract College",'rates, dates, etc'!$B$349="On"),'Co PI 3'!$J$15,0)+IF(AND('rates, dates, etc'!$B$454="Contract College",'rates, dates, etc'!$B$455="On"),'Co-PI Budget (4)'!$J$15,0)+IF(AND('rates, dates, etc'!$B$560="Contract College",'rates, dates, etc'!$B$561="On"),'Co-PI Budget (5)'!$J$15,0)</f>
        <v>0</v>
      </c>
      <c r="Q46" s="49">
        <f>IF(AND('rates, dates, etc'!$B$30="Contract College",'rates, dates, etc'!$B$31="On"),'Lead Budget'!$J$16,0)+IF(AND('rates, dates, etc'!$B$136="Contract College",'rates, dates, etc'!$B$137="On"),Stedman!$J$16,0)+IF(AND('rates, dates, etc'!$B$242="Contract College",'rates, dates, etc'!$B$243="On"),'Co PI 2'!$J$16,0)+IF(AND('rates, dates, etc'!$B$348="Contract College",'rates, dates, etc'!$B$349="On"),'Co PI 3'!$J$16,0)+IF(AND('rates, dates, etc'!$B$454="Contract College",'rates, dates, etc'!$B$455="On"),'Co-PI Budget (4)'!$J$16,0)+IF(AND('rates, dates, etc'!$B$560="Contract College",'rates, dates, etc'!$B$561="On"),'Co-PI Budget (5)'!$J$16,0)</f>
        <v>0</v>
      </c>
      <c r="R46" s="49">
        <f>+L46-(SUM(M46:Q46))</f>
        <v>106815</v>
      </c>
      <c r="S46" s="94">
        <f>+'Budget Summary'!B94</f>
        <v>106815</v>
      </c>
      <c r="T46" s="490">
        <f>+R46-S46</f>
        <v>0</v>
      </c>
      <c r="U46" s="47"/>
    </row>
    <row r="47" spans="1:24" x14ac:dyDescent="0.25">
      <c r="A47" s="596">
        <v>1</v>
      </c>
      <c r="B47" s="499">
        <f t="shared" ref="B47:G47" si="6">+L46-B46</f>
        <v>53408</v>
      </c>
      <c r="C47" s="499">
        <f t="shared" si="6"/>
        <v>0</v>
      </c>
      <c r="D47" s="499">
        <f t="shared" si="6"/>
        <v>0</v>
      </c>
      <c r="E47" s="499">
        <f t="shared" si="6"/>
        <v>0</v>
      </c>
      <c r="F47" s="499">
        <f t="shared" si="6"/>
        <v>0</v>
      </c>
      <c r="G47" s="499">
        <f t="shared" si="6"/>
        <v>0</v>
      </c>
      <c r="H47" s="499">
        <f>+B47-SUM(C47:G47)</f>
        <v>53408</v>
      </c>
      <c r="I47" s="500"/>
      <c r="J47" s="65"/>
      <c r="K47" s="506">
        <v>1</v>
      </c>
      <c r="L47" s="61"/>
      <c r="M47" s="49"/>
      <c r="N47" s="49"/>
      <c r="O47" s="49"/>
      <c r="P47" s="49"/>
      <c r="Q47" s="49"/>
      <c r="R47" s="49"/>
      <c r="S47" s="94"/>
      <c r="T47" s="490">
        <f t="shared" ref="T47:T74" si="7">+R47-S47</f>
        <v>0</v>
      </c>
      <c r="U47" s="47"/>
    </row>
    <row r="48" spans="1:24" x14ac:dyDescent="0.25">
      <c r="A48" s="596">
        <v>1</v>
      </c>
      <c r="B48" s="499">
        <f t="shared" ref="B48:G48" si="8">ROUNDDOWN(L48*$L$40,0)</f>
        <v>0</v>
      </c>
      <c r="C48" s="499">
        <f t="shared" si="8"/>
        <v>0</v>
      </c>
      <c r="D48" s="499">
        <f t="shared" si="8"/>
        <v>0</v>
      </c>
      <c r="E48" s="499">
        <f t="shared" si="8"/>
        <v>0</v>
      </c>
      <c r="F48" s="499">
        <f t="shared" si="8"/>
        <v>0</v>
      </c>
      <c r="G48" s="499">
        <f t="shared" si="8"/>
        <v>0</v>
      </c>
      <c r="H48" s="499">
        <f t="shared" ref="H48:H75" si="9">+B48-SUM(C48:G48)</f>
        <v>0</v>
      </c>
      <c r="I48" s="500">
        <f>+H5+H6-'Budget Summary'!B96</f>
        <v>0</v>
      </c>
      <c r="J48" s="65" t="s">
        <v>210</v>
      </c>
      <c r="K48" s="506">
        <v>1</v>
      </c>
      <c r="L48" s="49">
        <f>IF(AND('rates, dates, etc'!$B$30="Endowed College",'rates, dates, etc'!$B$31="On"),'Lead Budget'!$B$56,0)+IF(AND('rates, dates, etc'!$B$136="Endowed College",'rates, dates, etc'!$B$137="On"),Stedman!$B$56,0)+IF(AND('rates, dates, etc'!$B$242="Endowed College",'rates, dates, etc'!$B$243="On"),'Co PI 2'!$B$56,0)+IF(AND('rates, dates, etc'!$B$348="Endowed College",'rates, dates, etc'!$B$349="On"),'Co PI 3'!$B$56,0)+IF(AND('rates, dates, etc'!$B$454="Endowed College",'rates, dates, etc'!$B$455="On"),'Co-PI Budget (4)'!$B$56,0)+IF(AND('rates, dates, etc'!$B$560="Endowed College",'rates, dates, etc'!$B$561="On"),'Co-PI Budget (5)'!$B$56,0)</f>
        <v>0</v>
      </c>
      <c r="M48" s="49">
        <f>IF(AND('rates, dates, etc'!$B$30="Endowed College",'rates, dates, etc'!$B$31="On"),'Lead Budget'!$B$33,0)+IF(AND('rates, dates, etc'!$B$136="Endowed College",'rates, dates, etc'!$B$137="On"),Stedman!$B$33,0)+IF(AND('rates, dates, etc'!$B$242="Endowed College",'rates, dates, etc'!$B$243="On"),'Co PI 2'!$B$33,0)+IF(AND('rates, dates, etc'!$B$348="Endowed College",'rates, dates, etc'!$B$349="On"),'Co PI 3'!$B$33,0)+IF(AND('rates, dates, etc'!$B$454="Endowed College",'rates, dates, etc'!$B$455="On"),'Co-PI Budget (4)'!$B$33,0)+IF(AND('rates, dates, etc'!$B$560="Endowed College",'rates, dates, etc'!$B$561="On"),'Co-PI Budget (5)'!$B$33,0)</f>
        <v>0</v>
      </c>
      <c r="N48" s="49">
        <f>IF(AND('rates, dates, etc'!$B$30="Endowed College",'rates, dates, etc'!$B$31="On"),'Lead Budget'!$B$44,0)+IF(AND('rates, dates, etc'!$B$136="Endowed College",'rates, dates, etc'!$B$137="On"),Stedman!$B$44,0)+IF(AND('rates, dates, etc'!$B$242="Endowed College",'rates, dates, etc'!$B$243="On"),'Co PI 2'!$B$44,0)+IF(AND('rates, dates, etc'!$B$348="Endowed College",'rates, dates, etc'!$B$349="On"),'Co PI 3'!$B$44,0)+IF(AND('rates, dates, etc'!$B$454="Endowed College",'rates, dates, etc'!$B$455="On"),'Co-PI Budget (4)'!$B$44,0)+IF(AND('rates, dates, etc'!$B$560="Endowed College",'rates, dates, etc'!$B$561="On"),'Co-PI Budget (5)'!$B$44,0)</f>
        <v>0</v>
      </c>
      <c r="O48" s="49">
        <f>IF(AND('rates, dates, etc'!$B$30="Endowed College",'rates, dates, etc'!$B$31="On"),'Lead Budget'!$B$63,0)+IF(AND('rates, dates, etc'!$B$136="Endowed College",'rates, dates, etc'!$B$137="On"),Stedman!$B$63,0)+IF(AND('rates, dates, etc'!$B$242="Endowed College",'rates, dates, etc'!$B$243="On"),'Co PI 2'!$B$63,0)+IF(AND('rates, dates, etc'!$B$348="Endowed College",'rates, dates, etc'!$B$349="On"),'Co PI 3'!$B$63,0)+IF(AND('rates, dates, etc'!$B$454="Endowed College",'rates, dates, etc'!$B$455="On"),'Co-PI Budget (4)'!$B$63,0)+IF(AND('rates, dates, etc'!$B$560="Endowed College",'rates, dates, etc'!$B$561="On"),'Co-PI Budget (5)'!$B$63,0)</f>
        <v>0</v>
      </c>
      <c r="P48" s="49">
        <f>IF(AND('rates, dates, etc'!$B$30="Endowed College",'rates, dates, etc'!$B$31="On"),'Lead Budget'!$J$15,0)+IF(AND('rates, dates, etc'!$B$136="Endowed College",'rates, dates, etc'!$B$137="On"),Stedman!$J$15,0)+IF(AND('rates, dates, etc'!$B$242="Endowed College",'rates, dates, etc'!$B$243="On"),'Co PI 2'!$J$15,0)+IF(AND('rates, dates, etc'!$B$348="Endowed College",'rates, dates, etc'!$B$349="On"),'Co PI 3'!$J$15,0)+IF(AND('rates, dates, etc'!$B$454="Endowed College",'rates, dates, etc'!$B$455="On"),'Co-PI Budget (4)'!$J$15,0)+IF(AND('rates, dates, etc'!$B$560="Endowed College",'rates, dates, etc'!$B$561="On"),'Co-PI Budget (5)'!$J$15,0)</f>
        <v>0</v>
      </c>
      <c r="Q48" s="49">
        <f>IF(AND('rates, dates, etc'!$B$30="Endowed College",'rates, dates, etc'!$B$31="On"),'Lead Budget'!$J$16,0)+IF(AND('rates, dates, etc'!$B$136="Endowed College",'rates, dates, etc'!$B$137="On"),Stedman!$J$16,0)+IF(AND('rates, dates, etc'!$B$242="Endowed College",'rates, dates, etc'!$B$243="On"),'Co PI 2'!$J$16,0)+IF(AND('rates, dates, etc'!$B$348="Endowed College",'rates, dates, etc'!$B$349="On"),'Co PI 3'!$J$16,0)+IF(AND('rates, dates, etc'!$B$454="Endowed College",'rates, dates, etc'!$B$455="On"),'Co-PI Budget (4)'!$J$16,0)+IF(AND('rates, dates, etc'!$B$560="Endowed College",'rates, dates, etc'!$B$561="On"),'Co-PI Budget (5)'!$J$16,0)</f>
        <v>0</v>
      </c>
      <c r="R48" s="49">
        <f>+L48-(SUM(M48:Q48))</f>
        <v>0</v>
      </c>
      <c r="S48" s="94">
        <f>+'Budget Summary'!B96</f>
        <v>0</v>
      </c>
      <c r="T48" s="490">
        <f t="shared" si="7"/>
        <v>0</v>
      </c>
      <c r="U48" s="47"/>
    </row>
    <row r="49" spans="1:21" x14ac:dyDescent="0.25">
      <c r="A49" s="596">
        <v>1</v>
      </c>
      <c r="B49" s="499">
        <f t="shared" ref="B49:G49" si="10">+L48-B48</f>
        <v>0</v>
      </c>
      <c r="C49" s="499">
        <f t="shared" si="10"/>
        <v>0</v>
      </c>
      <c r="D49" s="499">
        <f t="shared" si="10"/>
        <v>0</v>
      </c>
      <c r="E49" s="499">
        <f t="shared" si="10"/>
        <v>0</v>
      </c>
      <c r="F49" s="499">
        <f t="shared" si="10"/>
        <v>0</v>
      </c>
      <c r="G49" s="499">
        <f t="shared" si="10"/>
        <v>0</v>
      </c>
      <c r="H49" s="499">
        <f t="shared" si="9"/>
        <v>0</v>
      </c>
      <c r="I49" s="500"/>
      <c r="J49" s="65"/>
      <c r="K49" s="506">
        <v>1</v>
      </c>
      <c r="L49" s="512"/>
      <c r="M49" s="49"/>
      <c r="N49" s="49"/>
      <c r="O49" s="49"/>
      <c r="P49" s="49"/>
      <c r="Q49" s="49"/>
      <c r="R49" s="49"/>
      <c r="S49" s="94"/>
      <c r="T49" s="490">
        <f t="shared" si="7"/>
        <v>0</v>
      </c>
      <c r="U49" s="47"/>
    </row>
    <row r="50" spans="1:21" x14ac:dyDescent="0.25">
      <c r="A50" s="596">
        <v>1</v>
      </c>
      <c r="B50" s="499">
        <f t="shared" ref="B50:G50" si="11">ROUNDDOWN(L50*$L$40,0)</f>
        <v>0</v>
      </c>
      <c r="C50" s="499">
        <f t="shared" si="11"/>
        <v>0</v>
      </c>
      <c r="D50" s="499">
        <f t="shared" si="11"/>
        <v>0</v>
      </c>
      <c r="E50" s="499">
        <f t="shared" si="11"/>
        <v>0</v>
      </c>
      <c r="F50" s="499">
        <f t="shared" si="11"/>
        <v>0</v>
      </c>
      <c r="G50" s="499">
        <f t="shared" si="11"/>
        <v>0</v>
      </c>
      <c r="H50" s="499">
        <f t="shared" si="9"/>
        <v>0</v>
      </c>
      <c r="I50" s="500">
        <f>+H7+H8-('Budget Summary'!B95+'Budget Summary'!B97)</f>
        <v>0</v>
      </c>
      <c r="J50" s="65" t="s">
        <v>211</v>
      </c>
      <c r="K50" s="506">
        <v>1</v>
      </c>
      <c r="L50" s="49">
        <f>IF(AND('rates, dates, etc'!$B$30="Contract College",'rates, dates, etc'!$B$31="Off"),'Lead Budget'!$B$56,0)+IF(AND('rates, dates, etc'!$B$136="Contract College",'rates, dates, etc'!$B$137="Off"),Stedman!$B$56,0)+IF(AND('rates, dates, etc'!$B$242="Contract College",'rates, dates, etc'!$B$243="Off"),'Co PI 2'!$B$56,0)+IF(AND('rates, dates, etc'!$B$348="Contract College",'rates, dates, etc'!$B$349="Off"),'Co PI 3'!$B$56,0)+IF(AND('rates, dates, etc'!$B$454="Contract College",'rates, dates, etc'!$B$455="Off"),'Co-PI Budget (4)'!$B$56,0)+IF(AND('rates, dates, etc'!$B$560="Contract College",'rates, dates, etc'!$B$561="Off"),'Co-PI Budget (5)'!$B$56,0)+IF(AND('rates, dates, etc'!$B$30="Endowed College",'rates, dates, etc'!$B$31="Off"),'Lead Budget'!$B$56,0)+IF(AND('rates, dates, etc'!$B$136="Endowed College",'rates, dates, etc'!$B$137="Off"),Stedman!$B$56,0)+IF(AND('rates, dates, etc'!$B$242="Endowed College",'rates, dates, etc'!$B$243="Off"),'Co PI 2'!$B$56,0)+IF(AND('rates, dates, etc'!$B$348="Endowed College",'rates, dates, etc'!$B$349="Off"),'Co PI 3'!$B$56,0)+IF(AND('rates, dates, etc'!$B$454="Endowed College",'rates, dates, etc'!$B$455="Off"),'Co-PI Budget (4)'!$B$56,0)+IF(AND('rates, dates, etc'!$B$560="Endowed College",'rates, dates, etc'!$B$561="Off"),'Co-PI Budget (5)'!$B$56,0)</f>
        <v>0</v>
      </c>
      <c r="M50" s="49">
        <f>IF(AND('rates, dates, etc'!$B$30="Contract College",'rates, dates, etc'!$B$31="Off"),'Lead Budget'!$B$33,0)+IF(AND('rates, dates, etc'!$B$136="Contract College",'rates, dates, etc'!$B$137="Off"),Stedman!$B$33,0)+IF(AND('rates, dates, etc'!$B$242="Contract College",'rates, dates, etc'!$B$243="Off"),'Co PI 2'!$B$33,0)+IF(AND('rates, dates, etc'!$B$348="Contract College",'rates, dates, etc'!$B$349="Off"),'Co PI 3'!$B$33,0)+IF(AND('rates, dates, etc'!$B$454="Contract College",'rates, dates, etc'!$B$455="Off"),'Co-PI Budget (4)'!$B$33,0)+IF(AND('rates, dates, etc'!$B$560="Contract College",'rates, dates, etc'!$B$561="Off"),'Co-PI Budget (5)'!$B$33,0)+IF(AND('rates, dates, etc'!$B$30="Endowed College",'rates, dates, etc'!$B$31="Off"),'Lead Budget'!$B$33,0)+IF(AND('rates, dates, etc'!$B$136="Endowed College",'rates, dates, etc'!$B$137="Off"),Stedman!$B$33,0)+IF(AND('rates, dates, etc'!$B$242="Endowed College",'rates, dates, etc'!$B$243="Off"),'Co PI 2'!$B$33,0)+IF(AND('rates, dates, etc'!$B$348="Endowed College",'rates, dates, etc'!$B$349="Off"),'Co PI 3'!$B$33,0)+IF(AND('rates, dates, etc'!$B$454="Endowed College",'rates, dates, etc'!$B$455="Off"),'Co-PI Budget (4)'!$B$33,0)+IF(AND('rates, dates, etc'!$B$560="Endowed College",'rates, dates, etc'!$B$561="Off"),'Co-PI Budget (5)'!$B$33,0)</f>
        <v>0</v>
      </c>
      <c r="N50" s="49">
        <f>IF(AND('rates, dates, etc'!$B$30="Contract College",'rates, dates, etc'!$B$31="Off"),'Lead Budget'!$B$44,0)+IF(AND('rates, dates, etc'!$B$136="Contract College",'rates, dates, etc'!$B$137="Off"),Stedman!$B$44,0)+IF(AND('rates, dates, etc'!$B$242="Contract College",'rates, dates, etc'!$B$243="Off"),'Co PI 2'!$B$44,0)+IF(AND('rates, dates, etc'!$B$348="Contract College",'rates, dates, etc'!$B$349="Off"),'Co PI 3'!$B$44,0)+IF(AND('rates, dates, etc'!$B$454="Contract College",'rates, dates, etc'!$B$455="Off"),'Co-PI Budget (4)'!$B$44,0)+IF(AND('rates, dates, etc'!$B$560="Contract College",'rates, dates, etc'!$B$561="Off"),'Co-PI Budget (5)'!$B$44,0)+IF(AND('rates, dates, etc'!$B$30="Endowed College",'rates, dates, etc'!$B$31="Off"),'Lead Budget'!$B$44,0)+IF(AND('rates, dates, etc'!$B$136="Endowed College",'rates, dates, etc'!$B$137="Off"),Stedman!$B$44,0)+IF(AND('rates, dates, etc'!$B$242="Endowed College",'rates, dates, etc'!$B$243="Off"),'Co PI 2'!$B$44,0)+IF(AND('rates, dates, etc'!$B$348="Endowed College",'rates, dates, etc'!$B$349="Off"),'Co PI 3'!$B$44,0)+IF(AND('rates, dates, etc'!$B$454="Endowed College",'rates, dates, etc'!$B$455="Off"),'Co-PI Budget (4)'!$B$44,0)+IF(AND('rates, dates, etc'!$B$560="Endowed College",'rates, dates, etc'!$B$561="Off"),'Co-PI Budget (5)'!$B$44,0)</f>
        <v>0</v>
      </c>
      <c r="O50" s="49">
        <f>IF(AND('rates, dates, etc'!$B$30="Contract College",'rates, dates, etc'!$B$31="Off"),'Lead Budget'!$B$63,0)+IF(AND('rates, dates, etc'!$B$136="Contract College",'rates, dates, etc'!$B$137="Off"),Stedman!$B$63,0)+IF(AND('rates, dates, etc'!$B$242="Contract College",'rates, dates, etc'!$B$243="Off"),'Co PI 2'!$B$63,0)+IF(AND('rates, dates, etc'!$B$348="Contract College",'rates, dates, etc'!$B$349="Off"),'Co PI 3'!$B$63,0)+IF(AND('rates, dates, etc'!$B$454="Contract College",'rates, dates, etc'!$B$455="Off"),'Co-PI Budget (4)'!$B$63,0)+IF(AND('rates, dates, etc'!$B$560="Contract College",'rates, dates, etc'!$B$561="Off"),'Co-PI Budget (5)'!$B$63,0)+IF(AND('rates, dates, etc'!$B$30="Endowed College",'rates, dates, etc'!$B$31="Off"),'Lead Budget'!$B$63,0)+IF(AND('rates, dates, etc'!$B$136="Endowed College",'rates, dates, etc'!$B$137="Off"),Stedman!$B$63,0)+IF(AND('rates, dates, etc'!$B$242="Endowed College",'rates, dates, etc'!$B$243="Off"),'Co PI 2'!$B$63,0)+IF(AND('rates, dates, etc'!$B$348="Endowed College",'rates, dates, etc'!$B$349="Off"),'Co PI 3'!$B$63,0)+IF(AND('rates, dates, etc'!$B$454="Endowed College",'rates, dates, etc'!$B$455="Off"),'Co-PI Budget (4)'!$B$63,0)+IF(AND('rates, dates, etc'!$B$560="Endowed College",'rates, dates, etc'!$B$561="Off"),'Co-PI Budget (5)'!$B$63,0)</f>
        <v>0</v>
      </c>
      <c r="P50" s="49">
        <f>IF(AND('rates, dates, etc'!$B$30="Contract College",'rates, dates, etc'!$B$31="Off"),'Lead Budget'!$J$15,0)+IF(AND('rates, dates, etc'!$B$136="Contract College",'rates, dates, etc'!$B$137="Off"),Stedman!$J$15,0)+IF(AND('rates, dates, etc'!$B$242="Contract College",'rates, dates, etc'!$B$243="Off"),'Co PI 2'!$J$15,0)+IF(AND('rates, dates, etc'!$B$348="Contract College",'rates, dates, etc'!$B$349="Off"),'Co PI 3'!$J$15,0)+IF(AND('rates, dates, etc'!$B$454="Contract College",'rates, dates, etc'!$B$455="Off"),'Co-PI Budget (4)'!$J$15,0)+IF(AND('rates, dates, etc'!$B$560="Contract College",'rates, dates, etc'!$B$561="Off"),'Co-PI Budget (5)'!$J$15,0)+IF(AND('rates, dates, etc'!$B$30="Endowed College",'rates, dates, etc'!$B$31="Off"),'Lead Budget'!$J$15,0)+IF(AND('rates, dates, etc'!$B$136="Endowed College",'rates, dates, etc'!$B$137="Off"),Stedman!$J$15,0)+IF(AND('rates, dates, etc'!$B$242="Endowed College",'rates, dates, etc'!$B$243="Off"),'Co PI 2'!$J$15,0)+IF(AND('rates, dates, etc'!$B$348="Endowed College",'rates, dates, etc'!$B$349="Off"),'Co PI 3'!$J$15,0)+IF(AND('rates, dates, etc'!$B$454="Endowed College",'rates, dates, etc'!$B$455="Off"),'Co-PI Budget (4)'!$J$15,0)+IF(AND('rates, dates, etc'!$B$560="Endowed College",'rates, dates, etc'!$B$561="Off"),'Co-PI Budget (5)'!$J$15,0)</f>
        <v>0</v>
      </c>
      <c r="Q50" s="49">
        <f>IF(AND('rates, dates, etc'!$B$30="Contract College",'rates, dates, etc'!$B$31="Off"),'Lead Budget'!$J$16,0)+IF(AND('rates, dates, etc'!$B$136="Contract College",'rates, dates, etc'!$B$137="Off"),Stedman!$J$16,0)+IF(AND('rates, dates, etc'!$B$242="Contract College",'rates, dates, etc'!$B$243="Off"),'Co PI 2'!$J$16,0)+IF(AND('rates, dates, etc'!$B$348="Contract College",'rates, dates, etc'!$B$349="Off"),'Co PI 3'!$J$16,0)+IF(AND('rates, dates, etc'!$B$454="Contract College",'rates, dates, etc'!$B$455="Off"),'Co-PI Budget (4)'!$J$16,0)+IF(AND('rates, dates, etc'!$B$560="Contract College",'rates, dates, etc'!$B$561="Off"),'Co-PI Budget (5)'!$J$16,0)+IF(AND('rates, dates, etc'!$B$30="Endowed College",'rates, dates, etc'!$B$31="Off"),'Lead Budget'!$J$16,0)+IF(AND('rates, dates, etc'!$B$136="Endowed College",'rates, dates, etc'!$B$137="Off"),Stedman!$J$16,0)+IF(AND('rates, dates, etc'!$B$242="Endowed College",'rates, dates, etc'!$B$243="Off"),'Co PI 2'!$J$16,0)+IF(AND('rates, dates, etc'!$B$348="Endowed College",'rates, dates, etc'!$B$349="Off"),'Co PI 3'!$J$16,0)+IF(AND('rates, dates, etc'!$B$454="Endowed College",'rates, dates, etc'!$B$455="Off"),'Co-PI Budget (4)'!$J$16,0)+IF(AND('rates, dates, etc'!$B$560="Endowed College",'rates, dates, etc'!$B$561="Off"),'Co-PI Budget (5)'!$J$16,0)</f>
        <v>0</v>
      </c>
      <c r="R50" s="49">
        <f>+L50-(SUM(M50:Q50))</f>
        <v>0</v>
      </c>
      <c r="S50" s="94">
        <f>+'Budget Summary'!B95+'Budget Summary'!B97</f>
        <v>0</v>
      </c>
      <c r="T50" s="490">
        <f t="shared" si="7"/>
        <v>0</v>
      </c>
      <c r="U50" s="47"/>
    </row>
    <row r="51" spans="1:21" x14ac:dyDescent="0.25">
      <c r="A51" s="596">
        <v>1</v>
      </c>
      <c r="B51" s="499">
        <f t="shared" ref="B51:G51" si="12">+L50-B50</f>
        <v>0</v>
      </c>
      <c r="C51" s="499">
        <f t="shared" si="12"/>
        <v>0</v>
      </c>
      <c r="D51" s="499">
        <f t="shared" si="12"/>
        <v>0</v>
      </c>
      <c r="E51" s="499">
        <f t="shared" si="12"/>
        <v>0</v>
      </c>
      <c r="F51" s="499">
        <f t="shared" si="12"/>
        <v>0</v>
      </c>
      <c r="G51" s="499">
        <f t="shared" si="12"/>
        <v>0</v>
      </c>
      <c r="H51" s="499">
        <f t="shared" si="9"/>
        <v>0</v>
      </c>
      <c r="I51" s="500"/>
      <c r="J51" s="549"/>
      <c r="K51" s="506">
        <v>1</v>
      </c>
      <c r="L51" s="512"/>
      <c r="M51" s="49"/>
      <c r="N51" s="49"/>
      <c r="O51" s="49"/>
      <c r="P51" s="49"/>
      <c r="Q51" s="49"/>
      <c r="R51" s="49"/>
      <c r="S51" s="94"/>
      <c r="T51" s="490">
        <f t="shared" si="7"/>
        <v>0</v>
      </c>
      <c r="U51" s="47"/>
    </row>
    <row r="52" spans="1:21" x14ac:dyDescent="0.25">
      <c r="A52" s="597">
        <v>2</v>
      </c>
      <c r="B52" s="514">
        <f t="shared" ref="B52:G52" si="13">ROUNDDOWN(L52*$L$40,0)</f>
        <v>50078</v>
      </c>
      <c r="C52" s="514">
        <f t="shared" si="13"/>
        <v>0</v>
      </c>
      <c r="D52" s="514">
        <f t="shared" si="13"/>
        <v>0</v>
      </c>
      <c r="E52" s="514">
        <f t="shared" si="13"/>
        <v>0</v>
      </c>
      <c r="F52" s="514">
        <f t="shared" si="13"/>
        <v>0</v>
      </c>
      <c r="G52" s="514">
        <f t="shared" si="13"/>
        <v>0</v>
      </c>
      <c r="H52" s="514">
        <f t="shared" si="9"/>
        <v>50078</v>
      </c>
      <c r="I52" s="515">
        <f>+H9+H10-'Budget Summary'!C94</f>
        <v>0</v>
      </c>
      <c r="J52" s="548" t="s">
        <v>209</v>
      </c>
      <c r="K52" s="506">
        <v>2</v>
      </c>
      <c r="L52" s="507">
        <f>IF(AND('rates, dates, etc'!$B$30="Contract College",'rates, dates, etc'!$B$31="On"),'Lead Budget'!$C$56,0)+IF(AND('rates, dates, etc'!$B$136="Contract College",'rates, dates, etc'!$B$137="On"),Stedman!$C$56,0)+IF(AND('rates, dates, etc'!$B$242="Contract College",'rates, dates, etc'!$B$243="On"),'Co PI 2'!$C$56,0)+IF(AND('rates, dates, etc'!$B$348="Contract College",'rates, dates, etc'!$B$349="On"),'Co PI 3'!$C$56,0)+IF(AND('rates, dates, etc'!$B$454="Contract College",'rates, dates, etc'!$B$455="On"),'Co-PI Budget (4)'!$C$56,0)+IF(AND('rates, dates, etc'!$B$560="Contract College",'rates, dates, etc'!$B$561="On"),'Co-PI Budget (5)'!$C$56,0)</f>
        <v>100157</v>
      </c>
      <c r="M52" s="49">
        <f>IF(AND('rates, dates, etc'!$B$30="Contract College",'rates, dates, etc'!$B$31="On"),'Lead Budget'!$C$33,0)+IF(AND('rates, dates, etc'!$B$136="Contract College",'rates, dates, etc'!$B$137="On"),Stedman!$C$33,0)+IF(AND('rates, dates, etc'!$B$242="Contract College",'rates, dates, etc'!$B$243="On"),'Co PI 2'!$C$33,0)+IF(AND('rates, dates, etc'!$B$348="Contract College",'rates, dates, etc'!$B$349="On"),'Co PI 3'!$C$33,0)+IF(AND('rates, dates, etc'!$B$454="Contract College",'rates, dates, etc'!$B$455="On"),'Co-PI Budget (4)'!$C$33,0)+IF(AND('rates, dates, etc'!$B$560="Contract College",'rates, dates, etc'!$B$561="On"),'Co-PI Budget (5)'!$C$33,0)</f>
        <v>0</v>
      </c>
      <c r="N52" s="49">
        <f>IF(AND('rates, dates, etc'!$B$30="Contract College",'rates, dates, etc'!$B$31="On"),'Lead Budget'!$C$44,0)+IF(AND('rates, dates, etc'!$B$136="Contract College",'rates, dates, etc'!$B$137="On"),Stedman!$C$44,0)+IF(AND('rates, dates, etc'!$B$242="Contract College",'rates, dates, etc'!$B$243="On"),'Co PI 2'!$C$44,0)+IF(AND('rates, dates, etc'!$B$348="Contract College",'rates, dates, etc'!$B$349="On"),'Co PI 3'!$C$44,0)+IF(AND('rates, dates, etc'!$B$454="Contract College",'rates, dates, etc'!$B$455="On"),'Co-PI Budget (4)'!$C$44,0)+IF(AND('rates, dates, etc'!$B$560="Contract College",'rates, dates, etc'!$B$561="On"),'Co-PI Budget (5)'!$C$44,0)</f>
        <v>0</v>
      </c>
      <c r="O52" s="49">
        <f>IF(AND('rates, dates, etc'!$B$30="Contract College",'rates, dates, etc'!$B$31="On"),'Lead Budget'!$C$63,0)+IF(AND('rates, dates, etc'!$B$136="Contract College",'rates, dates, etc'!$B$137="On"),Stedman!$C$63,0)+IF(AND('rates, dates, etc'!$B$242="Contract College",'rates, dates, etc'!$B$243="On"),'Co PI 2'!$C$63,0)+IF(AND('rates, dates, etc'!$B$348="Contract College",'rates, dates, etc'!$B$349="On"),'Co PI 3'!$C$63,0)+IF(AND('rates, dates, etc'!$B$454="Contract College",'rates, dates, etc'!$B$455="On"),'Co-PI Budget (4)'!$C$63,0)+IF(AND('rates, dates, etc'!$B$560="Contract College",'rates, dates, etc'!$B$561="On"),'Co-PI Budget (5)'!$C$63,0)</f>
        <v>0</v>
      </c>
      <c r="P52" s="49">
        <f>IF(AND('rates, dates, etc'!$B$30="Contract College",'rates, dates, etc'!$B$31="On"),'Lead Budget'!$K$15,0)+IF(AND('rates, dates, etc'!$B$136="Contract College",'rates, dates, etc'!$B$137="On"),Stedman!$K$15,0)+IF(AND('rates, dates, etc'!$B$242="Contract College",'rates, dates, etc'!$B$243="On"),'Co PI 2'!$K$15,0)+IF(AND('rates, dates, etc'!$B$348="Contract College",'rates, dates, etc'!$B$349="On"),'Co PI 3'!$K$15,0)+IF(AND('rates, dates, etc'!$B$454="Contract College",'rates, dates, etc'!$B$455="On"),'Co-PI Budget (4)'!$K$15,0)+IF(AND('rates, dates, etc'!$B$560="Contract College",'rates, dates, etc'!$B$561="On"),'Co-PI Budget (5)'!$K$15,0)</f>
        <v>0</v>
      </c>
      <c r="Q52" s="49">
        <f>IF(AND('rates, dates, etc'!$B$30="Contract College",'rates, dates, etc'!$B$31="On"),'Lead Budget'!$K$16,0)+IF(AND('rates, dates, etc'!$B$136="Contract College",'rates, dates, etc'!$B$137="On"),Stedman!$K$16,0)+IF(AND('rates, dates, etc'!$B$242="Contract College",'rates, dates, etc'!$B$243="On"),'Co PI 2'!$K$16,0)+IF(AND('rates, dates, etc'!$B$348="Contract College",'rates, dates, etc'!$B$349="On"),'Co PI 3'!$K$16,0)+IF(AND('rates, dates, etc'!$B$454="Contract College",'rates, dates, etc'!$B$455="On"),'Co-PI Budget (4)'!$K$16,0)+IF(AND('rates, dates, etc'!$B$560="Contract College",'rates, dates, etc'!$B$561="On"),'Co-PI Budget (5)'!$K$16,0)</f>
        <v>0</v>
      </c>
      <c r="R52" s="49">
        <f>+L52-(SUM(M52:Q52))</f>
        <v>100157</v>
      </c>
      <c r="S52" s="94">
        <f>+'Budget Summary'!C94</f>
        <v>100157</v>
      </c>
      <c r="T52" s="490">
        <f t="shared" si="7"/>
        <v>0</v>
      </c>
      <c r="U52" s="47"/>
    </row>
    <row r="53" spans="1:21" x14ac:dyDescent="0.25">
      <c r="A53" s="597">
        <v>2</v>
      </c>
      <c r="B53" s="514">
        <f t="shared" ref="B53:G53" si="14">+L52-B52</f>
        <v>50079</v>
      </c>
      <c r="C53" s="514">
        <f t="shared" si="14"/>
        <v>0</v>
      </c>
      <c r="D53" s="514">
        <f t="shared" si="14"/>
        <v>0</v>
      </c>
      <c r="E53" s="514">
        <f t="shared" si="14"/>
        <v>0</v>
      </c>
      <c r="F53" s="514">
        <f t="shared" si="14"/>
        <v>0</v>
      </c>
      <c r="G53" s="514">
        <f t="shared" si="14"/>
        <v>0</v>
      </c>
      <c r="H53" s="514">
        <f t="shared" si="9"/>
        <v>50079</v>
      </c>
      <c r="I53" s="515"/>
      <c r="J53" s="65"/>
      <c r="K53" s="506">
        <v>2</v>
      </c>
      <c r="L53" s="512"/>
      <c r="M53" s="49"/>
      <c r="N53" s="49"/>
      <c r="O53" s="49"/>
      <c r="P53" s="49"/>
      <c r="Q53" s="49"/>
      <c r="R53" s="49"/>
      <c r="S53" s="94"/>
      <c r="T53" s="490">
        <f t="shared" si="7"/>
        <v>0</v>
      </c>
      <c r="U53" s="47"/>
    </row>
    <row r="54" spans="1:21" x14ac:dyDescent="0.25">
      <c r="A54" s="597">
        <v>2</v>
      </c>
      <c r="B54" s="514">
        <f t="shared" ref="B54:G54" si="15">ROUNDDOWN(L54*$L$40,0)</f>
        <v>0</v>
      </c>
      <c r="C54" s="514">
        <f t="shared" si="15"/>
        <v>0</v>
      </c>
      <c r="D54" s="514">
        <f t="shared" si="15"/>
        <v>0</v>
      </c>
      <c r="E54" s="514">
        <f t="shared" si="15"/>
        <v>0</v>
      </c>
      <c r="F54" s="514">
        <f t="shared" si="15"/>
        <v>0</v>
      </c>
      <c r="G54" s="514">
        <f t="shared" si="15"/>
        <v>0</v>
      </c>
      <c r="H54" s="520">
        <f t="shared" si="9"/>
        <v>0</v>
      </c>
      <c r="I54" s="515">
        <f>+H11+H12-'Budget Summary'!C96</f>
        <v>0</v>
      </c>
      <c r="J54" s="65" t="s">
        <v>210</v>
      </c>
      <c r="K54" s="506">
        <v>2</v>
      </c>
      <c r="L54" s="49">
        <f>IF(AND('rates, dates, etc'!$B$30="Endowed College",'rates, dates, etc'!$B$31="On"),'Lead Budget'!$C$56,0)+IF(AND('rates, dates, etc'!$B$136="Endowed College",'rates, dates, etc'!$B$137="On"),Stedman!$C$56,0)+IF(AND('rates, dates, etc'!$B$242="Endowed College",'rates, dates, etc'!$B$243="On"),'Co PI 2'!$C$56,0)+IF(AND('rates, dates, etc'!$B$348="Endowed College",'rates, dates, etc'!$B$349="On"),'Co PI 3'!$C$56,0)+IF(AND('rates, dates, etc'!$B$454="Endowed College",'rates, dates, etc'!$B$455="On"),'Co-PI Budget (4)'!$C$56,0)+IF(AND('rates, dates, etc'!$B$560="Endowed College",'rates, dates, etc'!$B$561="On"),'Co-PI Budget (5)'!$C$56,0)</f>
        <v>0</v>
      </c>
      <c r="M54" s="49">
        <f>IF(AND('rates, dates, etc'!$B$30="Endowed College",'rates, dates, etc'!$B$31="On"),'Lead Budget'!$C$33,0)+IF(AND('rates, dates, etc'!$B$136="Endowed College",'rates, dates, etc'!$B$137="On"),Stedman!$C$33,0)+IF(AND('rates, dates, etc'!$B$242="Endowed College",'rates, dates, etc'!$B$243="On"),'Co PI 2'!$C$33,0)+IF(AND('rates, dates, etc'!$C$348="Endowed College",'rates, dates, etc'!$C$349="On"),'Co PI 3'!$C$33,0)+IF(AND('rates, dates, etc'!$B$454="Endowed College",'rates, dates, etc'!$B$455="On"),'Co-PI Budget (4)'!$C$33,0)+IF(AND('rates, dates, etc'!$B$560="Endowed College",'rates, dates, etc'!$B$561="On"),'Co-PI Budget (5)'!$C$33,0)</f>
        <v>0</v>
      </c>
      <c r="N54" s="57">
        <f>IF(AND('rates, dates, etc'!$B$30="Endowed College",'rates, dates, etc'!$B$31="On"),'Lead Budget'!$C$44,0)+IF(AND('rates, dates, etc'!$B$136="Endowed College",'rates, dates, etc'!$B$137="On"),Stedman!$C$44,0)+IF(AND('rates, dates, etc'!$B$242="Endowed College",'rates, dates, etc'!$B$243="On"),'Co PI 2'!$C$44,0)+IF(AND('rates, dates, etc'!$B$348="Endowed College",'rates, dates, etc'!$B$349="On"),'Co PI 3'!$C$44,0)+IF(AND('rates, dates, etc'!$B$454="Endowed College",'rates, dates, etc'!$B$455="On"),'Co-PI Budget (4)'!$C$44,0)+IF(AND('rates, dates, etc'!$B$560="Endowed College",'rates, dates, etc'!$B$561="On"),'Co-PI Budget (5)'!$C$44,0)</f>
        <v>0</v>
      </c>
      <c r="O54" s="57">
        <f>IF(AND('rates, dates, etc'!$B$30="Endowed College",'rates, dates, etc'!$B$31="On"),'Lead Budget'!$C$63,0)+IF(AND('rates, dates, etc'!$B$136="Endowed College",'rates, dates, etc'!$B$137="On"),Stedman!$C$63,0)+IF(AND('rates, dates, etc'!$B$242="Endowed College",'rates, dates, etc'!$B$243="On"),'Co PI 2'!$C$63,0)+IF(AND('rates, dates, etc'!$B$348="Endowed College",'rates, dates, etc'!$B$349="On"),'Co PI 3'!$C$63,0)+IF(AND('rates, dates, etc'!$B$454="Endowed College",'rates, dates, etc'!$B$455="On"),'Co-PI Budget (4)'!$C$63,0)+IF(AND('rates, dates, etc'!$B$560="Endowed College",'rates, dates, etc'!$B$561="On"),'Co-PI Budget (5)'!$C$63,0)</f>
        <v>0</v>
      </c>
      <c r="P54" s="49">
        <f>IF(AND('rates, dates, etc'!$B$30="Endowed College",'rates, dates, etc'!$B$31="On"),'Lead Budget'!$K$15,0)+IF(AND('rates, dates, etc'!$B$136="Endowed College",'rates, dates, etc'!$B$137="On"),Stedman!$K$15,0)+IF(AND('rates, dates, etc'!$B$242="Endowed College",'rates, dates, etc'!$B$243="On"),'Co PI 2'!$K$15,0)+IF(AND('rates, dates, etc'!$B$348="Endowed College",'rates, dates, etc'!$B$349="On"),'Co PI 3'!$K$15,0)+IF(AND('rates, dates, etc'!$B$454="Endowed College",'rates, dates, etc'!$B$455="On"),'Co-PI Budget (4)'!$K$15,0)+IF(AND('rates, dates, etc'!$B$560="Endowed College",'rates, dates, etc'!$B$561="On"),'Co-PI Budget (5)'!$K$15,0)</f>
        <v>0</v>
      </c>
      <c r="Q54" s="49">
        <f>IF(AND('rates, dates, etc'!$B$30="Endowed College",'rates, dates, etc'!$B$31="On"),'Lead Budget'!$K$16,0)+IF(AND('rates, dates, etc'!$B$136="Endowed College",'rates, dates, etc'!$B$137="On"),Stedman!$K$16,0)+IF(AND('rates, dates, etc'!$B$242="Endowed College",'rates, dates, etc'!$B$243="On"),'Co PI 2'!$K$16,0)+IF(AND('rates, dates, etc'!$B$348="Endowed College",'rates, dates, etc'!$B$349="On"),'Co PI 3'!$K$16,0)+IF(AND('rates, dates, etc'!$B$454="Endowed College",'rates, dates, etc'!$B$455="On"),'Co-PI Budget (4)'!$K$16,0)+IF(AND('rates, dates, etc'!$B$560="Endowed College",'rates, dates, etc'!$B$561="On"),'Co-PI Budget (5)'!$K$16,0)</f>
        <v>0</v>
      </c>
      <c r="R54" s="57">
        <f>+L54-(SUM(M54:Q54))</f>
        <v>0</v>
      </c>
      <c r="S54" s="94">
        <f>+'Budget Summary'!C96</f>
        <v>0</v>
      </c>
      <c r="T54" s="490">
        <f t="shared" si="7"/>
        <v>0</v>
      </c>
      <c r="U54" s="47"/>
    </row>
    <row r="55" spans="1:21" x14ac:dyDescent="0.25">
      <c r="A55" s="597">
        <v>2</v>
      </c>
      <c r="B55" s="514">
        <f t="shared" ref="B55:G55" si="16">+L54-B54</f>
        <v>0</v>
      </c>
      <c r="C55" s="514">
        <f t="shared" si="16"/>
        <v>0</v>
      </c>
      <c r="D55" s="514">
        <f t="shared" si="16"/>
        <v>0</v>
      </c>
      <c r="E55" s="514">
        <f t="shared" si="16"/>
        <v>0</v>
      </c>
      <c r="F55" s="514">
        <f t="shared" si="16"/>
        <v>0</v>
      </c>
      <c r="G55" s="514">
        <f t="shared" si="16"/>
        <v>0</v>
      </c>
      <c r="H55" s="520">
        <f t="shared" si="9"/>
        <v>0</v>
      </c>
      <c r="I55" s="515"/>
      <c r="J55" s="65"/>
      <c r="K55" s="506">
        <v>2</v>
      </c>
      <c r="L55" s="47"/>
      <c r="M55" s="47"/>
      <c r="N55" s="47"/>
      <c r="O55" s="49"/>
      <c r="P55" s="47"/>
      <c r="Q55" s="47"/>
      <c r="R55" s="47"/>
      <c r="S55" s="546"/>
      <c r="T55" s="490">
        <f t="shared" si="7"/>
        <v>0</v>
      </c>
      <c r="U55" s="47"/>
    </row>
    <row r="56" spans="1:21" x14ac:dyDescent="0.25">
      <c r="A56" s="597">
        <v>2</v>
      </c>
      <c r="B56" s="514">
        <f t="shared" ref="B56:G56" si="17">ROUNDDOWN(L56*$L$40,0)</f>
        <v>0</v>
      </c>
      <c r="C56" s="514">
        <f t="shared" si="17"/>
        <v>0</v>
      </c>
      <c r="D56" s="514">
        <f t="shared" si="17"/>
        <v>0</v>
      </c>
      <c r="E56" s="514">
        <f t="shared" si="17"/>
        <v>0</v>
      </c>
      <c r="F56" s="514">
        <f t="shared" si="17"/>
        <v>0</v>
      </c>
      <c r="G56" s="514">
        <f t="shared" si="17"/>
        <v>0</v>
      </c>
      <c r="H56" s="514">
        <f t="shared" si="9"/>
        <v>0</v>
      </c>
      <c r="I56" s="515">
        <f>+H13+H14-('Budget Summary'!C95+'Budget Summary'!C97)</f>
        <v>0</v>
      </c>
      <c r="J56" s="65" t="s">
        <v>211</v>
      </c>
      <c r="K56" s="506">
        <v>2</v>
      </c>
      <c r="L56" s="49">
        <f>IF(AND('rates, dates, etc'!$B$30="Contract College",'rates, dates, etc'!$B$31="Off"),'Lead Budget'!$C$56,0)+IF(AND('rates, dates, etc'!$B$136="Contract College",'rates, dates, etc'!$B$137="Off"),Stedman!$C$56,0)+IF(AND('rates, dates, etc'!$B$242="Contract College",'rates, dates, etc'!$B$243="Off"),'Co PI 2'!$C$56,0)+IF(AND('rates, dates, etc'!$B$348="Contract College",'rates, dates, etc'!$B$349="Off"),'Co PI 3'!$C$56,0)+IF(AND('rates, dates, etc'!$B$454="Contract College",'rates, dates, etc'!$B$455="Off"),'Co-PI Budget (4)'!$C$56,0)+IF(AND('rates, dates, etc'!$B$560="Contract College",'rates, dates, etc'!$B$561="Off"),'Co-PI Budget (5)'!$C$56,0)+IF(AND('rates, dates, etc'!$B$30="Endowed College",'rates, dates, etc'!$B$31="Off"),'Lead Budget'!$C$56,0)+IF(AND('rates, dates, etc'!$B$136="Endowed College",'rates, dates, etc'!$B$137="Off"),Stedman!$C$56,0)+IF(AND('rates, dates, etc'!$B$242="Endowed College",'rates, dates, etc'!$B$243="Off"),'Co PI 2'!$C$56,0)+IF(AND('rates, dates, etc'!$B$348="Endowed College",'rates, dates, etc'!$B$349="Off"),'Co PI 3'!$C$56,0)+IF(AND('rates, dates, etc'!$B$454="Endowed College",'rates, dates, etc'!$B$455="Off"),'Co-PI Budget (4)'!$C$56,0)+IF(AND('rates, dates, etc'!$B$560="Endowed College",'rates, dates, etc'!$B$561="Off"),'Co-PI Budget (5)'!$C$56,0)</f>
        <v>0</v>
      </c>
      <c r="M56" s="49">
        <f>IF(AND('rates, dates, etc'!$B$30="Contract College",'rates, dates, etc'!$B$31="Off"),'Lead Budget'!$C$33,0)+IF(AND('rates, dates, etc'!$B$136="Contract College",'rates, dates, etc'!$B$137="Off"),Stedman!$C$33,0)+IF(AND('rates, dates, etc'!$B$242="Contract College",'rates, dates, etc'!$B$243="Off"),'Co PI 2'!$C$33,0)+IF(AND('rates, dates, etc'!$C$348="Contract College",'rates, dates, etc'!$C$349="Off"),'Co PI 3'!$C$33,0)+IF(AND('rates, dates, etc'!$B$454="Contract College",'rates, dates, etc'!$B$455="Off"),'Co-PI Budget (4)'!$C$33,0)+IF(AND('rates, dates, etc'!$B$560="Contract College",'rates, dates, etc'!$B$561="Off"),'Co-PI Budget (5)'!$C$33,0)+IF(AND('rates, dates, etc'!$B$30="Endowed College",'rates, dates, etc'!$B$31="Off"),'Lead Budget'!$C$33,0)+IF(AND('rates, dates, etc'!$B$136="Endowed College",'rates, dates, etc'!$B$137="Off"),Stedman!$C$33,0)+IF(AND('rates, dates, etc'!$B$242="Endowed College",'rates, dates, etc'!$B$243="Off"),'Co PI 2'!$C$33,0)+IF(AND('rates, dates, etc'!$C$348="Endowed College",'rates, dates, etc'!$C$349="Off"),'Co PI 3'!$C$33,0)+IF(AND('rates, dates, etc'!$B$454="Endowed College",'rates, dates, etc'!$B$455="Off"),'Co-PI Budget (4)'!$C$33,0)+IF(AND('rates, dates, etc'!$B$560="Endowed College",'rates, dates, etc'!$B$561="Off"),'Co-PI Budget (5)'!$C$33,0)</f>
        <v>0</v>
      </c>
      <c r="N56" s="49">
        <f>IF(AND('rates, dates, etc'!$B$30="Contract College",'rates, dates, etc'!$B$31="Off"),'Lead Budget'!$C$44,0)+IF(AND('rates, dates, etc'!$B$136="Contract College",'rates, dates, etc'!$B$137="Off"),Stedman!$C$44,0)+IF(AND('rates, dates, etc'!$B$242="Contract College",'rates, dates, etc'!$B$243="Off"),'Co PI 2'!$C$44,0)+IF(AND('rates, dates, etc'!$B$348="Contract College",'rates, dates, etc'!$B$349="Off"),'Co PI 3'!$C$44,0)+IF(AND('rates, dates, etc'!$B$454="Contract College",'rates, dates, etc'!$B$455="Off"),'Co-PI Budget (4)'!$C$44,0)+IF(AND('rates, dates, etc'!$B$560="Contract College",'rates, dates, etc'!$B$561="Off"),'Co-PI Budget (5)'!$C$44,0)+IF(AND('rates, dates, etc'!$B$30="Endowed College",'rates, dates, etc'!$B$31="Off"),'Lead Budget'!$C$44,0)+IF(AND('rates, dates, etc'!$B$136="Endowed College",'rates, dates, etc'!$B$137="Off"),Stedman!$C$44,0)+IF(AND('rates, dates, etc'!$B$242="Endowed College",'rates, dates, etc'!$B$243="Off"),'Co PI 2'!$C$44,0)+IF(AND('rates, dates, etc'!$B$348="Endowed College",'rates, dates, etc'!$B$349="Off"),'Co PI 3'!$C$44,0)+IF(AND('rates, dates, etc'!$B$454="Endowed College",'rates, dates, etc'!$B$455="Off"),'Co-PI Budget (4)'!$C$44,0)+IF(AND('rates, dates, etc'!$B$560="Endowed College",'rates, dates, etc'!$B$561="Off"),'Co-PI Budget (5)'!$C$44,0)</f>
        <v>0</v>
      </c>
      <c r="O56" s="49">
        <f>IF(AND('rates, dates, etc'!$B$30="Contract College",'rates, dates, etc'!$B$31="Off"),'Lead Budget'!$C$63,0)+IF(AND('rates, dates, etc'!$B$136="Contract College",'rates, dates, etc'!$B$137="Off"),Stedman!$C$63,0)+IF(AND('rates, dates, etc'!$B$242="Contract College",'rates, dates, etc'!$B$243="Off"),'Co PI 2'!$C$63,0)+IF(AND('rates, dates, etc'!$B$348="Contract College",'rates, dates, etc'!$B$349="Off"),'Co PI 3'!$C$63,0)+IF(AND('rates, dates, etc'!$B$454="Contract College",'rates, dates, etc'!$B$455="Off"),'Co-PI Budget (4)'!$C$63,0)+IF(AND('rates, dates, etc'!$B$560="Contract College",'rates, dates, etc'!$B$561="Off"),'Co-PI Budget (5)'!$C$63,0)+IF(AND('rates, dates, etc'!$B$30="Endowed College",'rates, dates, etc'!$B$31="Off"),'Lead Budget'!$C$63,0)+IF(AND('rates, dates, etc'!$B$136="Endowed College",'rates, dates, etc'!$B$137="Off"),Stedman!$C$63,0)+IF(AND('rates, dates, etc'!$B$242="Endowed College",'rates, dates, etc'!$B$243="Off"),'Co PI 2'!$C$63,0)+IF(AND('rates, dates, etc'!$B$348="Endowed College",'rates, dates, etc'!$B$349="Off"),'Co PI 3'!$C$63,0)+IF(AND('rates, dates, etc'!$B$454="Endowed College",'rates, dates, etc'!$B$455="Off"),'Co-PI Budget (4)'!$C$63,0)+IF(AND('rates, dates, etc'!$B$560="Endowed College",'rates, dates, etc'!$B$561="Off"),'Co-PI Budget (5)'!$C$63,0)</f>
        <v>0</v>
      </c>
      <c r="P56" s="57">
        <f>IF(AND('rates, dates, etc'!$B$30="Contract College",'rates, dates, etc'!$B$31="Off"),'Lead Budget'!$K$15,0)+IF(AND('rates, dates, etc'!$B$136="Contract College",'rates, dates, etc'!$B$137="Off"),Stedman!$K$15,0)+IF(AND('rates, dates, etc'!$B$242="Contract College",'rates, dates, etc'!$B$243="Off"),'Co PI 2'!$K$15,0)+IF(AND('rates, dates, etc'!$B$348="Contract College",'rates, dates, etc'!$B$349="Off"),'Co PI 3'!$K$15,0)+IF(AND('rates, dates, etc'!$B$454="Contract College",'rates, dates, etc'!$B$455="Off"),'Co-PI Budget (4)'!$K$15,0)+IF(AND('rates, dates, etc'!$B$560="Contract College",'rates, dates, etc'!$B$561="Off"),'Co-PI Budget (5)'!$K$15,0)+IF(AND('rates, dates, etc'!$B$30="Endowed College",'rates, dates, etc'!$B$31="Off"),'Lead Budget'!$K$15,0)+IF(AND('rates, dates, etc'!$B$136="Endowed College",'rates, dates, etc'!$B$137="Off"),Stedman!$K$15,0)+IF(AND('rates, dates, etc'!$B$242="Endowed College",'rates, dates, etc'!$B$243="Off"),'Co PI 2'!$K$15,0)+IF(AND('rates, dates, etc'!$B$348="Endowed College",'rates, dates, etc'!$B$349="Off"),'Co PI 3'!$K$15,0)+IF(AND('rates, dates, etc'!$B$454="Endowed College",'rates, dates, etc'!$B$455="Off"),'Co-PI Budget (4)'!$K$15,0)+IF(AND('rates, dates, etc'!$B$560="Endowed College",'rates, dates, etc'!$B$561="Off"),'Co-PI Budget (5)'!$K$15,0)</f>
        <v>0</v>
      </c>
      <c r="Q56" s="57">
        <f>IF(AND('rates, dates, etc'!$B$30="Contract College",'rates, dates, etc'!$B$31="Off"),'Lead Budget'!$K$16,0)+IF(AND('rates, dates, etc'!$B$136="Contract College",'rates, dates, etc'!$B$137="Off"),Stedman!$K$16,0)+IF(AND('rates, dates, etc'!$B$242="Contract College",'rates, dates, etc'!$B$243="Off"),'Co PI 2'!$K$16,0)+IF(AND('rates, dates, etc'!$B$348="Contract College",'rates, dates, etc'!$B$349="Off"),'Co PI 3'!$K$16,0)+IF(AND('rates, dates, etc'!$B$454="Contract College",'rates, dates, etc'!$B$455="Off"),'Co-PI Budget (4)'!$K$16,0)+IF(AND('rates, dates, etc'!$B$560="Contract College",'rates, dates, etc'!$B$561="Off"),'Co-PI Budget (5)'!$K$16,0)+IF(AND('rates, dates, etc'!$B$30="Endowed College",'rates, dates, etc'!$B$31="Off"),'Lead Budget'!$K$16,0)+IF(AND('rates, dates, etc'!$B$136="Endowed College",'rates, dates, etc'!$B$137="Off"),Stedman!$K$16,0)+IF(AND('rates, dates, etc'!$B$242="Endowed College",'rates, dates, etc'!$B$243="Off"),'Co PI 2'!$K$16,0)+IF(AND('rates, dates, etc'!$B$348="Endowed College",'rates, dates, etc'!$B$349="Off"),'Co PI 3'!$K$16,0)+IF(AND('rates, dates, etc'!$B$454="Endowed College",'rates, dates, etc'!$B$455="Off"),'Co-PI Budget (4)'!$K$16,0)+IF(AND('rates, dates, etc'!$B$560="Endowed College",'rates, dates, etc'!$B$561="Off"),'Co-PI Budget (5)'!$K$16,0)</f>
        <v>0</v>
      </c>
      <c r="R56" s="49">
        <f>+L56-(SUM(M56:Q56))</f>
        <v>0</v>
      </c>
      <c r="S56" s="94">
        <f>+'Budget Summary'!C95+'Budget Summary'!C97</f>
        <v>0</v>
      </c>
      <c r="T56" s="490">
        <f t="shared" si="7"/>
        <v>0</v>
      </c>
      <c r="U56" s="47"/>
    </row>
    <row r="57" spans="1:21" x14ac:dyDescent="0.25">
      <c r="A57" s="597">
        <v>2</v>
      </c>
      <c r="B57" s="514">
        <f t="shared" ref="B57:G57" si="18">+L56-B56</f>
        <v>0</v>
      </c>
      <c r="C57" s="514">
        <f t="shared" si="18"/>
        <v>0</v>
      </c>
      <c r="D57" s="514">
        <f t="shared" si="18"/>
        <v>0</v>
      </c>
      <c r="E57" s="514">
        <f t="shared" si="18"/>
        <v>0</v>
      </c>
      <c r="F57" s="514">
        <f t="shared" si="18"/>
        <v>0</v>
      </c>
      <c r="G57" s="514">
        <f t="shared" si="18"/>
        <v>0</v>
      </c>
      <c r="H57" s="514">
        <f t="shared" si="9"/>
        <v>0</v>
      </c>
      <c r="I57" s="515"/>
      <c r="J57" s="549"/>
      <c r="K57" s="506">
        <v>2</v>
      </c>
      <c r="L57" s="61"/>
      <c r="M57" s="49"/>
      <c r="N57" s="49"/>
      <c r="O57" s="49"/>
      <c r="P57" s="49"/>
      <c r="Q57" s="49"/>
      <c r="R57" s="49"/>
      <c r="S57" s="94"/>
      <c r="T57" s="490">
        <f t="shared" si="7"/>
        <v>0</v>
      </c>
      <c r="U57" s="47"/>
    </row>
    <row r="58" spans="1:21" x14ac:dyDescent="0.25">
      <c r="A58" s="598">
        <v>3</v>
      </c>
      <c r="B58" s="522">
        <f t="shared" ref="B58:G58" si="19">ROUNDDOWN(L58*$L$40,0)</f>
        <v>0</v>
      </c>
      <c r="C58" s="522">
        <f t="shared" si="19"/>
        <v>0</v>
      </c>
      <c r="D58" s="522">
        <f t="shared" si="19"/>
        <v>0</v>
      </c>
      <c r="E58" s="522">
        <f t="shared" si="19"/>
        <v>0</v>
      </c>
      <c r="F58" s="522">
        <f t="shared" si="19"/>
        <v>0</v>
      </c>
      <c r="G58" s="522">
        <f t="shared" si="19"/>
        <v>0</v>
      </c>
      <c r="H58" s="522">
        <f t="shared" si="9"/>
        <v>0</v>
      </c>
      <c r="I58" s="523">
        <f>+H15+H16-'Budget Summary'!D94</f>
        <v>0</v>
      </c>
      <c r="J58" s="548" t="s">
        <v>209</v>
      </c>
      <c r="K58" s="506">
        <v>3</v>
      </c>
      <c r="L58" s="507">
        <f>IF(AND('rates, dates, etc'!$B$30="Contract College",'rates, dates, etc'!$B$31="On"),'Lead Budget'!$D$56,0)+IF(AND('rates, dates, etc'!$B$136="Contract College",'rates, dates, etc'!$B$137="On"),Stedman!$D$56,0)+IF(AND('rates, dates, etc'!$B$242="Contract College",'rates, dates, etc'!$B$243="On"),'Co PI 2'!$D$56,0)+IF(AND('rates, dates, etc'!$B$348="Contract College",'rates, dates, etc'!$B$349="On"),'Co PI 3'!$D$56,0)+IF(AND('rates, dates, etc'!$B$454="Contract College",'rates, dates, etc'!$B$455="On"),'Co-PI Budget (4)'!$D$56,0)+IF(AND('rates, dates, etc'!$B$560="Contract College",'rates, dates, etc'!$B$561="On"),'Co-PI Budget (5)'!$D$56,0)</f>
        <v>0</v>
      </c>
      <c r="M58" s="49">
        <f>IF(AND('rates, dates, etc'!$B$30="Contract College",'rates, dates, etc'!$B$31="On"),'Lead Budget'!$D$33,0)+IF(AND('rates, dates, etc'!$B$136="Contract College",'rates, dates, etc'!$B$137="On"),Stedman!$D$33,0)+IF(AND('rates, dates, etc'!$B$242="Contract College",'rates, dates, etc'!$B$243="On"),'Co PI 2'!$D$33,0)+IF(AND('rates, dates, etc'!$B$348="Contract College",'rates, dates, etc'!$B$349="On"),'Co PI 3'!$D$33,0)+IF(AND('rates, dates, etc'!$B$454="Contract College",'rates, dates, etc'!$B$455="On"),'Co-PI Budget (4)'!$D$33,0)+IF(AND('rates, dates, etc'!$B$560="Contract College",'rates, dates, etc'!$B$561="On"),'Co-PI Budget (5)'!$D$33,0)</f>
        <v>0</v>
      </c>
      <c r="N58" s="49">
        <f>IF(AND('rates, dates, etc'!$B$30="Contract College",'rates, dates, etc'!$B$31="On"),'Lead Budget'!$D$44,0)+IF(AND('rates, dates, etc'!$B$136="Contract College",'rates, dates, etc'!$B$137="On"),Stedman!$D$44,0)+IF(AND('rates, dates, etc'!$B$242="Contract College",'rates, dates, etc'!$B$243="On"),'Co PI 2'!$D$44,0)+IF(AND('rates, dates, etc'!$B$348="Contract College",'rates, dates, etc'!$B$349="On"),'Co PI 3'!$D$44,0)+IF(AND('rates, dates, etc'!$B$454="Contract College",'rates, dates, etc'!$B$455="On"),'Co-PI Budget (4)'!$D$44,0)+IF(AND('rates, dates, etc'!$B$560="Contract College",'rates, dates, etc'!$B$561="On"),'Co-PI Budget (5)'!$D$44,0)</f>
        <v>0</v>
      </c>
      <c r="O58" s="49">
        <f>IF(AND('rates, dates, etc'!$B$30="Contract College",'rates, dates, etc'!$B$31="On"),'Lead Budget'!$D$63,0)+IF(AND('rates, dates, etc'!$B$136="Contract College",'rates, dates, etc'!$B$137="On"),Stedman!$D$63,0)+IF(AND('rates, dates, etc'!$B$242="Contract College",'rates, dates, etc'!$B$243="On"),'Co PI 2'!$D$63,0)+IF(AND('rates, dates, etc'!$B$348="Contract College",'rates, dates, etc'!$B$349="On"),'Co PI 3'!$D$63,0)+IF(AND('rates, dates, etc'!$B$454="Contract College",'rates, dates, etc'!$B$455="On"),'Co-PI Budget (4)'!$D$63,0)+IF(AND('rates, dates, etc'!$B$560="Contract College",'rates, dates, etc'!$B$561="On"),'Co-PI Budget (5)'!$D$63,0)</f>
        <v>0</v>
      </c>
      <c r="P58" s="49">
        <f>IF(AND('rates, dates, etc'!$B$30="Contract College",'rates, dates, etc'!$B$31="On"),'Lead Budget'!$L$15,0)+IF(AND('rates, dates, etc'!$B$136="Contract College",'rates, dates, etc'!$B$137="On"),Stedman!$L$15,0)+IF(AND('rates, dates, etc'!$B$242="Contract College",'rates, dates, etc'!$B$243="On"),'Co PI 2'!$L$15,0)+IF(AND('rates, dates, etc'!$B$348="Contract College",'rates, dates, etc'!$B$349="On"),'Co PI 3'!$L$15,0)+IF(AND('rates, dates, etc'!$B$454="Contract College",'rates, dates, etc'!$B$455="On"),'Co-PI Budget (4)'!$L$15,0)+IF(AND('rates, dates, etc'!$B$560="Contract College",'rates, dates, etc'!$B$561="On"),'Co-PI Budget (5)'!$L$15,0)</f>
        <v>0</v>
      </c>
      <c r="Q58" s="49">
        <f>IF(AND('rates, dates, etc'!$B$30="Contract College",'rates, dates, etc'!$B$31="On"),'Lead Budget'!$L$16,0)+IF(AND('rates, dates, etc'!$B$136="Contract College",'rates, dates, etc'!$B$137="On"),Stedman!$L$16,0)+IF(AND('rates, dates, etc'!$B$242="Contract College",'rates, dates, etc'!$B$243="On"),'Co PI 2'!$L$16,0)+IF(AND('rates, dates, etc'!$B$348="Contract College",'rates, dates, etc'!$B$349="On"),'Co PI 3'!$L$16,0)+IF(AND('rates, dates, etc'!$B$454="Contract College",'rates, dates, etc'!$B$455="On"),'Co-PI Budget (4)'!$L$16,0)+IF(AND('rates, dates, etc'!$B$560="Contract College",'rates, dates, etc'!$B$561="On"),'Co-PI Budget (5)'!$L$16,0)</f>
        <v>0</v>
      </c>
      <c r="R58" s="49">
        <f>+L58-(SUM(M58:Q58))</f>
        <v>0</v>
      </c>
      <c r="S58" s="94">
        <f>+'Budget Summary'!D94</f>
        <v>0</v>
      </c>
      <c r="T58" s="490">
        <f t="shared" si="7"/>
        <v>0</v>
      </c>
      <c r="U58" s="47"/>
    </row>
    <row r="59" spans="1:21" x14ac:dyDescent="0.25">
      <c r="A59" s="598">
        <v>3</v>
      </c>
      <c r="B59" s="522">
        <f t="shared" ref="B59:G59" si="20">+L58-B58</f>
        <v>0</v>
      </c>
      <c r="C59" s="522">
        <f t="shared" si="20"/>
        <v>0</v>
      </c>
      <c r="D59" s="522">
        <f t="shared" si="20"/>
        <v>0</v>
      </c>
      <c r="E59" s="522">
        <f t="shared" si="20"/>
        <v>0</v>
      </c>
      <c r="F59" s="522">
        <f t="shared" si="20"/>
        <v>0</v>
      </c>
      <c r="G59" s="522">
        <f t="shared" si="20"/>
        <v>0</v>
      </c>
      <c r="H59" s="522">
        <f t="shared" si="9"/>
        <v>0</v>
      </c>
      <c r="I59" s="523"/>
      <c r="J59" s="65"/>
      <c r="K59" s="506">
        <v>3</v>
      </c>
      <c r="L59" s="61"/>
      <c r="M59" s="49"/>
      <c r="N59" s="49"/>
      <c r="O59" s="49"/>
      <c r="P59" s="49"/>
      <c r="Q59" s="49"/>
      <c r="R59" s="49"/>
      <c r="S59" s="94"/>
      <c r="T59" s="490">
        <f t="shared" si="7"/>
        <v>0</v>
      </c>
      <c r="U59" s="47"/>
    </row>
    <row r="60" spans="1:21" x14ac:dyDescent="0.25">
      <c r="A60" s="598">
        <v>3</v>
      </c>
      <c r="B60" s="522">
        <f t="shared" ref="B60:G60" si="21">ROUNDDOWN(L60*$L$40,0)</f>
        <v>0</v>
      </c>
      <c r="C60" s="522">
        <f t="shared" si="21"/>
        <v>0</v>
      </c>
      <c r="D60" s="522">
        <f t="shared" si="21"/>
        <v>0</v>
      </c>
      <c r="E60" s="522">
        <f t="shared" si="21"/>
        <v>0</v>
      </c>
      <c r="F60" s="522">
        <f t="shared" si="21"/>
        <v>0</v>
      </c>
      <c r="G60" s="522">
        <f t="shared" si="21"/>
        <v>0</v>
      </c>
      <c r="H60" s="522">
        <f t="shared" si="9"/>
        <v>0</v>
      </c>
      <c r="I60" s="523">
        <f>+H17+H18-'Budget Summary'!D96</f>
        <v>0</v>
      </c>
      <c r="J60" s="65" t="s">
        <v>210</v>
      </c>
      <c r="K60" s="506">
        <v>3</v>
      </c>
      <c r="L60" s="49">
        <f>IF(AND('rates, dates, etc'!$B$30="Endowed College",'rates, dates, etc'!$B$31="On"),'Lead Budget'!$D$56,0)+IF(AND('rates, dates, etc'!$B$136="Endowed College",'rates, dates, etc'!$B$137="On"),Stedman!$D$56,0)+IF(AND('rates, dates, etc'!$B$242="Endowed College",'rates, dates, etc'!$B$243="On"),'Co PI 2'!$D$56,0)+IF(AND('rates, dates, etc'!$B$348="Endowed College",'rates, dates, etc'!$B$349="On"),'Co PI 3'!$D$56,0)+IF(AND('rates, dates, etc'!$B$454="Endowed College",'rates, dates, etc'!$B$455="On"),'Co-PI Budget (4)'!$D$56,0)+IF(AND('rates, dates, etc'!$B$560="Endowed College",'rates, dates, etc'!$B$561="On"),'Co-PI Budget (5)'!$D$56,0)</f>
        <v>0</v>
      </c>
      <c r="M60" s="49">
        <f>IF(AND('rates, dates, etc'!$B$30="Endowed College",'rates, dates, etc'!$B$31="On"),'Lead Budget'!$D$33,0)+IF(AND('rates, dates, etc'!$B$136="Endowed College",'rates, dates, etc'!$B$137="On"),Stedman!$D$33,0)+IF(AND('rates, dates, etc'!$B$242="Endowed College",'rates, dates, etc'!$B$243="On"),'Co PI 2'!$D$33,0)+IF(AND('rates, dates, etc'!$B$348="Endowed College",'rates, dates, etc'!$B$349="On"),'Co PI 3'!$D$33,0)+IF(AND('rates, dates, etc'!$B$454="Endowed College",'rates, dates, etc'!$B$455="On"),'Co-PI Budget (4)'!$D$33,0)+IF(AND('rates, dates, etc'!$B$560="Endowed College",'rates, dates, etc'!$B$561="On"),'Co-PI Budget (5)'!$D$33,0)</f>
        <v>0</v>
      </c>
      <c r="N60" s="49">
        <f>IF(AND('rates, dates, etc'!$B$30="Endowed College",'rates, dates, etc'!$B$31="On"),'Lead Budget'!$D$44,0)+IF(AND('rates, dates, etc'!$B$136="Endowed College",'rates, dates, etc'!$B$137="On"),Stedman!$D$44,0)+IF(AND('rates, dates, etc'!$B$242="Endowed College",'rates, dates, etc'!$B$243="On"),'Co PI 2'!$D$44,0)+IF(AND('rates, dates, etc'!$B$348="Endowed College",'rates, dates, etc'!$B$349="On"),'Co PI 3'!$D$44,0)+IF(AND('rates, dates, etc'!$B$454="Endowed College",'rates, dates, etc'!$B$455="On"),'Co-PI Budget (4)'!$D$44,0)+IF(AND('rates, dates, etc'!$B$560="Endowed College",'rates, dates, etc'!$B$561="On"),'Co-PI Budget (5)'!$D$44,0)</f>
        <v>0</v>
      </c>
      <c r="O60" s="49">
        <f>IF(AND('rates, dates, etc'!$B$30="Endowed College",'rates, dates, etc'!$B$31="On"),'Lead Budget'!$D$63,0)+IF(AND('rates, dates, etc'!$B$136="Endowed College",'rates, dates, etc'!$B$137="On"),Stedman!$D$63,0)+IF(AND('rates, dates, etc'!$B$242="Endowed College",'rates, dates, etc'!$B$243="On"),'Co PI 2'!$D$63,0)+IF(AND('rates, dates, etc'!$B$348="Endowed College",'rates, dates, etc'!$B$349="On"),'Co PI 3'!$D$63,0)+IF(AND('rates, dates, etc'!$B$454="Endowed College",'rates, dates, etc'!$B$455="On"),'Co-PI Budget (4)'!$D$63,0)+IF(AND('rates, dates, etc'!$B$560="Endowed College",'rates, dates, etc'!$B$561="On"),'Co-PI Budget (5)'!$D$63,0)</f>
        <v>0</v>
      </c>
      <c r="P60" s="49">
        <f>IF(AND('rates, dates, etc'!$B$30="Endowed College",'rates, dates, etc'!$B$31="On"),'Lead Budget'!$L$15,0)+IF(AND('rates, dates, etc'!$B$136="Endowed College",'rates, dates, etc'!$B$137="On"),Stedman!$L$15,0)+IF(AND('rates, dates, etc'!$B$242="Endowed College",'rates, dates, etc'!$B$243="On"),'Co PI 2'!$L$15,0)+IF(AND('rates, dates, etc'!$B$348="Endowed College",'rates, dates, etc'!$B$349="On"),'Co PI 3'!$L$15,0)+IF(AND('rates, dates, etc'!$B$454="Endowed College",'rates, dates, etc'!$B$455="On"),'Co-PI Budget (4)'!$L$15,0)+IF(AND('rates, dates, etc'!$B$560="Endowed College",'rates, dates, etc'!$B$561="On"),'Co-PI Budget (5)'!$L$15,0)</f>
        <v>0</v>
      </c>
      <c r="Q60" s="49">
        <f>IF(AND('rates, dates, etc'!$B$30="Endowed College",'rates, dates, etc'!$B$31="On"),'Lead Budget'!$L$16,0)+IF(AND('rates, dates, etc'!$B$136="Endowed College",'rates, dates, etc'!$B$137="On"),Stedman!$L$16,0)+IF(AND('rates, dates, etc'!$B$242="Endowed College",'rates, dates, etc'!$B$243="On"),'Co PI 2'!$L$16,0)+IF(AND('rates, dates, etc'!$B$348="Endowed College",'rates, dates, etc'!$B$349="On"),'Co PI 3'!$L$16,0)+IF(AND('rates, dates, etc'!$B$454="Endowed College",'rates, dates, etc'!$B$455="On"),'Co-PI Budget (4)'!$L$16,0)+IF(AND('rates, dates, etc'!$B$560="Endowed College",'rates, dates, etc'!$B$561="On"),'Co-PI Budget (5)'!$L$16,0)</f>
        <v>0</v>
      </c>
      <c r="R60" s="49">
        <f t="shared" ref="R60:R62" si="22">+L60-(SUM(M60:Q60))</f>
        <v>0</v>
      </c>
      <c r="S60" s="94">
        <f>+'Budget Summary'!D96</f>
        <v>0</v>
      </c>
      <c r="T60" s="490">
        <f t="shared" si="7"/>
        <v>0</v>
      </c>
      <c r="U60" s="47"/>
    </row>
    <row r="61" spans="1:21" x14ac:dyDescent="0.25">
      <c r="A61" s="598">
        <v>3</v>
      </c>
      <c r="B61" s="522">
        <f t="shared" ref="B61:G61" si="23">+L60-B60</f>
        <v>0</v>
      </c>
      <c r="C61" s="522">
        <f t="shared" si="23"/>
        <v>0</v>
      </c>
      <c r="D61" s="522">
        <f t="shared" si="23"/>
        <v>0</v>
      </c>
      <c r="E61" s="522">
        <f t="shared" si="23"/>
        <v>0</v>
      </c>
      <c r="F61" s="522">
        <f t="shared" si="23"/>
        <v>0</v>
      </c>
      <c r="G61" s="522">
        <f t="shared" si="23"/>
        <v>0</v>
      </c>
      <c r="H61" s="522">
        <f t="shared" si="9"/>
        <v>0</v>
      </c>
      <c r="I61" s="523"/>
      <c r="J61" s="65"/>
      <c r="K61" s="506">
        <v>3</v>
      </c>
      <c r="L61" s="61"/>
      <c r="M61" s="49"/>
      <c r="N61" s="49"/>
      <c r="O61" s="49"/>
      <c r="P61" s="49"/>
      <c r="Q61" s="49"/>
      <c r="R61" s="49"/>
      <c r="S61" s="94"/>
      <c r="T61" s="490">
        <f t="shared" si="7"/>
        <v>0</v>
      </c>
      <c r="U61" s="47"/>
    </row>
    <row r="62" spans="1:21" x14ac:dyDescent="0.25">
      <c r="A62" s="598">
        <v>3</v>
      </c>
      <c r="B62" s="522">
        <f t="shared" ref="B62:G62" si="24">ROUNDDOWN(L62*$L$40,0)</f>
        <v>0</v>
      </c>
      <c r="C62" s="522">
        <f t="shared" si="24"/>
        <v>0</v>
      </c>
      <c r="D62" s="522">
        <f t="shared" si="24"/>
        <v>0</v>
      </c>
      <c r="E62" s="522">
        <f t="shared" si="24"/>
        <v>0</v>
      </c>
      <c r="F62" s="522">
        <f t="shared" si="24"/>
        <v>0</v>
      </c>
      <c r="G62" s="522">
        <f t="shared" si="24"/>
        <v>0</v>
      </c>
      <c r="H62" s="522">
        <f t="shared" si="9"/>
        <v>0</v>
      </c>
      <c r="I62" s="523">
        <f>+H19+H20-('Budget Summary'!D95+'Budget Summary'!D97)</f>
        <v>0</v>
      </c>
      <c r="J62" s="65" t="s">
        <v>211</v>
      </c>
      <c r="K62" s="506">
        <v>3</v>
      </c>
      <c r="L62" s="49">
        <f>IF(AND('rates, dates, etc'!$B$30="Contract College",'rates, dates, etc'!$B$31="Off"),'Lead Budget'!$D$56,0)+IF(AND('rates, dates, etc'!$B$136="Contract College",'rates, dates, etc'!$B$137="Off"),Stedman!$D$56,0)+IF(AND('rates, dates, etc'!$B$242="Contract College",'rates, dates, etc'!$B$243="Off"),'Co PI 2'!$D$56,0)+IF(AND('rates, dates, etc'!$B$348="Contract College",'rates, dates, etc'!$B$349="Off"),'Co PI 3'!$D$56,0)+IF(AND('rates, dates, etc'!$B$454="Contract College",'rates, dates, etc'!$B$455="Off"),'Co-PI Budget (4)'!$D$56,0)+IF(AND('rates, dates, etc'!$B$560="Contract College",'rates, dates, etc'!$B$561="Off"),'Co-PI Budget (5)'!$D$56,0)+IF(AND('rates, dates, etc'!$B$30="Endowed College",'rates, dates, etc'!$B$31="Off"),'Lead Budget'!$D$56,0)+IF(AND('rates, dates, etc'!$B$136="Endowed College",'rates, dates, etc'!$B$137="Off"),Stedman!$D$56,0)+IF(AND('rates, dates, etc'!$B$242="Endowed College",'rates, dates, etc'!$B$243="Off"),'Co PI 2'!$D$56,0)+IF(AND('rates, dates, etc'!$B$348="Endowed College",'rates, dates, etc'!$B$349="Off"),'Co PI 3'!$D$56,0)+IF(AND('rates, dates, etc'!$B$454="Endowed College",'rates, dates, etc'!$B$455="Off"),'Co-PI Budget (4)'!$D$56,0)+IF(AND('rates, dates, etc'!$B$560="Endowed College",'rates, dates, etc'!$B$561="Off"),'Co-PI Budget (5)'!$D$56,0)</f>
        <v>0</v>
      </c>
      <c r="M62" s="49">
        <f>IF(AND('rates, dates, etc'!$B$30="Contract College",'rates, dates, etc'!$B$31="Off"),'Lead Budget'!$D$33,0)+IF(AND('rates, dates, etc'!$B$136="Contract College",'rates, dates, etc'!$B$137="Off"),Stedman!$D$33,0)+IF(AND('rates, dates, etc'!$B$242="Contract College",'rates, dates, etc'!$B$243="Off"),'Co PI 2'!$D$33,0)+IF(AND('rates, dates, etc'!$B$348="Contract College",'rates, dates, etc'!$B$349="Off"),'Co PI 3'!$D$33,0)+IF(AND('rates, dates, etc'!$B$454="Contract College",'rates, dates, etc'!$B$455="Off"),'Co-PI Budget (4)'!$D$33,0)+IF(AND('rates, dates, etc'!$B$560="Contract College",'rates, dates, etc'!$B$561="Off"),'Co-PI Budget (5)'!$D$33,0)+IF(AND('rates, dates, etc'!$B$30="Endowed College",'rates, dates, etc'!$B$31="Off"),'Lead Budget'!$D$33,0)+IF(AND('rates, dates, etc'!$B$136="Endowed College",'rates, dates, etc'!$B$137="Off"),Stedman!$D$33,0)+IF(AND('rates, dates, etc'!$B$242="Endowed College",'rates, dates, etc'!$B$243="Off"),'Co PI 2'!$D$33,0)+IF(AND('rates, dates, etc'!$B$348="Endowed College",'rates, dates, etc'!$B$349="Off"),'Co PI 3'!$D$33,0)+IF(AND('rates, dates, etc'!$B$454="Endowed College",'rates, dates, etc'!$B$455="Off"),'Co-PI Budget (4)'!$D$33,0)+IF(AND('rates, dates, etc'!$B$560="Endowed College",'rates, dates, etc'!$B$561="Off"),'Co-PI Budget (5)'!$D$33,0)</f>
        <v>0</v>
      </c>
      <c r="N62" s="49">
        <f>IF(AND('rates, dates, etc'!$B$30="Contract College",'rates, dates, etc'!$B$31="Off"),'Lead Budget'!$D$44,0)+IF(AND('rates, dates, etc'!$B$136="Contract College",'rates, dates, etc'!$B$137="Off"),Stedman!$D$44,0)+IF(AND('rates, dates, etc'!$B$242="Contract College",'rates, dates, etc'!$B$243="Off"),'Co PI 2'!$D$44,0)+IF(AND('rates, dates, etc'!$B$348="Contract College",'rates, dates, etc'!$B$349="Off"),'Co PI 3'!$D$44,0)+IF(AND('rates, dates, etc'!$B$454="Contract College",'rates, dates, etc'!$B$455="Off"),'Co-PI Budget (4)'!$D$44,0)+IF(AND('rates, dates, etc'!$B$560="Contract College",'rates, dates, etc'!$B$561="Off"),'Co-PI Budget (5)'!$D$44,0)+IF(AND('rates, dates, etc'!$B$30="Endowed College",'rates, dates, etc'!$B$31="Off"),'Lead Budget'!$D$44,0)+IF(AND('rates, dates, etc'!$B$136="Endowed College",'rates, dates, etc'!$B$137="Off"),Stedman!$D$44,0)+IF(AND('rates, dates, etc'!$B$242="Endowed College",'rates, dates, etc'!$B$243="Off"),'Co PI 2'!$D$44,0)+IF(AND('rates, dates, etc'!$B$348="Endowed College",'rates, dates, etc'!$B$349="Off"),'Co PI 3'!$D$44,0)+IF(AND('rates, dates, etc'!$B$454="Endowed College",'rates, dates, etc'!$B$455="Off"),'Co-PI Budget (4)'!$D$44,0)+IF(AND('rates, dates, etc'!$B$560="Endowed College",'rates, dates, etc'!$B$561="Off"),'Co-PI Budget (5)'!$D$44,0)</f>
        <v>0</v>
      </c>
      <c r="O62" s="49">
        <f>IF(AND('rates, dates, etc'!$B$30="Contract College",'rates, dates, etc'!$B$31="Off"),'Lead Budget'!$D$63,0)+IF(AND('rates, dates, etc'!$B$136="Contract College",'rates, dates, etc'!$B$137="Off"),Stedman!$D$63,0)+IF(AND('rates, dates, etc'!$B$242="Contract College",'rates, dates, etc'!$B$243="Off"),'Co PI 2'!$D$63,0)+IF(AND('rates, dates, etc'!$B$348="Contract College",'rates, dates, etc'!$B$349="Off"),'Co PI 3'!$D$63,0)+IF(AND('rates, dates, etc'!$B$454="Contract College",'rates, dates, etc'!$B$455="Off"),'Co-PI Budget (4)'!$D$63,0)+IF(AND('rates, dates, etc'!$B$560="Contract College",'rates, dates, etc'!$B$561="Off"),'Co-PI Budget (5)'!$D$63,0)+IF(AND('rates, dates, etc'!$B$30="Endowed College",'rates, dates, etc'!$B$31="Off"),'Lead Budget'!$D$63,0)+IF(AND('rates, dates, etc'!$B$136="Endowed College",'rates, dates, etc'!$B$137="Off"),Stedman!$D$63,0)+IF(AND('rates, dates, etc'!$B$242="Endowed College",'rates, dates, etc'!$B$243="Off"),'Co PI 2'!$D$63,0)+IF(AND('rates, dates, etc'!$B$348="Endowed College",'rates, dates, etc'!$B$349="Off"),'Co PI 3'!$D$63,0)+IF(AND('rates, dates, etc'!$B$454="Endowed College",'rates, dates, etc'!$B$455="Off"),'Co-PI Budget (4)'!$D$63,0)+IF(AND('rates, dates, etc'!$B$560="Endowed College",'rates, dates, etc'!$B$561="Off"),'Co-PI Budget (5)'!$D$63,0)</f>
        <v>0</v>
      </c>
      <c r="P62" s="49">
        <f>IF(AND('rates, dates, etc'!$B$30="Contract College",'rates, dates, etc'!$B$31="Off"),'Lead Budget'!$L$15,0)+IF(AND('rates, dates, etc'!$B$136="Contract College",'rates, dates, etc'!$B$137="Off"),Stedman!$L$15,0)+IF(AND('rates, dates, etc'!$B$242="Contract College",'rates, dates, etc'!$B$243="Off"),'Co PI 2'!$L$15,0)+IF(AND('rates, dates, etc'!$B$348="Contract College",'rates, dates, etc'!$B$349="Off"),'Co PI 3'!$L$15,0)+IF(AND('rates, dates, etc'!$B$454="Contract College",'rates, dates, etc'!$B$455="Off"),'Co-PI Budget (4)'!$L$15,0)+IF(AND('rates, dates, etc'!$B$560="Contract College",'rates, dates, etc'!$B$561="Off"),'Co-PI Budget (5)'!$L$15,0)+IF(AND('rates, dates, etc'!$B$30="Endowed College",'rates, dates, etc'!$B$31="Off"),'Lead Budget'!$L$15,0)+IF(AND('rates, dates, etc'!$B$136="Endowed College",'rates, dates, etc'!$B$137="Off"),Stedman!$L$15,0)+IF(AND('rates, dates, etc'!$B$242="Endowed College",'rates, dates, etc'!$B$243="Off"),'Co PI 2'!$L$15,0)+IF(AND('rates, dates, etc'!$B$348="Endowed College",'rates, dates, etc'!$B$349="Off"),'Co PI 3'!$L$15,0)+IF(AND('rates, dates, etc'!$B$454="Endowed College",'rates, dates, etc'!$B$455="Off"),'Co-PI Budget (4)'!$L$15,0)+IF(AND('rates, dates, etc'!$B$560="Endowed College",'rates, dates, etc'!$B$561="Off"),'Co-PI Budget (5)'!$L$15,0)</f>
        <v>0</v>
      </c>
      <c r="Q62" s="49">
        <f>IF(AND('rates, dates, etc'!$B$30="Contract College",'rates, dates, etc'!$B$31="Off"),'Lead Budget'!$L$16,0)+IF(AND('rates, dates, etc'!$B$136="Contract College",'rates, dates, etc'!$B$137="Off"),Stedman!$L$16,0)+IF(AND('rates, dates, etc'!$B$242="Contract College",'rates, dates, etc'!$B$243="Off"),'Co PI 2'!$L$16,0)+IF(AND('rates, dates, etc'!$B$348="Contract College",'rates, dates, etc'!$B$349="Off"),'Co PI 3'!$L$16,0)+IF(AND('rates, dates, etc'!$B$454="Contract College",'rates, dates, etc'!$B$455="Off"),'Co-PI Budget (4)'!$L$16,0)+IF(AND('rates, dates, etc'!$B$560="Contract College",'rates, dates, etc'!$B$561="Off"),'Co-PI Budget (5)'!$L$16,0)+IF(AND('rates, dates, etc'!$B$30="Endowed College",'rates, dates, etc'!$B$31="Off"),'Lead Budget'!$L$16,0)+IF(AND('rates, dates, etc'!$B$136="Endowed College",'rates, dates, etc'!$B$137="Off"),Stedman!$L$16,0)+IF(AND('rates, dates, etc'!$B$242="Endowed College",'rates, dates, etc'!$B$243="Off"),'Co PI 2'!$L$16,0)+IF(AND('rates, dates, etc'!$B$348="Endowed College",'rates, dates, etc'!$B$349="Off"),'Co PI 3'!$L$16,0)+IF(AND('rates, dates, etc'!$B$454="Endowed College",'rates, dates, etc'!$B$455="Off"),'Co-PI Budget (4)'!$L$16,0)+IF(AND('rates, dates, etc'!$B$560="Endowed College",'rates, dates, etc'!$B$561="Off"),'Co-PI Budget (5)'!$L$16,0)</f>
        <v>0</v>
      </c>
      <c r="R62" s="49">
        <f t="shared" si="22"/>
        <v>0</v>
      </c>
      <c r="S62" s="94">
        <f>+'Budget Summary'!D95+'Budget Summary'!D97</f>
        <v>0</v>
      </c>
      <c r="T62" s="490">
        <f t="shared" si="7"/>
        <v>0</v>
      </c>
      <c r="U62" s="47"/>
    </row>
    <row r="63" spans="1:21" x14ac:dyDescent="0.25">
      <c r="A63" s="598">
        <v>3</v>
      </c>
      <c r="B63" s="522">
        <f t="shared" ref="B63:G63" si="25">+L62-B62</f>
        <v>0</v>
      </c>
      <c r="C63" s="522">
        <f t="shared" si="25"/>
        <v>0</v>
      </c>
      <c r="D63" s="522">
        <f t="shared" si="25"/>
        <v>0</v>
      </c>
      <c r="E63" s="522">
        <f t="shared" si="25"/>
        <v>0</v>
      </c>
      <c r="F63" s="522">
        <f t="shared" si="25"/>
        <v>0</v>
      </c>
      <c r="G63" s="522">
        <f t="shared" si="25"/>
        <v>0</v>
      </c>
      <c r="H63" s="522">
        <f t="shared" si="9"/>
        <v>0</v>
      </c>
      <c r="I63" s="523"/>
      <c r="J63" s="549"/>
      <c r="K63" s="506">
        <v>3</v>
      </c>
      <c r="L63" s="61"/>
      <c r="M63" s="49"/>
      <c r="N63" s="49"/>
      <c r="O63" s="49"/>
      <c r="P63" s="49"/>
      <c r="Q63" s="49"/>
      <c r="R63" s="49"/>
      <c r="S63" s="94"/>
      <c r="T63" s="490">
        <f t="shared" si="7"/>
        <v>0</v>
      </c>
      <c r="U63" s="47"/>
    </row>
    <row r="64" spans="1:21" x14ac:dyDescent="0.25">
      <c r="A64" s="599">
        <v>4</v>
      </c>
      <c r="B64" s="528">
        <f t="shared" ref="B64:G64" si="26">ROUNDDOWN(L64*$L$40,0)</f>
        <v>0</v>
      </c>
      <c r="C64" s="528">
        <f t="shared" si="26"/>
        <v>0</v>
      </c>
      <c r="D64" s="528">
        <f t="shared" si="26"/>
        <v>0</v>
      </c>
      <c r="E64" s="528">
        <f t="shared" si="26"/>
        <v>0</v>
      </c>
      <c r="F64" s="528">
        <f t="shared" si="26"/>
        <v>0</v>
      </c>
      <c r="G64" s="528">
        <f t="shared" si="26"/>
        <v>0</v>
      </c>
      <c r="H64" s="528">
        <f t="shared" si="9"/>
        <v>0</v>
      </c>
      <c r="I64" s="529">
        <f>+H21+H22-'Budget Summary'!E94</f>
        <v>0</v>
      </c>
      <c r="J64" s="548" t="s">
        <v>209</v>
      </c>
      <c r="K64" s="506">
        <v>4</v>
      </c>
      <c r="L64" s="507">
        <f>IF(AND('rates, dates, etc'!$B$30="Contract College",'rates, dates, etc'!$B$31="On"),'Lead Budget'!$E$56,0)+IF(AND('rates, dates, etc'!$B$136="Contract College",'rates, dates, etc'!$B$137="On"),Stedman!$E$56,0)+IF(AND('rates, dates, etc'!$B$242="Contract College",'rates, dates, etc'!$B$243="On"),'Co PI 2'!$E$56,0)+IF(AND('rates, dates, etc'!$B$348="Contract College",'rates, dates, etc'!$B$349="On"),'Co PI 3'!$E$56,0)+IF(AND('rates, dates, etc'!$B$454="Contract College",'rates, dates, etc'!$B$455="On"),'Co-PI Budget (4)'!$E$56,0)+IF(AND('rates, dates, etc'!$B$560="Contract College",'rates, dates, etc'!$B$561="On"),'Co-PI Budget (5)'!$E$56,0)</f>
        <v>0</v>
      </c>
      <c r="M64" s="49">
        <f>IF(AND('rates, dates, etc'!$B$30="Contract College",'rates, dates, etc'!$B$31="On"),'Lead Budget'!$E$33,0)+IF(AND('rates, dates, etc'!$B$136="Contract College",'rates, dates, etc'!$B$137="On"),Stedman!$E$33,0)+IF(AND('rates, dates, etc'!$B$242="Contract College",'rates, dates, etc'!$B$243="On"),'Co PI 2'!$E$33,0)+IF(AND('rates, dates, etc'!$B$348="Contract College",'rates, dates, etc'!$B$349="On"),'Co PI 3'!$E$33,0)+IF(AND('rates, dates, etc'!$B$454="Contract College",'rates, dates, etc'!$B$455="On"),'Co-PI Budget (4)'!$E$33,0)+IF(AND('rates, dates, etc'!$B$560="Contract College",'rates, dates, etc'!$B$561="On"),'Co-PI Budget (5)'!$E$33,0)</f>
        <v>0</v>
      </c>
      <c r="N64" s="49">
        <f>IF(AND('rates, dates, etc'!$B$30="Contract College",'rates, dates, etc'!$B$31="On"),'Lead Budget'!$E$44,0)+IF(AND('rates, dates, etc'!$B$136="Contract College",'rates, dates, etc'!$B$137="On"),Stedman!$E$44,0)+IF(AND('rates, dates, etc'!$B$242="Contract College",'rates, dates, etc'!$B$243="On"),'Co PI 2'!$E$44,0)+IF(AND('rates, dates, etc'!$B$348="Contract College",'rates, dates, etc'!$B$349="On"),'Co PI 3'!$E$44,0)+IF(AND('rates, dates, etc'!$B$454="Contract College",'rates, dates, etc'!$B$455="On"),'Co-PI Budget (4)'!$E$44,0)+IF(AND('rates, dates, etc'!$B$560="Contract College",'rates, dates, etc'!$B$561="On"),'Co-PI Budget (5)'!$E$44,0)</f>
        <v>0</v>
      </c>
      <c r="O64" s="49">
        <f>IF(AND('rates, dates, etc'!$B$30="Contract College",'rates, dates, etc'!$B$31="On"),'Lead Budget'!$E$63,0)+IF(AND('rates, dates, etc'!$B$136="Contract College",'rates, dates, etc'!$B$137="On"),Stedman!$E$63,0)+IF(AND('rates, dates, etc'!$B$242="Contract College",'rates, dates, etc'!$B$243="On"),'Co PI 2'!$E$63,0)+IF(AND('rates, dates, etc'!$B$348="Contract College",'rates, dates, etc'!$B$349="On"),'Co PI 3'!$E$63,0)+IF(AND('rates, dates, etc'!$B$454="Contract College",'rates, dates, etc'!$B$455="On"),'Co-PI Budget (4)'!$E$63,0)+IF(AND('rates, dates, etc'!$B$560="Contract College",'rates, dates, etc'!$B$561="On"),'Co-PI Budget (5)'!$E$63,0)</f>
        <v>0</v>
      </c>
      <c r="P64" s="49">
        <f>IF(AND('rates, dates, etc'!$B$30="Contract College",'rates, dates, etc'!$B$31="On"),'Lead Budget'!$M$15,0)+IF(AND('rates, dates, etc'!$B$136="Contract College",'rates, dates, etc'!$B$137="On"),Stedman!$M$15,0)+IF(AND('rates, dates, etc'!$B$242="Contract College",'rates, dates, etc'!$B$243="On"),'Co PI 2'!$M$15,0)+IF(AND('rates, dates, etc'!$B$348="Contract College",'rates, dates, etc'!$B$349="On"),'Co PI 3'!$M$15,0)+IF(AND('rates, dates, etc'!$B$454="Contract College",'rates, dates, etc'!$B$455="On"),'Co-PI Budget (4)'!$M$15,0)+IF(AND('rates, dates, etc'!$B$560="Contract College",'rates, dates, etc'!$B$561="On"),'Co-PI Budget (5)'!$M$15,0)</f>
        <v>0</v>
      </c>
      <c r="Q64" s="49">
        <f>IF(AND('rates, dates, etc'!$B$30="Contract College",'rates, dates, etc'!$B$31="On"),'Lead Budget'!$M$16,0)+IF(AND('rates, dates, etc'!$B$136="Contract College",'rates, dates, etc'!$B$137="On"),Stedman!$M$16,0)+IF(AND('rates, dates, etc'!$B$242="Contract College",'rates, dates, etc'!$B$243="On"),'Co PI 2'!$M$16,0)+IF(AND('rates, dates, etc'!$B$348="Contract College",'rates, dates, etc'!$B$349="On"),'Co PI 3'!$M$16,0)+IF(AND('rates, dates, etc'!$B$454="Contract College",'rates, dates, etc'!$B$455="On"),'Co-PI Budget (4)'!$M$16,0)+IF(AND('rates, dates, etc'!$B$560="Contract College",'rates, dates, etc'!$B$561="On"),'Co-PI Budget (5)'!$M$16,0)</f>
        <v>0</v>
      </c>
      <c r="R64" s="49">
        <f>+L64-(SUM(M64:Q64))</f>
        <v>0</v>
      </c>
      <c r="S64" s="94">
        <f>+'Budget Summary'!E94</f>
        <v>0</v>
      </c>
      <c r="T64" s="490">
        <f t="shared" si="7"/>
        <v>0</v>
      </c>
      <c r="U64" s="47"/>
    </row>
    <row r="65" spans="1:21" x14ac:dyDescent="0.25">
      <c r="A65" s="599">
        <v>4</v>
      </c>
      <c r="B65" s="528">
        <f t="shared" ref="B65:G65" si="27">+L64-B64</f>
        <v>0</v>
      </c>
      <c r="C65" s="528">
        <f t="shared" si="27"/>
        <v>0</v>
      </c>
      <c r="D65" s="528">
        <f t="shared" si="27"/>
        <v>0</v>
      </c>
      <c r="E65" s="528">
        <f t="shared" si="27"/>
        <v>0</v>
      </c>
      <c r="F65" s="528">
        <f t="shared" si="27"/>
        <v>0</v>
      </c>
      <c r="G65" s="528">
        <f t="shared" si="27"/>
        <v>0</v>
      </c>
      <c r="H65" s="528">
        <f t="shared" si="9"/>
        <v>0</v>
      </c>
      <c r="I65" s="529"/>
      <c r="J65" s="65"/>
      <c r="K65" s="506">
        <v>4</v>
      </c>
      <c r="L65" s="61"/>
      <c r="M65" s="49"/>
      <c r="N65" s="49"/>
      <c r="O65" s="49"/>
      <c r="P65" s="49"/>
      <c r="Q65" s="49"/>
      <c r="R65" s="49"/>
      <c r="S65" s="94"/>
      <c r="T65" s="490">
        <f t="shared" si="7"/>
        <v>0</v>
      </c>
      <c r="U65" s="47"/>
    </row>
    <row r="66" spans="1:21" x14ac:dyDescent="0.25">
      <c r="A66" s="599">
        <v>4</v>
      </c>
      <c r="B66" s="528">
        <f t="shared" ref="B66:G66" si="28">ROUNDDOWN(L66*$L$40,0)</f>
        <v>0</v>
      </c>
      <c r="C66" s="528">
        <f t="shared" si="28"/>
        <v>0</v>
      </c>
      <c r="D66" s="528">
        <f t="shared" si="28"/>
        <v>0</v>
      </c>
      <c r="E66" s="528">
        <f t="shared" si="28"/>
        <v>0</v>
      </c>
      <c r="F66" s="528">
        <f t="shared" si="28"/>
        <v>0</v>
      </c>
      <c r="G66" s="528">
        <f t="shared" si="28"/>
        <v>0</v>
      </c>
      <c r="H66" s="528">
        <f t="shared" si="9"/>
        <v>0</v>
      </c>
      <c r="I66" s="529">
        <f>+H23+H24-'Budget Summary'!E96</f>
        <v>0</v>
      </c>
      <c r="J66" s="65" t="s">
        <v>210</v>
      </c>
      <c r="K66" s="506">
        <v>4</v>
      </c>
      <c r="L66" s="49">
        <f>IF(AND('rates, dates, etc'!$B$30="Endowed College",'rates, dates, etc'!$B$31="On"),'Lead Budget'!$E$56,0)+IF(AND('rates, dates, etc'!$B$136="Endowed College",'rates, dates, etc'!$B$137="On"),Stedman!$E$56,0)+IF(AND('rates, dates, etc'!$B$242="Endowed College",'rates, dates, etc'!$B$243="On"),'Co PI 2'!$E$56,0)+IF(AND('rates, dates, etc'!$B$348="Endowed College",'rates, dates, etc'!$B$349="On"),'Co PI 3'!$E$56,0)+IF(AND('rates, dates, etc'!$B$454="Endowed College",'rates, dates, etc'!$B$455="On"),'Co-PI Budget (4)'!$E$56,0)+IF(AND('rates, dates, etc'!$B$560="Endowed College",'rates, dates, etc'!$B$561="On"),'Co-PI Budget (5)'!$E$56,0)</f>
        <v>0</v>
      </c>
      <c r="M66" s="49">
        <f>IF(AND('rates, dates, etc'!$B$30="Endowed College",'rates, dates, etc'!$B$31="On"),'Lead Budget'!$E$33,0)+IF(AND('rates, dates, etc'!$B$136="Endowed College",'rates, dates, etc'!$B$137="On"),Stedman!$E$33,0)+IF(AND('rates, dates, etc'!$B$242="Endowed College",'rates, dates, etc'!$B$243="On"),'Co PI 2'!$E$33,0)+IF(AND('rates, dates, etc'!$B$348="Endowed College",'rates, dates, etc'!$B$349="On"),'Co PI 3'!$E$33,0)+IF(AND('rates, dates, etc'!$B$454="Endowed College",'rates, dates, etc'!$B$455="On"),'Co-PI Budget (4)'!$E$33,0)+IF(AND('rates, dates, etc'!$B$560="Endowed College",'rates, dates, etc'!$B$561="On"),'Co-PI Budget (5)'!$E$33,0)</f>
        <v>0</v>
      </c>
      <c r="N66" s="49">
        <f>IF(AND('rates, dates, etc'!$B$30="Endowed College",'rates, dates, etc'!$B$31="On"),'Lead Budget'!$E$44,0)+IF(AND('rates, dates, etc'!$B$136="Endowed College",'rates, dates, etc'!$B$137="On"),Stedman!$E$44,0)+IF(AND('rates, dates, etc'!$B$242="Endowed College",'rates, dates, etc'!$B$243="On"),'Co PI 2'!$E$44,0)+IF(AND('rates, dates, etc'!$B$348="Endowed College",'rates, dates, etc'!$B$349="On"),'Co PI 3'!$E$44,0)+IF(AND('rates, dates, etc'!$B$454="Endowed College",'rates, dates, etc'!$B$455="On"),'Co-PI Budget (4)'!$E$44,0)+IF(AND('rates, dates, etc'!$B$560="Endowed College",'rates, dates, etc'!$B$561="On"),'Co-PI Budget (5)'!$E$44,0)</f>
        <v>0</v>
      </c>
      <c r="O66" s="49">
        <f>IF(AND('rates, dates, etc'!$B$30="Endowed College",'rates, dates, etc'!$B$31="On"),'Lead Budget'!$E$63,0)+IF(AND('rates, dates, etc'!$B$136="Endowed College",'rates, dates, etc'!$B$137="On"),Stedman!$E$63,0)+IF(AND('rates, dates, etc'!$B$242="Endowed College",'rates, dates, etc'!$B$243="On"),'Co PI 2'!$E$63,0)+IF(AND('rates, dates, etc'!$B$348="Endowed College",'rates, dates, etc'!$B$349="On"),'Co PI 3'!$E$63,0)+IF(AND('rates, dates, etc'!$B$454="Endowed College",'rates, dates, etc'!$B$455="On"),'Co-PI Budget (4)'!$E$63,0)+IF(AND('rates, dates, etc'!$B$560="Endowed College",'rates, dates, etc'!$B$561="On"),'Co-PI Budget (5)'!$E$63,0)</f>
        <v>0</v>
      </c>
      <c r="P66" s="49">
        <f>IF(AND('rates, dates, etc'!$B$30="Endowed College",'rates, dates, etc'!$B$31="On"),'Lead Budget'!$M$15,0)+IF(AND('rates, dates, etc'!$B$136="Endowed College",'rates, dates, etc'!$B$137="On"),Stedman!$M$15,0)+IF(AND('rates, dates, etc'!$B$242="Endowed College",'rates, dates, etc'!$B$243="On"),'Co PI 2'!$M$15,0)+IF(AND('rates, dates, etc'!$B$348="Endowed College",'rates, dates, etc'!$B$349="On"),'Co PI 3'!$M$15,0)+IF(AND('rates, dates, etc'!$B$454="Endowed College",'rates, dates, etc'!$B$455="On"),'Co-PI Budget (4)'!$M$15,0)+IF(AND('rates, dates, etc'!$B$560="Endowed College",'rates, dates, etc'!$B$561="On"),'Co-PI Budget (5)'!$M$15,0)</f>
        <v>0</v>
      </c>
      <c r="Q66" s="49">
        <f>IF(AND('rates, dates, etc'!$B$30="Endowed College",'rates, dates, etc'!$B$31="On"),'Lead Budget'!$M$16,0)+IF(AND('rates, dates, etc'!$B$136="Endowed College",'rates, dates, etc'!$B$137="On"),Stedman!$M$16,0)+IF(AND('rates, dates, etc'!$B$242="Endowed College",'rates, dates, etc'!$B$243="On"),'Co PI 2'!$M$16,0)+IF(AND('rates, dates, etc'!$B$348="Endowed College",'rates, dates, etc'!$B$349="On"),'Co PI 3'!$M$16,0)+IF(AND('rates, dates, etc'!$B$454="Endowed College",'rates, dates, etc'!$B$455="On"),'Co-PI Budget (4)'!$M$16,0)+IF(AND('rates, dates, etc'!$B$560="Endowed College",'rates, dates, etc'!$B$561="On"),'Co-PI Budget (5)'!$M$16,0)</f>
        <v>0</v>
      </c>
      <c r="R66" s="49">
        <f t="shared" ref="R66:R68" si="29">+L66-(SUM(M66:Q66))</f>
        <v>0</v>
      </c>
      <c r="S66" s="94">
        <f>+'Budget Summary'!E96</f>
        <v>0</v>
      </c>
      <c r="T66" s="490">
        <f t="shared" si="7"/>
        <v>0</v>
      </c>
      <c r="U66" s="47"/>
    </row>
    <row r="67" spans="1:21" x14ac:dyDescent="0.25">
      <c r="A67" s="599">
        <v>4</v>
      </c>
      <c r="B67" s="528">
        <f t="shared" ref="B67:G67" si="30">+L66-B66</f>
        <v>0</v>
      </c>
      <c r="C67" s="528">
        <f t="shared" si="30"/>
        <v>0</v>
      </c>
      <c r="D67" s="528">
        <f t="shared" si="30"/>
        <v>0</v>
      </c>
      <c r="E67" s="528">
        <f t="shared" si="30"/>
        <v>0</v>
      </c>
      <c r="F67" s="528">
        <f t="shared" si="30"/>
        <v>0</v>
      </c>
      <c r="G67" s="528">
        <f t="shared" si="30"/>
        <v>0</v>
      </c>
      <c r="H67" s="528">
        <f t="shared" si="9"/>
        <v>0</v>
      </c>
      <c r="I67" s="529"/>
      <c r="J67" s="65"/>
      <c r="K67" s="506">
        <v>4</v>
      </c>
      <c r="L67" s="49"/>
      <c r="M67" s="49"/>
      <c r="N67" s="49"/>
      <c r="O67" s="49"/>
      <c r="P67" s="49"/>
      <c r="Q67" s="49"/>
      <c r="R67" s="49"/>
      <c r="S67" s="94"/>
      <c r="T67" s="490">
        <f t="shared" si="7"/>
        <v>0</v>
      </c>
      <c r="U67" s="47"/>
    </row>
    <row r="68" spans="1:21" x14ac:dyDescent="0.25">
      <c r="A68" s="599">
        <v>4</v>
      </c>
      <c r="B68" s="528">
        <f t="shared" ref="B68:G68" si="31">ROUNDDOWN(L68*$L$40,0)</f>
        <v>0</v>
      </c>
      <c r="C68" s="528">
        <f t="shared" si="31"/>
        <v>0</v>
      </c>
      <c r="D68" s="528">
        <f t="shared" si="31"/>
        <v>0</v>
      </c>
      <c r="E68" s="528">
        <f t="shared" si="31"/>
        <v>0</v>
      </c>
      <c r="F68" s="528">
        <f t="shared" si="31"/>
        <v>0</v>
      </c>
      <c r="G68" s="528">
        <f t="shared" si="31"/>
        <v>0</v>
      </c>
      <c r="H68" s="528">
        <f t="shared" si="9"/>
        <v>0</v>
      </c>
      <c r="I68" s="529">
        <f>+H25+H26-('Budget Summary'!E95+'Budget Summary'!E97)</f>
        <v>0</v>
      </c>
      <c r="J68" s="65" t="s">
        <v>211</v>
      </c>
      <c r="K68" s="506">
        <v>4</v>
      </c>
      <c r="L68" s="49">
        <f>IF(AND('rates, dates, etc'!$B$30="Contract College",'rates, dates, etc'!$B$31="Off"),'Lead Budget'!$E$56,0)+IF(AND('rates, dates, etc'!$B$136="Contract College",'rates, dates, etc'!$B$137="Off"),Stedman!$E$56,0)+IF(AND('rates, dates, etc'!$B$242="Contract College",'rates, dates, etc'!$B$243="Off"),'Co PI 2'!$E$56,0)+IF(AND('rates, dates, etc'!$B$348="Contract College",'rates, dates, etc'!$B$349="Off"),'Co PI 3'!$E$56,0)+IF(AND('rates, dates, etc'!$B$454="Contract College",'rates, dates, etc'!$B$455="Off"),'Co-PI Budget (4)'!$E$56,0)+IF(AND('rates, dates, etc'!$B$560="Contract College",'rates, dates, etc'!$B$561="Off"),'Co-PI Budget (5)'!$E$56,0)+IF(AND('rates, dates, etc'!$B$30="Endowed College",'rates, dates, etc'!$B$31="Off"),'Lead Budget'!$E$56,0)+IF(AND('rates, dates, etc'!$B$136="Endowed College",'rates, dates, etc'!$B$137="Off"),Stedman!$E$56,0)+IF(AND('rates, dates, etc'!$B$242="Endowed College",'rates, dates, etc'!$B$243="Off"),'Co PI 2'!$E$56,0)+IF(AND('rates, dates, etc'!$B$348="Endowed College",'rates, dates, etc'!$B$349="Off"),'Co PI 3'!$E$56,0)+IF(AND('rates, dates, etc'!$B$454="Endowed College",'rates, dates, etc'!$B$455="Off"),'Co-PI Budget (4)'!$E$56,0)+IF(AND('rates, dates, etc'!$B$560="Endowed College",'rates, dates, etc'!$B$561="Off"),'Co-PI Budget (5)'!$E$56,0)</f>
        <v>0</v>
      </c>
      <c r="M68" s="49">
        <f>IF(AND('rates, dates, etc'!$B$30="Contract College",'rates, dates, etc'!$B$31="Off"),'Lead Budget'!$E$33,0)+IF(AND('rates, dates, etc'!$B$136="Contract College",'rates, dates, etc'!$B$137="Off"),Stedman!$E$33,0)+IF(AND('rates, dates, etc'!$B$242="Contract College",'rates, dates, etc'!$B$243="Off"),'Co PI 2'!$E$33,0)+IF(AND('rates, dates, etc'!$B$348="Contract College",'rates, dates, etc'!$B$349="Off"),'Co PI 3'!$E$33,0)+IF(AND('rates, dates, etc'!$B$454="Contract College",'rates, dates, etc'!$B$455="Off"),'Co-PI Budget (4)'!$E$33,0)+IF(AND('rates, dates, etc'!$B$560="Contract College",'rates, dates, etc'!$B$561="Off"),'Co-PI Budget (5)'!$E$33,0)+IF(AND('rates, dates, etc'!$B$30="Endowed College",'rates, dates, etc'!$B$31="Off"),'Lead Budget'!$E$33,0)+IF(AND('rates, dates, etc'!$B$136="Endowed College",'rates, dates, etc'!$B$137="Off"),Stedman!$E$33,0)+IF(AND('rates, dates, etc'!$B$242="Endowed College",'rates, dates, etc'!$B$243="Off"),'Co PI 2'!$E$33,0)+IF(AND('rates, dates, etc'!$B$348="Endowed College",'rates, dates, etc'!$B$349="Off"),'Co PI 3'!$E$33,0)+IF(AND('rates, dates, etc'!$B$454="Endowed College",'rates, dates, etc'!$B$455="Off"),'Co-PI Budget (4)'!$E$33,0)+IF(AND('rates, dates, etc'!$B$560="Endowed College",'rates, dates, etc'!$B$561="Off"),'Co-PI Budget (5)'!$E$33,0)</f>
        <v>0</v>
      </c>
      <c r="N68" s="49">
        <f>IF(AND('rates, dates, etc'!$B$30="Contract College",'rates, dates, etc'!$B$31="Off"),'Lead Budget'!$E$44,0)+IF(AND('rates, dates, etc'!$B$136="Contract College",'rates, dates, etc'!$B$137="Off"),Stedman!$E$44,0)+IF(AND('rates, dates, etc'!$B$242="Contract College",'rates, dates, etc'!$B$243="Off"),'Co PI 2'!$E$44,0)+IF(AND('rates, dates, etc'!$B$348="Contract College",'rates, dates, etc'!$B$349="Off"),'Co PI 3'!$E$44,0)+IF(AND('rates, dates, etc'!$B$454="Contract College",'rates, dates, etc'!$B$455="Off"),'Co-PI Budget (4)'!$E$44,0)+IF(AND('rates, dates, etc'!$B$560="Contract College",'rates, dates, etc'!$B$561="Off"),'Co-PI Budget (5)'!$E$44,0)+IF(AND('rates, dates, etc'!$B$30="Endowed College",'rates, dates, etc'!$B$31="Off"),'Lead Budget'!$E$44,0)+IF(AND('rates, dates, etc'!$B$136="Endowed College",'rates, dates, etc'!$B$137="Off"),Stedman!$E$44,0)+IF(AND('rates, dates, etc'!$B$242="Endowed College",'rates, dates, etc'!$B$243="Off"),'Co PI 2'!$E$44,0)+IF(AND('rates, dates, etc'!$B$348="Endowed College",'rates, dates, etc'!$B$349="Off"),'Co PI 3'!$E$44,0)+IF(AND('rates, dates, etc'!$B$454="Endowed College",'rates, dates, etc'!$B$455="Off"),'Co-PI Budget (4)'!$E$44,0)+IF(AND('rates, dates, etc'!$B$560="Endowed College",'rates, dates, etc'!$B$561="Off"),'Co-PI Budget (5)'!$E$44,0)</f>
        <v>0</v>
      </c>
      <c r="O68" s="49">
        <f>IF(AND('rates, dates, etc'!$B$30="Contract College",'rates, dates, etc'!$B$31="Off"),'Lead Budget'!$E$63,0)+IF(AND('rates, dates, etc'!$B$136="Contract College",'rates, dates, etc'!$B$137="Off"),Stedman!$E$63,0)+IF(AND('rates, dates, etc'!$B$242="Contract College",'rates, dates, etc'!$B$243="Off"),'Co PI 2'!$E$63,0)+IF(AND('rates, dates, etc'!$B$348="Contract College",'rates, dates, etc'!$B$349="Off"),'Co PI 3'!$E$63,0)+IF(AND('rates, dates, etc'!$B$454="Contract College",'rates, dates, etc'!$B$455="Off"),'Co-PI Budget (4)'!$E$63,0)+IF(AND('rates, dates, etc'!$B$560="Contract College",'rates, dates, etc'!$B$561="Off"),'Co-PI Budget (5)'!$E$63,0)+IF(AND('rates, dates, etc'!$B$30="Endowed College",'rates, dates, etc'!$B$31="Off"),'Lead Budget'!$E$63,0)+IF(AND('rates, dates, etc'!$B$136="Endowed College",'rates, dates, etc'!$B$137="Off"),Stedman!$E$63,0)+IF(AND('rates, dates, etc'!$B$242="Endowed College",'rates, dates, etc'!$B$243="Off"),'Co PI 2'!$E$63,0)+IF(AND('rates, dates, etc'!$B$348="Endowed College",'rates, dates, etc'!$B$349="Off"),'Co PI 3'!$E$63,0)+IF(AND('rates, dates, etc'!$B$454="Endowed College",'rates, dates, etc'!$B$455="Off"),'Co-PI Budget (4)'!$E$63,0)+IF(AND('rates, dates, etc'!$B$560="Endowed College",'rates, dates, etc'!$B$561="Off"),'Co-PI Budget (5)'!$E$63,0)</f>
        <v>0</v>
      </c>
      <c r="P68" s="49">
        <f>IF(AND('rates, dates, etc'!$B$30="Contract College",'rates, dates, etc'!$B$31="Off"),'Lead Budget'!$M$15,0)+IF(AND('rates, dates, etc'!$B$136="Contract College",'rates, dates, etc'!$B$137="Off"),Stedman!$M$15,0)+IF(AND('rates, dates, etc'!$B$242="Contract College",'rates, dates, etc'!$B$243="Off"),'Co PI 2'!$M$15,0)+IF(AND('rates, dates, etc'!$B$348="Contract College",'rates, dates, etc'!$B$349="Off"),'Co PI 3'!$M$15,0)+IF(AND('rates, dates, etc'!$B$454="Contract College",'rates, dates, etc'!$B$455="Off"),'Co-PI Budget (4)'!$M$15,0)+IF(AND('rates, dates, etc'!$B$560="Contract College",'rates, dates, etc'!$B$561="Off"),'Co-PI Budget (5)'!$M$15,0)+IF(AND('rates, dates, etc'!$B$30="Endowed College",'rates, dates, etc'!$B$31="Off"),'Lead Budget'!$M$15,0)+IF(AND('rates, dates, etc'!$B$136="Endowed College",'rates, dates, etc'!$B$137="Off"),Stedman!$M$15,0)+IF(AND('rates, dates, etc'!$B$242="Endowed College",'rates, dates, etc'!$B$243="Off"),'Co PI 2'!$M$15,0)+IF(AND('rates, dates, etc'!$B$348="Endowed College",'rates, dates, etc'!$B$349="Off"),'Co PI 3'!$M$15,0)+IF(AND('rates, dates, etc'!$B$454="Endowed College",'rates, dates, etc'!$B$455="Off"),'Co-PI Budget (4)'!$M$15,0)+IF(AND('rates, dates, etc'!$B$560="Endowed College",'rates, dates, etc'!$B$561="Off"),'Co-PI Budget (5)'!$M$15,0)</f>
        <v>0</v>
      </c>
      <c r="Q68" s="49">
        <f>IF(AND('rates, dates, etc'!$B$30="Contract College",'rates, dates, etc'!$B$31="Off"),'Lead Budget'!$M$16,0)+IF(AND('rates, dates, etc'!$B$136="Contract College",'rates, dates, etc'!$B$137="Off"),Stedman!$M$16,0)+IF(AND('rates, dates, etc'!$B$242="Contract College",'rates, dates, etc'!$B$243="Off"),'Co PI 2'!$M$16,0)+IF(AND('rates, dates, etc'!$B$348="Contract College",'rates, dates, etc'!$B$349="Off"),'Co PI 3'!$M$16,0)+IF(AND('rates, dates, etc'!$B$454="Contract College",'rates, dates, etc'!$B$455="Off"),'Co-PI Budget (4)'!$M$16,0)+IF(AND('rates, dates, etc'!$B$560="Contract College",'rates, dates, etc'!$B$561="Off"),'Co-PI Budget (5)'!$M$16,0)+IF(AND('rates, dates, etc'!$B$30="Endowed College",'rates, dates, etc'!$B$31="Off"),'Lead Budget'!$M$16,0)+IF(AND('rates, dates, etc'!$B$136="Endowed College",'rates, dates, etc'!$B$137="Off"),Stedman!$M$16,0)+IF(AND('rates, dates, etc'!$B$242="Endowed College",'rates, dates, etc'!$B$243="Off"),'Co PI 2'!$M$16,0)+IF(AND('rates, dates, etc'!$B$348="Endowed College",'rates, dates, etc'!$B$349="Off"),'Co PI 3'!$M$16,0)+IF(AND('rates, dates, etc'!$B$454="Endowed College",'rates, dates, etc'!$B$455="Off"),'Co-PI Budget (4)'!$M$16,0)+IF(AND('rates, dates, etc'!$B$560="Endowed College",'rates, dates, etc'!$B$561="Off"),'Co-PI Budget (5)'!$M$16,0)</f>
        <v>0</v>
      </c>
      <c r="R68" s="49">
        <f t="shared" si="29"/>
        <v>0</v>
      </c>
      <c r="S68" s="94">
        <f>+'Budget Summary'!E95+'Budget Summary'!E97</f>
        <v>0</v>
      </c>
      <c r="T68" s="490">
        <f t="shared" si="7"/>
        <v>0</v>
      </c>
      <c r="U68" s="47"/>
    </row>
    <row r="69" spans="1:21" x14ac:dyDescent="0.25">
      <c r="A69" s="599">
        <v>4</v>
      </c>
      <c r="B69" s="528">
        <f t="shared" ref="B69:G69" si="32">+L68-B68</f>
        <v>0</v>
      </c>
      <c r="C69" s="528">
        <f t="shared" si="32"/>
        <v>0</v>
      </c>
      <c r="D69" s="528">
        <f t="shared" si="32"/>
        <v>0</v>
      </c>
      <c r="E69" s="528">
        <f t="shared" si="32"/>
        <v>0</v>
      </c>
      <c r="F69" s="528">
        <f t="shared" si="32"/>
        <v>0</v>
      </c>
      <c r="G69" s="528">
        <f t="shared" si="32"/>
        <v>0</v>
      </c>
      <c r="H69" s="528">
        <f t="shared" si="9"/>
        <v>0</v>
      </c>
      <c r="I69" s="529"/>
      <c r="J69" s="513"/>
      <c r="K69" s="506">
        <v>4</v>
      </c>
      <c r="L69" s="61"/>
      <c r="M69" s="49"/>
      <c r="N69" s="49"/>
      <c r="O69" s="49"/>
      <c r="P69" s="49"/>
      <c r="Q69" s="49"/>
      <c r="R69" s="49"/>
      <c r="S69" s="94"/>
      <c r="T69" s="490">
        <f t="shared" si="7"/>
        <v>0</v>
      </c>
      <c r="U69" s="47"/>
    </row>
    <row r="70" spans="1:21" x14ac:dyDescent="0.25">
      <c r="A70" s="600">
        <v>5</v>
      </c>
      <c r="B70" s="534">
        <f t="shared" ref="B70:G70" si="33">ROUNDDOWN(L70*$L$40,0)</f>
        <v>0</v>
      </c>
      <c r="C70" s="534">
        <f t="shared" si="33"/>
        <v>0</v>
      </c>
      <c r="D70" s="534">
        <f t="shared" si="33"/>
        <v>0</v>
      </c>
      <c r="E70" s="534">
        <f t="shared" si="33"/>
        <v>0</v>
      </c>
      <c r="F70" s="534">
        <f t="shared" si="33"/>
        <v>0</v>
      </c>
      <c r="G70" s="534">
        <f t="shared" si="33"/>
        <v>0</v>
      </c>
      <c r="H70" s="534">
        <f t="shared" si="9"/>
        <v>0</v>
      </c>
      <c r="I70" s="535">
        <f>+H27+H28-'Budget Summary'!F94</f>
        <v>0</v>
      </c>
      <c r="J70" s="548" t="s">
        <v>209</v>
      </c>
      <c r="K70" s="506">
        <v>5</v>
      </c>
      <c r="L70" s="507">
        <f>IF(AND('rates, dates, etc'!$B$30="Contract College",'rates, dates, etc'!$B$31="On"),'Lead Budget'!$F$56,0)+IF(AND('rates, dates, etc'!$B$136="Contract College",'rates, dates, etc'!$B$137="On"),Stedman!$F$56,0)+IF(AND('rates, dates, etc'!$B$242="Contract College",'rates, dates, etc'!$B$243="On"),'Co PI 2'!$F$56,0)+IF(AND('rates, dates, etc'!$B$348="Contract College",'rates, dates, etc'!$B$349="On"),'Co PI 3'!$F$56,0)+IF(AND('rates, dates, etc'!$B$454="Contract College",'rates, dates, etc'!$B$455="On"),'Co-PI Budget (4)'!$F$56,0)+IF(AND('rates, dates, etc'!$B$560="Contract College",'rates, dates, etc'!$B$561="On"),'Co-PI Budget (5)'!$F$56,0)</f>
        <v>0</v>
      </c>
      <c r="M70" s="49">
        <f>IF(AND('rates, dates, etc'!$B$30="Contract College",'rates, dates, etc'!$B$31="On"),'Lead Budget'!$F$33,0)+IF(AND('rates, dates, etc'!$B$136="Contract College",'rates, dates, etc'!$B$137="On"),Stedman!$F$33,0)+IF(AND('rates, dates, etc'!$B$242="Contract College",'rates, dates, etc'!$B$243="On"),'Co PI 2'!$F$33,0)+IF(AND('rates, dates, etc'!$B$348="Contract College",'rates, dates, etc'!$B$349="On"),'Co PI 3'!$F$33,0)+IF(AND('rates, dates, etc'!$B$454="Contract College",'rates, dates, etc'!$B$455="On"),'Co-PI Budget (4)'!$F$33,0)+IF(AND('rates, dates, etc'!$B$560="Contract College",'rates, dates, etc'!$B$561="On"),'Co-PI Budget (5)'!$F$33,0)</f>
        <v>0</v>
      </c>
      <c r="N70" s="49">
        <f>IF(AND('rates, dates, etc'!$B$30="Contract College",'rates, dates, etc'!$B$31="On"),'Lead Budget'!$F$44,0)+IF(AND('rates, dates, etc'!$B$136="Contract College",'rates, dates, etc'!$B$137="On"),Stedman!$F$44,0)+IF(AND('rates, dates, etc'!$B$242="Contract College",'rates, dates, etc'!$B$243="On"),'Co PI 2'!$F$44,0)+IF(AND('rates, dates, etc'!$B$348="Contract College",'rates, dates, etc'!$B$349="On"),'Co PI 3'!$F$44,0)+IF(AND('rates, dates, etc'!$B$454="Contract College",'rates, dates, etc'!$B$455="On"),'Co-PI Budget (4)'!$F$44,0)+IF(AND('rates, dates, etc'!$B$560="Contract College",'rates, dates, etc'!$B$561="On"),'Co-PI Budget (5)'!$F$44,0)</f>
        <v>0</v>
      </c>
      <c r="O70" s="49">
        <f>IF(AND('rates, dates, etc'!$B$30="Contract College",'rates, dates, etc'!$B$31="On"),'Lead Budget'!$F$63,0)+IF(AND('rates, dates, etc'!$B$136="Contract College",'rates, dates, etc'!$B$137="On"),Stedman!$F$63,0)+IF(AND('rates, dates, etc'!$B$242="Contract College",'rates, dates, etc'!$B$243="On"),'Co PI 2'!$F$63,0)+IF(AND('rates, dates, etc'!$B$348="Contract College",'rates, dates, etc'!$B$349="On"),'Co PI 3'!$F$63,0)+IF(AND('rates, dates, etc'!$B$454="Contract College",'rates, dates, etc'!$B$455="On"),'Co-PI Budget (4)'!$F$63,0)+IF(AND('rates, dates, etc'!$B$560="Contract College",'rates, dates, etc'!$B$561="On"),'Co-PI Budget (5)'!$F$63,0)</f>
        <v>0</v>
      </c>
      <c r="P70" s="49">
        <f>IF(AND('rates, dates, etc'!$B$30="Contract College",'rates, dates, etc'!$B$31="On"),'Lead Budget'!$N$15,0)+IF(AND('rates, dates, etc'!$B$136="Contract College",'rates, dates, etc'!$B$137="On"),Stedman!$N$15,0)+IF(AND('rates, dates, etc'!$B$242="Contract College",'rates, dates, etc'!$B$243="On"),'Co PI 2'!$N$15,0)+IF(AND('rates, dates, etc'!$B$348="Contract College",'rates, dates, etc'!$B$349="On"),'Co PI 3'!$N$15,0)+IF(AND('rates, dates, etc'!$B$454="Contract College",'rates, dates, etc'!$B$455="On"),'Co-PI Budget (4)'!$N$15,0)+IF(AND('rates, dates, etc'!$B$560="Contract College",'rates, dates, etc'!$B$561="On"),'Co-PI Budget (5)'!$N$15,0)</f>
        <v>0</v>
      </c>
      <c r="Q70" s="49">
        <f>IF(AND('rates, dates, etc'!$B$30="Contract College",'rates, dates, etc'!$B$31="On"),'Lead Budget'!$N$16,0)+IF(AND('rates, dates, etc'!$B$136="Contract College",'rates, dates, etc'!$B$137="On"),Stedman!$N$16,0)+IF(AND('rates, dates, etc'!$B$242="Contract College",'rates, dates, etc'!$B$243="On"),'Co PI 2'!$N$16,0)+IF(AND('rates, dates, etc'!$B$348="Contract College",'rates, dates, etc'!$B$349="On"),'Co PI 3'!$N$16,0)+IF(AND('rates, dates, etc'!$B$454="Contract College",'rates, dates, etc'!$B$455="On"),'Co-PI Budget (4)'!$N$16,0)+IF(AND('rates, dates, etc'!$B$560="Contract College",'rates, dates, etc'!$B$561="On"),'Co-PI Budget (5)'!$N$16,0)</f>
        <v>0</v>
      </c>
      <c r="R70" s="49">
        <f>+L70-(SUM(M70:Q70))</f>
        <v>0</v>
      </c>
      <c r="S70" s="94">
        <f>+'Budget Summary'!F94</f>
        <v>0</v>
      </c>
      <c r="T70" s="490">
        <f t="shared" si="7"/>
        <v>0</v>
      </c>
      <c r="U70" s="47"/>
    </row>
    <row r="71" spans="1:21" x14ac:dyDescent="0.25">
      <c r="A71" s="600">
        <v>5</v>
      </c>
      <c r="B71" s="534">
        <f t="shared" ref="B71:G71" si="34">+L70-B70</f>
        <v>0</v>
      </c>
      <c r="C71" s="534">
        <f t="shared" si="34"/>
        <v>0</v>
      </c>
      <c r="D71" s="534">
        <f t="shared" si="34"/>
        <v>0</v>
      </c>
      <c r="E71" s="534">
        <f t="shared" si="34"/>
        <v>0</v>
      </c>
      <c r="F71" s="534">
        <f t="shared" si="34"/>
        <v>0</v>
      </c>
      <c r="G71" s="534">
        <f t="shared" si="34"/>
        <v>0</v>
      </c>
      <c r="H71" s="534">
        <f t="shared" si="9"/>
        <v>0</v>
      </c>
      <c r="I71" s="535"/>
      <c r="J71" s="65"/>
      <c r="K71" s="506">
        <v>5</v>
      </c>
      <c r="L71" s="61"/>
      <c r="M71" s="49"/>
      <c r="N71" s="49"/>
      <c r="O71" s="49"/>
      <c r="P71" s="49"/>
      <c r="Q71" s="49"/>
      <c r="R71" s="49"/>
      <c r="S71" s="94"/>
      <c r="T71" s="490">
        <f t="shared" si="7"/>
        <v>0</v>
      </c>
      <c r="U71" s="47"/>
    </row>
    <row r="72" spans="1:21" x14ac:dyDescent="0.25">
      <c r="A72" s="600">
        <v>5</v>
      </c>
      <c r="B72" s="534">
        <f t="shared" ref="B72:G72" si="35">ROUNDDOWN(L72*$L$40,0)</f>
        <v>0</v>
      </c>
      <c r="C72" s="534">
        <f t="shared" si="35"/>
        <v>0</v>
      </c>
      <c r="D72" s="534">
        <f t="shared" si="35"/>
        <v>0</v>
      </c>
      <c r="E72" s="534">
        <f t="shared" si="35"/>
        <v>0</v>
      </c>
      <c r="F72" s="534">
        <f t="shared" si="35"/>
        <v>0</v>
      </c>
      <c r="G72" s="534">
        <f t="shared" si="35"/>
        <v>0</v>
      </c>
      <c r="H72" s="534">
        <f t="shared" si="9"/>
        <v>0</v>
      </c>
      <c r="I72" s="535">
        <f>+H29+H30-'Budget Summary'!F96</f>
        <v>0</v>
      </c>
      <c r="J72" s="65" t="s">
        <v>210</v>
      </c>
      <c r="K72" s="506">
        <v>5</v>
      </c>
      <c r="L72" s="49">
        <f>IF(AND('rates, dates, etc'!$B$30="Endowed College",'rates, dates, etc'!$B$31="On"),'Lead Budget'!$F$56,0)+IF(AND('rates, dates, etc'!$B$136="Endowed College",'rates, dates, etc'!$B$137="On"),Stedman!$F$56,0)+IF(AND('rates, dates, etc'!$B$242="Endowed College",'rates, dates, etc'!$B$243="On"),'Co PI 2'!$F$56,0)+IF(AND('rates, dates, etc'!$B$348="Endowed College",'rates, dates, etc'!$B$349="On"),'Co PI 3'!$F$56,0)+IF(AND('rates, dates, etc'!$B$454="Endowed College",'rates, dates, etc'!$B$455="On"),'Co-PI Budget (4)'!$F$56,0)+IF(AND('rates, dates, etc'!$B$560="Endowed College",'rates, dates, etc'!$B$561="On"),'Co-PI Budget (5)'!$F$56,0)</f>
        <v>0</v>
      </c>
      <c r="M72" s="49">
        <f>IF(AND('rates, dates, etc'!$B$30="Endowed College",'rates, dates, etc'!$B$31="On"),'Lead Budget'!$F$33,0)+IF(AND('rates, dates, etc'!$B$136="Endowed College",'rates, dates, etc'!$B$137="On"),Stedman!$F$33,0)+IF(AND('rates, dates, etc'!$B$242="Endowed College",'rates, dates, etc'!$B$243="On"),'Co PI 2'!$F$33,0)+IF(AND('rates, dates, etc'!$B$348="Endowed College",'rates, dates, etc'!$B$349="On"),'Co PI 3'!$F$33,0)+IF(AND('rates, dates, etc'!$B$454="Endowed College",'rates, dates, etc'!$B$455="On"),'Co-PI Budget (4)'!$F$33,0)+IF(AND('rates, dates, etc'!$B$560="Endowed College",'rates, dates, etc'!$B$561="On"),'Co-PI Budget (5)'!$F$33,0)</f>
        <v>0</v>
      </c>
      <c r="N72" s="49">
        <f>IF(AND('rates, dates, etc'!$B$30="Endowed College",'rates, dates, etc'!$B$31="On"),'Lead Budget'!$F$44,0)+IF(AND('rates, dates, etc'!$B$136="Endowed College",'rates, dates, etc'!$B$137="On"),Stedman!$F$44,0)+IF(AND('rates, dates, etc'!$B$242="Endowed College",'rates, dates, etc'!$B$243="On"),'Co PI 2'!$F$44,0)+IF(AND('rates, dates, etc'!$B$348="Endowed College",'rates, dates, etc'!$B$349="On"),'Co PI 3'!$F$44,0)+IF(AND('rates, dates, etc'!$B$454="Endowed College",'rates, dates, etc'!$B$455="On"),'Co-PI Budget (4)'!$F$44,0)+IF(AND('rates, dates, etc'!$B$560="Endowed College",'rates, dates, etc'!$B$561="On"),'Co-PI Budget (5)'!$F$44,0)</f>
        <v>0</v>
      </c>
      <c r="O72" s="49">
        <f>IF(AND('rates, dates, etc'!$B$30="Endowed College",'rates, dates, etc'!$B$31="On"),'Lead Budget'!$F$63,0)+IF(AND('rates, dates, etc'!$B$136="Endowed College",'rates, dates, etc'!$B$137="On"),Stedman!$F$63,0)+IF(AND('rates, dates, etc'!$B$242="Endowed College",'rates, dates, etc'!$B$243="On"),'Co PI 2'!$F$63,0)+IF(AND('rates, dates, etc'!$B$348="Endowed College",'rates, dates, etc'!$B$349="On"),'Co PI 3'!$F$63,0)+IF(AND('rates, dates, etc'!$B$454="Endowed College",'rates, dates, etc'!$B$455="On"),'Co-PI Budget (4)'!$F$63,0)+IF(AND('rates, dates, etc'!$B$560="Endowed College",'rates, dates, etc'!$B$561="On"),'Co-PI Budget (5)'!$F$63,0)</f>
        <v>0</v>
      </c>
      <c r="P72" s="49">
        <f>IF(AND('rates, dates, etc'!$B$30="Endowed College",'rates, dates, etc'!$B$31="On"),'Lead Budget'!$N$15,0)+IF(AND('rates, dates, etc'!$B$136="Endowed College",'rates, dates, etc'!$B$137="On"),Stedman!$N$15,0)+IF(AND('rates, dates, etc'!$B$242="Endowed College",'rates, dates, etc'!$B$243="On"),'Co PI 2'!$N$15,0)+IF(AND('rates, dates, etc'!$B$348="Endowed College",'rates, dates, etc'!$B$349="On"),'Co PI 3'!$N$15,0)+IF(AND('rates, dates, etc'!$B$454="Endowed College",'rates, dates, etc'!$B$455="On"),'Co-PI Budget (4)'!$N$15,0)+IF(AND('rates, dates, etc'!$B$560="Endowed College",'rates, dates, etc'!$B$561="On"),'Co-PI Budget (5)'!$N$15,0)</f>
        <v>0</v>
      </c>
      <c r="Q72" s="49">
        <f>IF(AND('rates, dates, etc'!$B$30="Endowed College",'rates, dates, etc'!$B$31="On"),'Lead Budget'!$N$16,0)+IF(AND('rates, dates, etc'!$B$136="Endowed College",'rates, dates, etc'!$B$137="On"),Stedman!$N$16,0)+IF(AND('rates, dates, etc'!$B$242="Endowed College",'rates, dates, etc'!$B$243="On"),'Co PI 2'!$N$16,0)+IF(AND('rates, dates, etc'!$B$348="Endowed College",'rates, dates, etc'!$B$349="On"),'Co PI 3'!$N$16,0)+IF(AND('rates, dates, etc'!$B$454="Endowed College",'rates, dates, etc'!$B$455="On"),'Co-PI Budget (4)'!$N$16,0)+IF(AND('rates, dates, etc'!$B$560="Endowed College",'rates, dates, etc'!$B$561="On"),'Co-PI Budget (5)'!$N$16,0)</f>
        <v>0</v>
      </c>
      <c r="R72" s="49">
        <f t="shared" ref="R72:R74" si="36">+L72-(SUM(M72:Q72))</f>
        <v>0</v>
      </c>
      <c r="S72" s="94">
        <f>+'Budget Summary'!F96</f>
        <v>0</v>
      </c>
      <c r="T72" s="490">
        <f t="shared" si="7"/>
        <v>0</v>
      </c>
      <c r="U72" s="47"/>
    </row>
    <row r="73" spans="1:21" x14ac:dyDescent="0.25">
      <c r="A73" s="600">
        <v>5</v>
      </c>
      <c r="B73" s="534">
        <f t="shared" ref="B73:G73" si="37">+L72-B72</f>
        <v>0</v>
      </c>
      <c r="C73" s="534">
        <f t="shared" si="37"/>
        <v>0</v>
      </c>
      <c r="D73" s="534">
        <f t="shared" si="37"/>
        <v>0</v>
      </c>
      <c r="E73" s="534">
        <f t="shared" si="37"/>
        <v>0</v>
      </c>
      <c r="F73" s="534">
        <f t="shared" si="37"/>
        <v>0</v>
      </c>
      <c r="G73" s="534">
        <f t="shared" si="37"/>
        <v>0</v>
      </c>
      <c r="H73" s="534">
        <f t="shared" si="9"/>
        <v>0</v>
      </c>
      <c r="I73" s="535"/>
      <c r="J73" s="65"/>
      <c r="K73" s="506">
        <v>5</v>
      </c>
      <c r="L73" s="49"/>
      <c r="M73" s="49"/>
      <c r="N73" s="49"/>
      <c r="O73" s="49"/>
      <c r="P73" s="49"/>
      <c r="Q73" s="49"/>
      <c r="R73" s="49"/>
      <c r="S73" s="94"/>
      <c r="T73" s="490">
        <f t="shared" si="7"/>
        <v>0</v>
      </c>
      <c r="U73" s="47"/>
    </row>
    <row r="74" spans="1:21" x14ac:dyDescent="0.25">
      <c r="A74" s="600">
        <v>5</v>
      </c>
      <c r="B74" s="534">
        <f t="shared" ref="B74:G74" si="38">ROUNDDOWN(L74*$L$40,0)</f>
        <v>0</v>
      </c>
      <c r="C74" s="534">
        <f t="shared" si="38"/>
        <v>0</v>
      </c>
      <c r="D74" s="534">
        <f t="shared" si="38"/>
        <v>0</v>
      </c>
      <c r="E74" s="534">
        <f t="shared" si="38"/>
        <v>0</v>
      </c>
      <c r="F74" s="534">
        <f t="shared" si="38"/>
        <v>0</v>
      </c>
      <c r="G74" s="534">
        <f t="shared" si="38"/>
        <v>0</v>
      </c>
      <c r="H74" s="534">
        <f t="shared" si="9"/>
        <v>0</v>
      </c>
      <c r="I74" s="535">
        <f>+H31+H32-('Budget Summary'!F95+'Budget Summary'!F97)</f>
        <v>0</v>
      </c>
      <c r="J74" s="65" t="s">
        <v>211</v>
      </c>
      <c r="K74" s="506">
        <v>5</v>
      </c>
      <c r="L74" s="49">
        <f>IF(AND('rates, dates, etc'!$B$30="Contract College",'rates, dates, etc'!$B$31="Off"),'Lead Budget'!$F$56,0)+IF(AND('rates, dates, etc'!$B$136="Contract College",'rates, dates, etc'!$B$137="Off"),Stedman!$F$56,0)+IF(AND('rates, dates, etc'!$B$242="Contract College",'rates, dates, etc'!$B$243="Off"),'Co PI 2'!$F$56,0)+IF(AND('rates, dates, etc'!$B$348="Contract College",'rates, dates, etc'!$B$349="Off"),'Co PI 3'!$F$56,0)+IF(AND('rates, dates, etc'!$B$454="Contract College",'rates, dates, etc'!$B$455="Off"),'Co-PI Budget (4)'!$F$56,0)+IF(AND('rates, dates, etc'!$B$560="Contract College",'rates, dates, etc'!$B$561="Off"),'Co-PI Budget (5)'!$F$56,0)+IF(AND('rates, dates, etc'!$B$30="Endowed College",'rates, dates, etc'!$B$31="Off"),'Lead Budget'!$F$56,0)+IF(AND('rates, dates, etc'!$B$136="Endowed College",'rates, dates, etc'!$B$137="Off"),Stedman!$F$56,0)+IF(AND('rates, dates, etc'!$B$242="Endowed College",'rates, dates, etc'!$B$243="Off"),'Co PI 2'!$F$56,0)+IF(AND('rates, dates, etc'!$B$348="Endowed College",'rates, dates, etc'!$B$349="Off"),'Co PI 3'!$F$56,0)+IF(AND('rates, dates, etc'!$B$454="Endowed College",'rates, dates, etc'!$B$455="Off"),'Co-PI Budget (4)'!$F$56,0)+IF(AND('rates, dates, etc'!$B$560="Endowed College",'rates, dates, etc'!$B$561="Off"),'Co-PI Budget (5)'!$F$56,0)</f>
        <v>0</v>
      </c>
      <c r="M74" s="49">
        <f>IF(AND('rates, dates, etc'!$B$30="Contract College",'rates, dates, etc'!$B$31="Off"),'Lead Budget'!$F$33,0)+IF(AND('rates, dates, etc'!$B$136="Contract College",'rates, dates, etc'!$B$137="Off"),Stedman!$F$33,0)+IF(AND('rates, dates, etc'!$B$242="Contract College",'rates, dates, etc'!$B$243="Off"),'Co PI 2'!$F$33,0)+IF(AND('rates, dates, etc'!$B$348="Contract College",'rates, dates, etc'!$B$349="Off"),'Co PI 3'!$F$33,0)+IF(AND('rates, dates, etc'!$B$454="Contract College",'rates, dates, etc'!$B$455="Off"),'Co-PI Budget (4)'!$F$33,0)+IF(AND('rates, dates, etc'!$B$560="Contract College",'rates, dates, etc'!$B$561="Off"),'Co-PI Budget (5)'!$F$33,0)+IF(AND('rates, dates, etc'!$B$30="Endowed College",'rates, dates, etc'!$B$31="Off"),'Lead Budget'!$F$33,0)+IF(AND('rates, dates, etc'!$B$136="Endowed College",'rates, dates, etc'!$B$137="Off"),Stedman!$F$33,0)+IF(AND('rates, dates, etc'!$B$242="Endowed College",'rates, dates, etc'!$B$243="Off"),'Co PI 2'!$F$33,0)+IF(AND('rates, dates, etc'!$B$348="Endowed College",'rates, dates, etc'!$B$349="Off"),'Co PI 3'!$F$33,0)+IF(AND('rates, dates, etc'!$B$454="Endowed College",'rates, dates, etc'!$B$455="Off"),'Co-PI Budget (4)'!$F$33,0)+IF(AND('rates, dates, etc'!$B$560="Endowed College",'rates, dates, etc'!$B$561="Off"),'Co-PI Budget (5)'!$F$33,0)</f>
        <v>0</v>
      </c>
      <c r="N74" s="49">
        <f>IF(AND('rates, dates, etc'!$B$30="Contract College",'rates, dates, etc'!$B$31="Off"),'Lead Budget'!$F$44,0)+IF(AND('rates, dates, etc'!$B$136="Contract College",'rates, dates, etc'!$B$137="Off"),Stedman!$F$44,0)+IF(AND('rates, dates, etc'!$B$242="Contract College",'rates, dates, etc'!$B$243="Off"),'Co PI 2'!$F$44,0)+IF(AND('rates, dates, etc'!$B$348="Contract College",'rates, dates, etc'!$B$349="Off"),'Co PI 3'!$F$44,0)+IF(AND('rates, dates, etc'!$B$454="Contract College",'rates, dates, etc'!$B$455="Off"),'Co-PI Budget (4)'!$F$44,0)+IF(AND('rates, dates, etc'!$B$560="Contract College",'rates, dates, etc'!$B$561="Off"),'Co-PI Budget (5)'!$F$44,0)+IF(AND('rates, dates, etc'!$B$30="Endowed College",'rates, dates, etc'!$B$31="Off"),'Lead Budget'!$F$44,0)+IF(AND('rates, dates, etc'!$B$136="Endowed College",'rates, dates, etc'!$B$137="Off"),Stedman!$F$44,0)+IF(AND('rates, dates, etc'!$B$242="Endowed College",'rates, dates, etc'!$B$243="Off"),'Co PI 2'!$F$44,0)+IF(AND('rates, dates, etc'!$B$348="Endowed College",'rates, dates, etc'!$B$349="Off"),'Co PI 3'!$F$44,0)+IF(AND('rates, dates, etc'!$B$454="Endowed College",'rates, dates, etc'!$B$455="Off"),'Co-PI Budget (4)'!$F$44,0)+IF(AND('rates, dates, etc'!$B$560="Endowed College",'rates, dates, etc'!$B$561="Off"),'Co-PI Budget (5)'!$F$44,0)</f>
        <v>0</v>
      </c>
      <c r="O74" s="49">
        <f>IF(AND('rates, dates, etc'!$B$30="Contract College",'rates, dates, etc'!$B$31="Off"),'Lead Budget'!$F$63,0)+IF(AND('rates, dates, etc'!$B$136="Contract College",'rates, dates, etc'!$B$137="Off"),Stedman!$F$63,0)+IF(AND('rates, dates, etc'!$B$242="Contract College",'rates, dates, etc'!$B$243="Off"),'Co PI 2'!$F$63,0)+IF(AND('rates, dates, etc'!$B$348="Contract College",'rates, dates, etc'!$B$349="Off"),'Co PI 3'!$F$63,0)+IF(AND('rates, dates, etc'!$B$454="Contract College",'rates, dates, etc'!$B$455="Off"),'Co-PI Budget (4)'!$F$63,0)+IF(AND('rates, dates, etc'!$B$560="Contract College",'rates, dates, etc'!$B$561="Off"),'Co-PI Budget (5)'!$F$63,0)+IF(AND('rates, dates, etc'!$B$30="Endowed College",'rates, dates, etc'!$B$31="Off"),'Lead Budget'!$F$63,0)+IF(AND('rates, dates, etc'!$B$136="Endowed College",'rates, dates, etc'!$B$137="Off"),Stedman!$F$63,0)+IF(AND('rates, dates, etc'!$B$242="Endowed College",'rates, dates, etc'!$B$243="Off"),'Co PI 2'!$F$63,0)+IF(AND('rates, dates, etc'!$B$348="Endowed College",'rates, dates, etc'!$B$349="Off"),'Co PI 3'!$F$63,0)+IF(AND('rates, dates, etc'!$B$454="Endowed College",'rates, dates, etc'!$B$455="Off"),'Co-PI Budget (4)'!$F$63,0)+IF(AND('rates, dates, etc'!$B$560="Endowed College",'rates, dates, etc'!$B$561="Off"),'Co-PI Budget (5)'!$F$63,0)</f>
        <v>0</v>
      </c>
      <c r="P74" s="49">
        <f>IF(AND('rates, dates, etc'!$B$30="Contract College",'rates, dates, etc'!$B$31="Off"),'Lead Budget'!$N$15,0)+IF(AND('rates, dates, etc'!$B$136="Contract College",'rates, dates, etc'!$B$137="Off"),Stedman!$N$15,0)+IF(AND('rates, dates, etc'!$B$242="Contract College",'rates, dates, etc'!$B$243="Off"),'Co PI 2'!$N$15,0)+IF(AND('rates, dates, etc'!$B$348="Contract College",'rates, dates, etc'!$B$349="Off"),'Co PI 3'!$N$15,0)+IF(AND('rates, dates, etc'!$B$454="Contract College",'rates, dates, etc'!$B$455="Off"),'Co-PI Budget (4)'!$N$15,0)+IF(AND('rates, dates, etc'!$B$560="Contract College",'rates, dates, etc'!$B$561="Off"),'Co-PI Budget (5)'!$N$15,0)+IF(AND('rates, dates, etc'!$B$30="Endowed College",'rates, dates, etc'!$B$31="Off"),'Lead Budget'!$N$15,0)+IF(AND('rates, dates, etc'!$B$136="Endowed College",'rates, dates, etc'!$B$137="Off"),Stedman!$N$15,0)+IF(AND('rates, dates, etc'!$B$242="Endowed College",'rates, dates, etc'!$B$243="Off"),'Co PI 2'!$N$15,0)+IF(AND('rates, dates, etc'!$B$348="Endowed College",'rates, dates, etc'!$B$349="Off"),'Co PI 3'!$N$15,0)+IF(AND('rates, dates, etc'!$B$454="Endowed College",'rates, dates, etc'!$B$455="Off"),'Co-PI Budget (4)'!$N$15,0)+IF(AND('rates, dates, etc'!$B$560="Endowed College",'rates, dates, etc'!$B$561="Off"),'Co-PI Budget (5)'!$N$15,0)</f>
        <v>0</v>
      </c>
      <c r="Q74" s="49">
        <f>IF(AND('rates, dates, etc'!$B$30="Contract College",'rates, dates, etc'!$B$31="Off"),'Lead Budget'!$N$16,0)+IF(AND('rates, dates, etc'!$B$136="Contract College",'rates, dates, etc'!$B$137="Off"),Stedman!$N$16,0)+IF(AND('rates, dates, etc'!$B$242="Contract College",'rates, dates, etc'!$B$243="Off"),'Co PI 2'!$N$16,0)+IF(AND('rates, dates, etc'!$B$348="Contract College",'rates, dates, etc'!$B$349="Off"),'Co PI 3'!$N$16,0)+IF(AND('rates, dates, etc'!$B$454="Contract College",'rates, dates, etc'!$B$455="Off"),'Co-PI Budget (4)'!$N$16,0)+IF(AND('rates, dates, etc'!$B$560="Contract College",'rates, dates, etc'!$B$561="Off"),'Co-PI Budget (5)'!$N$16,0)+IF(AND('rates, dates, etc'!$B$30="Endowed College",'rates, dates, etc'!$B$31="Off"),'Lead Budget'!$N$16,0)+IF(AND('rates, dates, etc'!$B$136="Endowed College",'rates, dates, etc'!$B$137="Off"),Stedman!$N$16,0)+IF(AND('rates, dates, etc'!$B$242="Endowed College",'rates, dates, etc'!$B$243="Off"),'Co PI 2'!$N$16,0)+IF(AND('rates, dates, etc'!$B$348="Endowed College",'rates, dates, etc'!$B$349="Off"),'Co PI 3'!$N$16,0)+IF(AND('rates, dates, etc'!$B$454="Endowed College",'rates, dates, etc'!$B$455="Off"),'Co-PI Budget (4)'!$N$16,0)+IF(AND('rates, dates, etc'!$B$560="Endowed College",'rates, dates, etc'!$B$561="Off"),'Co-PI Budget (5)'!$N$16,0)</f>
        <v>0</v>
      </c>
      <c r="R74" s="49">
        <f t="shared" si="36"/>
        <v>0</v>
      </c>
      <c r="S74" s="94">
        <f>+'Budget Summary'!F95+'Budget Summary'!F97</f>
        <v>0</v>
      </c>
      <c r="T74" s="490">
        <f t="shared" si="7"/>
        <v>0</v>
      </c>
      <c r="U74" s="47"/>
    </row>
    <row r="75" spans="1:21" x14ac:dyDescent="0.25">
      <c r="A75" s="600">
        <v>5</v>
      </c>
      <c r="B75" s="534">
        <f t="shared" ref="B75:G75" si="39">+L74-B74</f>
        <v>0</v>
      </c>
      <c r="C75" s="534">
        <f t="shared" si="39"/>
        <v>0</v>
      </c>
      <c r="D75" s="534">
        <f t="shared" si="39"/>
        <v>0</v>
      </c>
      <c r="E75" s="534">
        <f t="shared" si="39"/>
        <v>0</v>
      </c>
      <c r="F75" s="534">
        <f t="shared" si="39"/>
        <v>0</v>
      </c>
      <c r="G75" s="534">
        <f t="shared" si="39"/>
        <v>0</v>
      </c>
      <c r="H75" s="534">
        <f t="shared" si="9"/>
        <v>0</v>
      </c>
      <c r="I75" s="535"/>
      <c r="J75" s="513"/>
      <c r="K75" s="506">
        <v>5</v>
      </c>
      <c r="L75" s="49"/>
      <c r="M75" s="49"/>
      <c r="N75" s="49"/>
      <c r="O75" s="49"/>
      <c r="P75" s="49"/>
      <c r="Q75" s="49"/>
      <c r="R75" s="49"/>
      <c r="S75" s="94"/>
      <c r="T75" s="47"/>
      <c r="U75" s="47"/>
    </row>
    <row r="76" spans="1:21" ht="15.75" thickBot="1" x14ac:dyDescent="0.3">
      <c r="A76" s="61"/>
      <c r="B76" s="601">
        <f>SUM(B46:B75)</f>
        <v>206972</v>
      </c>
      <c r="C76" s="601">
        <f t="shared" ref="C76:H76" si="40">SUM(C46:C75)</f>
        <v>0</v>
      </c>
      <c r="D76" s="601">
        <f t="shared" si="40"/>
        <v>0</v>
      </c>
      <c r="E76" s="601">
        <f t="shared" si="40"/>
        <v>0</v>
      </c>
      <c r="F76" s="601">
        <f t="shared" si="40"/>
        <v>0</v>
      </c>
      <c r="G76" s="601">
        <f t="shared" si="40"/>
        <v>0</v>
      </c>
      <c r="H76" s="601">
        <f t="shared" si="40"/>
        <v>206972</v>
      </c>
      <c r="I76" s="126"/>
      <c r="J76" s="505"/>
      <c r="K76" s="49"/>
      <c r="L76" s="540">
        <f>SUM(L46:L75)</f>
        <v>206972</v>
      </c>
      <c r="M76" s="540">
        <f t="shared" ref="M76:S76" si="41">SUM(M46:M75)</f>
        <v>0</v>
      </c>
      <c r="N76" s="540">
        <f t="shared" si="41"/>
        <v>0</v>
      </c>
      <c r="O76" s="540">
        <f t="shared" si="41"/>
        <v>0</v>
      </c>
      <c r="P76" s="540">
        <f t="shared" si="41"/>
        <v>0</v>
      </c>
      <c r="Q76" s="540">
        <f t="shared" si="41"/>
        <v>0</v>
      </c>
      <c r="R76" s="540">
        <f t="shared" si="41"/>
        <v>206972</v>
      </c>
      <c r="S76" s="547">
        <f t="shared" si="41"/>
        <v>206972</v>
      </c>
      <c r="T76" s="47"/>
      <c r="U76" s="47"/>
    </row>
    <row r="77" spans="1:21" ht="15.75" thickTop="1" x14ac:dyDescent="0.2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</row>
    <row r="78" spans="1:21" x14ac:dyDescent="0.2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</row>
    <row r="79" spans="1:21" x14ac:dyDescent="0.25">
      <c r="F79" s="417"/>
      <c r="G79" s="417"/>
      <c r="H79" s="417"/>
      <c r="I79" s="4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9.9978637043366805E-2"/>
    <pageSetUpPr fitToPage="1"/>
  </sheetPr>
  <dimension ref="A1:O171"/>
  <sheetViews>
    <sheetView tabSelected="1" topLeftCell="A62" zoomScale="154" zoomScaleNormal="154" workbookViewId="0">
      <selection activeCell="A45" sqref="A45:XFD60"/>
    </sheetView>
  </sheetViews>
  <sheetFormatPr defaultColWidth="9.28515625" defaultRowHeight="11.25" x14ac:dyDescent="0.2"/>
  <cols>
    <col min="1" max="1" width="33.28515625" style="2" customWidth="1"/>
    <col min="2" max="6" width="9" style="2" customWidth="1"/>
    <col min="7" max="7" width="9" style="3" customWidth="1"/>
    <col min="8" max="8" width="11" style="3" customWidth="1"/>
    <col min="9" max="9" width="29.28515625" style="3" customWidth="1"/>
    <col min="10" max="11" width="9.7109375" style="3" customWidth="1"/>
    <col min="12" max="13" width="9.7109375" style="2" customWidth="1"/>
    <col min="14" max="16384" width="9.28515625" style="2"/>
  </cols>
  <sheetData>
    <row r="1" spans="1:8" ht="12.75" x14ac:dyDescent="0.2">
      <c r="A1" s="1" t="str">
        <f>+'rates, dates, etc'!B4</f>
        <v>Assessing the Potential for Demand Response to Manage Generation Shortfalls in a Zero-Carbon Electricity Grid”</v>
      </c>
      <c r="D1" s="87"/>
    </row>
    <row r="2" spans="1:8" ht="12.75" x14ac:dyDescent="0.2">
      <c r="A2" s="1" t="str">
        <f>+'rates, dates, etc'!B3</f>
        <v>USDA</v>
      </c>
      <c r="H2" s="87"/>
    </row>
    <row r="3" spans="1:8" ht="12.75" customHeight="1" thickBot="1" x14ac:dyDescent="0.25"/>
    <row r="4" spans="1:8" x14ac:dyDescent="0.2">
      <c r="A4" s="4" t="s">
        <v>0</v>
      </c>
      <c r="B4" s="5" t="s">
        <v>1</v>
      </c>
      <c r="C4" s="5" t="s">
        <v>2</v>
      </c>
      <c r="D4" s="5" t="s">
        <v>3</v>
      </c>
      <c r="E4" s="5" t="s">
        <v>44</v>
      </c>
      <c r="F4" s="5" t="s">
        <v>50</v>
      </c>
      <c r="G4" s="23"/>
    </row>
    <row r="5" spans="1:8" ht="12" thickBot="1" x14ac:dyDescent="0.25">
      <c r="A5" s="4" t="str">
        <f>CONCATENATE("PI: ",'rates, dates, etc'!B27)</f>
        <v>PI: Vivek Srikrishnan</v>
      </c>
      <c r="B5" s="6">
        <f>+'rates, dates, etc'!B5</f>
        <v>44927</v>
      </c>
      <c r="C5" s="6">
        <f>+B6+1</f>
        <v>45292</v>
      </c>
      <c r="D5" s="6">
        <f t="shared" ref="D5:F5" si="0">+C6+1</f>
        <v>45658</v>
      </c>
      <c r="E5" s="6">
        <f t="shared" si="0"/>
        <v>46023</v>
      </c>
      <c r="F5" s="6">
        <f t="shared" si="0"/>
        <v>46388</v>
      </c>
      <c r="G5" s="24"/>
    </row>
    <row r="6" spans="1:8" ht="12" thickBot="1" x14ac:dyDescent="0.25">
      <c r="A6" s="7" t="s">
        <v>4</v>
      </c>
      <c r="B6" s="8">
        <f>DATE(YEAR(B5), MONTH(B5) + 12, DAY(B5))-1</f>
        <v>45291</v>
      </c>
      <c r="C6" s="8">
        <f t="shared" ref="C6:F6" si="1">DATE(YEAR(C5), MONTH(C5) + 12, DAY(C5))-1</f>
        <v>45657</v>
      </c>
      <c r="D6" s="8">
        <f t="shared" si="1"/>
        <v>46022</v>
      </c>
      <c r="E6" s="8">
        <f t="shared" si="1"/>
        <v>46387</v>
      </c>
      <c r="F6" s="8">
        <f t="shared" si="1"/>
        <v>46752</v>
      </c>
      <c r="G6" s="25" t="s">
        <v>5</v>
      </c>
    </row>
    <row r="7" spans="1:8" x14ac:dyDescent="0.2">
      <c r="A7" s="9" t="s">
        <v>141</v>
      </c>
      <c r="G7" s="26" t="s">
        <v>6</v>
      </c>
    </row>
    <row r="8" spans="1:8" x14ac:dyDescent="0.2">
      <c r="A8" s="10" t="str">
        <f>+'Lead Budget'!A8</f>
        <v>Vivek Srikrishnan</v>
      </c>
      <c r="B8" s="11">
        <f>+'Lead Budget'!B8</f>
        <v>5894</v>
      </c>
      <c r="C8" s="11">
        <f>+'Lead Budget'!C8</f>
        <v>6071</v>
      </c>
      <c r="D8" s="11">
        <f>+'Lead Budget'!D8</f>
        <v>0</v>
      </c>
      <c r="E8" s="11">
        <f>+'Lead Budget'!E8</f>
        <v>0</v>
      </c>
      <c r="F8" s="11">
        <f>+'Lead Budget'!F8</f>
        <v>0</v>
      </c>
      <c r="G8" s="27">
        <f>SUM(B8:F8)</f>
        <v>11965</v>
      </c>
    </row>
    <row r="9" spans="1:8" x14ac:dyDescent="0.2">
      <c r="A9" s="10" t="str">
        <f>+'Lead Budget'!A9</f>
        <v>S. Steinschneider</v>
      </c>
      <c r="B9" s="11">
        <f>+'Lead Budget'!B9</f>
        <v>3229</v>
      </c>
      <c r="C9" s="11">
        <f>+'Lead Budget'!C9</f>
        <v>3325</v>
      </c>
      <c r="D9" s="11">
        <f>+'Lead Budget'!D9</f>
        <v>0</v>
      </c>
      <c r="E9" s="11">
        <f>+'Lead Budget'!E9</f>
        <v>0</v>
      </c>
      <c r="F9" s="11">
        <f>+'Lead Budget'!F9</f>
        <v>0</v>
      </c>
      <c r="G9" s="27">
        <f t="shared" ref="G9:G11" si="2">SUM(B9:F9)</f>
        <v>6554</v>
      </c>
    </row>
    <row r="10" spans="1:8" x14ac:dyDescent="0.2">
      <c r="A10" s="10" t="str">
        <f>+'Lead Budget'!A10</f>
        <v>Co-PI</v>
      </c>
      <c r="B10" s="11">
        <f>+'Lead Budget'!B10</f>
        <v>0</v>
      </c>
      <c r="C10" s="11">
        <f>+'Lead Budget'!C10</f>
        <v>0</v>
      </c>
      <c r="D10" s="11">
        <f>+'Lead Budget'!D10</f>
        <v>0</v>
      </c>
      <c r="E10" s="11">
        <f>+'Lead Budget'!E10</f>
        <v>0</v>
      </c>
      <c r="F10" s="11">
        <f>+'Lead Budget'!F10</f>
        <v>0</v>
      </c>
      <c r="G10" s="27">
        <f t="shared" ref="G10" si="3">SUM(B10:F10)</f>
        <v>0</v>
      </c>
    </row>
    <row r="11" spans="1:8" x14ac:dyDescent="0.2">
      <c r="A11" s="10" t="str">
        <f>+Stedman!A8</f>
        <v>R Stedman</v>
      </c>
      <c r="B11" s="11">
        <f>+Stedman!B8</f>
        <v>3428</v>
      </c>
      <c r="C11" s="11">
        <f>+Stedman!C8</f>
        <v>6179</v>
      </c>
      <c r="D11" s="11">
        <f>+Stedman!D8</f>
        <v>0</v>
      </c>
      <c r="E11" s="11">
        <f>+Stedman!E8</f>
        <v>0</v>
      </c>
      <c r="F11" s="11">
        <f>+Stedman!F8</f>
        <v>0</v>
      </c>
      <c r="G11" s="27">
        <f t="shared" si="2"/>
        <v>9607</v>
      </c>
    </row>
    <row r="12" spans="1:8" x14ac:dyDescent="0.2">
      <c r="A12" s="10" t="str">
        <f>+Stedman!A9</f>
        <v>T. B. Lauber</v>
      </c>
      <c r="B12" s="11">
        <f>+Stedman!B9</f>
        <v>3422</v>
      </c>
      <c r="C12" s="11">
        <f>+Stedman!C9</f>
        <v>6055</v>
      </c>
      <c r="D12" s="11">
        <f>+Stedman!D9</f>
        <v>0</v>
      </c>
      <c r="E12" s="11">
        <f>+Stedman!E9</f>
        <v>0</v>
      </c>
      <c r="F12" s="11">
        <f>+Stedman!F9</f>
        <v>0</v>
      </c>
      <c r="G12" s="27">
        <f t="shared" ref="G12:G13" si="4">SUM(B12:F12)</f>
        <v>9477</v>
      </c>
    </row>
    <row r="13" spans="1:8" hidden="1" x14ac:dyDescent="0.2">
      <c r="A13" s="10" t="str">
        <f>+Stedman!A10</f>
        <v>Co-PI</v>
      </c>
      <c r="B13" s="11">
        <f>+Stedman!B10</f>
        <v>0</v>
      </c>
      <c r="C13" s="11">
        <f>+Stedman!C10</f>
        <v>0</v>
      </c>
      <c r="D13" s="11">
        <f>+Stedman!D10</f>
        <v>0</v>
      </c>
      <c r="E13" s="11">
        <f>+Stedman!E10</f>
        <v>0</v>
      </c>
      <c r="F13" s="11">
        <f>+Stedman!F10</f>
        <v>0</v>
      </c>
      <c r="G13" s="27">
        <f t="shared" si="4"/>
        <v>0</v>
      </c>
    </row>
    <row r="14" spans="1:8" hidden="1" x14ac:dyDescent="0.2">
      <c r="A14" s="10" t="str">
        <f>+'Co PI 2'!A8</f>
        <v>Co-PI</v>
      </c>
      <c r="B14" s="11">
        <f>+'Co PI 2'!B8</f>
        <v>0</v>
      </c>
      <c r="C14" s="11">
        <f>+'Co PI 2'!C8</f>
        <v>0</v>
      </c>
      <c r="D14" s="11">
        <f>+'Co PI 2'!D8</f>
        <v>0</v>
      </c>
      <c r="E14" s="11">
        <f>+'Co PI 2'!E8</f>
        <v>0</v>
      </c>
      <c r="F14" s="11">
        <f>+'Co PI 2'!F8</f>
        <v>0</v>
      </c>
      <c r="G14" s="27">
        <f>SUM(B14:F14)</f>
        <v>0</v>
      </c>
    </row>
    <row r="15" spans="1:8" hidden="1" x14ac:dyDescent="0.2">
      <c r="A15" s="10" t="str">
        <f>+'Co PI 2'!A9</f>
        <v>Co-PI</v>
      </c>
      <c r="B15" s="11">
        <f>+'Co PI 2'!B9</f>
        <v>0</v>
      </c>
      <c r="C15" s="11">
        <f>+'Co PI 2'!C9</f>
        <v>0</v>
      </c>
      <c r="D15" s="11">
        <f>+'Co PI 2'!D9</f>
        <v>0</v>
      </c>
      <c r="E15" s="11">
        <f>+'Co PI 2'!E9</f>
        <v>0</v>
      </c>
      <c r="F15" s="11">
        <f>+'Co PI 2'!F9</f>
        <v>0</v>
      </c>
      <c r="G15" s="27">
        <f>SUM(B15:F15)</f>
        <v>0</v>
      </c>
    </row>
    <row r="16" spans="1:8" hidden="1" x14ac:dyDescent="0.2">
      <c r="A16" s="10" t="str">
        <f>+'Co PI 2'!A10</f>
        <v>Co-PI</v>
      </c>
      <c r="B16" s="11">
        <f>+'Co PI 2'!B10</f>
        <v>0</v>
      </c>
      <c r="C16" s="11">
        <f>+'Co PI 2'!C10</f>
        <v>0</v>
      </c>
      <c r="D16" s="11">
        <f>+'Co PI 2'!D10</f>
        <v>0</v>
      </c>
      <c r="E16" s="11">
        <f>+'Co PI 2'!E10</f>
        <v>0</v>
      </c>
      <c r="F16" s="11">
        <f>+'Co PI 2'!F10</f>
        <v>0</v>
      </c>
      <c r="G16" s="27">
        <f>SUM(B16:F16)</f>
        <v>0</v>
      </c>
    </row>
    <row r="17" spans="1:14" hidden="1" x14ac:dyDescent="0.2">
      <c r="A17" s="10" t="str">
        <f>+'Co PI 3'!A8</f>
        <v>Co-PI</v>
      </c>
      <c r="B17" s="11">
        <f>+'Co PI 3'!B8</f>
        <v>0</v>
      </c>
      <c r="C17" s="11">
        <f>+'Co PI 3'!C8</f>
        <v>0</v>
      </c>
      <c r="D17" s="11">
        <f>+'Co PI 3'!D8</f>
        <v>0</v>
      </c>
      <c r="E17" s="11">
        <f>+'Co PI 3'!E8</f>
        <v>0</v>
      </c>
      <c r="F17" s="11">
        <f>+'Co PI 3'!F8</f>
        <v>0</v>
      </c>
      <c r="G17" s="27">
        <f>SUM(B17:F17)</f>
        <v>0</v>
      </c>
    </row>
    <row r="18" spans="1:14" hidden="1" x14ac:dyDescent="0.2">
      <c r="A18" s="10" t="str">
        <f>+'Co PI 3'!A9</f>
        <v>Co-PI</v>
      </c>
      <c r="B18" s="11">
        <f>+'Co PI 3'!B9</f>
        <v>0</v>
      </c>
      <c r="C18" s="11">
        <f>+'Co PI 3'!C9</f>
        <v>0</v>
      </c>
      <c r="D18" s="11">
        <f>+'Co PI 3'!D9</f>
        <v>0</v>
      </c>
      <c r="E18" s="11">
        <f>+'Co PI 3'!E9</f>
        <v>0</v>
      </c>
      <c r="F18" s="11">
        <f>+'Co PI 3'!F9</f>
        <v>0</v>
      </c>
      <c r="G18" s="27">
        <f t="shared" ref="G18:G28" si="5">SUM(B18:F18)</f>
        <v>0</v>
      </c>
    </row>
    <row r="19" spans="1:14" hidden="1" x14ac:dyDescent="0.2">
      <c r="A19" s="10" t="str">
        <f>+'Co PI 3'!A10</f>
        <v>Co-PI</v>
      </c>
      <c r="B19" s="11">
        <f>+'Co PI 3'!B10</f>
        <v>0</v>
      </c>
      <c r="C19" s="11">
        <f>+'Co PI 3'!C10</f>
        <v>0</v>
      </c>
      <c r="D19" s="11">
        <f>+'Co PI 3'!D10</f>
        <v>0</v>
      </c>
      <c r="E19" s="11">
        <f>+'Co PI 3'!E10</f>
        <v>0</v>
      </c>
      <c r="F19" s="11">
        <f>+'Co PI 3'!F10</f>
        <v>0</v>
      </c>
      <c r="G19" s="27">
        <f t="shared" si="5"/>
        <v>0</v>
      </c>
    </row>
    <row r="20" spans="1:14" hidden="1" x14ac:dyDescent="0.2">
      <c r="A20" s="10" t="str">
        <f>+'Co-PI Budget (4)'!A8</f>
        <v>Co-PI</v>
      </c>
      <c r="B20" s="11">
        <f>+'Co-PI Budget (4)'!B8</f>
        <v>0</v>
      </c>
      <c r="C20" s="11">
        <f>+'Co-PI Budget (4)'!C8</f>
        <v>0</v>
      </c>
      <c r="D20" s="11">
        <f>+'Co-PI Budget (4)'!D8</f>
        <v>0</v>
      </c>
      <c r="E20" s="11">
        <f>+'Co-PI Budget (4)'!E8</f>
        <v>0</v>
      </c>
      <c r="F20" s="11">
        <f>+'Co-PI Budget (4)'!F8</f>
        <v>0</v>
      </c>
      <c r="G20" s="27">
        <f t="shared" si="5"/>
        <v>0</v>
      </c>
    </row>
    <row r="21" spans="1:14" hidden="1" x14ac:dyDescent="0.2">
      <c r="A21" s="10" t="str">
        <f>+'Co-PI Budget (4)'!A9</f>
        <v>Co-PI</v>
      </c>
      <c r="B21" s="11">
        <f>+'Co-PI Budget (4)'!B9</f>
        <v>0</v>
      </c>
      <c r="C21" s="11">
        <f>+'Co-PI Budget (4)'!C9</f>
        <v>0</v>
      </c>
      <c r="D21" s="11">
        <f>+'Co-PI Budget (4)'!D9</f>
        <v>0</v>
      </c>
      <c r="E21" s="11">
        <f>+'Co-PI Budget (4)'!E9</f>
        <v>0</v>
      </c>
      <c r="F21" s="11">
        <f>+'Co-PI Budget (4)'!F9</f>
        <v>0</v>
      </c>
      <c r="G21" s="27">
        <f t="shared" si="5"/>
        <v>0</v>
      </c>
    </row>
    <row r="22" spans="1:14" hidden="1" x14ac:dyDescent="0.2">
      <c r="A22" s="10" t="str">
        <f>+'Co-PI Budget (4)'!A10</f>
        <v>Co-PI</v>
      </c>
      <c r="B22" s="11">
        <f>+'Co-PI Budget (4)'!B10</f>
        <v>0</v>
      </c>
      <c r="C22" s="11">
        <f>+'Co-PI Budget (4)'!C10</f>
        <v>0</v>
      </c>
      <c r="D22" s="11">
        <f>+'Co-PI Budget (4)'!D10</f>
        <v>0</v>
      </c>
      <c r="E22" s="11">
        <f>+'Co-PI Budget (4)'!E10</f>
        <v>0</v>
      </c>
      <c r="F22" s="11">
        <f>+'Co-PI Budget (4)'!F10</f>
        <v>0</v>
      </c>
      <c r="G22" s="27">
        <f t="shared" si="5"/>
        <v>0</v>
      </c>
    </row>
    <row r="23" spans="1:14" hidden="1" x14ac:dyDescent="0.2">
      <c r="A23" s="10" t="str">
        <f>+'Co-PI Budget (5)'!A8</f>
        <v>Co-PI</v>
      </c>
      <c r="B23" s="11">
        <f>+'Co-PI Budget (5)'!B8</f>
        <v>0</v>
      </c>
      <c r="C23" s="11">
        <f>+'Co-PI Budget (5)'!C8</f>
        <v>0</v>
      </c>
      <c r="D23" s="11">
        <f>+'Co-PI Budget (5)'!D8</f>
        <v>0</v>
      </c>
      <c r="E23" s="11">
        <f>+'Co-PI Budget (5)'!E8</f>
        <v>0</v>
      </c>
      <c r="F23" s="11">
        <f>+'Co-PI Budget (5)'!F8</f>
        <v>0</v>
      </c>
      <c r="G23" s="27">
        <f t="shared" si="5"/>
        <v>0</v>
      </c>
    </row>
    <row r="24" spans="1:14" hidden="1" x14ac:dyDescent="0.2">
      <c r="A24" s="10" t="str">
        <f>+'Co-PI Budget (5)'!A9</f>
        <v>Co-PI</v>
      </c>
      <c r="B24" s="11">
        <f>+'Co-PI Budget (5)'!B9</f>
        <v>0</v>
      </c>
      <c r="C24" s="11">
        <f>+'Co-PI Budget (5)'!C9</f>
        <v>0</v>
      </c>
      <c r="D24" s="11">
        <f>+'Co-PI Budget (5)'!D9</f>
        <v>0</v>
      </c>
      <c r="E24" s="11">
        <f>+'Co-PI Budget (5)'!E9</f>
        <v>0</v>
      </c>
      <c r="F24" s="11">
        <f>+'Co-PI Budget (5)'!F9</f>
        <v>0</v>
      </c>
      <c r="G24" s="27">
        <f t="shared" si="5"/>
        <v>0</v>
      </c>
    </row>
    <row r="25" spans="1:14" hidden="1" x14ac:dyDescent="0.2">
      <c r="A25" s="10" t="str">
        <f>+'Co-PI Budget (5)'!A10</f>
        <v>Co-PI</v>
      </c>
      <c r="B25" s="11">
        <f>+'Co-PI Budget (5)'!B10</f>
        <v>0</v>
      </c>
      <c r="C25" s="11">
        <f>+'Co-PI Budget (5)'!C10</f>
        <v>0</v>
      </c>
      <c r="D25" s="11">
        <f>+'Co-PI Budget (5)'!D10</f>
        <v>0</v>
      </c>
      <c r="E25" s="11">
        <f>+'Co-PI Budget (5)'!E10</f>
        <v>0</v>
      </c>
      <c r="F25" s="11">
        <f>+'Co-PI Budget (5)'!F10</f>
        <v>0</v>
      </c>
      <c r="G25" s="27">
        <f t="shared" si="5"/>
        <v>0</v>
      </c>
    </row>
    <row r="26" spans="1:14" hidden="1" x14ac:dyDescent="0.2">
      <c r="A26" s="10" t="str">
        <f>+'Co-PI Budget (6)'!A8</f>
        <v>Co-PI</v>
      </c>
      <c r="B26" s="11">
        <f>+'Co-PI Budget (6)'!B8</f>
        <v>0</v>
      </c>
      <c r="C26" s="11">
        <f>+'Co-PI Budget (6)'!C8</f>
        <v>0</v>
      </c>
      <c r="D26" s="11">
        <f>+'Co-PI Budget (6)'!D8</f>
        <v>0</v>
      </c>
      <c r="E26" s="11">
        <f>+'Co-PI Budget (6)'!E8</f>
        <v>0</v>
      </c>
      <c r="F26" s="11">
        <f>+'Co-PI Budget (6)'!F8</f>
        <v>0</v>
      </c>
      <c r="G26" s="27">
        <f t="shared" si="5"/>
        <v>0</v>
      </c>
    </row>
    <row r="27" spans="1:14" hidden="1" x14ac:dyDescent="0.2">
      <c r="A27" s="10" t="str">
        <f>+'Co-PI Budget (6)'!A9</f>
        <v>Co-PI</v>
      </c>
      <c r="B27" s="11">
        <f>+'Co-PI Budget (6)'!B9</f>
        <v>0</v>
      </c>
      <c r="C27" s="11">
        <f>+'Co-PI Budget (6)'!C9</f>
        <v>0</v>
      </c>
      <c r="D27" s="11">
        <f>+'Co-PI Budget (6)'!D9</f>
        <v>0</v>
      </c>
      <c r="E27" s="11">
        <f>+'Co-PI Budget (6)'!E9</f>
        <v>0</v>
      </c>
      <c r="F27" s="11">
        <f>+'Co-PI Budget (6)'!F9</f>
        <v>0</v>
      </c>
      <c r="G27" s="27">
        <f t="shared" si="5"/>
        <v>0</v>
      </c>
    </row>
    <row r="28" spans="1:14" hidden="1" x14ac:dyDescent="0.2">
      <c r="A28" s="10" t="str">
        <f>+'Co-PI Budget (6)'!A10</f>
        <v>Co-PI</v>
      </c>
      <c r="B28" s="11">
        <f>+'Co-PI Budget (6)'!B10</f>
        <v>0</v>
      </c>
      <c r="C28" s="11">
        <f>+'Co-PI Budget (6)'!C10</f>
        <v>0</v>
      </c>
      <c r="D28" s="11">
        <f>+'Co-PI Budget (6)'!D10</f>
        <v>0</v>
      </c>
      <c r="E28" s="11">
        <f>+'Co-PI Budget (6)'!E10</f>
        <v>0</v>
      </c>
      <c r="F28" s="11">
        <f>+'Co-PI Budget (6)'!F10</f>
        <v>0</v>
      </c>
      <c r="G28" s="27">
        <f t="shared" si="5"/>
        <v>0</v>
      </c>
    </row>
    <row r="29" spans="1:14" ht="12" thickBot="1" x14ac:dyDescent="0.25">
      <c r="A29" s="15" t="str">
        <f>CONCATENATE("Total ",A7)</f>
        <v>Total Senior Personnel</v>
      </c>
      <c r="B29" s="16">
        <f>SUM(B7:B28)</f>
        <v>15973</v>
      </c>
      <c r="C29" s="16">
        <f t="shared" ref="C29:F29" si="6">SUM(C7:C28)</f>
        <v>21630</v>
      </c>
      <c r="D29" s="16">
        <f t="shared" si="6"/>
        <v>0</v>
      </c>
      <c r="E29" s="16">
        <f t="shared" si="6"/>
        <v>0</v>
      </c>
      <c r="F29" s="16">
        <f t="shared" si="6"/>
        <v>0</v>
      </c>
      <c r="G29" s="28">
        <f>SUM(G7:G28)</f>
        <v>37603</v>
      </c>
    </row>
    <row r="30" spans="1:14" x14ac:dyDescent="0.2">
      <c r="A30" s="14" t="s">
        <v>142</v>
      </c>
      <c r="G30" s="27"/>
    </row>
    <row r="31" spans="1:14" ht="12" thickBot="1" x14ac:dyDescent="0.25">
      <c r="A31" s="10" t="str">
        <f>+'Lead Budget'!A13</f>
        <v>Post Doctoral Scholar(s)</v>
      </c>
      <c r="B31" s="13">
        <f>+'Lead Budget'!B13+Stedman!B13+'Co PI 2'!B13+'Co PI 3'!B13+'Co-PI Budget (4)'!B13+'Co-PI Budget (5)'!B13+'Co-PI Budget (6)'!B13</f>
        <v>23250</v>
      </c>
      <c r="C31" s="13">
        <f>+'Lead Budget'!C13+Stedman!C13+'Co PI 2'!C13+'Co PI 3'!C13+'Co-PI Budget (4)'!C13+'Co-PI Budget (5)'!C13+'Co-PI Budget (6)'!C13</f>
        <v>24064</v>
      </c>
      <c r="D31" s="13">
        <f>+'Lead Budget'!D13+Stedman!D13+'Co PI 2'!D13+'Co PI 3'!D13+'Co-PI Budget (4)'!D13+'Co-PI Budget (5)'!D13+'Co-PI Budget (6)'!D13</f>
        <v>0</v>
      </c>
      <c r="E31" s="13">
        <f>+'Lead Budget'!E13+Stedman!E13+'Co PI 2'!E13+'Co PI 3'!E13+'Co-PI Budget (4)'!E13+'Co-PI Budget (5)'!E13+'Co-PI Budget (6)'!E13</f>
        <v>0</v>
      </c>
      <c r="F31" s="13">
        <f>+'Lead Budget'!F13+Stedman!F13+'Co PI 2'!F13+'Co PI 3'!F13+'Co-PI Budget (4)'!F13+'Co-PI Budget (5)'!F13+'Co-PI Budget (6)'!F13</f>
        <v>0</v>
      </c>
      <c r="G31" s="27">
        <f t="shared" ref="G31:G35" si="7">SUM(B31:F31)</f>
        <v>47314</v>
      </c>
      <c r="I31" s="67" t="s">
        <v>86</v>
      </c>
      <c r="J31" s="31" t="str">
        <f>+'rates, dates, etc'!B103</f>
        <v>Year 1</v>
      </c>
      <c r="K31" s="31" t="str">
        <f>+'rates, dates, etc'!C103</f>
        <v>Year 2</v>
      </c>
      <c r="L31" s="31" t="str">
        <f>+'rates, dates, etc'!D103</f>
        <v>Year 3</v>
      </c>
      <c r="M31" s="31" t="str">
        <f>+'rates, dates, etc'!E103</f>
        <v>Year 4</v>
      </c>
      <c r="N31" s="31" t="str">
        <f>+'rates, dates, etc'!F103</f>
        <v>Year 5</v>
      </c>
    </row>
    <row r="32" spans="1:14" x14ac:dyDescent="0.2">
      <c r="A32" s="10" t="str">
        <f>+'Lead Budget'!A14</f>
        <v>Research Associate (KB Walsh)</v>
      </c>
      <c r="B32" s="13">
        <f>+'Lead Budget'!B14+Stedman!B14+'Co PI 2'!B14+'Co PI 3'!B14+'Co-PI Budget (4)'!B14+'Co-PI Budget (5)'!B14+'Co-PI Budget (6)'!B14</f>
        <v>10068</v>
      </c>
      <c r="C32" s="13">
        <f>+'Lead Budget'!C14+Stedman!C14+'Co PI 2'!C14+'Co PI 3'!C14+'Co-PI Budget (4)'!C14+'Co-PI Budget (5)'!C14+'Co-PI Budget (6)'!C14</f>
        <v>12978</v>
      </c>
      <c r="D32" s="13">
        <f>+'Lead Budget'!D14+Stedman!D14+'Co PI 2'!D14+'Co PI 3'!D14+'Co-PI Budget (4)'!D14+'Co-PI Budget (5)'!D14+'Co-PI Budget (6)'!D14</f>
        <v>0</v>
      </c>
      <c r="E32" s="13">
        <f>+'Lead Budget'!E14+Stedman!E14+'Co PI 2'!E14+'Co PI 3'!E14+'Co-PI Budget (4)'!E14+'Co-PI Budget (5)'!E14+'Co-PI Budget (6)'!E14</f>
        <v>0</v>
      </c>
      <c r="F32" s="13">
        <f>+'Lead Budget'!F14+Stedman!F14+'Co PI 2'!F14+'Co PI 3'!F14+'Co-PI Budget (4)'!F14+'Co-PI Budget (5)'!F14+'Co-PI Budget (6)'!F14</f>
        <v>0</v>
      </c>
      <c r="G32" s="27">
        <f>SUM(B32:F32)</f>
        <v>23046</v>
      </c>
      <c r="I32" s="36" t="s">
        <v>32</v>
      </c>
      <c r="J32" s="37">
        <f>+'Lead Budget'!J13+Stedman!J13+'Co PI 2'!J13+'Co PI 3'!J13+'Co-PI Budget (4)'!J13+'Co-PI Budget (5)'!J13</f>
        <v>0</v>
      </c>
      <c r="K32" s="37">
        <f>+'Lead Budget'!K13+Stedman!K13+'Co PI 2'!K13+'Co PI 3'!K13+'Co-PI Budget (4)'!K13+'Co-PI Budget (5)'!K13</f>
        <v>0</v>
      </c>
      <c r="L32" s="37">
        <f>+'Lead Budget'!L13+Stedman!L13+'Co PI 2'!L13+'Co PI 3'!L13+'Co-PI Budget (4)'!L13+'Co-PI Budget (5)'!L13</f>
        <v>0</v>
      </c>
      <c r="M32" s="37">
        <f>+'Lead Budget'!M13+Stedman!M13+'Co PI 2'!M13+'Co PI 3'!M13+'Co-PI Budget (4)'!M13+'Co-PI Budget (5)'!M13</f>
        <v>0</v>
      </c>
      <c r="N32" s="37">
        <f>+'Lead Budget'!N13+Stedman!N13+'Co PI 2'!N13+'Co PI 3'!N13+'Co-PI Budget (4)'!N13+'Co-PI Budget (5)'!N13</f>
        <v>0</v>
      </c>
    </row>
    <row r="33" spans="1:14" x14ac:dyDescent="0.2">
      <c r="A33" s="10" t="str">
        <f>+'Lead Budget'!A15</f>
        <v>Graduate Student(s)</v>
      </c>
      <c r="B33" s="13">
        <f>+'Lead Budget'!B15+Stedman!B15+'Co PI 2'!B15+'Co PI 3'!B15+'Co-PI Budget (4)'!B15+'Co-PI Budget (5)'!B15+'Co-PI Budget (6)'!B15</f>
        <v>0</v>
      </c>
      <c r="C33" s="13">
        <f>+'Lead Budget'!C15+Stedman!C15+'Co PI 2'!C15+'Co PI 3'!C15+'Co-PI Budget (4)'!C15+'Co-PI Budget (5)'!C15+'Co-PI Budget (6)'!C15</f>
        <v>0</v>
      </c>
      <c r="D33" s="13">
        <f>+'Lead Budget'!D15+Stedman!D15+'Co PI 2'!D15+'Co PI 3'!D15+'Co-PI Budget (4)'!D15+'Co-PI Budget (5)'!D15+'Co-PI Budget (6)'!D15</f>
        <v>0</v>
      </c>
      <c r="E33" s="13">
        <f>+'Lead Budget'!E15+Stedman!E15+'Co PI 2'!E15+'Co PI 3'!E15+'Co-PI Budget (4)'!E15+'Co-PI Budget (5)'!E15+'Co-PI Budget (6)'!E15</f>
        <v>0</v>
      </c>
      <c r="F33" s="13">
        <f>+'Lead Budget'!F15+Stedman!F15+'Co PI 2'!F15+'Co PI 3'!F15+'Co-PI Budget (4)'!F15+'Co-PI Budget (5)'!F15+'Co-PI Budget (6)'!F15</f>
        <v>0</v>
      </c>
      <c r="G33" s="27">
        <f t="shared" si="7"/>
        <v>0</v>
      </c>
      <c r="I33" s="10" t="s">
        <v>22</v>
      </c>
      <c r="J33" s="12">
        <f>+'Lead Budget'!J14+Stedman!J14+'Co PI 2'!J14+'Co PI 3'!J14+'Co-PI Budget (4)'!J14+'Co-PI Budget (5)'!J14</f>
        <v>0</v>
      </c>
      <c r="K33" s="12">
        <f>+'Lead Budget'!K14+Stedman!K14+'Co PI 2'!K14+'Co PI 3'!K14+'Co-PI Budget (4)'!K14+'Co-PI Budget (5)'!K14</f>
        <v>0</v>
      </c>
      <c r="L33" s="12">
        <f>+'Lead Budget'!L14+Stedman!L14+'Co PI 2'!L14+'Co PI 3'!L14+'Co-PI Budget (4)'!L14+'Co-PI Budget (5)'!L14</f>
        <v>0</v>
      </c>
      <c r="M33" s="12">
        <f>+'Lead Budget'!M14+Stedman!M14+'Co PI 2'!M14+'Co PI 3'!M14+'Co-PI Budget (4)'!M14+'Co-PI Budget (5)'!M14</f>
        <v>0</v>
      </c>
      <c r="N33" s="12">
        <f>+'Lead Budget'!N14+Stedman!N14+'Co PI 2'!N14+'Co PI 3'!N14+'Co-PI Budget (4)'!N14+'Co-PI Budget (5)'!N14</f>
        <v>0</v>
      </c>
    </row>
    <row r="34" spans="1:14" x14ac:dyDescent="0.2">
      <c r="A34" s="10" t="str">
        <f>+'Lead Budget'!A16</f>
        <v>Undergraduate Student(s)</v>
      </c>
      <c r="B34" s="13">
        <f>+'Lead Budget'!B16+Stedman!B16+'Co PI 2'!B16+'Co PI 3'!B16+'Co-PI Budget (4)'!B16+'Co-PI Budget (5)'!B16+'Co-PI Budget (6)'!B16</f>
        <v>0</v>
      </c>
      <c r="C34" s="13">
        <f>+'Lead Budget'!C16+Stedman!C16+'Co PI 2'!C16+'Co PI 3'!C16+'Co-PI Budget (4)'!C16+'Co-PI Budget (5)'!C16+'Co-PI Budget (6)'!C16</f>
        <v>0</v>
      </c>
      <c r="D34" s="13">
        <f>+'Lead Budget'!D16+Stedman!D16+'Co PI 2'!D16+'Co PI 3'!D16+'Co-PI Budget (4)'!D16+'Co-PI Budget (5)'!D16+'Co-PI Budget (6)'!D16</f>
        <v>0</v>
      </c>
      <c r="E34" s="13">
        <f>+'Lead Budget'!E16+Stedman!E16+'Co PI 2'!E16+'Co PI 3'!E16+'Co-PI Budget (4)'!E16+'Co-PI Budget (5)'!E16+'Co-PI Budget (6)'!E16</f>
        <v>0</v>
      </c>
      <c r="F34" s="13">
        <f>+'Lead Budget'!F16+Stedman!F16+'Co PI 2'!F16+'Co PI 3'!F16+'Co-PI Budget (4)'!F16+'Co-PI Budget (5)'!F16+'Co-PI Budget (6)'!F16</f>
        <v>0</v>
      </c>
      <c r="G34" s="27">
        <f t="shared" si="7"/>
        <v>0</v>
      </c>
      <c r="I34" s="10" t="s">
        <v>8</v>
      </c>
      <c r="J34" s="12">
        <f>+'Lead Budget'!$J$15+Stedman!$J$15+'Co PI 2'!$J$15+'Co PI 3'!$J$15+'Co-PI Budget (4)'!$J$15+'Co-PI Budget (5)'!$J$15</f>
        <v>0</v>
      </c>
      <c r="K34" s="12">
        <f>+'Lead Budget'!$K$15+Stedman!$K$15+'Co PI 2'!$K$15+'Co PI 3'!$K$15+'Co-PI Budget (4)'!$K$15+'Co-PI Budget (5)'!$K$15</f>
        <v>0</v>
      </c>
      <c r="L34" s="12">
        <f>+'Lead Budget'!$L$15+Stedman!$L$15+'Co PI 2'!$L$15+'Co PI 3'!$L$15+'Co-PI Budget (4)'!$L$15+'Co-PI Budget (5)'!$L$15</f>
        <v>0</v>
      </c>
      <c r="M34" s="12">
        <f>+'Lead Budget'!$M$15+Stedman!$M$15+'Co PI 2'!$M$15+'Co PI 3'!$M$15+'Co-PI Budget (4)'!$M$15+'Co-PI Budget (5)'!$M$15</f>
        <v>0</v>
      </c>
      <c r="N34" s="12">
        <f>+'Lead Budget'!$N$15+Stedman!$N$15+'Co PI 2'!$N$15+'Co PI 3'!$N$15+'Co-PI Budget (4)'!$N$15+'Co-PI Budget (5)'!$N$15</f>
        <v>0</v>
      </c>
    </row>
    <row r="35" spans="1:14" x14ac:dyDescent="0.2">
      <c r="A35" s="10" t="str">
        <f>+'Lead Budget'!A17</f>
        <v>Research Associate: Sungwook Wi</v>
      </c>
      <c r="B35" s="13">
        <f>+'Lead Budget'!B17+Stedman!B17+'Co PI 2'!B17+'Co PI 3'!B17+'Co-PI Budget (4)'!B17+'Co-PI Budget (5)'!B17+'Co-PI Budget (6)'!B17</f>
        <v>10382</v>
      </c>
      <c r="C35" s="13">
        <f>+'Lead Budget'!C17+Stedman!C17+'Co PI 2'!C17+'Co PI 3'!C17+'Co-PI Budget (4)'!C17+'Co-PI Budget (5)'!C17+'Co-PI Budget (6)'!C17</f>
        <v>0</v>
      </c>
      <c r="D35" s="13">
        <f>+'Lead Budget'!D17+Stedman!D17+'Co PI 2'!D17+'Co PI 3'!D17+'Co-PI Budget (4)'!D17+'Co-PI Budget (5)'!D17+'Co-PI Budget (6)'!D17</f>
        <v>0</v>
      </c>
      <c r="E35" s="13">
        <f>+'Lead Budget'!E17+Stedman!E17+'Co PI 2'!E17+'Co PI 3'!E17+'Co-PI Budget (4)'!E17+'Co-PI Budget (5)'!E17+'Co-PI Budget (6)'!E17</f>
        <v>0</v>
      </c>
      <c r="F35" s="13">
        <f>+'Lead Budget'!F17+Stedman!F17+'Co PI 2'!F17+'Co PI 3'!F17+'Co-PI Budget (4)'!F17+'Co-PI Budget (5)'!F17+'Co-PI Budget (6)'!F17</f>
        <v>0</v>
      </c>
      <c r="G35" s="27">
        <f t="shared" si="7"/>
        <v>10382</v>
      </c>
      <c r="I35" s="10" t="s">
        <v>9</v>
      </c>
      <c r="J35" s="12">
        <f>+'Lead Budget'!$J$16+Stedman!$J$16+'Co PI 2'!$J$16+'Co PI 3'!$J$16+'Co-PI Budget (4)'!$J$16+'Co-PI Budget (5)'!$J$16</f>
        <v>0</v>
      </c>
      <c r="K35" s="12">
        <f>+'Lead Budget'!$K$16+Stedman!$K$16+'Co PI 2'!$K$16+'Co PI 3'!$K$16+'Co-PI Budget (4)'!$K$16+'Co-PI Budget (5)'!$K$16</f>
        <v>0</v>
      </c>
      <c r="L35" s="12">
        <f>+'Lead Budget'!$L$16+Stedman!$L$16+'Co PI 2'!$L$16+'Co PI 3'!$L$16+'Co-PI Budget (4)'!$L$16+'Co-PI Budget (5)'!$L$16</f>
        <v>0</v>
      </c>
      <c r="M35" s="12">
        <f>+'Lead Budget'!$M$16+Stedman!$M$16+'Co PI 2'!$M$16+'Co PI 3'!$M$16+'Co-PI Budget (4)'!$M$16+'Co-PI Budget (5)'!$M$16</f>
        <v>0</v>
      </c>
      <c r="N35" s="12">
        <f>+'Lead Budget'!$N$16+Stedman!$N$16+'Co PI 2'!$N$16+'Co PI 3'!$N$16+'Co-PI Budget (4)'!$N$16+'Co-PI Budget (5)'!$N$16</f>
        <v>0</v>
      </c>
    </row>
    <row r="36" spans="1:14" ht="12" thickBot="1" x14ac:dyDescent="0.25">
      <c r="A36" s="10" t="str">
        <f>+'Lead Budget'!A18</f>
        <v>Other - Temp Employee (Endowed)</v>
      </c>
      <c r="B36" s="13">
        <f>+'Lead Budget'!B18+Stedman!B18+'Co PI 2'!B18+'Co PI 3'!B18+'Co-PI Budget (4)'!B18+'Co-PI Budget (5)'!B18+'Co-PI Budget (6)'!B18</f>
        <v>0</v>
      </c>
      <c r="C36" s="13">
        <f>+'Lead Budget'!C18+Stedman!C18+'Co PI 2'!C18+'Co PI 3'!C18+'Co-PI Budget (4)'!C18+'Co-PI Budget (5)'!C18+'Co-PI Budget (6)'!C18</f>
        <v>0</v>
      </c>
      <c r="D36" s="13">
        <f>+'Lead Budget'!D18+Stedman!D18+'Co PI 2'!D18+'Co PI 3'!D18+'Co-PI Budget (4)'!D18+'Co-PI Budget (5)'!D18+'Co-PI Budget (6)'!D18</f>
        <v>0</v>
      </c>
      <c r="E36" s="13">
        <f>+'Lead Budget'!E18+Stedman!E18+'Co PI 2'!E18+'Co PI 3'!E18+'Co-PI Budget (4)'!E18+'Co-PI Budget (5)'!E18+'Co-PI Budget (6)'!E18</f>
        <v>0</v>
      </c>
      <c r="F36" s="13">
        <f>+'Lead Budget'!F18+Stedman!F18+'Co PI 2'!F18+'Co PI 3'!F18+'Co-PI Budget (4)'!F18+'Co-PI Budget (5)'!F18+'Co-PI Budget (6)'!F18</f>
        <v>0</v>
      </c>
      <c r="G36" s="27">
        <f t="shared" ref="G36" si="8">SUM(B36:F36)</f>
        <v>0</v>
      </c>
      <c r="I36" s="35" t="s">
        <v>31</v>
      </c>
      <c r="J36" s="38">
        <f>ROUND(SUM(J33:J35),0)</f>
        <v>0</v>
      </c>
      <c r="K36" s="38">
        <f t="shared" ref="K36:N36" si="9">ROUND(SUM(K33:K35),0)</f>
        <v>0</v>
      </c>
      <c r="L36" s="38">
        <f t="shared" si="9"/>
        <v>0</v>
      </c>
      <c r="M36" s="38">
        <f t="shared" si="9"/>
        <v>0</v>
      </c>
      <c r="N36" s="38">
        <f t="shared" si="9"/>
        <v>0</v>
      </c>
    </row>
    <row r="37" spans="1:14" ht="12" thickBot="1" x14ac:dyDescent="0.25">
      <c r="A37" s="15" t="str">
        <f>CONCATENATE("Total ",A30)</f>
        <v>Total Other Personnel</v>
      </c>
      <c r="B37" s="16">
        <f>SUM(B30:B36)</f>
        <v>43700</v>
      </c>
      <c r="C37" s="16">
        <f t="shared" ref="C37:G37" si="10">SUM(C30:C36)</f>
        <v>37042</v>
      </c>
      <c r="D37" s="16">
        <f t="shared" si="10"/>
        <v>0</v>
      </c>
      <c r="E37" s="16">
        <f t="shared" si="10"/>
        <v>0</v>
      </c>
      <c r="F37" s="16">
        <f t="shared" si="10"/>
        <v>0</v>
      </c>
      <c r="G37" s="28">
        <f t="shared" si="10"/>
        <v>80742</v>
      </c>
    </row>
    <row r="38" spans="1:14" ht="12" thickBot="1" x14ac:dyDescent="0.25">
      <c r="A38" s="367" t="s">
        <v>143</v>
      </c>
      <c r="B38" s="368">
        <f>+B29+B37</f>
        <v>59673</v>
      </c>
      <c r="C38" s="368">
        <f t="shared" ref="C38:F38" si="11">+C29+C37</f>
        <v>58672</v>
      </c>
      <c r="D38" s="368">
        <f t="shared" si="11"/>
        <v>0</v>
      </c>
      <c r="E38" s="368">
        <f t="shared" si="11"/>
        <v>0</v>
      </c>
      <c r="F38" s="368">
        <f t="shared" si="11"/>
        <v>0</v>
      </c>
      <c r="G38" s="369">
        <f>SUM(B38:F38)</f>
        <v>118345</v>
      </c>
    </row>
    <row r="39" spans="1:14" x14ac:dyDescent="0.2">
      <c r="A39" s="9" t="s">
        <v>7</v>
      </c>
      <c r="B39" s="11" t="s">
        <v>6</v>
      </c>
      <c r="C39" s="11" t="s">
        <v>6</v>
      </c>
      <c r="D39" s="11" t="s">
        <v>6</v>
      </c>
      <c r="E39" s="11" t="s">
        <v>6</v>
      </c>
      <c r="F39" s="11" t="s">
        <v>6</v>
      </c>
      <c r="G39" s="27"/>
    </row>
    <row r="40" spans="1:14" x14ac:dyDescent="0.2">
      <c r="A40" s="10" t="str">
        <f t="shared" ref="A40:A57" si="12">+A8</f>
        <v>Vivek Srikrishnan</v>
      </c>
      <c r="B40" s="11">
        <f>+'Lead Budget'!B21</f>
        <v>4026</v>
      </c>
      <c r="C40" s="11">
        <f>+'Lead Budget'!C21</f>
        <v>4146</v>
      </c>
      <c r="D40" s="11">
        <f>+'Lead Budget'!D21</f>
        <v>0</v>
      </c>
      <c r="E40" s="11">
        <f>+'Lead Budget'!E21</f>
        <v>0</v>
      </c>
      <c r="F40" s="11">
        <f>+'Lead Budget'!F21</f>
        <v>0</v>
      </c>
      <c r="G40" s="27">
        <f>SUM(B40:F40)</f>
        <v>8172</v>
      </c>
      <c r="I40" s="2"/>
      <c r="J40" s="2"/>
      <c r="K40" s="2"/>
    </row>
    <row r="41" spans="1:14" x14ac:dyDescent="0.2">
      <c r="A41" s="10" t="str">
        <f t="shared" si="12"/>
        <v>S. Steinschneider</v>
      </c>
      <c r="B41" s="11">
        <f>+'Lead Budget'!B22</f>
        <v>2205</v>
      </c>
      <c r="C41" s="11">
        <f>+'Lead Budget'!C22</f>
        <v>2271</v>
      </c>
      <c r="D41" s="11">
        <f>+'Lead Budget'!D22</f>
        <v>0</v>
      </c>
      <c r="E41" s="11">
        <f>+'Lead Budget'!E22</f>
        <v>0</v>
      </c>
      <c r="F41" s="11">
        <f>+'Lead Budget'!F22</f>
        <v>0</v>
      </c>
      <c r="G41" s="27">
        <f t="shared" ref="G41:G63" si="13">SUM(B41:F41)</f>
        <v>4476</v>
      </c>
      <c r="I41" s="2"/>
      <c r="J41" s="2"/>
      <c r="K41" s="2"/>
    </row>
    <row r="42" spans="1:14" x14ac:dyDescent="0.2">
      <c r="A42" s="10" t="str">
        <f t="shared" si="12"/>
        <v>Co-PI</v>
      </c>
      <c r="B42" s="11">
        <f>+'Lead Budget'!B23</f>
        <v>0</v>
      </c>
      <c r="C42" s="11">
        <f>+'Lead Budget'!C23</f>
        <v>0</v>
      </c>
      <c r="D42" s="11">
        <f>+'Lead Budget'!D23</f>
        <v>0</v>
      </c>
      <c r="E42" s="11">
        <f>+'Lead Budget'!E23</f>
        <v>0</v>
      </c>
      <c r="F42" s="11">
        <f>+'Lead Budget'!F23</f>
        <v>0</v>
      </c>
      <c r="G42" s="27">
        <f t="shared" si="13"/>
        <v>0</v>
      </c>
      <c r="I42" s="2"/>
      <c r="J42" s="2"/>
      <c r="K42" s="2"/>
    </row>
    <row r="43" spans="1:14" x14ac:dyDescent="0.2">
      <c r="A43" s="10" t="str">
        <f t="shared" si="12"/>
        <v>R Stedman</v>
      </c>
      <c r="B43" s="11">
        <f>+Stedman!B21</f>
        <v>2341</v>
      </c>
      <c r="C43" s="11">
        <f>+Stedman!C21</f>
        <v>4220</v>
      </c>
      <c r="D43" s="11">
        <f>+Stedman!D21</f>
        <v>0</v>
      </c>
      <c r="E43" s="11">
        <f>+Stedman!E21</f>
        <v>0</v>
      </c>
      <c r="F43" s="11">
        <f>+Stedman!F21</f>
        <v>0</v>
      </c>
      <c r="G43" s="27">
        <f t="shared" si="13"/>
        <v>6561</v>
      </c>
      <c r="I43" s="95"/>
      <c r="J43" s="96"/>
      <c r="K43" s="96"/>
      <c r="L43" s="96"/>
      <c r="M43" s="96"/>
      <c r="N43" s="96"/>
    </row>
    <row r="44" spans="1:14" x14ac:dyDescent="0.2">
      <c r="A44" s="10" t="str">
        <f t="shared" si="12"/>
        <v>T. B. Lauber</v>
      </c>
      <c r="B44" s="11">
        <f>+Stedman!B22</f>
        <v>2337</v>
      </c>
      <c r="C44" s="11">
        <f>+Stedman!C22</f>
        <v>4136</v>
      </c>
      <c r="D44" s="11">
        <f>+Stedman!D22</f>
        <v>0</v>
      </c>
      <c r="E44" s="11">
        <f>+Stedman!E22</f>
        <v>0</v>
      </c>
      <c r="F44" s="11">
        <f>+Stedman!F22</f>
        <v>0</v>
      </c>
      <c r="G44" s="27">
        <f t="shared" si="13"/>
        <v>6473</v>
      </c>
      <c r="I44" s="95"/>
      <c r="J44" s="96"/>
      <c r="K44" s="96"/>
      <c r="L44" s="96"/>
      <c r="M44" s="96"/>
      <c r="N44" s="96"/>
    </row>
    <row r="45" spans="1:14" hidden="1" x14ac:dyDescent="0.2">
      <c r="A45" s="10" t="str">
        <f t="shared" si="12"/>
        <v>Co-PI</v>
      </c>
      <c r="B45" s="11">
        <f>+Stedman!B23</f>
        <v>0</v>
      </c>
      <c r="C45" s="11">
        <f>+Stedman!C23</f>
        <v>0</v>
      </c>
      <c r="D45" s="11">
        <f>+Stedman!D23</f>
        <v>0</v>
      </c>
      <c r="E45" s="11">
        <f>+Stedman!E23</f>
        <v>0</v>
      </c>
      <c r="F45" s="11">
        <f>+Stedman!F23</f>
        <v>0</v>
      </c>
      <c r="G45" s="27">
        <f t="shared" si="13"/>
        <v>0</v>
      </c>
      <c r="I45" s="95"/>
      <c r="J45" s="96"/>
      <c r="K45" s="96"/>
      <c r="L45" s="96"/>
      <c r="M45" s="96"/>
      <c r="N45" s="96"/>
    </row>
    <row r="46" spans="1:14" hidden="1" x14ac:dyDescent="0.2">
      <c r="A46" s="10" t="str">
        <f t="shared" si="12"/>
        <v>Co-PI</v>
      </c>
      <c r="B46" s="11">
        <f>+'Co PI 2'!B21</f>
        <v>0</v>
      </c>
      <c r="C46" s="11">
        <f>+'Co PI 2'!C21</f>
        <v>0</v>
      </c>
      <c r="D46" s="11">
        <f>+'Co PI 2'!D21</f>
        <v>0</v>
      </c>
      <c r="E46" s="11">
        <f>+'Co PI 2'!E21</f>
        <v>0</v>
      </c>
      <c r="F46" s="11">
        <f>+'Co PI 2'!F21</f>
        <v>0</v>
      </c>
      <c r="G46" s="27">
        <f t="shared" si="13"/>
        <v>0</v>
      </c>
      <c r="I46" s="95"/>
      <c r="J46" s="96"/>
      <c r="K46" s="96"/>
      <c r="L46" s="96"/>
      <c r="M46" s="96"/>
      <c r="N46" s="96"/>
    </row>
    <row r="47" spans="1:14" hidden="1" x14ac:dyDescent="0.2">
      <c r="A47" s="10" t="str">
        <f t="shared" si="12"/>
        <v>Co-PI</v>
      </c>
      <c r="B47" s="11">
        <f>+'Co PI 2'!B22</f>
        <v>0</v>
      </c>
      <c r="C47" s="11">
        <f>+'Co PI 2'!C22</f>
        <v>0</v>
      </c>
      <c r="D47" s="11">
        <f>+'Co PI 2'!D22</f>
        <v>0</v>
      </c>
      <c r="E47" s="11">
        <f>+'Co PI 2'!E22</f>
        <v>0</v>
      </c>
      <c r="F47" s="11">
        <f>+'Co PI 2'!F22</f>
        <v>0</v>
      </c>
      <c r="G47" s="27">
        <f t="shared" si="13"/>
        <v>0</v>
      </c>
      <c r="I47" s="95"/>
      <c r="J47" s="96"/>
      <c r="K47" s="96"/>
      <c r="L47" s="96"/>
      <c r="M47" s="96"/>
      <c r="N47" s="96"/>
    </row>
    <row r="48" spans="1:14" hidden="1" x14ac:dyDescent="0.2">
      <c r="A48" s="10" t="str">
        <f t="shared" si="12"/>
        <v>Co-PI</v>
      </c>
      <c r="B48" s="11">
        <f>+'Co PI 2'!B23</f>
        <v>0</v>
      </c>
      <c r="C48" s="11">
        <f>+'Co PI 2'!C23</f>
        <v>0</v>
      </c>
      <c r="D48" s="11">
        <f>+'Co PI 2'!D23</f>
        <v>0</v>
      </c>
      <c r="E48" s="11">
        <f>+'Co PI 2'!E23</f>
        <v>0</v>
      </c>
      <c r="F48" s="11">
        <f>+'Co PI 2'!F23</f>
        <v>0</v>
      </c>
      <c r="G48" s="27">
        <f t="shared" si="13"/>
        <v>0</v>
      </c>
      <c r="I48" s="95"/>
      <c r="J48" s="96"/>
      <c r="K48" s="96"/>
      <c r="L48" s="96"/>
      <c r="M48" s="96"/>
      <c r="N48" s="96"/>
    </row>
    <row r="49" spans="1:15" hidden="1" x14ac:dyDescent="0.2">
      <c r="A49" s="10" t="str">
        <f t="shared" si="12"/>
        <v>Co-PI</v>
      </c>
      <c r="B49" s="11">
        <f>+'Co PI 3'!B21</f>
        <v>0</v>
      </c>
      <c r="C49" s="11">
        <f>+'Co PI 3'!C21</f>
        <v>0</v>
      </c>
      <c r="D49" s="11">
        <f>+'Co PI 3'!D21</f>
        <v>0</v>
      </c>
      <c r="E49" s="11">
        <f>+'Co PI 3'!E21</f>
        <v>0</v>
      </c>
      <c r="F49" s="11">
        <f>+'Co PI 3'!F21</f>
        <v>0</v>
      </c>
      <c r="G49" s="27">
        <f t="shared" si="13"/>
        <v>0</v>
      </c>
      <c r="I49" s="95"/>
      <c r="J49" s="96"/>
      <c r="K49" s="96"/>
      <c r="L49" s="96"/>
      <c r="M49" s="96"/>
      <c r="N49" s="96"/>
    </row>
    <row r="50" spans="1:15" hidden="1" x14ac:dyDescent="0.2">
      <c r="A50" s="10" t="str">
        <f t="shared" si="12"/>
        <v>Co-PI</v>
      </c>
      <c r="B50" s="11">
        <f>+'Co PI 3'!B22</f>
        <v>0</v>
      </c>
      <c r="C50" s="11">
        <f>+'Co PI 3'!C22</f>
        <v>0</v>
      </c>
      <c r="D50" s="11">
        <f>+'Co PI 3'!D22</f>
        <v>0</v>
      </c>
      <c r="E50" s="11">
        <f>+'Co PI 3'!E22</f>
        <v>0</v>
      </c>
      <c r="F50" s="11">
        <f>+'Co PI 3'!F22</f>
        <v>0</v>
      </c>
      <c r="G50" s="27">
        <f t="shared" si="13"/>
        <v>0</v>
      </c>
      <c r="I50" s="95"/>
      <c r="J50" s="96"/>
      <c r="K50" s="96"/>
      <c r="L50" s="96"/>
      <c r="M50" s="96"/>
      <c r="N50" s="96"/>
    </row>
    <row r="51" spans="1:15" hidden="1" x14ac:dyDescent="0.2">
      <c r="A51" s="10" t="str">
        <f t="shared" si="12"/>
        <v>Co-PI</v>
      </c>
      <c r="B51" s="11">
        <f>+'Co PI 3'!B23</f>
        <v>0</v>
      </c>
      <c r="C51" s="11">
        <f>+'Co PI 3'!C23</f>
        <v>0</v>
      </c>
      <c r="D51" s="11">
        <f>+'Co PI 3'!D23</f>
        <v>0</v>
      </c>
      <c r="E51" s="11">
        <f>+'Co PI 3'!E23</f>
        <v>0</v>
      </c>
      <c r="F51" s="11">
        <f>+'Co PI 3'!F23</f>
        <v>0</v>
      </c>
      <c r="G51" s="27">
        <f t="shared" si="13"/>
        <v>0</v>
      </c>
      <c r="I51" s="95"/>
      <c r="J51" s="96"/>
      <c r="K51" s="96"/>
      <c r="L51" s="96"/>
      <c r="M51" s="96"/>
      <c r="N51" s="96"/>
    </row>
    <row r="52" spans="1:15" hidden="1" x14ac:dyDescent="0.2">
      <c r="A52" s="10" t="str">
        <f t="shared" si="12"/>
        <v>Co-PI</v>
      </c>
      <c r="B52" s="11">
        <f>+'Co-PI Budget (4)'!B21</f>
        <v>0</v>
      </c>
      <c r="C52" s="11">
        <f>+'Co-PI Budget (4)'!C21</f>
        <v>0</v>
      </c>
      <c r="D52" s="11">
        <f>+'Co-PI Budget (4)'!D21</f>
        <v>0</v>
      </c>
      <c r="E52" s="11">
        <f>+'Co-PI Budget (4)'!E21</f>
        <v>0</v>
      </c>
      <c r="F52" s="11">
        <f>+'Co-PI Budget (4)'!F21</f>
        <v>0</v>
      </c>
      <c r="G52" s="27">
        <f t="shared" si="13"/>
        <v>0</v>
      </c>
      <c r="I52" s="95"/>
      <c r="J52" s="96"/>
      <c r="K52" s="96"/>
      <c r="L52" s="96"/>
      <c r="M52" s="96"/>
      <c r="N52" s="96"/>
    </row>
    <row r="53" spans="1:15" hidden="1" x14ac:dyDescent="0.2">
      <c r="A53" s="10" t="str">
        <f t="shared" si="12"/>
        <v>Co-PI</v>
      </c>
      <c r="B53" s="11">
        <f>+'Co-PI Budget (4)'!B22</f>
        <v>0</v>
      </c>
      <c r="C53" s="11">
        <f>+'Co-PI Budget (4)'!C22</f>
        <v>0</v>
      </c>
      <c r="D53" s="11">
        <f>+'Co-PI Budget (4)'!D22</f>
        <v>0</v>
      </c>
      <c r="E53" s="11">
        <f>+'Co-PI Budget (4)'!E22</f>
        <v>0</v>
      </c>
      <c r="F53" s="11">
        <f>+'Co-PI Budget (4)'!F22</f>
        <v>0</v>
      </c>
      <c r="G53" s="27">
        <f t="shared" si="13"/>
        <v>0</v>
      </c>
      <c r="I53" s="95"/>
      <c r="J53" s="96"/>
      <c r="K53" s="96"/>
      <c r="L53" s="96"/>
      <c r="M53" s="96"/>
      <c r="N53" s="96"/>
    </row>
    <row r="54" spans="1:15" hidden="1" x14ac:dyDescent="0.2">
      <c r="A54" s="10" t="str">
        <f t="shared" si="12"/>
        <v>Co-PI</v>
      </c>
      <c r="B54" s="11">
        <f>+'Co-PI Budget (4)'!B23</f>
        <v>0</v>
      </c>
      <c r="C54" s="11">
        <f>+'Co-PI Budget (4)'!C23</f>
        <v>0</v>
      </c>
      <c r="D54" s="11">
        <f>+'Co-PI Budget (4)'!D23</f>
        <v>0</v>
      </c>
      <c r="E54" s="11">
        <f>+'Co-PI Budget (4)'!E23</f>
        <v>0</v>
      </c>
      <c r="F54" s="11">
        <f>+'Co-PI Budget (4)'!F23</f>
        <v>0</v>
      </c>
      <c r="G54" s="27">
        <f t="shared" si="13"/>
        <v>0</v>
      </c>
      <c r="I54" s="68"/>
    </row>
    <row r="55" spans="1:15" hidden="1" x14ac:dyDescent="0.2">
      <c r="A55" s="10" t="str">
        <f t="shared" si="12"/>
        <v>Co-PI</v>
      </c>
      <c r="B55" s="11">
        <f>+'Co-PI Budget (5)'!B21</f>
        <v>0</v>
      </c>
      <c r="C55" s="11">
        <f>+'Co-PI Budget (5)'!C21</f>
        <v>0</v>
      </c>
      <c r="D55" s="11">
        <f>+'Co-PI Budget (5)'!D21</f>
        <v>0</v>
      </c>
      <c r="E55" s="11">
        <f>+'Co-PI Budget (5)'!E21</f>
        <v>0</v>
      </c>
      <c r="F55" s="11">
        <f>+'Co-PI Budget (5)'!F21</f>
        <v>0</v>
      </c>
      <c r="G55" s="27">
        <f t="shared" si="13"/>
        <v>0</v>
      </c>
      <c r="I55" s="95"/>
      <c r="J55" s="96"/>
      <c r="K55" s="96"/>
      <c r="L55" s="96"/>
      <c r="M55" s="96"/>
      <c r="N55" s="96"/>
    </row>
    <row r="56" spans="1:15" hidden="1" x14ac:dyDescent="0.2">
      <c r="A56" s="10" t="str">
        <f t="shared" si="12"/>
        <v>Co-PI</v>
      </c>
      <c r="B56" s="11">
        <f>+'Co-PI Budget (5)'!B22</f>
        <v>0</v>
      </c>
      <c r="C56" s="11">
        <f>+'Co-PI Budget (5)'!C22</f>
        <v>0</v>
      </c>
      <c r="D56" s="11">
        <f>+'Co-PI Budget (5)'!D22</f>
        <v>0</v>
      </c>
      <c r="E56" s="11">
        <f>+'Co-PI Budget (5)'!E22</f>
        <v>0</v>
      </c>
      <c r="F56" s="11">
        <f>+'Co-PI Budget (5)'!F22</f>
        <v>0</v>
      </c>
      <c r="G56" s="27">
        <f t="shared" si="13"/>
        <v>0</v>
      </c>
      <c r="I56" s="95"/>
      <c r="J56" s="96"/>
      <c r="K56" s="96"/>
      <c r="L56" s="96"/>
      <c r="M56" s="96"/>
      <c r="N56" s="96"/>
    </row>
    <row r="57" spans="1:15" hidden="1" x14ac:dyDescent="0.2">
      <c r="A57" s="10" t="str">
        <f t="shared" si="12"/>
        <v>Co-PI</v>
      </c>
      <c r="B57" s="11">
        <f>+'Co-PI Budget (5)'!B23</f>
        <v>0</v>
      </c>
      <c r="C57" s="11">
        <f>+'Co-PI Budget (5)'!C23</f>
        <v>0</v>
      </c>
      <c r="D57" s="11">
        <f>+'Co-PI Budget (5)'!D23</f>
        <v>0</v>
      </c>
      <c r="E57" s="11">
        <f>+'Co-PI Budget (5)'!E23</f>
        <v>0</v>
      </c>
      <c r="F57" s="11">
        <f>+'Co-PI Budget (5)'!F23</f>
        <v>0</v>
      </c>
      <c r="G57" s="27">
        <f t="shared" si="13"/>
        <v>0</v>
      </c>
      <c r="I57" s="95"/>
      <c r="J57" s="96"/>
      <c r="K57" s="96"/>
      <c r="L57" s="96"/>
      <c r="M57" s="96"/>
      <c r="N57" s="96"/>
    </row>
    <row r="58" spans="1:15" hidden="1" x14ac:dyDescent="0.2">
      <c r="A58" s="10" t="str">
        <f t="shared" ref="A58:A60" si="14">+A26</f>
        <v>Co-PI</v>
      </c>
      <c r="B58" s="11">
        <f>+'Co-PI Budget (6)'!B21</f>
        <v>0</v>
      </c>
      <c r="C58" s="11">
        <f>+'Co-PI Budget (6)'!C21</f>
        <v>0</v>
      </c>
      <c r="D58" s="11">
        <f>+'Co-PI Budget (6)'!D21</f>
        <v>0</v>
      </c>
      <c r="E58" s="11">
        <f>+'Co-PI Budget (6)'!E21</f>
        <v>0</v>
      </c>
      <c r="F58" s="11">
        <f>+'Co-PI Budget (6)'!F21</f>
        <v>0</v>
      </c>
      <c r="G58" s="27">
        <f t="shared" si="13"/>
        <v>0</v>
      </c>
      <c r="I58" s="95"/>
      <c r="J58" s="96"/>
      <c r="K58" s="96"/>
      <c r="L58" s="96"/>
      <c r="M58" s="96"/>
      <c r="N58" s="96"/>
    </row>
    <row r="59" spans="1:15" hidden="1" x14ac:dyDescent="0.2">
      <c r="A59" s="10" t="str">
        <f t="shared" si="14"/>
        <v>Co-PI</v>
      </c>
      <c r="B59" s="11">
        <f>+'Co-PI Budget (6)'!B22</f>
        <v>0</v>
      </c>
      <c r="C59" s="11">
        <f>+'Co-PI Budget (6)'!C22</f>
        <v>0</v>
      </c>
      <c r="D59" s="11">
        <f>+'Co-PI Budget (6)'!D22</f>
        <v>0</v>
      </c>
      <c r="E59" s="11">
        <f>+'Co-PI Budget (6)'!E22</f>
        <v>0</v>
      </c>
      <c r="F59" s="11">
        <f>+'Co-PI Budget (6)'!F22</f>
        <v>0</v>
      </c>
      <c r="G59" s="27">
        <f t="shared" si="13"/>
        <v>0</v>
      </c>
      <c r="I59" s="95"/>
      <c r="J59" s="96"/>
      <c r="K59" s="96"/>
      <c r="L59" s="96"/>
      <c r="M59" s="96"/>
      <c r="N59" s="96"/>
    </row>
    <row r="60" spans="1:15" hidden="1" x14ac:dyDescent="0.2">
      <c r="A60" s="10" t="str">
        <f t="shared" si="14"/>
        <v>Co-PI</v>
      </c>
      <c r="B60" s="11">
        <f>+'Co-PI Budget (6)'!B23</f>
        <v>0</v>
      </c>
      <c r="C60" s="11">
        <f>+'Co-PI Budget (6)'!C23</f>
        <v>0</v>
      </c>
      <c r="D60" s="11">
        <f>+'Co-PI Budget (6)'!D23</f>
        <v>0</v>
      </c>
      <c r="E60" s="11">
        <f>+'Co-PI Budget (6)'!E23</f>
        <v>0</v>
      </c>
      <c r="F60" s="11">
        <f>+'Co-PI Budget (6)'!F23</f>
        <v>0</v>
      </c>
      <c r="G60" s="27">
        <f t="shared" si="13"/>
        <v>0</v>
      </c>
      <c r="I60" s="95"/>
      <c r="J60" s="96"/>
      <c r="K60" s="96"/>
      <c r="L60" s="96"/>
      <c r="M60" s="96"/>
      <c r="N60" s="96"/>
    </row>
    <row r="61" spans="1:15" x14ac:dyDescent="0.2">
      <c r="A61" s="10" t="str">
        <f>+A31</f>
        <v>Post Doctoral Scholar(s)</v>
      </c>
      <c r="B61" s="11">
        <f>+'Lead Budget'!B24+Stedman!B24+'Co PI 2'!B24+'Co PI 3'!B24+'Co-PI Budget (4)'!B24+'Co-PI Budget (5)'!B24+'Co-PI Budget (6)'!B24</f>
        <v>15880</v>
      </c>
      <c r="C61" s="11">
        <f>+'Lead Budget'!C24+Stedman!C24+'Co PI 2'!C24+'Co PI 3'!C24+'Co-PI Budget (4)'!C24+'Co-PI Budget (5)'!C24+'Co-PI Budget (6)'!C24</f>
        <v>16436</v>
      </c>
      <c r="D61" s="11">
        <f>+'Lead Budget'!D24+Stedman!D24+'Co PI 2'!D24+'Co PI 3'!D24+'Co-PI Budget (4)'!D24+'Co-PI Budget (5)'!D24+'Co-PI Budget (6)'!D24</f>
        <v>0</v>
      </c>
      <c r="E61" s="11">
        <f>+'Lead Budget'!E24+Stedman!E24+'Co PI 2'!E24+'Co PI 3'!E24+'Co-PI Budget (4)'!E24+'Co-PI Budget (5)'!E24+'Co-PI Budget (6)'!E24</f>
        <v>0</v>
      </c>
      <c r="F61" s="11">
        <f>+'Lead Budget'!F24+Stedman!F24+'Co PI 2'!F24+'Co PI 3'!F24+'Co-PI Budget (4)'!F24+'Co-PI Budget (5)'!F24+'Co-PI Budget (6)'!F24</f>
        <v>0</v>
      </c>
      <c r="G61" s="27">
        <f t="shared" si="13"/>
        <v>32316</v>
      </c>
      <c r="J61" s="2"/>
      <c r="K61" s="2"/>
    </row>
    <row r="62" spans="1:15" x14ac:dyDescent="0.2">
      <c r="A62" s="10" t="str">
        <f>+A32</f>
        <v>Research Associate (KB Walsh)</v>
      </c>
      <c r="B62" s="11">
        <f>+'Lead Budget'!B25+Stedman!B25+'Co PI 2'!B25+'Co PI 3'!B25+'Co-PI Budget (4)'!B25+'Co-PI Budget (5)'!B25+'Co-PI Budget (6)'!B25</f>
        <v>6876</v>
      </c>
      <c r="C62" s="11">
        <f>+'Lead Budget'!C25+Stedman!C25+'Co PI 2'!C25+'Co PI 3'!C25+'Co-PI Budget (4)'!C25+'Co-PI Budget (5)'!C25+'Co-PI Budget (6)'!C25</f>
        <v>8864</v>
      </c>
      <c r="D62" s="11">
        <f>+'Lead Budget'!D25+Stedman!D25+'Co PI 2'!D25+'Co PI 3'!D25+'Co-PI Budget (4)'!D25+'Co-PI Budget (5)'!D25+'Co-PI Budget (6)'!D25</f>
        <v>0</v>
      </c>
      <c r="E62" s="11">
        <f>+'Lead Budget'!E25+Stedman!E25+'Co PI 2'!E25+'Co PI 3'!E25+'Co-PI Budget (4)'!E25+'Co-PI Budget (5)'!E25+'Co-PI Budget (6)'!E25</f>
        <v>0</v>
      </c>
      <c r="F62" s="11">
        <f>+'Lead Budget'!F25+Stedman!F25+'Co PI 2'!F25+'Co PI 3'!F25+'Co-PI Budget (4)'!F25+'Co-PI Budget (5)'!F25+'Co-PI Budget (6)'!F25</f>
        <v>0</v>
      </c>
      <c r="G62" s="27">
        <f t="shared" si="13"/>
        <v>15740</v>
      </c>
    </row>
    <row r="63" spans="1:15" x14ac:dyDescent="0.2">
      <c r="A63" s="10" t="str">
        <f>+A35</f>
        <v>Research Associate: Sungwook Wi</v>
      </c>
      <c r="B63" s="11">
        <f>+'Lead Budget'!B26+Stedman!B26+'Co PI 2'!B26+'Co PI 3'!B26+'Co-PI Budget (4)'!B26+'Co-PI Budget (5)'!B26+'Co-PI Budget (6)'!B26</f>
        <v>7091</v>
      </c>
      <c r="C63" s="11">
        <f>+'Lead Budget'!C26+Stedman!C26+'Co PI 2'!C26+'Co PI 3'!C26+'Co-PI Budget (4)'!C26+'Co-PI Budget (5)'!C26+'Co-PI Budget (6)'!C26</f>
        <v>0</v>
      </c>
      <c r="D63" s="11">
        <f>+'Lead Budget'!D26+Stedman!D26+'Co PI 2'!D26+'Co PI 3'!D26+'Co-PI Budget (4)'!D26+'Co-PI Budget (5)'!D26+'Co-PI Budget (6)'!D26</f>
        <v>0</v>
      </c>
      <c r="E63" s="11">
        <f>+'Lead Budget'!E26+Stedman!E26+'Co PI 2'!E26+'Co PI 3'!E26+'Co-PI Budget (4)'!E26+'Co-PI Budget (5)'!E26+'Co-PI Budget (6)'!E26</f>
        <v>0</v>
      </c>
      <c r="F63" s="11">
        <f>+'Lead Budget'!F26+Stedman!F26+'Co PI 2'!F26+'Co PI 3'!F26+'Co-PI Budget (4)'!F26+'Co-PI Budget (5)'!F26+'Co-PI Budget (6)'!F26</f>
        <v>0</v>
      </c>
      <c r="G63" s="27">
        <f t="shared" si="13"/>
        <v>7091</v>
      </c>
      <c r="I63" s="95"/>
      <c r="J63" s="69"/>
      <c r="K63" s="69"/>
      <c r="L63" s="69"/>
      <c r="M63" s="69"/>
      <c r="N63" s="69"/>
      <c r="O63" s="69"/>
    </row>
    <row r="64" spans="1:15" x14ac:dyDescent="0.2">
      <c r="A64" s="10" t="str">
        <f>+A36</f>
        <v>Other - Temp Employee (Endowed)</v>
      </c>
      <c r="B64" s="11">
        <f>+'Lead Budget'!B27+Stedman!B27+'Co PI 2'!B27+'Co PI 3'!B27+'Co-PI Budget (4)'!B27+'Co-PI Budget (5)'!B27+'Co-PI Budget (6)'!B27</f>
        <v>0</v>
      </c>
      <c r="C64" s="11">
        <f>+'Lead Budget'!C27+Stedman!C27+'Co PI 2'!C27+'Co PI 3'!C27+'Co-PI Budget (4)'!C27+'Co-PI Budget (5)'!C27+'Co-PI Budget (6)'!C27</f>
        <v>0</v>
      </c>
      <c r="D64" s="11">
        <f>+'Lead Budget'!D27+Stedman!D27+'Co PI 2'!D27+'Co PI 3'!D27+'Co-PI Budget (4)'!D27+'Co-PI Budget (5)'!D27+'Co-PI Budget (6)'!D27</f>
        <v>0</v>
      </c>
      <c r="E64" s="11">
        <f>+'Lead Budget'!E27+Stedman!E27+'Co PI 2'!E27+'Co PI 3'!E27+'Co-PI Budget (4)'!E27+'Co-PI Budget (5)'!E27+'Co-PI Budget (6)'!E27</f>
        <v>0</v>
      </c>
      <c r="F64" s="11">
        <f>+'Lead Budget'!F27+Stedman!F27+'Co PI 2'!F27+'Co PI 3'!F27+'Co-PI Budget (4)'!F27+'Co-PI Budget (5)'!F27+'Co-PI Budget (6)'!F27</f>
        <v>0</v>
      </c>
      <c r="G64" s="27">
        <f t="shared" ref="G64" si="15">SUM(B64:F64)</f>
        <v>0</v>
      </c>
      <c r="I64" s="95"/>
      <c r="J64" s="69"/>
      <c r="K64" s="69"/>
      <c r="L64" s="69"/>
      <c r="M64" s="69"/>
      <c r="N64" s="69"/>
      <c r="O64" s="69"/>
    </row>
    <row r="65" spans="1:11" ht="12" thickBot="1" x14ac:dyDescent="0.25">
      <c r="A65" s="15" t="str">
        <f>CONCATENATE("Total ",A39)</f>
        <v>Total Fringe Benefits</v>
      </c>
      <c r="B65" s="16">
        <f>SUM(B39:B64)</f>
        <v>40756</v>
      </c>
      <c r="C65" s="16">
        <f t="shared" ref="C65:F65" si="16">SUM(C39:C64)</f>
        <v>40073</v>
      </c>
      <c r="D65" s="16">
        <f t="shared" si="16"/>
        <v>0</v>
      </c>
      <c r="E65" s="16">
        <f t="shared" si="16"/>
        <v>0</v>
      </c>
      <c r="F65" s="16">
        <f t="shared" si="16"/>
        <v>0</v>
      </c>
      <c r="G65" s="28">
        <f>SUM(G39:G64)</f>
        <v>80829</v>
      </c>
      <c r="I65" s="2"/>
      <c r="J65" s="2"/>
      <c r="K65" s="2"/>
    </row>
    <row r="66" spans="1:11" ht="12" thickBot="1" x14ac:dyDescent="0.25">
      <c r="A66" s="143" t="s">
        <v>131</v>
      </c>
      <c r="B66" s="144">
        <f>+B38+B65</f>
        <v>100429</v>
      </c>
      <c r="C66" s="144">
        <f t="shared" ref="C66:G66" si="17">+C38+C65</f>
        <v>98745</v>
      </c>
      <c r="D66" s="144">
        <f t="shared" si="17"/>
        <v>0</v>
      </c>
      <c r="E66" s="144">
        <f>+E38+E65</f>
        <v>0</v>
      </c>
      <c r="F66" s="144">
        <f t="shared" si="17"/>
        <v>0</v>
      </c>
      <c r="G66" s="384">
        <f t="shared" si="17"/>
        <v>199174</v>
      </c>
      <c r="I66" s="2"/>
      <c r="J66" s="2"/>
      <c r="K66" s="2"/>
    </row>
    <row r="67" spans="1:11" x14ac:dyDescent="0.2">
      <c r="A67" s="17" t="s">
        <v>25</v>
      </c>
      <c r="B67" s="11"/>
      <c r="C67" s="11"/>
      <c r="D67" s="11"/>
      <c r="E67" s="11"/>
      <c r="F67" s="11"/>
      <c r="G67" s="27"/>
      <c r="I67" s="2"/>
      <c r="J67" s="2"/>
      <c r="K67" s="2"/>
    </row>
    <row r="68" spans="1:11" x14ac:dyDescent="0.2">
      <c r="A68" s="10" t="s">
        <v>66</v>
      </c>
      <c r="B68" s="11">
        <f>+'Lead Budget'!B31+Stedman!B31+'Co PI 2'!B31+'Co PI 3'!B31+'Co-PI Budget (4)'!B31+'Co-PI Budget (5)'!B31+'Co-PI Budget (6)'!B31</f>
        <v>0</v>
      </c>
      <c r="C68" s="11">
        <f>+'Lead Budget'!C31+Stedman!C31+'Co PI 2'!C31+'Co PI 3'!C31+'Co-PI Budget (4)'!C31+'Co-PI Budget (5)'!C31+'Co-PI Budget (6)'!C31</f>
        <v>0</v>
      </c>
      <c r="D68" s="11">
        <f>+'Lead Budget'!D31+Stedman!D31+'Co PI 2'!D31+'Co PI 3'!D31+'Co-PI Budget (4)'!D31+'Co-PI Budget (5)'!D31+'Co-PI Budget (6)'!D31</f>
        <v>0</v>
      </c>
      <c r="E68" s="11">
        <f>+'Lead Budget'!E31+Stedman!E31+'Co PI 2'!E31+'Co PI 3'!E31+'Co-PI Budget (4)'!E31+'Co-PI Budget (5)'!E31+'Co-PI Budget (6)'!E31</f>
        <v>0</v>
      </c>
      <c r="F68" s="11">
        <f>+'Lead Budget'!F31+Stedman!F31+'Co PI 2'!F31+'Co PI 3'!F31+'Co-PI Budget (4)'!F31+'Co-PI Budget (5)'!F31+'Co-PI Budget (6)'!F31</f>
        <v>0</v>
      </c>
      <c r="G68" s="27">
        <f>SUM(B68:F68)</f>
        <v>0</v>
      </c>
    </row>
    <row r="69" spans="1:11" x14ac:dyDescent="0.2">
      <c r="A69" s="10"/>
      <c r="B69" s="11"/>
      <c r="C69" s="11"/>
      <c r="D69" s="11"/>
      <c r="E69" s="11"/>
      <c r="F69" s="11"/>
      <c r="G69" s="27">
        <f>SUM(B69:F69)</f>
        <v>0</v>
      </c>
    </row>
    <row r="70" spans="1:11" ht="12" thickBot="1" x14ac:dyDescent="0.25">
      <c r="A70" s="15" t="str">
        <f>CONCATENATE("Total ",A67)</f>
        <v>Total Equipment</v>
      </c>
      <c r="B70" s="16">
        <f>SUM(B67:B69)</f>
        <v>0</v>
      </c>
      <c r="C70" s="16">
        <f t="shared" ref="C70:G70" si="18">SUM(C67:C69)</f>
        <v>0</v>
      </c>
      <c r="D70" s="16">
        <f t="shared" si="18"/>
        <v>0</v>
      </c>
      <c r="E70" s="16">
        <f t="shared" si="18"/>
        <v>0</v>
      </c>
      <c r="F70" s="16">
        <f t="shared" si="18"/>
        <v>0</v>
      </c>
      <c r="G70" s="28">
        <f t="shared" si="18"/>
        <v>0</v>
      </c>
    </row>
    <row r="71" spans="1:11" x14ac:dyDescent="0.2">
      <c r="A71" s="17" t="s">
        <v>34</v>
      </c>
      <c r="B71" s="11"/>
      <c r="C71" s="11"/>
      <c r="D71" s="11"/>
      <c r="E71" s="11"/>
      <c r="F71" s="11"/>
      <c r="G71" s="27"/>
    </row>
    <row r="72" spans="1:11" x14ac:dyDescent="0.2">
      <c r="A72" s="10" t="s">
        <v>10</v>
      </c>
      <c r="B72" s="11">
        <f>+'Lead Budget'!B35+Stedman!B35+'Co PI 2'!B35+'Co PI 3'!B35+'Co-PI Budget (4)'!B35+'Co-PI Budget (5)'!B35+'Co-PI Budget (6)'!B35</f>
        <v>0</v>
      </c>
      <c r="C72" s="11">
        <f>+'Lead Budget'!C35+Stedman!C35+'Co PI 2'!C35+'Co PI 3'!C35+'Co-PI Budget (4)'!C35+'Co-PI Budget (5)'!C35+'Co-PI Budget (6)'!C35</f>
        <v>523</v>
      </c>
      <c r="D72" s="11">
        <f>+'Lead Budget'!D35+Stedman!D35+'Co PI 2'!D35+'Co PI 3'!D35+'Co-PI Budget (4)'!D35+'Co-PI Budget (5)'!D35+'Co-PI Budget (6)'!D35</f>
        <v>0</v>
      </c>
      <c r="E72" s="11">
        <f>+'Lead Budget'!E35+Stedman!E35+'Co PI 2'!E35+'Co PI 3'!E35+'Co-PI Budget (4)'!E35+'Co-PI Budget (5)'!E35+'Co-PI Budget (6)'!E35</f>
        <v>0</v>
      </c>
      <c r="F72" s="11">
        <f>+'Lead Budget'!F35+Stedman!F35+'Co PI 2'!F35+'Co PI 3'!F35+'Co-PI Budget (4)'!F35+'Co-PI Budget (5)'!F35+'Co-PI Budget (6)'!F35</f>
        <v>0</v>
      </c>
      <c r="G72" s="27">
        <f>SUM(B72:F72)</f>
        <v>523</v>
      </c>
    </row>
    <row r="73" spans="1:11" x14ac:dyDescent="0.2">
      <c r="A73" s="10" t="s">
        <v>11</v>
      </c>
      <c r="B73" s="11">
        <f>+'Lead Budget'!B36+Stedman!B36+'Co PI 2'!B36+'Co PI 3'!B36+'Co-PI Budget (4)'!B36+'Co-PI Budget (5)'!B36+'Co-PI Budget (6)'!B36</f>
        <v>0</v>
      </c>
      <c r="C73" s="11">
        <f>+'Lead Budget'!C36+Stedman!C36+'Co PI 2'!C36+'Co PI 3'!C36+'Co-PI Budget (4)'!C36+'Co-PI Budget (5)'!C36+'Co-PI Budget (6)'!C36</f>
        <v>0</v>
      </c>
      <c r="D73" s="11">
        <f>+'Lead Budget'!D36+Stedman!D36+'Co PI 2'!D36+'Co PI 3'!D36+'Co-PI Budget (4)'!D36+'Co-PI Budget (5)'!D36+'Co-PI Budget (6)'!D36</f>
        <v>0</v>
      </c>
      <c r="E73" s="11">
        <f>+'Lead Budget'!E36+Stedman!E36+'Co PI 2'!E36+'Co PI 3'!E36+'Co-PI Budget (4)'!E36+'Co-PI Budget (5)'!E36+'Co-PI Budget (6)'!E36</f>
        <v>0</v>
      </c>
      <c r="F73" s="11">
        <f>+'Lead Budget'!F36+Stedman!F36+'Co PI 2'!F36+'Co PI 3'!F36+'Co-PI Budget (4)'!F36+'Co-PI Budget (5)'!F36+'Co-PI Budget (6)'!F36</f>
        <v>0</v>
      </c>
      <c r="G73" s="27">
        <f>SUM(B73:F73)</f>
        <v>0</v>
      </c>
    </row>
    <row r="74" spans="1:11" ht="12" thickBot="1" x14ac:dyDescent="0.25">
      <c r="A74" s="15" t="str">
        <f>CONCATENATE("Total ",A71)</f>
        <v>Total Travel</v>
      </c>
      <c r="B74" s="16">
        <f>SUM(B71:B73)</f>
        <v>0</v>
      </c>
      <c r="C74" s="16">
        <f t="shared" ref="C74:G74" si="19">SUM(C71:C73)</f>
        <v>523</v>
      </c>
      <c r="D74" s="16">
        <f t="shared" si="19"/>
        <v>0</v>
      </c>
      <c r="E74" s="16">
        <f t="shared" si="19"/>
        <v>0</v>
      </c>
      <c r="F74" s="16">
        <f t="shared" si="19"/>
        <v>0</v>
      </c>
      <c r="G74" s="28">
        <f t="shared" si="19"/>
        <v>523</v>
      </c>
    </row>
    <row r="75" spans="1:11" x14ac:dyDescent="0.2">
      <c r="A75" s="17" t="s">
        <v>27</v>
      </c>
      <c r="B75" s="11"/>
      <c r="C75" s="11"/>
      <c r="D75" s="11"/>
      <c r="E75" s="11"/>
      <c r="F75" s="11"/>
      <c r="G75" s="27"/>
    </row>
    <row r="76" spans="1:11" x14ac:dyDescent="0.2">
      <c r="A76" s="10" t="str">
        <f>+'Lead Budget'!A39</f>
        <v>Tuition/Fees/Health Insurance</v>
      </c>
      <c r="B76" s="11">
        <f>+'Lead Budget'!B39+Stedman!B39+'Co PI 2'!B39+'Co PI 3'!B39+'Co-PI Budget (4)'!B39+'Co-PI Budget (5)'!B39+'Co-PI Budget (6)'!B39</f>
        <v>0</v>
      </c>
      <c r="C76" s="11">
        <f>+'Lead Budget'!C39+Stedman!C39+'Co PI 2'!C39+'Co PI 3'!C39+'Co-PI Budget (4)'!C39+'Co-PI Budget (5)'!C39+'Co-PI Budget (6)'!C39</f>
        <v>0</v>
      </c>
      <c r="D76" s="11">
        <f>+'Lead Budget'!D39+Stedman!D39+'Co PI 2'!D39+'Co PI 3'!D39+'Co-PI Budget (4)'!D39+'Co-PI Budget (5)'!D39+'Co-PI Budget (6)'!D39</f>
        <v>0</v>
      </c>
      <c r="E76" s="11">
        <f>+'Lead Budget'!E39+Stedman!E39+'Co PI 2'!E39+'Co PI 3'!E39+'Co-PI Budget (4)'!E39+'Co-PI Budget (5)'!E39+'Co-PI Budget (6)'!E39</f>
        <v>0</v>
      </c>
      <c r="F76" s="11">
        <f>+'Lead Budget'!F39+Stedman!F39+'Co PI 2'!F39+'Co PI 3'!F39+'Co-PI Budget (4)'!F39+'Co-PI Budget (5)'!F39+'Co-PI Budget (6)'!F39</f>
        <v>0</v>
      </c>
      <c r="G76" s="27">
        <f>SUM(B76:F76)</f>
        <v>0</v>
      </c>
    </row>
    <row r="77" spans="1:11" x14ac:dyDescent="0.2">
      <c r="A77" s="10" t="str">
        <f>+'Lead Budget'!A40</f>
        <v>Stipends</v>
      </c>
      <c r="B77" s="11">
        <f>+'Lead Budget'!B40+Stedman!B40+'Co PI 2'!B40+'Co PI 3'!B40+'Co-PI Budget (4)'!B40+'Co-PI Budget (5)'!B40+'Co-PI Budget (6)'!B40</f>
        <v>0</v>
      </c>
      <c r="C77" s="11">
        <f>+'Lead Budget'!C40+Stedman!C40+'Co PI 2'!C40+'Co PI 3'!C40+'Co-PI Budget (4)'!C40+'Co-PI Budget (5)'!C40+'Co-PI Budget (6)'!C40</f>
        <v>0</v>
      </c>
      <c r="D77" s="11">
        <f>+'Lead Budget'!D40+Stedman!D40+'Co PI 2'!D40+'Co PI 3'!D40+'Co-PI Budget (4)'!D40+'Co-PI Budget (5)'!D40+'Co-PI Budget (6)'!D40</f>
        <v>0</v>
      </c>
      <c r="E77" s="11">
        <f>+'Lead Budget'!E40+Stedman!E40+'Co PI 2'!E40+'Co PI 3'!E40+'Co-PI Budget (4)'!E40+'Co-PI Budget (5)'!E40+'Co-PI Budget (6)'!E40</f>
        <v>0</v>
      </c>
      <c r="F77" s="11">
        <f>+'Lead Budget'!F40+Stedman!F40+'Co PI 2'!F40+'Co PI 3'!F40+'Co-PI Budget (4)'!F40+'Co-PI Budget (5)'!F40+'Co-PI Budget (6)'!F40</f>
        <v>0</v>
      </c>
      <c r="G77" s="27">
        <f t="shared" ref="G77:G80" si="20">SUM(B77:F77)</f>
        <v>0</v>
      </c>
    </row>
    <row r="78" spans="1:11" x14ac:dyDescent="0.2">
      <c r="A78" s="10" t="str">
        <f>+'Lead Budget'!A41</f>
        <v>Travel</v>
      </c>
      <c r="B78" s="11">
        <f>+'Lead Budget'!B41+Stedman!B41+'Co PI 2'!B41+'Co PI 3'!B41+'Co-PI Budget (4)'!B41+'Co-PI Budget (5)'!B41+'Co-PI Budget (6)'!B41</f>
        <v>0</v>
      </c>
      <c r="C78" s="11">
        <f>+'Lead Budget'!C41+Stedman!C41+'Co PI 2'!C41+'Co PI 3'!C41+'Co-PI Budget (4)'!C41+'Co-PI Budget (5)'!C41+'Co-PI Budget (6)'!C41</f>
        <v>0</v>
      </c>
      <c r="D78" s="11">
        <f>+'Lead Budget'!D41+Stedman!D41+'Co PI 2'!D41+'Co PI 3'!D41+'Co-PI Budget (4)'!D41+'Co-PI Budget (5)'!D41+'Co-PI Budget (6)'!D41</f>
        <v>0</v>
      </c>
      <c r="E78" s="11">
        <f>+'Lead Budget'!E41+Stedman!E41+'Co PI 2'!E41+'Co PI 3'!E41+'Co-PI Budget (4)'!E41+'Co-PI Budget (5)'!E41+'Co-PI Budget (6)'!E41</f>
        <v>0</v>
      </c>
      <c r="F78" s="11">
        <f>+'Lead Budget'!F41+Stedman!F41+'Co PI 2'!F41+'Co PI 3'!F41+'Co-PI Budget (4)'!F41+'Co-PI Budget (5)'!F41+'Co-PI Budget (6)'!F41</f>
        <v>0</v>
      </c>
      <c r="G78" s="27">
        <f t="shared" si="20"/>
        <v>0</v>
      </c>
    </row>
    <row r="79" spans="1:11" x14ac:dyDescent="0.2">
      <c r="A79" s="10" t="str">
        <f>+'Lead Budget'!A42</f>
        <v>Subsistence</v>
      </c>
      <c r="B79" s="11">
        <f>+'Lead Budget'!B42+Stedman!B42+'Co PI 2'!B42+'Co PI 3'!B42+'Co-PI Budget (4)'!B42+'Co-PI Budget (5)'!B42+'Co-PI Budget (6)'!B42</f>
        <v>0</v>
      </c>
      <c r="C79" s="11">
        <f>+'Lead Budget'!C42+Stedman!C42+'Co PI 2'!C42+'Co PI 3'!C42+'Co-PI Budget (4)'!C42+'Co-PI Budget (5)'!C42+'Co-PI Budget (6)'!C42</f>
        <v>0</v>
      </c>
      <c r="D79" s="11">
        <f>+'Lead Budget'!D42+Stedman!D42+'Co PI 2'!D42+'Co PI 3'!D42+'Co-PI Budget (4)'!D42+'Co-PI Budget (5)'!D42+'Co-PI Budget (6)'!D42</f>
        <v>0</v>
      </c>
      <c r="E79" s="11">
        <f>+'Lead Budget'!E42+Stedman!E42+'Co PI 2'!E42+'Co PI 3'!E42+'Co-PI Budget (4)'!E42+'Co-PI Budget (5)'!E42+'Co-PI Budget (6)'!E42</f>
        <v>0</v>
      </c>
      <c r="F79" s="11">
        <f>+'Lead Budget'!F42+Stedman!F42+'Co PI 2'!F42+'Co PI 3'!F42+'Co-PI Budget (4)'!F42+'Co-PI Budget (5)'!F42+'Co-PI Budget (6)'!F42</f>
        <v>0</v>
      </c>
      <c r="G79" s="27">
        <f t="shared" si="20"/>
        <v>0</v>
      </c>
      <c r="K79" s="2"/>
    </row>
    <row r="80" spans="1:11" x14ac:dyDescent="0.2">
      <c r="A80" s="10" t="str">
        <f>+'Lead Budget'!A43</f>
        <v>Other</v>
      </c>
      <c r="B80" s="11">
        <f>+'Lead Budget'!B43+Stedman!B43+'Co PI 2'!B43+'Co PI 3'!B43+'Co-PI Budget (4)'!B43+'Co-PI Budget (5)'!B43+'Co-PI Budget (6)'!B43</f>
        <v>0</v>
      </c>
      <c r="C80" s="11">
        <f>+'Lead Budget'!C43+Stedman!C43+'Co PI 2'!C43+'Co PI 3'!C43+'Co-PI Budget (4)'!C43+'Co-PI Budget (5)'!C43+'Co-PI Budget (6)'!C43</f>
        <v>0</v>
      </c>
      <c r="D80" s="11">
        <f>+'Lead Budget'!D43+Stedman!D43+'Co PI 2'!D43+'Co PI 3'!D43+'Co-PI Budget (4)'!D43+'Co-PI Budget (5)'!D43+'Co-PI Budget (6)'!D43</f>
        <v>0</v>
      </c>
      <c r="E80" s="11">
        <f>+'Lead Budget'!E43+Stedman!E43+'Co PI 2'!E43+'Co PI 3'!E43+'Co-PI Budget (4)'!E43+'Co-PI Budget (5)'!E43+'Co-PI Budget (6)'!E43</f>
        <v>0</v>
      </c>
      <c r="F80" s="11">
        <f>+'Lead Budget'!F43+Stedman!F43+'Co PI 2'!F43+'Co PI 3'!F43+'Co-PI Budget (4)'!F43+'Co-PI Budget (5)'!F43+'Co-PI Budget (6)'!F43</f>
        <v>0</v>
      </c>
      <c r="G80" s="27">
        <f t="shared" si="20"/>
        <v>0</v>
      </c>
    </row>
    <row r="81" spans="1:12" ht="12" thickBot="1" x14ac:dyDescent="0.25">
      <c r="A81" s="15" t="str">
        <f>CONCATENATE("Total ",A75)</f>
        <v>Total Participant Support Costs</v>
      </c>
      <c r="B81" s="16">
        <f>SUM(B75:B80)</f>
        <v>0</v>
      </c>
      <c r="C81" s="16">
        <f t="shared" ref="C81:G81" si="21">SUM(C75:C80)</f>
        <v>0</v>
      </c>
      <c r="D81" s="16">
        <f t="shared" si="21"/>
        <v>0</v>
      </c>
      <c r="E81" s="16">
        <f t="shared" si="21"/>
        <v>0</v>
      </c>
      <c r="F81" s="16">
        <f t="shared" si="21"/>
        <v>0</v>
      </c>
      <c r="G81" s="28">
        <f t="shared" si="21"/>
        <v>0</v>
      </c>
    </row>
    <row r="82" spans="1:12" x14ac:dyDescent="0.2">
      <c r="A82" s="17" t="s">
        <v>13</v>
      </c>
      <c r="B82" s="11"/>
      <c r="C82" s="11"/>
      <c r="D82" s="11"/>
      <c r="E82" s="11"/>
      <c r="F82" s="11"/>
      <c r="G82" s="27"/>
      <c r="I82" s="378"/>
    </row>
    <row r="83" spans="1:12" x14ac:dyDescent="0.2">
      <c r="A83" s="10" t="str">
        <f>+'Lead Budget'!A46</f>
        <v>Materials &amp; Supplies</v>
      </c>
      <c r="B83" s="11">
        <f>+'Lead Budget'!B46+Stedman!B46+'Co PI 2'!B46+'Co PI 3'!B46+'Co-PI Budget (4)'!B46+'Co-PI Budget (5)'!B46+'Co-PI Budget (6)'!B46</f>
        <v>353</v>
      </c>
      <c r="C83" s="11">
        <f>+'Lead Budget'!C46+Stedman!C46+'Co PI 2'!C46+'Co PI 3'!C46+'Co-PI Budget (4)'!C46+'Co-PI Budget (5)'!C46+'Co-PI Budget (6)'!C46</f>
        <v>0</v>
      </c>
      <c r="D83" s="11">
        <f>+'Lead Budget'!D46+Stedman!D46+'Co PI 2'!D46+'Co PI 3'!D46+'Co-PI Budget (4)'!D46+'Co-PI Budget (5)'!D46+'Co-PI Budget (6)'!D46</f>
        <v>0</v>
      </c>
      <c r="E83" s="11">
        <f>+'Lead Budget'!E46+Stedman!E46+'Co PI 2'!E46+'Co PI 3'!E46+'Co-PI Budget (4)'!E46+'Co-PI Budget (5)'!E46+'Co-PI Budget (6)'!E46</f>
        <v>0</v>
      </c>
      <c r="F83" s="11">
        <f>+'Lead Budget'!F46+Stedman!F46+'Co PI 2'!F46+'Co PI 3'!F46+'Co-PI Budget (4)'!F46+'Co-PI Budget (5)'!F46+'Co-PI Budget (6)'!F46</f>
        <v>0</v>
      </c>
      <c r="G83" s="27">
        <f t="shared" ref="G83:G88" si="22">SUM(B83:F83)</f>
        <v>353</v>
      </c>
    </row>
    <row r="84" spans="1:12" x14ac:dyDescent="0.2">
      <c r="A84" s="10" t="str">
        <f>+'Lead Budget'!A47</f>
        <v>Publication Costs</v>
      </c>
      <c r="B84" s="11">
        <f>+'Lead Budget'!B47+Stedman!B47+'Co PI 2'!B47+'Co PI 3'!B47+'Co-PI Budget (4)'!B47+'Co-PI Budget (5)'!B47+'Co-PI Budget (6)'!B47</f>
        <v>0</v>
      </c>
      <c r="C84" s="11">
        <f>+'Lead Budget'!C47+Stedman!C47+'Co PI 2'!C47+'Co PI 3'!C47+'Co-PI Budget (4)'!C47+'Co-PI Budget (5)'!C47+'Co-PI Budget (6)'!C47</f>
        <v>0</v>
      </c>
      <c r="D84" s="11">
        <f>+'Lead Budget'!D47+Stedman!D47+'Co PI 2'!D47+'Co PI 3'!D47+'Co-PI Budget (4)'!D47+'Co-PI Budget (5)'!D47+'Co-PI Budget (6)'!D47</f>
        <v>0</v>
      </c>
      <c r="E84" s="11">
        <f>+'Lead Budget'!E47+Stedman!E47+'Co PI 2'!E47+'Co PI 3'!E47+'Co-PI Budget (4)'!E47+'Co-PI Budget (5)'!E47+'Co-PI Budget (6)'!E47</f>
        <v>0</v>
      </c>
      <c r="F84" s="11">
        <f>+'Lead Budget'!F47+Stedman!F47+'Co PI 2'!F47+'Co PI 3'!F47+'Co-PI Budget (4)'!F47+'Co-PI Budget (5)'!F47+'Co-PI Budget (6)'!F47</f>
        <v>0</v>
      </c>
      <c r="G84" s="27">
        <f t="shared" si="22"/>
        <v>0</v>
      </c>
    </row>
    <row r="85" spans="1:12" x14ac:dyDescent="0.2">
      <c r="A85" s="10" t="str">
        <f>+'Lead Budget'!A48</f>
        <v>Consultant Services</v>
      </c>
      <c r="B85" s="11">
        <f>+'Lead Budget'!B48+Stedman!B48+'Co PI 2'!B48+'Co PI 3'!B48+'Co-PI Budget (4)'!B48+'Co-PI Budget (5)'!B48+'Co-PI Budget (6)'!B48</f>
        <v>0</v>
      </c>
      <c r="C85" s="11">
        <f>+'Lead Budget'!C48+Stedman!C48+'Co PI 2'!C48+'Co PI 3'!C48+'Co-PI Budget (4)'!C48+'Co-PI Budget (5)'!C48+'Co-PI Budget (6)'!C48</f>
        <v>0</v>
      </c>
      <c r="D85" s="11">
        <f>+'Lead Budget'!D48+Stedman!D48+'Co PI 2'!D48+'Co PI 3'!D48+'Co-PI Budget (4)'!D48+'Co-PI Budget (5)'!D48+'Co-PI Budget (6)'!D48</f>
        <v>0</v>
      </c>
      <c r="E85" s="11">
        <f>+'Lead Budget'!E48+Stedman!E48+'Co PI 2'!E48+'Co PI 3'!E48+'Co-PI Budget (4)'!E48+'Co-PI Budget (5)'!E48+'Co-PI Budget (6)'!E48</f>
        <v>0</v>
      </c>
      <c r="F85" s="11">
        <f>+'Lead Budget'!F48+Stedman!F48+'Co PI 2'!F48+'Co PI 3'!F48+'Co-PI Budget (4)'!F48+'Co-PI Budget (5)'!F48+'Co-PI Budget (6)'!F48</f>
        <v>0</v>
      </c>
      <c r="G85" s="27">
        <f t="shared" si="22"/>
        <v>0</v>
      </c>
    </row>
    <row r="86" spans="1:12" x14ac:dyDescent="0.2">
      <c r="A86" s="10" t="str">
        <f>+'Lead Budget'!A49</f>
        <v>ADP/Computer Services</v>
      </c>
      <c r="B86" s="11">
        <f>+'Lead Budget'!B49+Stedman!B49+'Co PI 2'!B49+'Co PI 3'!B49+'Co-PI Budget (4)'!B49+'Co-PI Budget (5)'!B49+'Co-PI Budget (6)'!B49</f>
        <v>0</v>
      </c>
      <c r="C86" s="11">
        <f>+'Lead Budget'!C49+Stedman!C49+'Co PI 2'!C49+'Co PI 3'!C49+'Co-PI Budget (4)'!C49+'Co-PI Budget (5)'!C49+'Co-PI Budget (6)'!C49</f>
        <v>0</v>
      </c>
      <c r="D86" s="11">
        <f>+'Lead Budget'!D49+Stedman!D49+'Co PI 2'!D49+'Co PI 3'!D49+'Co-PI Budget (4)'!D49+'Co-PI Budget (5)'!D49+'Co-PI Budget (6)'!D49</f>
        <v>0</v>
      </c>
      <c r="E86" s="11">
        <f>+'Lead Budget'!E49+Stedman!E49+'Co PI 2'!E49+'Co PI 3'!E49+'Co-PI Budget (4)'!E49+'Co-PI Budget (5)'!E49+'Co-PI Budget (6)'!E49</f>
        <v>0</v>
      </c>
      <c r="F86" s="11">
        <f>+'Lead Budget'!F49+Stedman!F49+'Co PI 2'!F49+'Co PI 3'!F49+'Co-PI Budget (4)'!F49+'Co-PI Budget (5)'!F49+'Co-PI Budget (6)'!F49</f>
        <v>0</v>
      </c>
      <c r="G86" s="27">
        <f t="shared" si="22"/>
        <v>0</v>
      </c>
    </row>
    <row r="87" spans="1:12" x14ac:dyDescent="0.2">
      <c r="A87" s="10" t="str">
        <f>+'Lead Budget'!A50</f>
        <v xml:space="preserve">SubContracts </v>
      </c>
      <c r="B87" s="11">
        <f>+'Lead Budget'!B50+Stedman!B50+'Co PI 2'!B50+'Co PI 3'!B50+'Co-PI Budget (4)'!B50+'Co-PI Budget (5)'!B50+'Co-PI Budget (6)'!B50</f>
        <v>0</v>
      </c>
      <c r="C87" s="11">
        <f>+'Lead Budget'!C50+Stedman!C50+'Co PI 2'!C50+'Co PI 3'!C50+'Co-PI Budget (4)'!C50+'Co-PI Budget (5)'!C50+'Co-PI Budget (6)'!C50</f>
        <v>0</v>
      </c>
      <c r="D87" s="11">
        <f>+'Lead Budget'!D50+Stedman!D50+'Co PI 2'!D50+'Co PI 3'!D50+'Co-PI Budget (4)'!D50+'Co-PI Budget (5)'!D50+'Co-PI Budget (6)'!D50</f>
        <v>0</v>
      </c>
      <c r="E87" s="11">
        <f>+'Lead Budget'!E50+Stedman!E50+'Co PI 2'!E50+'Co PI 3'!E50+'Co-PI Budget (4)'!E50+'Co-PI Budget (5)'!E50+'Co-PI Budget (6)'!E50</f>
        <v>0</v>
      </c>
      <c r="F87" s="11">
        <f>+'Lead Budget'!F50+Stedman!F50+'Co PI 2'!F50+'Co PI 3'!F50+'Co-PI Budget (4)'!F50+'Co-PI Budget (5)'!F50+'Co-PI Budget (6)'!F50</f>
        <v>0</v>
      </c>
      <c r="G87" s="27">
        <f t="shared" si="22"/>
        <v>0</v>
      </c>
    </row>
    <row r="88" spans="1:12" x14ac:dyDescent="0.2">
      <c r="A88" s="10" t="str">
        <f>+'Expense Details'!A78</f>
        <v xml:space="preserve">Equipment or Facility Rental/User Fees </v>
      </c>
      <c r="B88" s="11">
        <f>+'Lead Budget'!B51+Stedman!B51+'Co PI 2'!B51+'Co PI 3'!B51+'Co-PI Budget (4)'!B51+'Co-PI Budget (5)'!B51+'Co-PI Budget (6)'!B51</f>
        <v>0</v>
      </c>
      <c r="C88" s="11">
        <f>+'Lead Budget'!C51+Stedman!C51+'Co PI 2'!C51+'Co PI 3'!C51+'Co-PI Budget (4)'!C51+'Co-PI Budget (5)'!C51+'Co-PI Budget (6)'!C51</f>
        <v>0</v>
      </c>
      <c r="D88" s="11">
        <f>+'Lead Budget'!D51+Stedman!D51+'Co PI 2'!D51+'Co PI 3'!D51+'Co-PI Budget (4)'!D51+'Co-PI Budget (5)'!D51+'Co-PI Budget (6)'!D51</f>
        <v>0</v>
      </c>
      <c r="E88" s="11">
        <f>+'Lead Budget'!E51+Stedman!E51+'Co PI 2'!E51+'Co PI 3'!E51+'Co-PI Budget (4)'!E51+'Co-PI Budget (5)'!E51+'Co-PI Budget (6)'!E51</f>
        <v>0</v>
      </c>
      <c r="F88" s="11">
        <f>+'Lead Budget'!F51+Stedman!F51+'Co PI 2'!F51+'Co PI 3'!F51+'Co-PI Budget (4)'!F51+'Co-PI Budget (5)'!F51+'Co-PI Budget (6)'!F51</f>
        <v>0</v>
      </c>
      <c r="G88" s="27">
        <f t="shared" si="22"/>
        <v>0</v>
      </c>
      <c r="J88" s="11">
        <f>+'Lead Budget'!G59</f>
        <v>145394</v>
      </c>
      <c r="K88" s="381" t="str">
        <f ca="1">""&amp;MID('rates, dates, etc'!AH2,FIND("]",'rates, dates, etc'!AH2)+1,25)</f>
        <v>Lead Budget</v>
      </c>
      <c r="L88" s="11"/>
    </row>
    <row r="89" spans="1:12" x14ac:dyDescent="0.2">
      <c r="A89" s="10" t="str">
        <f>+'Lead Budget'!A52</f>
        <v>Other: Tuition</v>
      </c>
      <c r="B89" s="11">
        <f>+'Lead Budget'!B52+Stedman!B52+'Co PI 2'!B52+'Co PI 3'!B52+'Co-PI Budget (4)'!B52+'Co-PI Budget (5)'!B52+'Co-PI Budget (6)'!B52</f>
        <v>0</v>
      </c>
      <c r="C89" s="11">
        <f>+'Lead Budget'!C52+Stedman!C52+'Co PI 2'!C52+'Co PI 3'!C52+'Co-PI Budget (4)'!C52+'Co-PI Budget (5)'!C52+'Co-PI Budget (6)'!C52</f>
        <v>0</v>
      </c>
      <c r="D89" s="11">
        <f>+'Lead Budget'!D52+Stedman!D52+'Co PI 2'!D52+'Co PI 3'!D52+'Co-PI Budget (4)'!D52+'Co-PI Budget (5)'!D52+'Co-PI Budget (6)'!D52</f>
        <v>0</v>
      </c>
      <c r="E89" s="11">
        <f>+'Lead Budget'!E52+Stedman!E52+'Co PI 2'!E52+'Co PI 3'!E52+'Co-PI Budget (4)'!E52+'Co-PI Budget (5)'!E52+'Co-PI Budget (6)'!E52</f>
        <v>0</v>
      </c>
      <c r="F89" s="11">
        <f>+'Lead Budget'!F52+Stedman!F52+'Co PI 2'!F52+'Co PI 3'!F52+'Co-PI Budget (4)'!F52+'Co-PI Budget (5)'!F52+'Co-PI Budget (6)'!F52</f>
        <v>0</v>
      </c>
      <c r="G89" s="27">
        <f t="shared" ref="G89:G91" si="23">SUM(B89:F89)</f>
        <v>0</v>
      </c>
      <c r="J89" s="13">
        <f>+Stedman!G59</f>
        <v>102973</v>
      </c>
      <c r="K89" s="381" t="str">
        <f ca="1">""&amp;MID('rates, dates, etc'!AH3,FIND("]",'rates, dates, etc'!AH3)+1,25)</f>
        <v>Stedman</v>
      </c>
      <c r="L89" s="13"/>
    </row>
    <row r="90" spans="1:12" x14ac:dyDescent="0.2">
      <c r="A90" s="10" t="str">
        <f>+'Lead Budget'!A53</f>
        <v>Other: Health Insurance</v>
      </c>
      <c r="B90" s="11">
        <f>+'Lead Budget'!B53+Stedman!B53+'Co PI 2'!B53+'Co PI 3'!B53+'Co-PI Budget (4)'!B53+'Co-PI Budget (5)'!B53+'Co-PI Budget (6)'!B53</f>
        <v>0</v>
      </c>
      <c r="C90" s="11">
        <f>+'Lead Budget'!C53+Stedman!C53+'Co PI 2'!C53+'Co PI 3'!C53+'Co-PI Budget (4)'!C53+'Co-PI Budget (5)'!C53+'Co-PI Budget (6)'!C53</f>
        <v>0</v>
      </c>
      <c r="D90" s="11">
        <f>+'Lead Budget'!D53+Stedman!D53+'Co PI 2'!D53+'Co PI 3'!D53+'Co-PI Budget (4)'!D53+'Co-PI Budget (5)'!D53+'Co-PI Budget (6)'!D53</f>
        <v>0</v>
      </c>
      <c r="E90" s="11">
        <f>+'Lead Budget'!E53+Stedman!E53+'Co PI 2'!E53+'Co PI 3'!E53+'Co-PI Budget (4)'!E53+'Co-PI Budget (5)'!E53+'Co-PI Budget (6)'!E53</f>
        <v>0</v>
      </c>
      <c r="F90" s="11">
        <f>+'Lead Budget'!F53+Stedman!F53+'Co PI 2'!F53+'Co PI 3'!F53+'Co-PI Budget (4)'!F53+'Co-PI Budget (5)'!F53+'Co-PI Budget (6)'!F53</f>
        <v>0</v>
      </c>
      <c r="G90" s="27">
        <f t="shared" si="23"/>
        <v>0</v>
      </c>
      <c r="J90" s="13">
        <f>+'Co PI 2'!G59</f>
        <v>0</v>
      </c>
      <c r="K90" s="381" t="str">
        <f ca="1">""&amp;MID('rates, dates, etc'!AH4,FIND("]",'rates, dates, etc'!AH4)+1,25)</f>
        <v>Co PI 2</v>
      </c>
      <c r="L90" s="13"/>
    </row>
    <row r="91" spans="1:12" ht="11.25" customHeight="1" x14ac:dyDescent="0.2">
      <c r="A91" s="10" t="str">
        <f>+'Expense Details'!A86</f>
        <v>Other</v>
      </c>
      <c r="B91" s="11">
        <f>+'Lead Budget'!B54+Stedman!B54+'Co PI 2'!B54+'Co PI 3'!B54+'Co-PI Budget (4)'!B54+'Co-PI Budget (5)'!B54+'Co-PI Budget (6)'!B54</f>
        <v>6033</v>
      </c>
      <c r="C91" s="11">
        <f>+'Lead Budget'!C54+Stedman!C54+'Co PI 2'!C54+'Co PI 3'!C54+'Co-PI Budget (4)'!C54+'Co-PI Budget (5)'!C54+'Co-PI Budget (6)'!C54</f>
        <v>889</v>
      </c>
      <c r="D91" s="11">
        <f>+'Lead Budget'!D54+Stedman!D54+'Co PI 2'!D54+'Co PI 3'!D54+'Co-PI Budget (4)'!D54+'Co-PI Budget (5)'!D54+'Co-PI Budget (6)'!D54</f>
        <v>0</v>
      </c>
      <c r="E91" s="11">
        <f>+'Lead Budget'!E54+Stedman!E54+'Co PI 2'!E54+'Co PI 3'!E54+'Co-PI Budget (4)'!E54+'Co-PI Budget (5)'!E54+'Co-PI Budget (6)'!E54</f>
        <v>0</v>
      </c>
      <c r="F91" s="11">
        <f>+'Lead Budget'!F54+Stedman!F54+'Co PI 2'!F54+'Co PI 3'!F54+'Co-PI Budget (4)'!F54+'Co-PI Budget (5)'!F54+'Co-PI Budget (6)'!F54</f>
        <v>0</v>
      </c>
      <c r="G91" s="27">
        <f t="shared" si="23"/>
        <v>6922</v>
      </c>
      <c r="J91" s="13">
        <f>+'Co PI 3'!G59</f>
        <v>0</v>
      </c>
      <c r="K91" s="381" t="str">
        <f ca="1">""&amp;MID('rates, dates, etc'!AH5,FIND("]",'rates, dates, etc'!AH5)+1,25)</f>
        <v>Co PI 3</v>
      </c>
      <c r="L91" s="13"/>
    </row>
    <row r="92" spans="1:12" ht="11.25" customHeight="1" thickBot="1" x14ac:dyDescent="0.25">
      <c r="A92" s="15" t="str">
        <f>CONCATENATE("Total ",A82)</f>
        <v>Total Other Direct Costs</v>
      </c>
      <c r="B92" s="16">
        <f>SUM(B82:B91)</f>
        <v>6386</v>
      </c>
      <c r="C92" s="16">
        <f t="shared" ref="C92:G92" si="24">SUM(C82:C91)</f>
        <v>889</v>
      </c>
      <c r="D92" s="16">
        <f t="shared" si="24"/>
        <v>0</v>
      </c>
      <c r="E92" s="16">
        <f t="shared" si="24"/>
        <v>0</v>
      </c>
      <c r="F92" s="16">
        <f t="shared" si="24"/>
        <v>0</v>
      </c>
      <c r="G92" s="28">
        <f t="shared" si="24"/>
        <v>7275</v>
      </c>
      <c r="J92" s="13">
        <f>+'Co-PI Budget (4)'!G59</f>
        <v>0</v>
      </c>
      <c r="K92" s="381" t="str">
        <f ca="1">""&amp;MID('rates, dates, etc'!AH6,FIND("]",'rates, dates, etc'!AH6)+1,25)</f>
        <v>Co-PI Budget (4)</v>
      </c>
      <c r="L92" s="13"/>
    </row>
    <row r="93" spans="1:12" ht="11.25" customHeight="1" thickBot="1" x14ac:dyDescent="0.25">
      <c r="A93" s="615" t="s">
        <v>16</v>
      </c>
      <c r="B93" s="371">
        <f>SUM(B29+B37+B65+B70+B74+B81+B92)</f>
        <v>106815</v>
      </c>
      <c r="C93" s="372">
        <f>SUM(C29+C37+C65+C70+C74+C81+C92)</f>
        <v>100157</v>
      </c>
      <c r="D93" s="372">
        <f t="shared" ref="D93:F93" si="25">SUM(D29+D37+D65+D70+D74+D81+D92)</f>
        <v>0</v>
      </c>
      <c r="E93" s="372">
        <f t="shared" si="25"/>
        <v>0</v>
      </c>
      <c r="F93" s="373">
        <f t="shared" si="25"/>
        <v>0</v>
      </c>
      <c r="G93" s="374">
        <f>SUM(G29+G37+G65+G70+G74+G81+G92)</f>
        <v>206972</v>
      </c>
      <c r="J93" s="13">
        <f>+'Co-PI Budget (5)'!G59</f>
        <v>0</v>
      </c>
      <c r="K93" s="381" t="str">
        <f ca="1">""&amp;MID('rates, dates, etc'!AH7,FIND("]",'rates, dates, etc'!AH7)+1,25)</f>
        <v>Co-PI Budget (5)</v>
      </c>
    </row>
    <row r="94" spans="1:12" ht="11.25" customHeight="1" thickBot="1" x14ac:dyDescent="0.25">
      <c r="A94" s="616" t="s">
        <v>185</v>
      </c>
      <c r="B94" s="105">
        <f>IF(AND('rates, dates, etc'!$B$30="Contract College",'rates, dates, etc'!$B$31="On"),'Lead Budget'!B57,0)+IF(AND('rates, dates, etc'!$B$136="Contract College",'rates, dates, etc'!$B$137="On"),Stedman!B57,0)+IF(AND('rates, dates, etc'!$B$242="Contract College",'rates, dates, etc'!$B$243="On"),'Co PI 2'!B57,0)+IF(AND('rates, dates, etc'!$B$348="Contract College",'rates, dates, etc'!$B$349="On"),'Co PI 3'!B57,0)+IF(AND('rates, dates, etc'!$B$454="Contract College",'rates, dates, etc'!$B$455="On"),'Co-PI Budget (4)'!B57,0)+IF(AND('rates, dates, etc'!$B$560="Contract College",'rates, dates, etc'!$B$561="On"),'Co-PI Budget (5)'!B57,0)+IF(AND('rates, dates, etc'!$B$666="Contract College",'rates, dates, etc'!$B$667="On"),'Co-PI Budget (6)'!B57,0)</f>
        <v>106815</v>
      </c>
      <c r="C94" s="105">
        <f>IF(AND('rates, dates, etc'!$B$30="Contract College",'rates, dates, etc'!$B$31="On"),'Lead Budget'!C57,0)+IF(AND('rates, dates, etc'!$B$136="Contract College",'rates, dates, etc'!$B$137="On"),Stedman!C57,0)+IF(AND('rates, dates, etc'!$B$242="Contract College",'rates, dates, etc'!$B$243="On"),'Co PI 2'!C57,0)+IF(AND('rates, dates, etc'!$B$348="Contract College",'rates, dates, etc'!$B$349="On"),'Co PI 3'!C57,0)+IF(AND('rates, dates, etc'!$B$454="Contract College",'rates, dates, etc'!$B$455="On"),'Co-PI Budget (4)'!C57,0)+IF(AND('rates, dates, etc'!$B$560="Contract College",'rates, dates, etc'!$B$561="On"),'Co-PI Budget (5)'!C57,0)+IF(AND('rates, dates, etc'!$B$666="Contract College",'rates, dates, etc'!$B$667="On"),'Co-PI Budget (6)'!C57,0)</f>
        <v>100157</v>
      </c>
      <c r="D94" s="105">
        <f>IF(AND('rates, dates, etc'!$B$30="Contract College",'rates, dates, etc'!$B$31="On"),'Lead Budget'!D57,0)+IF(AND('rates, dates, etc'!$B$136="Contract College",'rates, dates, etc'!$B$137="On"),Stedman!D57,0)+IF(AND('rates, dates, etc'!$B$242="Contract College",'rates, dates, etc'!$B$243="On"),'Co PI 2'!D57,0)+IF(AND('rates, dates, etc'!$B$348="Contract College",'rates, dates, etc'!$B$349="On"),'Co PI 3'!D57,0)+IF(AND('rates, dates, etc'!$B$454="Contract College",'rates, dates, etc'!$B$455="On"),'Co-PI Budget (4)'!D57,0)+IF(AND('rates, dates, etc'!$B$560="Contract College",'rates, dates, etc'!$B$561="On"),'Co-PI Budget (5)'!D57,0)+IF(AND('rates, dates, etc'!$B$666="Contract College",'rates, dates, etc'!$B$667="On"),'Co-PI Budget (6)'!D57,0)</f>
        <v>0</v>
      </c>
      <c r="E94" s="105">
        <f>IF(AND('rates, dates, etc'!$B$30="Contract College",'rates, dates, etc'!$B$31="On"),'Lead Budget'!E57,0)+IF(AND('rates, dates, etc'!$B$136="Contract College",'rates, dates, etc'!$B$137="On"),Stedman!E57,0)+IF(AND('rates, dates, etc'!$B$242="Contract College",'rates, dates, etc'!$B$243="On"),'Co PI 2'!E57,0)+IF(AND('rates, dates, etc'!$B$348="Contract College",'rates, dates, etc'!$B$349="On"),'Co PI 3'!E57,0)+IF(AND('rates, dates, etc'!$B$454="Contract College",'rates, dates, etc'!$B$455="On"),'Co-PI Budget (4)'!E57,0)+IF(AND('rates, dates, etc'!$B$560="Contract College",'rates, dates, etc'!$B$561="On"),'Co-PI Budget (5)'!E57,0)+IF(AND('rates, dates, etc'!$B$666="Contract College",'rates, dates, etc'!$B$667="On"),'Co-PI Budget (6)'!E57,0)</f>
        <v>0</v>
      </c>
      <c r="F94" s="105">
        <f>IF(AND('rates, dates, etc'!$B$30="Contract College",'rates, dates, etc'!$B$31="On"),'Lead Budget'!F57,0)+IF(AND('rates, dates, etc'!$B$136="Contract College",'rates, dates, etc'!$B$137="On"),Stedman!F57,0)+IF(AND('rates, dates, etc'!$B$242="Contract College",'rates, dates, etc'!$B$243="On"),'Co PI 2'!F57,0)+IF(AND('rates, dates, etc'!$B$348="Contract College",'rates, dates, etc'!$B$349="On"),'Co PI 3'!F57,0)+IF(AND('rates, dates, etc'!$B$454="Contract College",'rates, dates, etc'!$B$455="On"),'Co-PI Budget (4)'!F57,0)+IF(AND('rates, dates, etc'!$B$560="Contract College",'rates, dates, etc'!$B$561="On"),'Co-PI Budget (5)'!F57,0)+IF(AND('rates, dates, etc'!$B$666="Contract College",'rates, dates, etc'!$B$667="On"),'Co-PI Budget (6)'!F57,0)</f>
        <v>0</v>
      </c>
      <c r="G94" s="106">
        <f>SUM(B94:F94)</f>
        <v>206972</v>
      </c>
      <c r="J94" s="13">
        <f>+'Co-PI Budget (6)'!G59</f>
        <v>0</v>
      </c>
      <c r="K94" s="381" t="str">
        <f ca="1">""&amp;MID('rates, dates, etc'!AH8,FIND("]",'rates, dates, etc'!AH8)+1,25)</f>
        <v>Co-PI Budget (6)</v>
      </c>
    </row>
    <row r="95" spans="1:12" ht="11.25" customHeight="1" thickBot="1" x14ac:dyDescent="0.25">
      <c r="A95" s="616" t="s">
        <v>186</v>
      </c>
      <c r="B95" s="105">
        <f>IF(AND('rates, dates, etc'!$B$30="Contract College",'rates, dates, etc'!$B$31="Off"),'Lead Budget'!B57,0)+IF(AND('rates, dates, etc'!$B$136="Contract College",'rates, dates, etc'!$B$137="Off"),Stedman!B57,0)+IF(AND('rates, dates, etc'!$B$242="Contract College",'rates, dates, etc'!$B$243="Off"),'Co PI 2'!B57,0)+IF(AND('rates, dates, etc'!$B$348="Contract College",'rates, dates, etc'!$B$349="Off"),'Co PI 3'!B57,0)+IF(AND('rates, dates, etc'!$B$454="Contract College",'rates, dates, etc'!$B$455="Off"),'Co-PI Budget (4)'!B57,0)+IF(AND('rates, dates, etc'!$B$560="Contract College",'rates, dates, etc'!$B$561="Off"),'Co-PI Budget (5)'!B57,0)+IF(AND('rates, dates, etc'!$B$666="Contract College",'rates, dates, etc'!$B$667="Off"),'Co-PI Budget (6)'!B57,0)</f>
        <v>0</v>
      </c>
      <c r="C95" s="105">
        <f>IF(AND('rates, dates, etc'!$B$30="Contract College",'rates, dates, etc'!$B$31="Off"),'Lead Budget'!C57,0)+IF(AND('rates, dates, etc'!$B$136="Contract College",'rates, dates, etc'!$B$137="Off"),Stedman!C57,0)+IF(AND('rates, dates, etc'!$B$242="Contract College",'rates, dates, etc'!$B$243="Off"),'Co PI 2'!C57,0)+IF(AND('rates, dates, etc'!$B$348="Contract College",'rates, dates, etc'!$B$349="Off"),'Co PI 3'!C57,0)+IF(AND('rates, dates, etc'!$B$454="Contract College",'rates, dates, etc'!$B$455="Off"),'Co-PI Budget (4)'!C57,0)+IF(AND('rates, dates, etc'!$B$560="Contract College",'rates, dates, etc'!$B$561="Off"),'Co-PI Budget (5)'!C57,0)+IF(AND('rates, dates, etc'!$B$666="Contract College",'rates, dates, etc'!$B$667="Off"),'Co-PI Budget (6)'!C57,0)</f>
        <v>0</v>
      </c>
      <c r="D95" s="105">
        <f>IF(AND('rates, dates, etc'!$B$30="Contract College",'rates, dates, etc'!$B$31="Off"),'Lead Budget'!D57,0)+IF(AND('rates, dates, etc'!$B$136="Contract College",'rates, dates, etc'!$B$137="Off"),Stedman!D57,0)+IF(AND('rates, dates, etc'!$B$242="Contract College",'rates, dates, etc'!$B$243="Off"),'Co PI 2'!D57,0)+IF(AND('rates, dates, etc'!$B$348="Contract College",'rates, dates, etc'!$B$349="Off"),'Co PI 3'!D57,0)+IF(AND('rates, dates, etc'!$B$454="Contract College",'rates, dates, etc'!$B$455="Off"),'Co-PI Budget (4)'!D57,0)+IF(AND('rates, dates, etc'!$B$560="Contract College",'rates, dates, etc'!$B$561="Off"),'Co-PI Budget (5)'!D57,0)+IF(AND('rates, dates, etc'!$B$666="Contract College",'rates, dates, etc'!$B$667="Off"),'Co-PI Budget (6)'!D57,0)</f>
        <v>0</v>
      </c>
      <c r="E95" s="105">
        <f>IF(AND('rates, dates, etc'!$B$30="Contract College",'rates, dates, etc'!$B$31="Off"),'Lead Budget'!E57,0)+IF(AND('rates, dates, etc'!$B$136="Contract College",'rates, dates, etc'!$B$137="Off"),Stedman!E57,0)+IF(AND('rates, dates, etc'!$B$242="Contract College",'rates, dates, etc'!$B$243="Off"),'Co PI 2'!E57,0)+IF(AND('rates, dates, etc'!$B$348="Contract College",'rates, dates, etc'!$B$349="Off"),'Co PI 3'!E57,0)+IF(AND('rates, dates, etc'!$B$454="Contract College",'rates, dates, etc'!$B$455="Off"),'Co-PI Budget (4)'!E57,0)+IF(AND('rates, dates, etc'!$B$560="Contract College",'rates, dates, etc'!$B$561="Off"),'Co-PI Budget (5)'!E57,0)+IF(AND('rates, dates, etc'!$B$666="Contract College",'rates, dates, etc'!$B$667="Off"),'Co-PI Budget (6)'!E57,0)</f>
        <v>0</v>
      </c>
      <c r="F95" s="105">
        <f>IF(AND('rates, dates, etc'!$B$30="Contract College",'rates, dates, etc'!$B$31="Off"),'Lead Budget'!F57,0)+IF(AND('rates, dates, etc'!$B$136="Contract College",'rates, dates, etc'!$B$137="Off"),Stedman!F57,0)+IF(AND('rates, dates, etc'!$B$242="Contract College",'rates, dates, etc'!$B$243="Off"),'Co PI 2'!F57,0)+IF(AND('rates, dates, etc'!$B$348="Contract College",'rates, dates, etc'!$B$349="Off"),'Co PI 3'!F57,0)+IF(AND('rates, dates, etc'!$B$454="Contract College",'rates, dates, etc'!$B$455="Off"),'Co-PI Budget (4)'!F57,0)+IF(AND('rates, dates, etc'!$B$560="Contract College",'rates, dates, etc'!$B$561="Off"),'Co-PI Budget (5)'!F57,0)+IF(AND('rates, dates, etc'!$B$666="Contract College",'rates, dates, etc'!$B$667="Off"),'Co-PI Budget (6)'!F57,0)</f>
        <v>0</v>
      </c>
      <c r="G95" s="106">
        <f t="shared" ref="G95:G97" si="26">SUM(B95:F95)</f>
        <v>0</v>
      </c>
      <c r="J95" s="13">
        <f>SUM(J88:J94)</f>
        <v>248367</v>
      </c>
      <c r="K95" s="382" t="s">
        <v>152</v>
      </c>
    </row>
    <row r="96" spans="1:12" ht="11.25" customHeight="1" thickBot="1" x14ac:dyDescent="0.25">
      <c r="A96" s="616" t="s">
        <v>188</v>
      </c>
      <c r="B96" s="105">
        <f>IF(AND('rates, dates, etc'!$B$30="Endowed College",'rates, dates, etc'!$B$31="On"),'Lead Budget'!B57,0)+IF(AND('rates, dates, etc'!$B$136="Endowed College",'rates, dates, etc'!$B$137="On"),Stedman!B57,0)+IF(AND('rates, dates, etc'!$B$242="Endowed College",'rates, dates, etc'!$B$243="On"),'Co PI 2'!B57,0)+IF(AND('rates, dates, etc'!$B$348="Endowed College",'rates, dates, etc'!$B$349="On"),'Co PI 3'!B57,0)+IF(AND('rates, dates, etc'!$B$454="Endowed College",'rates, dates, etc'!$B$455="On"),'Co-PI Budget (4)'!B57,0)+IF(AND('rates, dates, etc'!$B$560="Endowed College",'rates, dates, etc'!$B$561="On"),'Co-PI Budget (5)'!B57,0)+IF(AND('rates, dates, etc'!$B$666="Endowed College",'rates, dates, etc'!$B$667="On"),'Co-PI Budget (6)'!B57,0)</f>
        <v>0</v>
      </c>
      <c r="C96" s="105">
        <f>IF(AND('rates, dates, etc'!$B$30="Endowed College",'rates, dates, etc'!$B$31="On"),'Lead Budget'!C57,0)+IF(AND('rates, dates, etc'!$B$136="Endowed College",'rates, dates, etc'!$B$137="On"),Stedman!C57,0)+IF(AND('rates, dates, etc'!$B$242="Endowed College",'rates, dates, etc'!$B$243="On"),'Co PI 2'!C57,0)+IF(AND('rates, dates, etc'!$B$348="Endowed College",'rates, dates, etc'!$B$349="On"),'Co PI 3'!C57,0)+IF(AND('rates, dates, etc'!$B$454="Endowed College",'rates, dates, etc'!$B$455="On"),'Co-PI Budget (4)'!C57,0)+IF(AND('rates, dates, etc'!$B$560="Endowed College",'rates, dates, etc'!$B$561="On"),'Co-PI Budget (5)'!C57,0)+IF(AND('rates, dates, etc'!$B$666="Endowed College",'rates, dates, etc'!$B$667="On"),'Co-PI Budget (6)'!C57,0)</f>
        <v>0</v>
      </c>
      <c r="D96" s="105">
        <f>IF(AND('rates, dates, etc'!$B$30="Endowed College",'rates, dates, etc'!$B$31="On"),'Lead Budget'!D57,0)+IF(AND('rates, dates, etc'!$B$136="Endowed College",'rates, dates, etc'!$B$137="On"),Stedman!D57,0)+IF(AND('rates, dates, etc'!$B$242="Endowed College",'rates, dates, etc'!$B$243="On"),'Co PI 2'!D57,0)+IF(AND('rates, dates, etc'!$B$348="Endowed College",'rates, dates, etc'!$B$349="On"),'Co PI 3'!D57,0)+IF(AND('rates, dates, etc'!$B$454="Endowed College",'rates, dates, etc'!$B$455="On"),'Co-PI Budget (4)'!D57,0)+IF(AND('rates, dates, etc'!$B$560="Endowed College",'rates, dates, etc'!$B$561="On"),'Co-PI Budget (5)'!D57,0)+IF(AND('rates, dates, etc'!$B$666="Endowed College",'rates, dates, etc'!$B$667="On"),'Co-PI Budget (6)'!D57,0)</f>
        <v>0</v>
      </c>
      <c r="E96" s="105">
        <f>IF(AND('rates, dates, etc'!$B$30="Endowed College",'rates, dates, etc'!$B$31="On"),'Lead Budget'!E57,0)+IF(AND('rates, dates, etc'!$B$136="Endowed College",'rates, dates, etc'!$B$137="On"),Stedman!E57,0)+IF(AND('rates, dates, etc'!$B$242="Endowed College",'rates, dates, etc'!$B$243="On"),'Co PI 2'!E57,0)+IF(AND('rates, dates, etc'!$B$348="Endowed College",'rates, dates, etc'!$B$349="On"),'Co PI 3'!E57,0)+IF(AND('rates, dates, etc'!$B$454="Endowed College",'rates, dates, etc'!$B$455="On"),'Co-PI Budget (4)'!E57,0)+IF(AND('rates, dates, etc'!$B$560="Endowed College",'rates, dates, etc'!$B$561="On"),'Co-PI Budget (5)'!E57,0)+IF(AND('rates, dates, etc'!$B$666="Endowed College",'rates, dates, etc'!$B$667="On"),'Co-PI Budget (6)'!E57,0)</f>
        <v>0</v>
      </c>
      <c r="F96" s="105">
        <f>IF(AND('rates, dates, etc'!$B$30="Endowed College",'rates, dates, etc'!$B$31="On"),'Lead Budget'!F57,0)+IF(AND('rates, dates, etc'!$B$136="Endowed College",'rates, dates, etc'!$B$137="On"),Stedman!F57,0)+IF(AND('rates, dates, etc'!$B$242="Endowed College",'rates, dates, etc'!$B$243="On"),'Co PI 2'!F57,0)+IF(AND('rates, dates, etc'!$B$348="Endowed College",'rates, dates, etc'!$B$349="On"),'Co PI 3'!F57,0)+IF(AND('rates, dates, etc'!$B$454="Endowed College",'rates, dates, etc'!$B$455="On"),'Co-PI Budget (4)'!F57,0)+IF(AND('rates, dates, etc'!$B$560="Endowed College",'rates, dates, etc'!$B$561="On"),'Co-PI Budget (5)'!F57,0)+IF(AND('rates, dates, etc'!$B$666="Endowed College",'rates, dates, etc'!$B$667="On"),'Co-PI Budget (6)'!F57,0)</f>
        <v>0</v>
      </c>
      <c r="G96" s="106">
        <f t="shared" si="26"/>
        <v>0</v>
      </c>
    </row>
    <row r="97" spans="1:15" ht="11.25" customHeight="1" thickBot="1" x14ac:dyDescent="0.25">
      <c r="A97" s="616" t="s">
        <v>187</v>
      </c>
      <c r="B97" s="105">
        <f>IF(AND('rates, dates, etc'!$B$30="Endowed College",'rates, dates, etc'!$B$31="Off"),'Lead Budget'!B57,0)+IF(AND('rates, dates, etc'!$B$136="Endowed College",'rates, dates, etc'!$B$137="Off"),Stedman!B57,0)+IF(AND('rates, dates, etc'!$B$242="Endowed College",'rates, dates, etc'!$B$243="Off"),'Co PI 2'!B57,0)+IF(AND('rates, dates, etc'!$B$348="Endowed College",'rates, dates, etc'!$B$349="Off"),'Co PI 3'!B57,0)+IF(AND('rates, dates, etc'!$B$454="Endowed College",'rates, dates, etc'!$B$455="Off"),'Co-PI Budget (4)'!B57,0)+IF(AND('rates, dates, etc'!$B$560="Endowed College",'rates, dates, etc'!$B$561="Off"),'Co-PI Budget (5)'!B57,0)+IF(AND('rates, dates, etc'!$B$666="Endowed College",'rates, dates, etc'!$B$667="Off"),'Co-PI Budget (6)'!B57,0)</f>
        <v>0</v>
      </c>
      <c r="C97" s="105">
        <f>IF(AND('rates, dates, etc'!$B$30="Endowed College",'rates, dates, etc'!$B$31="Off"),'Lead Budget'!C57,0)+IF(AND('rates, dates, etc'!$B$136="Endowed College",'rates, dates, etc'!$B$137="Off"),Stedman!C57,0)+IF(AND('rates, dates, etc'!$B$242="Endowed College",'rates, dates, etc'!$B$243="Off"),'Co PI 2'!C57,0)+IF(AND('rates, dates, etc'!$B$348="Endowed College",'rates, dates, etc'!$B$349="Off"),'Co PI 3'!C57,0)+IF(AND('rates, dates, etc'!$B$454="Endowed College",'rates, dates, etc'!$B$455="Off"),'Co-PI Budget (4)'!C57,0)+IF(AND('rates, dates, etc'!$B$560="Endowed College",'rates, dates, etc'!$B$561="Off"),'Co-PI Budget (5)'!C57,0)+IF(AND('rates, dates, etc'!$B$666="Endowed College",'rates, dates, etc'!$B$667="Off"),'Co-PI Budget (6)'!C57,0)</f>
        <v>0</v>
      </c>
      <c r="D97" s="105">
        <f>IF(AND('rates, dates, etc'!$B$30="Endowed College",'rates, dates, etc'!$B$31="Off"),'Lead Budget'!D57,0)+IF(AND('rates, dates, etc'!$B$136="Endowed College",'rates, dates, etc'!$B$137="Off"),Stedman!D57,0)+IF(AND('rates, dates, etc'!$B$242="Endowed College",'rates, dates, etc'!$B$243="Off"),'Co PI 2'!D57,0)+IF(AND('rates, dates, etc'!$B$348="Endowed College",'rates, dates, etc'!$B$349="Off"),'Co PI 3'!D57,0)+IF(AND('rates, dates, etc'!$B$454="Endowed College",'rates, dates, etc'!$B$455="Off"),'Co-PI Budget (4)'!D57,0)+IF(AND('rates, dates, etc'!$B$560="Endowed College",'rates, dates, etc'!$B$561="Off"),'Co-PI Budget (5)'!D57,0)+IF(AND('rates, dates, etc'!$B$666="Endowed College",'rates, dates, etc'!$B$667="Off"),'Co-PI Budget (6)'!D57,0)</f>
        <v>0</v>
      </c>
      <c r="E97" s="105">
        <f>IF(AND('rates, dates, etc'!$B$30="Endowed College",'rates, dates, etc'!$B$31="Off"),'Lead Budget'!E57,0)+IF(AND('rates, dates, etc'!$B$136="Endowed College",'rates, dates, etc'!$B$137="Off"),Stedman!E57,0)+IF(AND('rates, dates, etc'!$B$242="Endowed College",'rates, dates, etc'!$B$243="Off"),'Co PI 2'!E57,0)+IF(AND('rates, dates, etc'!$B$348="Endowed College",'rates, dates, etc'!$B$349="Off"),'Co PI 3'!E57,0)+IF(AND('rates, dates, etc'!$B$454="Endowed College",'rates, dates, etc'!$B$455="Off"),'Co-PI Budget (4)'!E57,0)+IF(AND('rates, dates, etc'!$B$560="Endowed College",'rates, dates, etc'!$B$561="Off"),'Co-PI Budget (5)'!E57,0)+IF(AND('rates, dates, etc'!$B$666="Endowed College",'rates, dates, etc'!$B$667="Off"),'Co-PI Budget (6)'!E57,0)</f>
        <v>0</v>
      </c>
      <c r="F97" s="105">
        <f>IF(AND('rates, dates, etc'!$B$30="Endowed College",'rates, dates, etc'!$B$31="Off"),'Lead Budget'!F57,0)+IF(AND('rates, dates, etc'!$B$136="Endowed College",'rates, dates, etc'!$B$137="Off"),Stedman!F57,0)+IF(AND('rates, dates, etc'!$B$242="Endowed College",'rates, dates, etc'!$B$243="Off"),'Co PI 2'!F57,0)+IF(AND('rates, dates, etc'!$B$348="Endowed College",'rates, dates, etc'!$B$349="Off"),'Co PI 3'!F57,0)+IF(AND('rates, dates, etc'!$B$454="Endowed College",'rates, dates, etc'!$B$455="Off"),'Co-PI Budget (4)'!F57,0)+IF(AND('rates, dates, etc'!$B$560="Endowed College",'rates, dates, etc'!$B$561="Off"),'Co-PI Budget (5)'!F57,0)+IF(AND('rates, dates, etc'!$B$666="Endowed College",'rates, dates, etc'!$B$667="Off"),'Co-PI Budget (6)'!F57,0)</f>
        <v>0</v>
      </c>
      <c r="G97" s="106">
        <f t="shared" si="26"/>
        <v>0</v>
      </c>
    </row>
    <row r="98" spans="1:15" ht="11.25" customHeight="1" thickBot="1" x14ac:dyDescent="0.25">
      <c r="A98" s="617" t="s">
        <v>18</v>
      </c>
      <c r="B98" s="374">
        <f>IF(AND('rates, dates, etc'!$B$11="no",$G$102&lt;$G$103),B102,B103)</f>
        <v>21363</v>
      </c>
      <c r="C98" s="374">
        <f>IF(AND('rates, dates, etc'!$B$11="no",$G$102&lt;$G$103),C102,C103)</f>
        <v>20031</v>
      </c>
      <c r="D98" s="374">
        <f>IF(AND('rates, dates, etc'!$B$11="no",$G$102&lt;$G$103),D102,D103)</f>
        <v>0</v>
      </c>
      <c r="E98" s="374">
        <f>IF(AND('rates, dates, etc'!$B$11="no",$G$102&lt;$G$103),E102,E103)</f>
        <v>0</v>
      </c>
      <c r="F98" s="374">
        <f>IF(AND('rates, dates, etc'!$B$11="no",$G$102&lt;$G$103),F102,F103)</f>
        <v>0</v>
      </c>
      <c r="G98" s="383">
        <f>SUM(B98:F98)</f>
        <v>41394</v>
      </c>
      <c r="J98" s="2"/>
      <c r="K98" s="2"/>
    </row>
    <row r="99" spans="1:15" ht="11.25" customHeight="1" thickBot="1" x14ac:dyDescent="0.25">
      <c r="A99" s="375" t="s">
        <v>19</v>
      </c>
      <c r="B99" s="376">
        <f>+B93+B98</f>
        <v>128178</v>
      </c>
      <c r="C99" s="376">
        <f>+C93+C98</f>
        <v>120188</v>
      </c>
      <c r="D99" s="376">
        <f>+D93+D98</f>
        <v>0</v>
      </c>
      <c r="E99" s="376">
        <f>+E93+E98</f>
        <v>0</v>
      </c>
      <c r="F99" s="376">
        <f>+F93+F98</f>
        <v>0</v>
      </c>
      <c r="G99" s="377">
        <f t="shared" ref="G99" si="27">SUM(B99:F99)</f>
        <v>248366</v>
      </c>
      <c r="H99" s="3">
        <f>+G99-J95</f>
        <v>-1</v>
      </c>
      <c r="I99" s="3" t="s">
        <v>150</v>
      </c>
      <c r="J99" s="2"/>
      <c r="K99" s="2"/>
    </row>
    <row r="100" spans="1:15" ht="11.25" customHeight="1" x14ac:dyDescent="0.2">
      <c r="A100" s="22"/>
      <c r="B100" s="12"/>
      <c r="C100" s="12"/>
      <c r="D100" s="12"/>
      <c r="E100" s="12"/>
      <c r="F100" s="12"/>
    </row>
    <row r="101" spans="1:15" ht="11.25" customHeight="1" thickBot="1" x14ac:dyDescent="0.25">
      <c r="A101" s="22"/>
      <c r="B101" s="12"/>
      <c r="C101" s="12"/>
      <c r="D101" s="12"/>
      <c r="E101" s="12"/>
      <c r="F101" s="12"/>
    </row>
    <row r="102" spans="1:15" ht="11.25" customHeight="1" thickBot="1" x14ac:dyDescent="0.25">
      <c r="A102" s="618" t="s">
        <v>135</v>
      </c>
      <c r="B102" s="623">
        <f>IF('rates, dates, etc'!$B$11="Yes",0,IF(AND('rates, dates, etc'!$B$11="No",'rates, dates, etc'!$B$16="No"),IF(AND('rates, dates, etc'!$B$11="No",'rates, dates, etc'!$B$16="No"),ROUND(((B93-B87+B111)*J107*$K$111)+((B93-B87+B111)*K107*$K$112),0))-(+B112),ROUND((B93*J107*$K$111)+(B93*K107*$K$112),0)))</f>
        <v>21363</v>
      </c>
      <c r="C102" s="624">
        <f>IF('rates, dates, etc'!$B$11="Yes",0,IF(AND('rates, dates, etc'!$B$11="No",'rates, dates, etc'!$B$16="No"),IF(AND('rates, dates, etc'!$B$11="No",'rates, dates, etc'!$B$16="No"),ROUND(((C93-C87+C111)*K107*$K$111)+((C93-C87+C111)*L107*$K$112),0))-(+C112),ROUND((C93*K107*$K$111)+(C93*L107*$K$112),0)))</f>
        <v>20031</v>
      </c>
      <c r="D102" s="624">
        <f>IF('rates, dates, etc'!$B$11="Yes",0,IF(AND('rates, dates, etc'!$B$11="No",'rates, dates, etc'!$B$16="No"),IF(AND('rates, dates, etc'!$B$11="No",'rates, dates, etc'!$B$16="No"),ROUND(((D93-D87+D111)*L107*$K$111)+((D93-D87+D111)*M107*$K$112),0))-(+D112),ROUND((D93*L107*$K$111)+(D93*M107*$K$112),0)))</f>
        <v>0</v>
      </c>
      <c r="E102" s="624">
        <f>IF('rates, dates, etc'!$B$11="Yes",0,IF(AND('rates, dates, etc'!$B$11="No",'rates, dates, etc'!$B$16="No"),IF(AND('rates, dates, etc'!$B$11="No",'rates, dates, etc'!$B$16="No"),ROUND(((E93-E87+E111)*M107*$K$111)+((E93-E87+E111)*N107*$K$112),0))-(+E112),ROUND((E93*M107*$K$111)+(E93*N107*$K$112),0)))</f>
        <v>0</v>
      </c>
      <c r="F102" s="625">
        <f>IF('rates, dates, etc'!$B$11="Yes",0,IF(AND('rates, dates, etc'!$B$11="No",'rates, dates, etc'!$B$16="No"),IF(AND('rates, dates, etc'!$B$11="No",'rates, dates, etc'!$B$16="No"),ROUND(((F93-F87+F111)*N107*$K$111)+((F93-F87+F111)*O107*$K$112),0))-(+F112),ROUND((F93*N107*$K$111)+(F93*O107*$K$112),0)))</f>
        <v>0</v>
      </c>
      <c r="G102" s="103">
        <f>SUM(B102:F102)</f>
        <v>41394</v>
      </c>
    </row>
    <row r="103" spans="1:15" ht="11.25" customHeight="1" thickBot="1" x14ac:dyDescent="0.25">
      <c r="A103" s="619" t="s">
        <v>145</v>
      </c>
      <c r="B103" s="103">
        <f>ROUND((B94*J105*$K$111)+(B94*K105*$K$112),0)+ROUND((B96*J106*$K$111)+(B96*K106*$K$112),0)+ROUND((B95*J108*$K$111)+(B95*K108*$K$112),0)+ROUND((B97*J108*$K$111)+(B97*K108*$K$112),0)</f>
        <v>60885</v>
      </c>
      <c r="C103" s="104">
        <f>ROUND((C94*K105*$K$111)+(C94*L105*$K$112),0)+ROUND((C96*K106*$K$111)+(C96*L106*$K$112),0)+ROUND((C95*K108*$K$111)+(C95*L108*$K$112),0)+ROUND((C97*K108*$K$111)+(C97*L108*$K$112),0)</f>
        <v>57089</v>
      </c>
      <c r="D103" s="104">
        <f>ROUND((D94*L105*$K$111)+(D94*M105*$K$112),0)+ROUND((D96*L106*$K$111)+(D96*M106*$K$112),0)+ROUND((D95*L108*$K$111)+(D95*M108*$K$112),0)+ROUND((D97*L108*$K$111)+(D97*M108*$K$112),0)</f>
        <v>0</v>
      </c>
      <c r="E103" s="104">
        <f>ROUND((E94*M105*$K$111)+(E94*N105*$K$112),0)+ROUND((E96*M106*$K$111)+(E96*N106*$K$112),0)+ROUND((E95*M108*$K$111)+(E95*N108*$K$112),0)+ROUND((E97*M108*$K$111)+(E97*N108*$K$112),0)</f>
        <v>0</v>
      </c>
      <c r="F103" s="416">
        <f>ROUND((F94*N105*$K$111)+(F94*O105*$K$112),0)+ROUND((F96*N106*$K$111)+(F96*O106*$K$112),0)+ROUND((F95*N108*$K$111)+(F95*O108*$K$112),0)+ROUND((F97*N108*$K$111)+(F97*O108*$K$112),0)</f>
        <v>0</v>
      </c>
      <c r="G103" s="103">
        <f>SUM(B103:F103)</f>
        <v>117974</v>
      </c>
      <c r="J103" s="408"/>
    </row>
    <row r="104" spans="1:15" ht="11.25" customHeight="1" x14ac:dyDescent="0.2">
      <c r="A104" s="620"/>
      <c r="J104" s="409"/>
      <c r="K104" s="409"/>
      <c r="L104" s="409"/>
      <c r="M104" s="409"/>
      <c r="N104" s="409"/>
      <c r="O104" s="409"/>
    </row>
    <row r="105" spans="1:15" ht="11.25" customHeight="1" x14ac:dyDescent="0.2">
      <c r="A105" s="620"/>
      <c r="B105" s="626"/>
      <c r="C105" s="11"/>
      <c r="D105" s="11"/>
      <c r="E105" s="11"/>
      <c r="F105" s="11"/>
      <c r="G105" s="11"/>
      <c r="I105" s="2" t="str">
        <f>+'rates, dates, etc'!L7</f>
        <v>IDC Rate - Contract:</v>
      </c>
      <c r="J105" s="2">
        <f>IF('rates, dates, etc'!$B31="Off",(HLOOKUP('rates, dates, etc'!B$36,'rates, dates, etc'!$M$2:$S$11,9,FALSE)),IF('rates, dates, etc'!$B$7="Other",(HLOOKUP('rates, dates, etc'!B$36,'rates, dates, etc'!$M$2:$S$11,8,FALSE)),(HLOOKUP('rates, dates, etc'!B$36,'rates, dates, etc'!$M$2:$S$13,6,FALSE))))</f>
        <v>0.56999999999999995</v>
      </c>
      <c r="K105" s="2">
        <f>IF('rates, dates, etc'!$B31="Off",(HLOOKUP('rates, dates, etc'!C$36,'rates, dates, etc'!$M$2:$S$11,9,FALSE)),IF('rates, dates, etc'!$B$7="Other",(HLOOKUP('rates, dates, etc'!C$36,'rates, dates, etc'!$M$2:$S$11,8,FALSE)),(HLOOKUP('rates, dates, etc'!C$36,'rates, dates, etc'!$M$2:$S$13,6,FALSE))))</f>
        <v>0.56999999999999995</v>
      </c>
      <c r="L105" s="2">
        <f>IF('rates, dates, etc'!$B31="Off",(HLOOKUP('rates, dates, etc'!D$36,'rates, dates, etc'!$M$2:$S$11,9,FALSE)),IF('rates, dates, etc'!$B$7="Other",(HLOOKUP('rates, dates, etc'!D$36,'rates, dates, etc'!$M$2:$S$11,8,FALSE)),(HLOOKUP('rates, dates, etc'!D$36,'rates, dates, etc'!$M$2:$S$13,6,FALSE))))</f>
        <v>0.56999999999999995</v>
      </c>
      <c r="M105" s="2">
        <f>IF('rates, dates, etc'!$B31="Off",(HLOOKUP('rates, dates, etc'!E$36,'rates, dates, etc'!$M$2:$S$11,9,FALSE)),IF('rates, dates, etc'!$B$7="Other",(HLOOKUP('rates, dates, etc'!E$36,'rates, dates, etc'!$M$2:$S$11,8,FALSE)),(HLOOKUP('rates, dates, etc'!E$36,'rates, dates, etc'!$M$2:$S$13,6,FALSE))))</f>
        <v>0.56999999999999995</v>
      </c>
      <c r="N105" s="2">
        <f>IF('rates, dates, etc'!$B31="Off",(HLOOKUP('rates, dates, etc'!F$36,'rates, dates, etc'!$M$2:$S$11,9,FALSE)),IF('rates, dates, etc'!$B$7="Other",(HLOOKUP('rates, dates, etc'!F$36,'rates, dates, etc'!$M$2:$S$11,8,FALSE)),(HLOOKUP('rates, dates, etc'!F$36,'rates, dates, etc'!$M$2:$S$13,6,FALSE))))</f>
        <v>0.56999999999999995</v>
      </c>
      <c r="O105" s="2">
        <f>IF('rates, dates, etc'!$B31="Off",(HLOOKUP('rates, dates, etc'!G$36,'rates, dates, etc'!$M$2:$S$11,9,FALSE)),IF('rates, dates, etc'!$B$7="Other",(HLOOKUP('rates, dates, etc'!G$36,'rates, dates, etc'!$M$2:$S$11,8,FALSE)),(HLOOKUP('rates, dates, etc'!G$36,'rates, dates, etc'!$M$2:$S$13,6,FALSE))))</f>
        <v>0.56999999999999995</v>
      </c>
    </row>
    <row r="106" spans="1:15" ht="11.25" customHeight="1" x14ac:dyDescent="0.2">
      <c r="A106" s="620"/>
      <c r="B106" s="626"/>
      <c r="I106" s="2" t="str">
        <f>+'rates, dates, etc'!L8</f>
        <v>IDC Rate - Endowed:</v>
      </c>
      <c r="J106" s="2">
        <f>IF('rates, dates, etc'!$B31="Off",(HLOOKUP('rates, dates, etc'!B$36,'rates, dates, etc'!$M$2:$S$11,9,FALSE)),IF('rates, dates, etc'!$B$7="Other",(HLOOKUP('rates, dates, etc'!B$36,'rates, dates, etc'!$M$2:$S$11,8,FALSE)),(HLOOKUP('rates, dates, etc'!B$36,'rates, dates, etc'!$M$2:$S$13,7,FALSE))))</f>
        <v>0.64</v>
      </c>
      <c r="K106" s="2">
        <f>IF('rates, dates, etc'!$B31="Off",(HLOOKUP('rates, dates, etc'!C$36,'rates, dates, etc'!$M$2:$S$11,9,FALSE)),IF('rates, dates, etc'!$B$7="Other",(HLOOKUP('rates, dates, etc'!C$36,'rates, dates, etc'!$M$2:$S$11,8,FALSE)),(HLOOKUP('rates, dates, etc'!C$36,'rates, dates, etc'!$M$2:$S$13,7,FALSE))))</f>
        <v>0.64</v>
      </c>
      <c r="L106" s="2">
        <f>IF('rates, dates, etc'!$B31="Off",(HLOOKUP('rates, dates, etc'!D$36,'rates, dates, etc'!$M$2:$S$11,9,FALSE)),IF('rates, dates, etc'!$B$7="Other",(HLOOKUP('rates, dates, etc'!D$36,'rates, dates, etc'!$M$2:$S$11,8,FALSE)),(HLOOKUP('rates, dates, etc'!D$36,'rates, dates, etc'!$M$2:$S$13,7,FALSE))))</f>
        <v>0.64</v>
      </c>
      <c r="M106" s="2">
        <f>IF('rates, dates, etc'!$B31="Off",(HLOOKUP('rates, dates, etc'!E$36,'rates, dates, etc'!$M$2:$S$11,9,FALSE)),IF('rates, dates, etc'!$B$7="Other",(HLOOKUP('rates, dates, etc'!E$36,'rates, dates, etc'!$M$2:$S$11,8,FALSE)),(HLOOKUP('rates, dates, etc'!E$36,'rates, dates, etc'!$M$2:$S$13,7,FALSE))))</f>
        <v>0.64</v>
      </c>
      <c r="N106" s="2">
        <f>IF('rates, dates, etc'!$B31="Off",(HLOOKUP('rates, dates, etc'!F$36,'rates, dates, etc'!$M$2:$S$11,9,FALSE)),IF('rates, dates, etc'!$B$7="Other",(HLOOKUP('rates, dates, etc'!F$36,'rates, dates, etc'!$M$2:$S$11,8,FALSE)),(HLOOKUP('rates, dates, etc'!F$36,'rates, dates, etc'!$M$2:$S$13,7,FALSE))))</f>
        <v>0.64</v>
      </c>
      <c r="O106" s="2">
        <f>IF('rates, dates, etc'!$B31="Off",(HLOOKUP('rates, dates, etc'!G$36,'rates, dates, etc'!$M$2:$S$11,9,FALSE)),IF('rates, dates, etc'!$B$7="Other",(HLOOKUP('rates, dates, etc'!G$36,'rates, dates, etc'!$M$2:$S$11,8,FALSE)),(HLOOKUP('rates, dates, etc'!G$36,'rates, dates, etc'!$M$2:$S$13,7,FALSE))))</f>
        <v>0.64</v>
      </c>
    </row>
    <row r="107" spans="1:15" ht="11.25" customHeight="1" thickBot="1" x14ac:dyDescent="0.25">
      <c r="A107" s="620"/>
      <c r="I107" s="3" t="str">
        <f>+'rates, dates, etc'!A42</f>
        <v>Rate Allowed by Sponsor:</v>
      </c>
      <c r="J107" s="2">
        <f>+'rates, dates, etc'!B42</f>
        <v>0.2</v>
      </c>
      <c r="K107" s="2">
        <f>+'rates, dates, etc'!C42</f>
        <v>0.2</v>
      </c>
      <c r="L107" s="2">
        <f>+'rates, dates, etc'!D42</f>
        <v>0.2</v>
      </c>
      <c r="M107" s="2">
        <f>+'rates, dates, etc'!E42</f>
        <v>0.2</v>
      </c>
      <c r="N107" s="2">
        <f>+'rates, dates, etc'!F42</f>
        <v>0.2</v>
      </c>
      <c r="O107" s="2">
        <f>+'rates, dates, etc'!G42</f>
        <v>0.2</v>
      </c>
    </row>
    <row r="108" spans="1:15" ht="11.25" customHeight="1" thickBot="1" x14ac:dyDescent="0.25">
      <c r="A108" s="621" t="s">
        <v>45</v>
      </c>
      <c r="B108" s="42">
        <f>+'Lead Budget'!B63+Stedman!B63+'Co PI 2'!B63+'Co PI 3'!B63+'Co-PI Budget (4)'!B63+'Co-PI Budget (5)'!B63+'Co-PI Budget (6)'!B63</f>
        <v>0</v>
      </c>
      <c r="C108" s="42">
        <f>+'Lead Budget'!C63+Stedman!C63+'Co PI 2'!C63+'Co PI 3'!C63+'Co-PI Budget (4)'!C63+'Co-PI Budget (5)'!C63+'Co-PI Budget (6)'!C63</f>
        <v>0</v>
      </c>
      <c r="D108" s="42">
        <f>+'Lead Budget'!D63+Stedman!D63+'Co PI 2'!D63+'Co PI 3'!D63+'Co-PI Budget (4)'!D63+'Co-PI Budget (5)'!D63+'Co-PI Budget (6)'!D63</f>
        <v>0</v>
      </c>
      <c r="E108" s="42">
        <f>+'Lead Budget'!E63+Stedman!E63+'Co PI 2'!E63+'Co PI 3'!E63+'Co-PI Budget (4)'!E63+'Co-PI Budget (5)'!E63+'Co-PI Budget (6)'!E63</f>
        <v>0</v>
      </c>
      <c r="F108" s="42">
        <f>+'Lead Budget'!F63+Stedman!F63+'Co PI 2'!F63+'Co PI 3'!F63+'Co-PI Budget (4)'!F63+'Co-PI Budget (5)'!F63+'Co-PI Budget (6)'!F63</f>
        <v>0</v>
      </c>
      <c r="G108" s="43">
        <f>SUM(B108:F108)</f>
        <v>0</v>
      </c>
      <c r="I108" s="2">
        <f>IF(OR('rates, dates, etc'!$B$31="Off",'rates, dates, etc'!$B$137="Off",'rates, dates, etc'!$B$243="Off",'rates, dates, etc'!$B$349="Off",'rates, dates, etc'!$B$455="Off",'rates, dates, etc'!$B$561="Off",'rates, dates, etc'!$B$667="Off"),+'rates, dates, etc'!L10,0)</f>
        <v>0</v>
      </c>
      <c r="J108" s="2">
        <f>IF(OR('rates, dates, etc'!$B$31="Off",'rates, dates, etc'!$B$137="Off",'rates, dates, etc'!$B$243="Off",'rates, dates, etc'!$B$349="Off",'rates, dates, etc'!$B$455="Off",'rates, dates, etc'!$B$561="Off",'rates, dates, etc'!$B$667="Off"),(HLOOKUP('rates, dates, etc'!B$36,'rates, dates, etc'!$M$2:$S$11,9,FALSE)),0)</f>
        <v>0</v>
      </c>
      <c r="K108" s="2">
        <f>IF(OR('rates, dates, etc'!$B$31="Off",'rates, dates, etc'!$B$137="Off",'rates, dates, etc'!$B$243="Off",'rates, dates, etc'!$B$349="Off",'rates, dates, etc'!$B$455="Off",'rates, dates, etc'!$B$561="Off",'rates, dates, etc'!$B$667="Off"),(HLOOKUP('rates, dates, etc'!C$36,'rates, dates, etc'!$M$2:$S$11,9,FALSE)),0)</f>
        <v>0</v>
      </c>
      <c r="L108" s="2">
        <f>IF(OR('rates, dates, etc'!$B$31="Off",'rates, dates, etc'!$B$137="Off",'rates, dates, etc'!$B$243="Off",'rates, dates, etc'!$B$349="Off",'rates, dates, etc'!$B$455="Off",'rates, dates, etc'!$B$561="Off",'rates, dates, etc'!$B$667="Off"),(HLOOKUP('rates, dates, etc'!D$36,'rates, dates, etc'!$M$2:$S$11,9,FALSE)),0)</f>
        <v>0</v>
      </c>
      <c r="M108" s="2">
        <f>IF(OR('rates, dates, etc'!$B$31="Off",'rates, dates, etc'!$B$137="Off",'rates, dates, etc'!$B$243="Off",'rates, dates, etc'!$B$349="Off",'rates, dates, etc'!$B$455="Off",'rates, dates, etc'!$B$561="Off",'rates, dates, etc'!$B$667="Off"),(HLOOKUP('rates, dates, etc'!E$36,'rates, dates, etc'!$M$2:$S$11,9,FALSE)),0)</f>
        <v>0</v>
      </c>
      <c r="N108" s="2">
        <f>IF(OR('rates, dates, etc'!$B$31="Off",'rates, dates, etc'!$B$137="Off",'rates, dates, etc'!$B$243="Off",'rates, dates, etc'!$B$349="Off",'rates, dates, etc'!$B$455="Off",'rates, dates, etc'!$B$561="Off",'rates, dates, etc'!$B$667="Off"),(HLOOKUP('rates, dates, etc'!F$36,'rates, dates, etc'!$M$2:$S$11,9,FALSE)),0)</f>
        <v>0</v>
      </c>
      <c r="O108" s="2">
        <f>IF(OR('rates, dates, etc'!$B$31="Off",'rates, dates, etc'!$B$137="Off",'rates, dates, etc'!$B$243="Off",'rates, dates, etc'!$B$349="Off",'rates, dates, etc'!$B$455="Off",'rates, dates, etc'!$B$561="Off",'rates, dates, etc'!$B$667="Off"),(HLOOKUP('rates, dates, etc'!G$36,'rates, dates, etc'!$M$2:$S$11,9,FALSE)),0)</f>
        <v>0</v>
      </c>
    </row>
    <row r="109" spans="1:15" ht="11.25" customHeight="1" x14ac:dyDescent="0.2">
      <c r="A109" s="620"/>
      <c r="N109" s="13"/>
      <c r="O109" s="13"/>
    </row>
    <row r="110" spans="1:15" ht="11.25" customHeight="1" thickBot="1" x14ac:dyDescent="0.25">
      <c r="A110" s="620"/>
      <c r="B110" s="11"/>
      <c r="I110" s="71" t="s">
        <v>144</v>
      </c>
      <c r="J110" s="31" t="s">
        <v>36</v>
      </c>
      <c r="K110" s="31" t="s">
        <v>56</v>
      </c>
    </row>
    <row r="111" spans="1:15" ht="11.25" customHeight="1" thickBot="1" x14ac:dyDescent="0.25">
      <c r="A111" s="622" t="s">
        <v>285</v>
      </c>
      <c r="B111" s="21">
        <f>+'Consortium 1'!B53+'Consortium 2'!B53+'Consortium 3'!B53+'Consortium 4'!B53+'Consortium 5'!B53+'Consortium 6'!B53+'Consortium 7'!B53+'Consortium 8'!B53+'Consortium 9'!B53+'Consortium 10'!B53</f>
        <v>0</v>
      </c>
      <c r="C111" s="21">
        <f>+'Consortium 1'!C53+'Consortium 2'!C53+'Consortium 3'!C53+'Consortium 4'!C53+'Consortium 5'!C53+'Consortium 6'!C53+'Consortium 7'!C53+'Consortium 8'!C53+'Consortium 9'!C53+'Consortium 10'!C53</f>
        <v>0</v>
      </c>
      <c r="D111" s="21">
        <f>+'Consortium 1'!D53+'Consortium 2'!D53+'Consortium 3'!D53+'Consortium 4'!D53+'Consortium 5'!D53+'Consortium 6'!D53+'Consortium 7'!D53+'Consortium 8'!D53+'Consortium 9'!D53+'Consortium 10'!D53</f>
        <v>0</v>
      </c>
      <c r="E111" s="21">
        <f>+'Consortium 1'!E53+'Consortium 2'!E53+'Consortium 3'!E53+'Consortium 4'!E53+'Consortium 5'!E53+'Consortium 6'!E53+'Consortium 7'!E53+'Consortium 8'!E53+'Consortium 9'!E53+'Consortium 10'!E53</f>
        <v>0</v>
      </c>
      <c r="F111" s="21">
        <f>+'Consortium 1'!F53+'Consortium 2'!F53+'Consortium 3'!F53+'Consortium 4'!F53+'Consortium 5'!F53+'Consortium 6'!F53+'Consortium 7'!F53+'Consortium 8'!F53+'Consortium 9'!F53+'Consortium 10'!F53</f>
        <v>0</v>
      </c>
      <c r="G111" s="20">
        <f>SUM(B111:F111)</f>
        <v>0</v>
      </c>
      <c r="I111" s="72" t="s">
        <v>51</v>
      </c>
      <c r="J111" s="68">
        <f>+'rates, dates, etc'!M41</f>
        <v>6</v>
      </c>
      <c r="K111" s="68">
        <f>+'rates, dates, etc'!N41</f>
        <v>0.5</v>
      </c>
    </row>
    <row r="112" spans="1:15" ht="11.25" customHeight="1" thickBot="1" x14ac:dyDescent="0.3">
      <c r="A112" s="622" t="s">
        <v>286</v>
      </c>
      <c r="B112" s="21">
        <f>+'Consortium 1'!B56+'Consortium 2'!B56+'Consortium 3'!B56+'Consortium 4'!B56+'Consortium 5'!B56+'Consortium 6'!B56+'Consortium 7'!B56+'Consortium 8'!B56+'Consortium 9'!B56+'Consortium 10'!B56</f>
        <v>0</v>
      </c>
      <c r="C112" s="21">
        <f>+'Consortium 1'!C56+'Consortium 2'!C56+'Consortium 3'!C56+'Consortium 4'!C56+'Consortium 5'!C56+'Consortium 6'!C56+'Consortium 7'!C56+'Consortium 8'!C56+'Consortium 9'!C56+'Consortium 10'!C56</f>
        <v>0</v>
      </c>
      <c r="D112" s="21">
        <f>+'Consortium 1'!D56+'Consortium 2'!D56+'Consortium 3'!D56+'Consortium 4'!D56+'Consortium 5'!D56+'Consortium 6'!D56+'Consortium 7'!D56+'Consortium 8'!D56+'Consortium 9'!D56+'Consortium 10'!D56</f>
        <v>0</v>
      </c>
      <c r="E112" s="21">
        <f>+'Consortium 1'!E56+'Consortium 2'!E56+'Consortium 3'!E56+'Consortium 4'!E56+'Consortium 5'!E56+'Consortium 6'!E56+'Consortium 7'!E56+'Consortium 8'!E56+'Consortium 9'!E56+'Consortium 10'!E56</f>
        <v>0</v>
      </c>
      <c r="F112" s="21">
        <f>+'Consortium 1'!F56+'Consortium 2'!F56+'Consortium 3'!F56+'Consortium 4'!F56+'Consortium 5'!F56+'Consortium 6'!F56+'Consortium 7'!F56+'Consortium 8'!F56+'Consortium 9'!F56+'Consortium 10'!F56</f>
        <v>0</v>
      </c>
      <c r="G112" s="20">
        <f t="shared" ref="G112:G113" si="28">SUM(B112:F112)</f>
        <v>0</v>
      </c>
      <c r="H112"/>
      <c r="I112" s="72" t="s">
        <v>52</v>
      </c>
      <c r="J112" s="68">
        <f>+'rates, dates, etc'!M42</f>
        <v>6</v>
      </c>
      <c r="K112" s="68">
        <f>+'rates, dates, etc'!N42</f>
        <v>0.5</v>
      </c>
    </row>
    <row r="113" spans="1:11" ht="11.25" customHeight="1" thickBot="1" x14ac:dyDescent="0.3">
      <c r="A113" s="622" t="s">
        <v>287</v>
      </c>
      <c r="B113" s="21">
        <f>SUM(B111:B112)</f>
        <v>0</v>
      </c>
      <c r="C113" s="21">
        <f t="shared" ref="C113:F113" si="29">SUM(C111:C112)</f>
        <v>0</v>
      </c>
      <c r="D113" s="21">
        <f t="shared" si="29"/>
        <v>0</v>
      </c>
      <c r="E113" s="21">
        <f t="shared" si="29"/>
        <v>0</v>
      </c>
      <c r="F113" s="21">
        <f t="shared" si="29"/>
        <v>0</v>
      </c>
      <c r="G113" s="20">
        <f t="shared" si="28"/>
        <v>0</v>
      </c>
      <c r="H113"/>
      <c r="I113" s="72"/>
      <c r="J113" s="73">
        <f>SUM(J111:J112)</f>
        <v>12</v>
      </c>
      <c r="K113" s="2" t="s">
        <v>97</v>
      </c>
    </row>
    <row r="114" spans="1:11" ht="11.25" customHeight="1" x14ac:dyDescent="0.25">
      <c r="B114" s="70"/>
      <c r="C114" s="70"/>
      <c r="D114" s="70"/>
      <c r="E114" s="70"/>
      <c r="F114" s="70"/>
      <c r="G114" s="70"/>
      <c r="H114"/>
      <c r="I114" s="70"/>
    </row>
    <row r="115" spans="1:11" ht="11.25" customHeight="1" x14ac:dyDescent="0.25">
      <c r="C115"/>
      <c r="D115"/>
      <c r="E115"/>
      <c r="F115"/>
      <c r="G115"/>
      <c r="H115"/>
    </row>
    <row r="123" spans="1:11" x14ac:dyDescent="0.2">
      <c r="J123" s="2"/>
      <c r="K123" s="2"/>
    </row>
    <row r="124" spans="1:11" x14ac:dyDescent="0.2">
      <c r="J124" s="2"/>
      <c r="K124" s="2"/>
    </row>
    <row r="125" spans="1:11" x14ac:dyDescent="0.2">
      <c r="J125" s="2"/>
      <c r="K125" s="2"/>
    </row>
    <row r="126" spans="1:11" x14ac:dyDescent="0.2">
      <c r="J126" s="2"/>
      <c r="K126" s="2"/>
    </row>
    <row r="127" spans="1:11" x14ac:dyDescent="0.2">
      <c r="J127" s="2"/>
      <c r="K127" s="2"/>
    </row>
    <row r="128" spans="1:11" x14ac:dyDescent="0.2">
      <c r="I128" s="2"/>
      <c r="J128" s="2"/>
      <c r="K128" s="2"/>
    </row>
    <row r="129" spans="9:11" x14ac:dyDescent="0.2">
      <c r="I129" s="488"/>
      <c r="J129" s="2"/>
      <c r="K129" s="2"/>
    </row>
    <row r="130" spans="9:11" x14ac:dyDescent="0.2">
      <c r="I130" s="488"/>
      <c r="J130" s="2"/>
      <c r="K130" s="2"/>
    </row>
    <row r="131" spans="9:11" x14ac:dyDescent="0.2">
      <c r="I131" s="488"/>
      <c r="J131" s="2"/>
      <c r="K131" s="2"/>
    </row>
    <row r="132" spans="9:11" x14ac:dyDescent="0.2">
      <c r="I132" s="488"/>
      <c r="J132" s="2"/>
      <c r="K132" s="2"/>
    </row>
    <row r="133" spans="9:11" x14ac:dyDescent="0.2">
      <c r="J133" s="2"/>
      <c r="K133" s="2"/>
    </row>
    <row r="134" spans="9:11" x14ac:dyDescent="0.2">
      <c r="J134" s="2"/>
      <c r="K134" s="2"/>
    </row>
    <row r="135" spans="9:11" x14ac:dyDescent="0.2">
      <c r="J135" s="2"/>
      <c r="K135" s="2"/>
    </row>
    <row r="136" spans="9:11" x14ac:dyDescent="0.2">
      <c r="I136" s="2"/>
      <c r="J136" s="2"/>
      <c r="K136" s="2"/>
    </row>
    <row r="137" spans="9:11" x14ac:dyDescent="0.2">
      <c r="I137" s="2"/>
      <c r="J137" s="2"/>
      <c r="K137" s="2"/>
    </row>
    <row r="138" spans="9:11" x14ac:dyDescent="0.2">
      <c r="I138" s="2"/>
      <c r="J138" s="2"/>
      <c r="K138" s="2"/>
    </row>
    <row r="139" spans="9:11" x14ac:dyDescent="0.2">
      <c r="I139" s="2"/>
      <c r="J139" s="2"/>
      <c r="K139" s="2"/>
    </row>
    <row r="140" spans="9:11" x14ac:dyDescent="0.2">
      <c r="I140" s="2"/>
      <c r="J140" s="2"/>
      <c r="K140" s="2"/>
    </row>
    <row r="141" spans="9:11" x14ac:dyDescent="0.2">
      <c r="I141" s="2"/>
      <c r="J141" s="2"/>
      <c r="K141" s="2"/>
    </row>
    <row r="142" spans="9:11" x14ac:dyDescent="0.2">
      <c r="I142" s="2"/>
      <c r="J142" s="2"/>
      <c r="K142" s="2"/>
    </row>
    <row r="143" spans="9:11" x14ac:dyDescent="0.2">
      <c r="I143" s="2"/>
      <c r="J143" s="2"/>
      <c r="K143" s="2"/>
    </row>
    <row r="144" spans="9:11" x14ac:dyDescent="0.2">
      <c r="I144" s="2"/>
      <c r="J144" s="2"/>
      <c r="K144" s="2"/>
    </row>
    <row r="145" spans="2:11" x14ac:dyDescent="0.2">
      <c r="I145" s="2"/>
      <c r="J145" s="2"/>
      <c r="K145" s="2"/>
    </row>
    <row r="146" spans="2:11" x14ac:dyDescent="0.2">
      <c r="I146" s="2"/>
      <c r="J146" s="2"/>
      <c r="K146" s="2"/>
    </row>
    <row r="147" spans="2:11" x14ac:dyDescent="0.2">
      <c r="I147" s="2"/>
      <c r="J147" s="2"/>
      <c r="K147" s="2"/>
    </row>
    <row r="148" spans="2:11" x14ac:dyDescent="0.2">
      <c r="I148" s="2"/>
      <c r="J148" s="2"/>
      <c r="K148" s="2"/>
    </row>
    <row r="149" spans="2:11" x14ac:dyDescent="0.2">
      <c r="I149" s="2"/>
      <c r="J149" s="2"/>
      <c r="K149" s="2"/>
    </row>
    <row r="150" spans="2:11" x14ac:dyDescent="0.2">
      <c r="I150" s="2"/>
      <c r="J150" s="2"/>
      <c r="K150" s="2"/>
    </row>
    <row r="151" spans="2:11" x14ac:dyDescent="0.2">
      <c r="I151" s="2"/>
      <c r="J151" s="2"/>
      <c r="K151" s="2"/>
    </row>
    <row r="152" spans="2:11" x14ac:dyDescent="0.2">
      <c r="J152" s="2"/>
      <c r="K152" s="2"/>
    </row>
    <row r="153" spans="2:11" x14ac:dyDescent="0.2">
      <c r="J153" s="2"/>
      <c r="K153" s="2"/>
    </row>
    <row r="154" spans="2:11" x14ac:dyDescent="0.2">
      <c r="I154" s="408"/>
      <c r="J154" s="2"/>
      <c r="K154" s="2"/>
    </row>
    <row r="157" spans="2:11" x14ac:dyDescent="0.2">
      <c r="B157" s="13"/>
      <c r="J157" s="2"/>
      <c r="K157" s="2"/>
    </row>
    <row r="170" spans="1:11" x14ac:dyDescent="0.2">
      <c r="A170" s="647"/>
      <c r="G170" s="2"/>
      <c r="H170" s="2"/>
      <c r="I170" s="2"/>
      <c r="J170" s="2"/>
      <c r="K170" s="2"/>
    </row>
    <row r="171" spans="1:11" x14ac:dyDescent="0.2">
      <c r="A171" s="647"/>
      <c r="G171" s="2"/>
      <c r="H171" s="2"/>
      <c r="I171" s="2"/>
      <c r="J171" s="2"/>
      <c r="K171" s="2"/>
    </row>
  </sheetData>
  <conditionalFormatting sqref="A103:G103">
    <cfRule type="expression" dxfId="33" priority="7">
      <formula>$G$103&lt;$G$102</formula>
    </cfRule>
  </conditionalFormatting>
  <conditionalFormatting sqref="A102:G102">
    <cfRule type="expression" dxfId="32" priority="5">
      <formula>$G$102&lt;$G$103</formula>
    </cfRule>
  </conditionalFormatting>
  <conditionalFormatting sqref="J108:O108">
    <cfRule type="cellIs" dxfId="31" priority="3" operator="equal">
      <formula>0</formula>
    </cfRule>
  </conditionalFormatting>
  <conditionalFormatting sqref="I108">
    <cfRule type="cellIs" dxfId="30" priority="1" operator="equal">
      <formula>0</formula>
    </cfRule>
  </conditionalFormatting>
  <pageMargins left="0.75" right="0.53" top="0.7" bottom="0.64" header="0.5" footer="0.5"/>
  <pageSetup scale="69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stopIfTrue="1" id="{FDC8CF34-CB8D-4A91-90C7-0BF30AC95823}">
            <xm:f>'rates, dates, etc'!$B$11="Yes"</xm:f>
            <x14:dxf>
              <font>
                <color rgb="FFFF0000"/>
              </font>
            </x14:dxf>
          </x14:cfRule>
          <xm:sqref>A103:G103</xm:sqref>
        </x14:conditionalFormatting>
        <x14:conditionalFormatting xmlns:xm="http://schemas.microsoft.com/office/excel/2006/main">
          <x14:cfRule type="expression" priority="4" stopIfTrue="1" id="{75EB4731-FBFC-4080-8E2F-D73A1455510E}">
            <xm:f>'rates, dates, etc'!$B$11="Yes"</xm:f>
            <x14:dxf/>
          </x14:cfRule>
          <xm:sqref>A102:G102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AP143"/>
  <sheetViews>
    <sheetView topLeftCell="G118" zoomScaleNormal="100" workbookViewId="0">
      <selection activeCell="M2" sqref="M2"/>
    </sheetView>
  </sheetViews>
  <sheetFormatPr defaultColWidth="9.28515625" defaultRowHeight="15" x14ac:dyDescent="0.25"/>
  <cols>
    <col min="1" max="1" width="43.28515625" bestFit="1" customWidth="1"/>
    <col min="2" max="9" width="10.28515625" customWidth="1"/>
    <col min="10" max="11" width="11" customWidth="1"/>
    <col min="12" max="12" width="41.5703125" customWidth="1"/>
    <col min="13" max="19" width="14.5703125" customWidth="1"/>
    <col min="20" max="20" width="18.42578125" customWidth="1"/>
    <col min="24" max="24" width="16.28515625" bestFit="1" customWidth="1"/>
    <col min="26" max="26" width="13.42578125" bestFit="1" customWidth="1"/>
  </cols>
  <sheetData>
    <row r="1" spans="1:42" ht="20.25" x14ac:dyDescent="0.3">
      <c r="A1" s="64" t="s">
        <v>53</v>
      </c>
      <c r="L1" s="64" t="s">
        <v>58</v>
      </c>
      <c r="M1" s="47"/>
      <c r="N1" s="47"/>
      <c r="O1" s="47"/>
      <c r="P1" s="47"/>
      <c r="Q1" s="47"/>
      <c r="R1" s="47"/>
      <c r="S1" s="47"/>
      <c r="AL1" s="47"/>
      <c r="AM1" s="47"/>
      <c r="AN1" s="47"/>
      <c r="AO1" s="47"/>
      <c r="AP1" s="47"/>
    </row>
    <row r="2" spans="1:42" x14ac:dyDescent="0.25">
      <c r="L2" s="57" t="s">
        <v>33</v>
      </c>
      <c r="M2" s="121" t="str">
        <f>+'rates, dates, etc'!M2</f>
        <v>FY2023</v>
      </c>
      <c r="N2" s="90" t="str">
        <f>CONCATENATE("FY",RIGHT(M2,4)+"1")</f>
        <v>FY2024</v>
      </c>
      <c r="O2" s="90" t="str">
        <f t="shared" ref="O2:S2" si="0">CONCATENATE("FY",RIGHT(N2,4)+"1")</f>
        <v>FY2025</v>
      </c>
      <c r="P2" s="90" t="str">
        <f t="shared" si="0"/>
        <v>FY2026</v>
      </c>
      <c r="Q2" s="90" t="str">
        <f t="shared" si="0"/>
        <v>FY2027</v>
      </c>
      <c r="R2" s="90" t="str">
        <f t="shared" si="0"/>
        <v>FY2028</v>
      </c>
      <c r="S2" s="90" t="str">
        <f t="shared" si="0"/>
        <v>FY2029</v>
      </c>
      <c r="T2" s="47"/>
      <c r="X2" s="112" t="s">
        <v>107</v>
      </c>
      <c r="Y2" s="88">
        <f>MONTH(DATE(YEAR(B5),MONTH(B5),1))</f>
        <v>1</v>
      </c>
      <c r="Z2" s="47"/>
      <c r="AA2" s="47"/>
      <c r="AB2" s="47"/>
      <c r="AC2" s="47"/>
      <c r="AD2" s="47"/>
      <c r="AE2" s="47"/>
      <c r="AH2" s="47"/>
    </row>
    <row r="3" spans="1:42" x14ac:dyDescent="0.25">
      <c r="L3" s="49"/>
      <c r="M3" s="49"/>
      <c r="N3" s="49"/>
      <c r="O3" s="49"/>
      <c r="P3" s="49"/>
      <c r="Q3" s="49"/>
      <c r="R3" s="49"/>
      <c r="S3" s="49"/>
      <c r="T3" s="47"/>
      <c r="X3" s="112" t="s">
        <v>83</v>
      </c>
      <c r="Y3" s="88">
        <f>YEAR(DATE(YEAR(B5),MONTH(B5)+6,1))</f>
        <v>2023</v>
      </c>
      <c r="Z3" s="112" t="s">
        <v>1</v>
      </c>
      <c r="AA3" s="112" t="s">
        <v>2</v>
      </c>
      <c r="AB3" s="112" t="s">
        <v>3</v>
      </c>
      <c r="AC3" s="112" t="s">
        <v>44</v>
      </c>
      <c r="AD3" s="112" t="s">
        <v>50</v>
      </c>
      <c r="AE3" s="47"/>
      <c r="AH3" s="47"/>
    </row>
    <row r="4" spans="1:42" x14ac:dyDescent="0.25">
      <c r="L4" s="49"/>
      <c r="M4" s="49"/>
      <c r="N4" s="49"/>
      <c r="O4" s="49"/>
      <c r="P4" s="49"/>
      <c r="Q4" s="49"/>
      <c r="R4" s="49"/>
      <c r="S4" s="49"/>
      <c r="T4" s="47"/>
      <c r="X4" s="47"/>
      <c r="Y4" s="112" t="s">
        <v>29</v>
      </c>
      <c r="Z4" s="48" t="str">
        <f>CONCATENATE("FY",$Y$3)</f>
        <v>FY2023</v>
      </c>
      <c r="AA4" s="48" t="str">
        <f>CONCATENATE("FY",$Y$3+1)</f>
        <v>FY2024</v>
      </c>
      <c r="AB4" s="48" t="str">
        <f>CONCATENATE("FY",$Y$3+2)</f>
        <v>FY2025</v>
      </c>
      <c r="AC4" s="48" t="str">
        <f>CONCATENATE("FY",$Y$3+3)</f>
        <v>FY2026</v>
      </c>
      <c r="AD4" s="48" t="str">
        <f>CONCATENATE("FY",$Y$3+4)</f>
        <v>FY2027</v>
      </c>
      <c r="AE4" s="48" t="str">
        <f>CONCATENATE("FY",$Y$3+5)</f>
        <v>FY2028</v>
      </c>
      <c r="AH4" s="47"/>
    </row>
    <row r="5" spans="1:42" x14ac:dyDescent="0.25">
      <c r="A5" s="47" t="s">
        <v>55</v>
      </c>
      <c r="B5" s="320">
        <f>+'rates, dates, etc'!B5</f>
        <v>44927</v>
      </c>
      <c r="J5" s="120"/>
      <c r="L5" s="49"/>
      <c r="M5" s="49"/>
      <c r="N5" s="49"/>
      <c r="O5" s="49"/>
      <c r="P5" s="49"/>
      <c r="Q5" s="49"/>
      <c r="R5" s="49"/>
      <c r="S5" s="49"/>
      <c r="T5" s="47"/>
      <c r="X5" s="47"/>
      <c r="Y5" s="112" t="s">
        <v>78</v>
      </c>
      <c r="Z5" s="48" t="str">
        <f>IF($M$21&lt;12,CONCATENATE("FY",$Y$3+1),CONCATENATE("FY",$Y$3))</f>
        <v>FY2024</v>
      </c>
      <c r="AA5" s="48" t="str">
        <f>IF($M$21&lt;12,CONCATENATE("FY",$Y$3+2),CONCATENATE("FY",$Y$3+1))</f>
        <v>FY2025</v>
      </c>
      <c r="AB5" s="48" t="str">
        <f>IF($M$21&lt;12,CONCATENATE("FY",$Y$3+3),CONCATENATE("FY",$Y$3+2))</f>
        <v>FY2026</v>
      </c>
      <c r="AC5" s="48" t="str">
        <f>IF($M$21&lt;12,CONCATENATE("FY",$Y$3+4),CONCATENATE("FY",$Y$3+3))</f>
        <v>FY2027</v>
      </c>
      <c r="AD5" s="48" t="str">
        <f>IF($M$21&lt;12,CONCATENATE("FY",$Y$3+5),CONCATENATE("FY",$Y$3+4))</f>
        <v>FY2028</v>
      </c>
      <c r="AE5" s="47"/>
      <c r="AH5" s="47"/>
    </row>
    <row r="6" spans="1:42" ht="20.25" x14ac:dyDescent="0.3">
      <c r="L6" s="64" t="s">
        <v>87</v>
      </c>
      <c r="M6" s="51"/>
      <c r="N6" s="52"/>
      <c r="O6" s="51"/>
      <c r="P6" s="52"/>
      <c r="Q6" s="53"/>
      <c r="T6" s="50"/>
      <c r="AD6" s="47"/>
      <c r="AF6" s="47"/>
      <c r="AG6" s="47"/>
      <c r="AH6" s="47"/>
    </row>
    <row r="7" spans="1:42" x14ac:dyDescent="0.25">
      <c r="A7" s="255" t="s">
        <v>138</v>
      </c>
      <c r="B7" s="309" t="s">
        <v>110</v>
      </c>
      <c r="C7" s="266"/>
      <c r="D7" s="282"/>
      <c r="E7" s="283"/>
      <c r="F7" s="283"/>
      <c r="G7" s="284"/>
      <c r="H7" s="284"/>
      <c r="I7" s="266"/>
      <c r="J7" s="266"/>
      <c r="M7" s="112" t="str">
        <f t="shared" ref="M7:S7" si="1">CONCATENATE("Fall ",RIGHT(M10,4)-"1")</f>
        <v>Fall 2022</v>
      </c>
      <c r="N7" s="112" t="str">
        <f t="shared" si="1"/>
        <v>Fall 2023</v>
      </c>
      <c r="O7" s="112" t="str">
        <f t="shared" si="1"/>
        <v>Fall 2024</v>
      </c>
      <c r="P7" s="112" t="str">
        <f t="shared" si="1"/>
        <v>Fall 2025</v>
      </c>
      <c r="Q7" s="112" t="str">
        <f t="shared" si="1"/>
        <v>Fall 2026</v>
      </c>
      <c r="R7" s="112" t="str">
        <f t="shared" si="1"/>
        <v>Fall 2027</v>
      </c>
      <c r="S7" s="112" t="str">
        <f t="shared" si="1"/>
        <v>Fall 2028</v>
      </c>
      <c r="T7" s="50"/>
    </row>
    <row r="8" spans="1:42" x14ac:dyDescent="0.25">
      <c r="G8" s="85"/>
      <c r="H8" s="85"/>
      <c r="L8" s="49"/>
      <c r="M8" s="112" t="str">
        <f t="shared" ref="M8:S8" si="2">CONCATENATE("Spring ",RIGHT(M10,4))</f>
        <v>Spring 2023</v>
      </c>
      <c r="N8" s="112" t="str">
        <f t="shared" si="2"/>
        <v>Spring 2024</v>
      </c>
      <c r="O8" s="112" t="str">
        <f t="shared" si="2"/>
        <v>Spring 2025</v>
      </c>
      <c r="P8" s="112" t="str">
        <f t="shared" si="2"/>
        <v>Spring 2026</v>
      </c>
      <c r="Q8" s="112" t="str">
        <f t="shared" si="2"/>
        <v>Spring 2027</v>
      </c>
      <c r="R8" s="112" t="str">
        <f t="shared" si="2"/>
        <v>Spring 2028</v>
      </c>
      <c r="S8" s="112" t="str">
        <f t="shared" si="2"/>
        <v>Spring 2029</v>
      </c>
      <c r="T8" s="50"/>
    </row>
    <row r="9" spans="1:42" x14ac:dyDescent="0.25">
      <c r="A9" s="263" t="s">
        <v>85</v>
      </c>
      <c r="B9" s="48" t="s">
        <v>1</v>
      </c>
      <c r="C9" s="48" t="s">
        <v>2</v>
      </c>
      <c r="D9" s="48" t="s">
        <v>3</v>
      </c>
      <c r="E9" s="48" t="s">
        <v>44</v>
      </c>
      <c r="F9" s="48" t="s">
        <v>50</v>
      </c>
      <c r="G9" s="124"/>
      <c r="H9" s="124"/>
      <c r="L9" s="49"/>
      <c r="M9" s="112" t="str">
        <f t="shared" ref="M9:S9" si="3">CONCATENATE("Summer ",RIGHT(M10,4))</f>
        <v>Summer 2023</v>
      </c>
      <c r="N9" s="112" t="str">
        <f t="shared" si="3"/>
        <v>Summer 2024</v>
      </c>
      <c r="O9" s="112" t="str">
        <f t="shared" si="3"/>
        <v>Summer 2025</v>
      </c>
      <c r="P9" s="112" t="str">
        <f t="shared" si="3"/>
        <v>Summer 2026</v>
      </c>
      <c r="Q9" s="112" t="str">
        <f t="shared" si="3"/>
        <v>Summer 2027</v>
      </c>
      <c r="R9" s="112" t="str">
        <f t="shared" si="3"/>
        <v>Summer 2028</v>
      </c>
      <c r="S9" s="112" t="str">
        <f t="shared" si="3"/>
        <v>Summer 2029</v>
      </c>
      <c r="T9" s="50"/>
    </row>
    <row r="10" spans="1:42" x14ac:dyDescent="0.25">
      <c r="A10" s="264" t="str">
        <f>+L41</f>
        <v>Number of Students (Spring)</v>
      </c>
      <c r="B10" s="94">
        <f>+'Cost Share'!K31</f>
        <v>0</v>
      </c>
      <c r="C10" s="94">
        <f>+'Cost Share'!L31</f>
        <v>0</v>
      </c>
      <c r="D10" s="94">
        <f>+'Cost Share'!M31</f>
        <v>0</v>
      </c>
      <c r="E10" s="94">
        <f>+'Cost Share'!N31</f>
        <v>0</v>
      </c>
      <c r="F10" s="94">
        <f>+'Cost Share'!O31</f>
        <v>0</v>
      </c>
      <c r="G10" s="47"/>
      <c r="H10" s="47"/>
      <c r="I10" s="100"/>
      <c r="L10" s="49"/>
      <c r="M10" s="122" t="str">
        <f t="shared" ref="M10:S10" si="4">+M2</f>
        <v>FY2023</v>
      </c>
      <c r="N10" s="122" t="str">
        <f t="shared" si="4"/>
        <v>FY2024</v>
      </c>
      <c r="O10" s="122" t="str">
        <f t="shared" si="4"/>
        <v>FY2025</v>
      </c>
      <c r="P10" s="122" t="str">
        <f t="shared" si="4"/>
        <v>FY2026</v>
      </c>
      <c r="Q10" s="122" t="str">
        <f t="shared" si="4"/>
        <v>FY2027</v>
      </c>
      <c r="R10" s="122" t="str">
        <f t="shared" si="4"/>
        <v>FY2028</v>
      </c>
      <c r="S10" s="122" t="str">
        <f t="shared" si="4"/>
        <v>FY2029</v>
      </c>
      <c r="T10" s="123" t="s">
        <v>119</v>
      </c>
    </row>
    <row r="11" spans="1:42" x14ac:dyDescent="0.25">
      <c r="A11" s="264" t="str">
        <f>+L42</f>
        <v>Number of Students (Summer)</v>
      </c>
      <c r="B11" s="94">
        <f>+'Cost Share'!K32</f>
        <v>0</v>
      </c>
      <c r="C11" s="94">
        <f>+'Cost Share'!L32</f>
        <v>0</v>
      </c>
      <c r="D11" s="94">
        <f>+'Cost Share'!M32</f>
        <v>0</v>
      </c>
      <c r="E11" s="94">
        <f>+'Cost Share'!N32</f>
        <v>0</v>
      </c>
      <c r="F11" s="94">
        <f>+'Cost Share'!O32</f>
        <v>0</v>
      </c>
      <c r="G11" s="47"/>
      <c r="H11" s="47"/>
      <c r="I11" s="100"/>
      <c r="L11" s="54" t="s">
        <v>35</v>
      </c>
      <c r="M11" s="110">
        <f>+'rates, dates, etc'!M30</f>
        <v>30088</v>
      </c>
      <c r="N11" s="110">
        <f>+'rates, dates, etc'!N30</f>
        <v>31592</v>
      </c>
      <c r="O11" s="110">
        <f>+'rates, dates, etc'!O30</f>
        <v>33172</v>
      </c>
      <c r="P11" s="110">
        <f>+'rates, dates, etc'!P30</f>
        <v>34831</v>
      </c>
      <c r="Q11" s="110">
        <f>+'rates, dates, etc'!Q30</f>
        <v>36573</v>
      </c>
      <c r="R11" s="110">
        <f>+'rates, dates, etc'!R30</f>
        <v>38402</v>
      </c>
      <c r="S11" s="110">
        <f>+'rates, dates, etc'!S30</f>
        <v>40322</v>
      </c>
      <c r="T11" s="55">
        <v>0.04</v>
      </c>
    </row>
    <row r="12" spans="1:42" x14ac:dyDescent="0.25">
      <c r="A12" s="264" t="str">
        <f>+L43</f>
        <v>Number of Students (Fall)</v>
      </c>
      <c r="B12" s="94">
        <f>+'Cost Share'!K33</f>
        <v>0</v>
      </c>
      <c r="C12" s="94">
        <f>+'Cost Share'!L33</f>
        <v>0</v>
      </c>
      <c r="D12" s="94">
        <f>+'Cost Share'!M33</f>
        <v>0</v>
      </c>
      <c r="E12" s="94">
        <f>+'Cost Share'!N33</f>
        <v>0</v>
      </c>
      <c r="F12" s="94">
        <f>+'Cost Share'!O33</f>
        <v>0</v>
      </c>
      <c r="G12" s="47"/>
      <c r="H12" s="47"/>
      <c r="I12" s="100"/>
      <c r="J12" s="100"/>
      <c r="L12" s="54" t="s">
        <v>23</v>
      </c>
      <c r="M12" s="110">
        <f>+'rates, dates, etc'!M31</f>
        <v>10029</v>
      </c>
      <c r="N12" s="110">
        <f>+'rates, dates, etc'!N31</f>
        <v>10530</v>
      </c>
      <c r="O12" s="110">
        <f>+'rates, dates, etc'!O31</f>
        <v>11057</v>
      </c>
      <c r="P12" s="110">
        <f>+'rates, dates, etc'!P31</f>
        <v>11610</v>
      </c>
      <c r="Q12" s="110">
        <f>+'rates, dates, etc'!Q31</f>
        <v>12191</v>
      </c>
      <c r="R12" s="110">
        <f>+'rates, dates, etc'!R31</f>
        <v>12801</v>
      </c>
      <c r="S12" s="110">
        <f>+'rates, dates, etc'!S31</f>
        <v>13441</v>
      </c>
      <c r="T12" s="97">
        <v>0.04</v>
      </c>
    </row>
    <row r="13" spans="1:42" ht="15.75" customHeight="1" x14ac:dyDescent="0.25">
      <c r="B13" s="407"/>
      <c r="C13" s="82"/>
      <c r="D13" s="82"/>
      <c r="E13" s="82"/>
      <c r="F13" s="82"/>
      <c r="G13" s="82"/>
      <c r="L13" s="54" t="s">
        <v>30</v>
      </c>
      <c r="M13" s="110">
        <f>+'rates, dates, etc'!M32</f>
        <v>40117</v>
      </c>
      <c r="N13" s="110">
        <f>+'rates, dates, etc'!N32</f>
        <v>42122</v>
      </c>
      <c r="O13" s="110">
        <f>+'rates, dates, etc'!O32</f>
        <v>44229</v>
      </c>
      <c r="P13" s="110">
        <f>+'rates, dates, etc'!P32</f>
        <v>46441</v>
      </c>
      <c r="Q13" s="110">
        <f>+'rates, dates, etc'!Q32</f>
        <v>48764</v>
      </c>
      <c r="R13" s="110">
        <f>+'rates, dates, etc'!R32</f>
        <v>51203</v>
      </c>
      <c r="S13" s="110">
        <f>+'rates, dates, etc'!S32</f>
        <v>53763</v>
      </c>
      <c r="T13" s="55"/>
    </row>
    <row r="14" spans="1:42" x14ac:dyDescent="0.25">
      <c r="B14" s="407"/>
      <c r="C14" s="82"/>
      <c r="D14" s="82"/>
      <c r="E14" s="82"/>
      <c r="F14" s="82"/>
      <c r="G14" s="82"/>
      <c r="L14" s="54" t="s">
        <v>139</v>
      </c>
      <c r="M14" s="110">
        <f>+'rates, dates, etc'!M33</f>
        <v>10400</v>
      </c>
      <c r="N14" s="110">
        <f>+'rates, dates, etc'!N33</f>
        <v>10400</v>
      </c>
      <c r="O14" s="110">
        <f>+'rates, dates, etc'!O33</f>
        <v>10400</v>
      </c>
      <c r="P14" s="110">
        <f>+'rates, dates, etc'!P33</f>
        <v>10400</v>
      </c>
      <c r="Q14" s="110">
        <f>+'rates, dates, etc'!Q33</f>
        <v>10400</v>
      </c>
      <c r="R14" s="110">
        <f>+'rates, dates, etc'!R33</f>
        <v>10400</v>
      </c>
      <c r="S14" s="110">
        <f>+'rates, dates, etc'!S33</f>
        <v>10400</v>
      </c>
      <c r="T14" s="55">
        <v>0</v>
      </c>
    </row>
    <row r="15" spans="1:42" x14ac:dyDescent="0.25">
      <c r="B15" s="407"/>
      <c r="C15" s="82"/>
      <c r="D15" s="82"/>
      <c r="E15" s="82"/>
      <c r="F15" s="82"/>
      <c r="G15" s="82"/>
      <c r="L15" s="54" t="s">
        <v>140</v>
      </c>
      <c r="M15" s="110">
        <f>+'rates, dates, etc'!M34</f>
        <v>14750</v>
      </c>
      <c r="N15" s="110">
        <f>+'rates, dates, etc'!N34</f>
        <v>14750</v>
      </c>
      <c r="O15" s="110">
        <f>+'rates, dates, etc'!O34</f>
        <v>14750</v>
      </c>
      <c r="P15" s="110">
        <f>+'rates, dates, etc'!P34</f>
        <v>14750</v>
      </c>
      <c r="Q15" s="110">
        <f>+'rates, dates, etc'!Q34</f>
        <v>14750</v>
      </c>
      <c r="R15" s="110">
        <f>+'rates, dates, etc'!R34</f>
        <v>14750</v>
      </c>
      <c r="S15" s="110">
        <f>+'rates, dates, etc'!S34</f>
        <v>14750</v>
      </c>
      <c r="T15" s="55">
        <v>0</v>
      </c>
    </row>
    <row r="16" spans="1:42" x14ac:dyDescent="0.25">
      <c r="A16" s="259" t="s">
        <v>138</v>
      </c>
      <c r="B16" s="364" t="s">
        <v>113</v>
      </c>
      <c r="C16" s="272"/>
      <c r="D16" s="272"/>
      <c r="E16" s="272"/>
      <c r="F16" s="272"/>
      <c r="G16" s="272"/>
      <c r="H16" s="272"/>
      <c r="I16" s="272"/>
      <c r="J16" s="272"/>
      <c r="L16" s="54" t="s">
        <v>24</v>
      </c>
      <c r="M16" s="110">
        <f>+'rates, dates, etc'!M35</f>
        <v>4046</v>
      </c>
      <c r="N16" s="110">
        <f>+'rates, dates, etc'!N35</f>
        <v>4451</v>
      </c>
      <c r="O16" s="110">
        <f>+'rates, dates, etc'!O35</f>
        <v>4896</v>
      </c>
      <c r="P16" s="110">
        <f>+'rates, dates, etc'!P35</f>
        <v>5386</v>
      </c>
      <c r="Q16" s="110">
        <f>+'rates, dates, etc'!Q35</f>
        <v>5925</v>
      </c>
      <c r="R16" s="110">
        <f>+'rates, dates, etc'!R35</f>
        <v>6518</v>
      </c>
      <c r="S16" s="110">
        <f>+'rates, dates, etc'!S35</f>
        <v>7170</v>
      </c>
      <c r="T16" s="55">
        <v>0.1</v>
      </c>
    </row>
    <row r="17" spans="1:20" x14ac:dyDescent="0.25">
      <c r="B17" s="82"/>
      <c r="C17" s="82"/>
      <c r="D17" s="82"/>
      <c r="E17" s="82"/>
      <c r="F17" s="82"/>
      <c r="G17" s="82"/>
      <c r="M17" s="418"/>
    </row>
    <row r="18" spans="1:20" x14ac:dyDescent="0.25">
      <c r="A18" s="269" t="s">
        <v>85</v>
      </c>
      <c r="B18" s="48" t="s">
        <v>1</v>
      </c>
      <c r="C18" s="48" t="s">
        <v>2</v>
      </c>
      <c r="D18" s="48" t="s">
        <v>3</v>
      </c>
      <c r="E18" s="48" t="s">
        <v>44</v>
      </c>
      <c r="F18" s="48" t="s">
        <v>50</v>
      </c>
      <c r="G18" s="82"/>
      <c r="M18" s="418"/>
      <c r="N18" s="417"/>
    </row>
    <row r="19" spans="1:20" x14ac:dyDescent="0.25">
      <c r="A19" s="270" t="str">
        <f>+L85</f>
        <v>Number of Students (Spring)</v>
      </c>
      <c r="B19" s="94">
        <f>+'Cost Share'!K45</f>
        <v>0</v>
      </c>
      <c r="C19" s="94">
        <f>+'Cost Share'!L45</f>
        <v>0</v>
      </c>
      <c r="D19" s="94">
        <f>+'Cost Share'!M45</f>
        <v>0</v>
      </c>
      <c r="E19" s="94">
        <f>+'Cost Share'!N45</f>
        <v>0</v>
      </c>
      <c r="F19" s="94">
        <f>+'Cost Share'!O45</f>
        <v>0</v>
      </c>
      <c r="G19" s="82"/>
    </row>
    <row r="20" spans="1:20" x14ac:dyDescent="0.25">
      <c r="A20" s="270" t="str">
        <f>+L86</f>
        <v>Number of Students (Summer)</v>
      </c>
      <c r="B20" s="94">
        <f>+'Cost Share'!K46</f>
        <v>0</v>
      </c>
      <c r="C20" s="94">
        <f>+'Cost Share'!L46</f>
        <v>0</v>
      </c>
      <c r="D20" s="94">
        <f>+'Cost Share'!M46</f>
        <v>0</v>
      </c>
      <c r="E20" s="94">
        <f>+'Cost Share'!N46</f>
        <v>0</v>
      </c>
      <c r="F20" s="94">
        <f>+'Cost Share'!O46</f>
        <v>0</v>
      </c>
      <c r="G20" s="82"/>
      <c r="L20" s="66" t="s">
        <v>125</v>
      </c>
      <c r="M20" s="48" t="s">
        <v>36</v>
      </c>
      <c r="N20" s="48" t="s">
        <v>56</v>
      </c>
      <c r="O20" s="47"/>
    </row>
    <row r="21" spans="1:20" x14ac:dyDescent="0.25">
      <c r="A21" s="270" t="str">
        <f>+L87</f>
        <v>Number of Students (Fall)</v>
      </c>
      <c r="B21" s="94">
        <f>+'Cost Share'!K47</f>
        <v>0</v>
      </c>
      <c r="C21" s="94">
        <f>+'Cost Share'!L47</f>
        <v>0</v>
      </c>
      <c r="D21" s="94">
        <f>+'Cost Share'!M47</f>
        <v>0</v>
      </c>
      <c r="E21" s="94">
        <f>+'Cost Share'!N47</f>
        <v>0</v>
      </c>
      <c r="F21" s="94">
        <f>+'Cost Share'!O47</f>
        <v>0</v>
      </c>
      <c r="G21" s="82"/>
      <c r="L21" s="65" t="s">
        <v>51</v>
      </c>
      <c r="M21" s="57">
        <f>DATEDIF(B5,(DATE((YEAR(DATE(YEAR(B5),MONTH(B5)+6,1))),6,30)),"m")+1</f>
        <v>6</v>
      </c>
      <c r="N21" s="49">
        <f>+M21/M23</f>
        <v>0.5</v>
      </c>
      <c r="O21" s="47"/>
    </row>
    <row r="22" spans="1:20" x14ac:dyDescent="0.25">
      <c r="B22" s="407"/>
      <c r="C22" s="82"/>
      <c r="D22" s="82"/>
      <c r="E22" s="82"/>
      <c r="F22" s="82"/>
      <c r="G22" s="82"/>
      <c r="L22" s="65" t="s">
        <v>52</v>
      </c>
      <c r="M22" s="57">
        <f>12-M21</f>
        <v>6</v>
      </c>
      <c r="N22" s="49">
        <f>+M22/M23</f>
        <v>0.5</v>
      </c>
      <c r="O22" s="47"/>
    </row>
    <row r="23" spans="1:20" x14ac:dyDescent="0.25">
      <c r="B23" s="407"/>
      <c r="C23" s="82"/>
      <c r="D23" s="82"/>
      <c r="E23" s="82"/>
      <c r="F23" s="82"/>
      <c r="G23" s="82"/>
      <c r="M23" s="49">
        <f>SUM(M21:M22)</f>
        <v>12</v>
      </c>
      <c r="N23" s="49" t="s">
        <v>97</v>
      </c>
    </row>
    <row r="24" spans="1:20" ht="20.25" x14ac:dyDescent="0.3">
      <c r="A24" s="64"/>
      <c r="C24" s="113"/>
      <c r="D24" s="113"/>
      <c r="E24" s="113"/>
      <c r="F24" s="113"/>
      <c r="G24" s="113"/>
      <c r="H24" s="113"/>
    </row>
    <row r="25" spans="1:20" x14ac:dyDescent="0.25">
      <c r="K25" s="100"/>
      <c r="S25" s="47"/>
    </row>
    <row r="26" spans="1:20" x14ac:dyDescent="0.25">
      <c r="K26" s="81"/>
    </row>
    <row r="27" spans="1:20" x14ac:dyDescent="0.25">
      <c r="K27" s="286"/>
      <c r="L27" s="66" t="str">
        <f>+L$6</f>
        <v>Graduate Student (Stipend, Tuition, Health Ins) - Contract College Rates:</v>
      </c>
    </row>
    <row r="28" spans="1:20" x14ac:dyDescent="0.25">
      <c r="K28" s="286"/>
      <c r="L28" s="49"/>
      <c r="M28" s="122" t="str">
        <f>+$M$10</f>
        <v>FY2023</v>
      </c>
      <c r="N28" s="122" t="str">
        <f>+$N$10</f>
        <v>FY2024</v>
      </c>
      <c r="O28" s="122" t="str">
        <f>+$O$10</f>
        <v>FY2025</v>
      </c>
      <c r="P28" s="122" t="str">
        <f>+$P$10</f>
        <v>FY2026</v>
      </c>
      <c r="Q28" s="122" t="str">
        <f>+$Q$10</f>
        <v>FY2027</v>
      </c>
      <c r="R28" s="122" t="str">
        <f>+$R$10</f>
        <v>FY2028</v>
      </c>
      <c r="S28" s="122" t="str">
        <f>+$S$10</f>
        <v>FY2029</v>
      </c>
      <c r="T28" s="123" t="s">
        <v>119</v>
      </c>
    </row>
    <row r="29" spans="1:20" x14ac:dyDescent="0.25">
      <c r="K29" s="286"/>
      <c r="L29" s="54" t="s">
        <v>35</v>
      </c>
      <c r="M29" s="110">
        <f>+$M$11</f>
        <v>30088</v>
      </c>
      <c r="N29" s="110">
        <f>IF(ROUND(M29*(1+$T29),0)=$N$11,ROUND(M29*(1+$T29),0),$N$11)</f>
        <v>31592</v>
      </c>
      <c r="O29" s="110">
        <f t="shared" ref="O29:S30" si="5">ROUND(N29*(1+$T29),0)</f>
        <v>32856</v>
      </c>
      <c r="P29" s="110">
        <f t="shared" si="5"/>
        <v>34170</v>
      </c>
      <c r="Q29" s="110">
        <f t="shared" si="5"/>
        <v>35537</v>
      </c>
      <c r="R29" s="110">
        <f t="shared" si="5"/>
        <v>36958</v>
      </c>
      <c r="S29" s="110">
        <f t="shared" si="5"/>
        <v>38436</v>
      </c>
      <c r="T29" s="55">
        <v>0.04</v>
      </c>
    </row>
    <row r="30" spans="1:20" x14ac:dyDescent="0.25">
      <c r="K30" s="286"/>
      <c r="L30" s="54" t="s">
        <v>23</v>
      </c>
      <c r="M30" s="110">
        <f>+$M$12</f>
        <v>10029</v>
      </c>
      <c r="N30" s="110">
        <f>IF(ROUND(M30*(1+$T30),0)=$N$12,ROUND(M30*(1+$T30),0),$N$12)</f>
        <v>10530</v>
      </c>
      <c r="O30" s="110">
        <f t="shared" si="5"/>
        <v>10951</v>
      </c>
      <c r="P30" s="110">
        <f t="shared" si="5"/>
        <v>11389</v>
      </c>
      <c r="Q30" s="110">
        <f t="shared" si="5"/>
        <v>11845</v>
      </c>
      <c r="R30" s="110">
        <f t="shared" si="5"/>
        <v>12319</v>
      </c>
      <c r="S30" s="110">
        <f t="shared" si="5"/>
        <v>12812</v>
      </c>
      <c r="T30" s="97">
        <v>0.04</v>
      </c>
    </row>
    <row r="31" spans="1:20" x14ac:dyDescent="0.25">
      <c r="K31" s="286"/>
      <c r="L31" s="54" t="s">
        <v>30</v>
      </c>
      <c r="M31" s="110">
        <f>+$M$13</f>
        <v>40117</v>
      </c>
      <c r="N31" s="110">
        <f t="shared" ref="N31:S31" si="6">+N29+N30</f>
        <v>42122</v>
      </c>
      <c r="O31" s="110">
        <f t="shared" si="6"/>
        <v>43807</v>
      </c>
      <c r="P31" s="110">
        <f t="shared" si="6"/>
        <v>45559</v>
      </c>
      <c r="Q31" s="110">
        <f t="shared" si="6"/>
        <v>47382</v>
      </c>
      <c r="R31" s="110">
        <f t="shared" si="6"/>
        <v>49277</v>
      </c>
      <c r="S31" s="110">
        <f t="shared" si="6"/>
        <v>51248</v>
      </c>
      <c r="T31" s="55"/>
    </row>
    <row r="32" spans="1:20" x14ac:dyDescent="0.25">
      <c r="G32" s="47"/>
      <c r="H32" s="47"/>
      <c r="I32" s="100"/>
      <c r="J32" s="100"/>
      <c r="K32" s="286"/>
      <c r="L32" s="54" t="s">
        <v>8</v>
      </c>
      <c r="M32" s="110">
        <f>IF(B7="Contract College",$M$14,$M$15)</f>
        <v>10400</v>
      </c>
      <c r="N32" s="110">
        <f>ROUND(M32*(1+$T32),0)</f>
        <v>10400</v>
      </c>
      <c r="O32" s="110">
        <f t="shared" ref="O32:S33" si="7">ROUND(N32*(1+$T32),0)</f>
        <v>10400</v>
      </c>
      <c r="P32" s="110">
        <f t="shared" si="7"/>
        <v>10400</v>
      </c>
      <c r="Q32" s="110">
        <f t="shared" si="7"/>
        <v>10400</v>
      </c>
      <c r="R32" s="110">
        <f t="shared" si="7"/>
        <v>10400</v>
      </c>
      <c r="S32" s="110">
        <f t="shared" si="7"/>
        <v>10400</v>
      </c>
      <c r="T32" s="55">
        <v>0</v>
      </c>
    </row>
    <row r="33" spans="7:20" x14ac:dyDescent="0.25">
      <c r="G33" s="47"/>
      <c r="H33" s="47"/>
      <c r="I33" s="100"/>
      <c r="J33" s="100"/>
      <c r="K33" s="286"/>
      <c r="L33" s="54" t="s">
        <v>24</v>
      </c>
      <c r="M33" s="110">
        <f>+$M$16</f>
        <v>4046</v>
      </c>
      <c r="N33" s="110">
        <f>IF(ROUND(M33*(1+$T33),0)=$N$16,ROUND(M33*(1+$T33),0),$N$16)</f>
        <v>4451</v>
      </c>
      <c r="O33" s="110">
        <f t="shared" si="7"/>
        <v>4896</v>
      </c>
      <c r="P33" s="110">
        <f t="shared" si="7"/>
        <v>5386</v>
      </c>
      <c r="Q33" s="110">
        <f t="shared" si="7"/>
        <v>5925</v>
      </c>
      <c r="R33" s="110">
        <f t="shared" si="7"/>
        <v>6518</v>
      </c>
      <c r="S33" s="110">
        <f t="shared" si="7"/>
        <v>7170</v>
      </c>
      <c r="T33" s="55">
        <v>0.1</v>
      </c>
    </row>
    <row r="34" spans="7:20" x14ac:dyDescent="0.25">
      <c r="G34" s="47"/>
      <c r="H34" s="47"/>
      <c r="I34" s="100"/>
      <c r="J34" s="97"/>
      <c r="K34" s="286"/>
      <c r="S34" s="47"/>
    </row>
    <row r="35" spans="7:20" x14ac:dyDescent="0.25">
      <c r="G35" s="47"/>
      <c r="H35" s="47"/>
      <c r="I35" s="100"/>
      <c r="J35" s="49"/>
      <c r="K35" s="286"/>
      <c r="S35" s="47"/>
    </row>
    <row r="36" spans="7:20" x14ac:dyDescent="0.25">
      <c r="G36" s="47"/>
      <c r="H36" s="47"/>
      <c r="I36" s="100"/>
      <c r="J36" s="100"/>
      <c r="K36" s="286"/>
      <c r="M36" s="82" t="str">
        <f>IF(AND(Y2&gt;=7,Y2&lt;=9),CONCATENATE("Fall ",$Y$3-1),IF(AND(Y2&gt;=7,Y2&lt;=10),CONCATENATE("Spring ",$Y$3),IF(OR(Y2&gt;=10,Y2&lt;=2),CONCATENATE("Spring ",$Y$3),IF(AND(Y2&gt;=7,Y2&lt;=10),CONCATENATE("Summer ",$Y$3),IF(OR(Y2&gt;=10,Y2&lt;=2),CONCATENATE("Summer ",$Y$3),IF(AND(Y2&gt;=3,Y2&lt;=6),CONCATENATE("Summer ",$Y$3),"N/A"))))))</f>
        <v>Spring 2023</v>
      </c>
      <c r="N36" s="82" t="str">
        <f>IF(AND(Y2&gt;=7,Y2&lt;=9),CONCATENATE("Fall ",$Y$3),IF(AND(Y2&gt;=7,Y2&lt;=10),CONCATENATE("Spring ",$Y$3+1),IF(OR(Y2&gt;=10,Y2&lt;=2),CONCATENATE("Spring ",$Y$3+1),IF(AND(Y2&gt;=7,Y2&lt;=10),CONCATENATE("Summer ",$Y$3+1),IF(OR(Y2&gt;=10,Y2&lt;=2),CONCATENATE("Summer ",$Y$3+1),IF(AND(Y2&gt;=3,Y2&lt;=6),CONCATENATE("Summer ",$Y$3+1),"N/A"))))))</f>
        <v>Spring 2024</v>
      </c>
      <c r="O36" s="82" t="str">
        <f>IF(AND(Y2&gt;=7,Y2&lt;=9),CONCATENATE("Fall ",$Y$3+1),IF(AND(Y2&gt;=7,Y2&lt;=10),CONCATENATE("Spring ",$Y$3+2),IF(OR(Y2&gt;=10,Y2&lt;=2),CONCATENATE("Spring ",$Y$3+2),IF(AND(Y2&gt;=7,Y2&lt;=10),CONCATENATE("Summer ",$Y$3+2),IF(OR(Y2&gt;=10,Y2&lt;=2),CONCATENATE("Summer ",$Y$3+2),IF(AND(Y2&gt;=3,Y2&lt;=6),CONCATENATE("Summer ",$Y$3+2),"N/A"))))))</f>
        <v>Spring 2025</v>
      </c>
      <c r="P36" s="82" t="str">
        <f>IF(AND(Y2&gt;=7,Y2&lt;=9),CONCATENATE("Fall ",$Y$3+2),IF(AND(Y2&gt;=7,Y2&lt;=10),CONCATENATE("Spring ",$Y$3+3),IF(OR(Y2&gt;=10,Y2&lt;=2),CONCATENATE("Spring ",$Y$3+3),IF(AND(Y2&gt;=7,Y2&lt;=10),CONCATENATE("Summer ",$Y$3+3),IF(OR(Y2&gt;=10,Y2&lt;=2),CONCATENATE("Summer ",$Y$3+3),IF(AND(Y2&gt;=3,Y2&lt;=6),CONCATENATE("Summer ",$Y$3+3),"N/A"))))))</f>
        <v>Spring 2026</v>
      </c>
      <c r="Q36" s="82" t="str">
        <f>IF(AND(Y2&gt;=7,Y2&lt;=9),CONCATENATE("Fall ",$Y$3+3),IF(AND(Y2&gt;=7,Y2&lt;=10),CONCATENATE("Spring ",$Y$3+4),IF(OR(Y2&gt;=10,Y2&lt;=2),CONCATENATE("Spring ",$Y$3+4),IF(AND(Y2&gt;=7,Y2&lt;=10),CONCATENATE("Summer ",$Y$3+4),IF(OR(Y2&gt;=10,Y2&lt;=2),CONCATENATE("Summer ",$Y$3+4),IF(AND(Y2&gt;=3,Y2&lt;=6),CONCATENATE("Summer ",$Y$3+4),"N/A"))))))</f>
        <v>Spring 2027</v>
      </c>
      <c r="S36" s="47"/>
    </row>
    <row r="37" spans="7:20" x14ac:dyDescent="0.25">
      <c r="G37" s="47"/>
      <c r="H37" s="47"/>
      <c r="I37" s="100"/>
      <c r="J37" s="100"/>
      <c r="K37" s="286"/>
      <c r="M37" s="82" t="str">
        <f>IF(AND(Y2&gt;=7,Y2&lt;=9),CONCATENATE("Spring ",$Y$3),IF(AND(Y2&gt;=7,Y2&lt;=10),CONCATENATE("Summer ",$Y$3),IF(OR(Y2&gt;=10,Y2&lt;=2),CONCATENATE("Summer ",$Y$3),IF(AND(Y2&gt;=7,Y2&lt;=10),CONCATENATE("Fall ",$Y$3),IF(OR(Y2&gt;=10,Y2&lt;=2),CONCATENATE("Fall ",$Y$3),IF(AND(Y2&gt;=3,Y2&lt;=6),CONCATENATE("Fall ",$Y$3),"N/A"))))))</f>
        <v>Summer 2023</v>
      </c>
      <c r="N37" s="82" t="str">
        <f>IF(AND(Y2&gt;=7,Y2&lt;=9),CONCATENATE("Spring ",$Y$3+1),IF(AND(Y2&gt;=7,Y2&lt;=10),CONCATENATE("Summer ",$Y$3+1),IF(OR(Y2&gt;=10,Y2&lt;=2),CONCATENATE("Summer ",$Y$3+1),IF(AND(Y2&gt;=7,Y2&lt;=10),CONCATENATE("Fall ",$Y$3+1),IF(OR(Y2&gt;=10,Y2&lt;=2),CONCATENATE("Fall ",$Y$3+1),IF(AND(Y2&gt;=3,Y2&lt;=6),CONCATENATE("Fall ",$Y$3+1),"N/A"))))))</f>
        <v>Summer 2024</v>
      </c>
      <c r="O37" s="82" t="str">
        <f>IF(AND(Y2&gt;=7,Y2&lt;=9),CONCATENATE("Spring ",$Y$3+2),IF(AND(Y2&gt;=7,Y2&lt;=10),CONCATENATE("Summer ",$Y$3+2),IF(OR(Y2&gt;=10,Y2&lt;=2),CONCATENATE("Summer ",$Y$3+2),IF(AND(Y2&gt;=7,Y2&lt;=10),CONCATENATE("Fall ",$Y$3+2),IF(OR(Y2&gt;=10,Y2&lt;=2),CONCATENATE("Fall ",$Y$3+2),IF(AND(Y2&gt;=3,Y2&lt;=6),CONCATENATE("Fall ",$Y$3+2),"N/A"))))))</f>
        <v>Summer 2025</v>
      </c>
      <c r="P37" s="82" t="str">
        <f>IF(AND(Y2&gt;=7,Y2&lt;=9),CONCATENATE("Spring ",$Y$3+3),IF(AND(Y2&gt;=7,Y2&lt;=10),CONCATENATE("Summer ",$Y$3+3),IF(OR(Y2&gt;=10,Y2&lt;=2),CONCATENATE("Summer ",$Y$3+3),IF(AND(Y2&gt;=7,Y2&lt;=10),CONCATENATE("Fall ",$Y$3+3),IF(OR(Y2&gt;=10,Y2&lt;=2),CONCATENATE("Fall ",$Y$3+3),IF(AND(Y2&gt;=3,Y2&lt;=6),CONCATENATE("Fall ",$Y$3+3),"N/A"))))))</f>
        <v>Summer 2026</v>
      </c>
      <c r="Q37" s="82" t="str">
        <f>IF(AND(Y2&gt;=7,Y2&lt;=9),CONCATENATE("Spring ",$Y$3+4),IF(AND(Y2&gt;=7,Y2&lt;=10),CONCATENATE("Summer ",$Y$3+4),IF(OR(Y2&gt;=10,Y2&lt;=2),CONCATENATE("Summer ",$Y$3+4),IF(AND(Y2&gt;=7,Y2&lt;=10),CONCATENATE("Fall ",$Y$3+4),IF(OR(Y2&gt;=10,Y2&lt;=2),CONCATENATE("Fall ",$Y$3+4),IF(AND(Y2&gt;=3,Y2&lt;=6),CONCATENATE("Fall ",$Y$3+4),"N/A"))))))</f>
        <v>Summer 2027</v>
      </c>
      <c r="S37" s="47"/>
    </row>
    <row r="38" spans="7:20" x14ac:dyDescent="0.25">
      <c r="G38" s="47"/>
      <c r="H38" s="47"/>
      <c r="I38" s="100"/>
      <c r="J38" s="50"/>
      <c r="K38" s="287"/>
      <c r="M38" s="82" t="str">
        <f>IF(AND(Y2&gt;=7,Y2&lt;=9),CONCATENATE("Summer ",$Y$3),IF(AND(Y2&gt;=7,Y2&lt;=10),CONCATENATE("Fall ",$Y$3),IF(OR(Y2&gt;=10,Y2&lt;=2),CONCATENATE("Fall ",$Y$3),IF(AND(Y2&gt;=7,Y2&lt;=10),CONCATENATE("Spring",$Y$3+1),IF(OR(Y2&gt;=10,Y2&lt;=2),CONCATENATE("Spring ",$Y$3+1),IF(AND(Y2&gt;=3,Y2&lt;=6),CONCATENATE("Spring ",$Y$3+1),"N/A"))))))</f>
        <v>Fall 2023</v>
      </c>
      <c r="N38" s="82" t="str">
        <f>IF(AND(Y2&gt;=7,Y2&lt;=9),CONCATENATE("Summer ",$Y$3+1),IF(AND(Y2&gt;=7,Y2&lt;=10),CONCATENATE("Fall ",$Y$3+1),IF(OR(Y2&gt;=10,Y2&lt;=2),CONCATENATE("Fall ",$Y$3+1),IF(AND(Y2&gt;=7,Y2&lt;=10),CONCATENATE("Spring",$Y$3+2),IF(OR(Y2&gt;=10,Y2&lt;=2),CONCATENATE("Spring ",$Y$3+2),IF(AND(Y2&gt;=3,Y2&lt;=6),CONCATENATE("Spring ",$Y$3+2),"N/A"))))))</f>
        <v>Fall 2024</v>
      </c>
      <c r="O38" s="82" t="str">
        <f>IF(AND(Y2&gt;=7,Y2&lt;=9),CONCATENATE("Summer ",$Y$3+2),IF(AND(Y2&gt;=7,Y2&lt;=10),CONCATENATE("Fall ",$Y$3+2),IF(OR(Y2&gt;=10,Y2&lt;=2),CONCATENATE("Fall ",$Y$3+2),IF(AND(Y2&gt;=7,Y2&lt;=10),CONCATENATE("Spring",$Y$3+3),IF(OR(Y2&gt;=10,Y2&lt;=2),CONCATENATE("Spring ",$Y$3+3),IF(AND(Y2&gt;=3,Y2&lt;=6),CONCATENATE("Spring ",$Y$3+3),"N/A"))))))</f>
        <v>Fall 2025</v>
      </c>
      <c r="P38" s="82" t="str">
        <f>IF(AND(Y2&gt;=7,Y2&lt;=9),CONCATENATE("Summer ",$Y$3+3),IF(AND(Y2&gt;=7,Y2&lt;=10),CONCATENATE("Fall ",$Y$3+3),IF(OR(Y2&gt;=10,Y2&lt;=2),CONCATENATE("Fall ",$Y$3+3),IF(AND(Y2&gt;=7,Y2&lt;=10),CONCATENATE("Spring",$Y$3+4),IF(OR(Y2&gt;=10,Y2&lt;=2),CONCATENATE("Spring ",$Y$3+4),IF(AND(Y2&gt;=3,Y2&lt;=6),CONCATENATE("Spring ",$Y$3+4),"N/A"))))))</f>
        <v>Fall 2026</v>
      </c>
      <c r="Q38" s="82" t="str">
        <f>IF(AND(Y2&gt;=7,Y2&lt;=9),CONCATENATE("Summer ",$Y$3+4),IF(AND(Y2&gt;=7,Y2&lt;=10),CONCATENATE("Fall ",$Y$3+4),IF(OR(Y2&gt;=10,Y2&lt;=2),CONCATENATE("Fall ",$Y$3+4),IF(AND(Y2&gt;=7,Y2&lt;=10),CONCATENATE("Spring",$Y$3+5),IF(OR(Y2&gt;=10,Y2&lt;=2),CONCATENATE("Spring ",$Y$3+5),IF(AND(Y2&gt;=3,Y2&lt;=6),CONCATENATE("Spring ",$Y$3+5),"N/A"))))))</f>
        <v>Fall 2027</v>
      </c>
      <c r="S38" s="47"/>
    </row>
    <row r="39" spans="7:20" x14ac:dyDescent="0.25">
      <c r="G39" s="47"/>
      <c r="H39" s="47"/>
      <c r="I39" s="100"/>
      <c r="J39" s="50"/>
      <c r="K39" s="287"/>
      <c r="M39" s="58" t="str">
        <f>IF(AND($Y$2&gt;=1,$Y$2&lt;=6),CONCATENATE("FY",RIGHT(Z4,4),"&amp;",RIGHT(AA4,2)),IF(AND($Y$2&gt;=7,$Y$2&lt;=9),CONCATENATE("FY",RIGHT(Z4,4)),IF(AND($Y$2&gt;=10,$Y$2&lt;=12),CONCATENATE("FY",RIGHT(Z4,4),"&amp;",RIGHT(AA4,2)),"N/A")))</f>
        <v>FY2023&amp;24</v>
      </c>
      <c r="N39" s="58" t="str">
        <f>IF(AND($Y$2&gt;=1,$Y$2&lt;=6),CONCATENATE("FY",RIGHT(AA4,4),"&amp;",RIGHT(AB4,2)),IF(AND($Y$2&gt;=7,$Y$2&lt;=9),CONCATENATE("FY",RIGHT(AA4,4)),IF(AND($Y$2&gt;=10,$Y$2&lt;=12),CONCATENATE("FY",RIGHT(AA4,4),"&amp;",RIGHT(AB4,2)),"N/A")))</f>
        <v>FY2024&amp;25</v>
      </c>
      <c r="O39" s="58" t="str">
        <f>IF(AND($Y$2&gt;=1,$Y$2&lt;=6),CONCATENATE("FY",RIGHT(AB4,4),"&amp;",RIGHT(AC4,2)),IF(AND($Y$2&gt;=7,$Y$2&lt;=9),CONCATENATE("FY",RIGHT(AB4,4)),IF(AND($Y$2&gt;=10,$Y$2&lt;=12),CONCATENATE("FY",RIGHT(AB4,4),"&amp;",RIGHT(AC4,2)),"N/A")))</f>
        <v>FY2025&amp;26</v>
      </c>
      <c r="P39" s="58" t="str">
        <f>IF(AND($Y$2&gt;=1,$Y$2&lt;=6),CONCATENATE("FY",RIGHT(AC4,4),"&amp;",RIGHT(AD4,2)),IF(AND($Y$2&gt;=7,$Y$2&lt;=9),CONCATENATE("FY",RIGHT(AC4,4)),IF(AND($Y$2&gt;=10,$Y$2&lt;=12),CONCATENATE("FY",RIGHT(AC4,4),"&amp;",RIGHT(AD4,2)),"N/A")))</f>
        <v>FY2026&amp;27</v>
      </c>
      <c r="Q39" s="58" t="str">
        <f>IF(AND($Y$2&gt;=1,$Y$2&lt;=6),CONCATENATE("FY",RIGHT(AD4,4),"&amp;",RIGHT(AE4,2)),IF(AND($Y$2&gt;=7,$Y$2&lt;=9),CONCATENATE("FY",RIGHT(AD4,4)),IF(AND($Y$2&gt;=10,$Y$2&lt;=12),CONCATENATE("FY",RIGHT(AD4,4),"&amp;",RIGHT(AE4,2)),"N/A")))</f>
        <v>FY2027&amp;28</v>
      </c>
      <c r="S39" s="47"/>
    </row>
    <row r="40" spans="7:20" ht="15.75" thickBot="1" x14ac:dyDescent="0.3">
      <c r="G40" s="47"/>
      <c r="H40" s="47"/>
      <c r="I40" s="100"/>
      <c r="J40" s="100"/>
      <c r="K40" s="286"/>
      <c r="L40" s="59" t="s">
        <v>86</v>
      </c>
      <c r="M40" s="75" t="s">
        <v>1</v>
      </c>
      <c r="N40" s="76" t="s">
        <v>2</v>
      </c>
      <c r="O40" s="76" t="s">
        <v>3</v>
      </c>
      <c r="P40" s="76" t="s">
        <v>44</v>
      </c>
      <c r="Q40" s="76" t="s">
        <v>50</v>
      </c>
      <c r="S40" s="47"/>
    </row>
    <row r="41" spans="7:20" x14ac:dyDescent="0.25">
      <c r="G41" s="47"/>
      <c r="H41" s="47"/>
      <c r="I41" s="100"/>
      <c r="J41" s="81"/>
      <c r="K41" s="288"/>
      <c r="L41" s="92" t="str">
        <f>CONCATENATE("Number of Students ",IF(AND($Y$2&gt;=7,$Y$2&lt;=9),CONCATENATE("(Fall)"),IF(AND($Y$2&gt;=7,$Y$2&lt;=10),CONCATENATE("(Spring)"),IF(OR($Y$2&gt;=10,$Y$2&lt;=2),CONCATENATE("(Spring)"),IF(AND($Y$2&gt;=7,$Y$2&lt;=10),CONCATENATE("(Summer)"),IF(OR($Y$2&gt;=10,$Y$2&lt;=2),CONCATENATE("(Summer)"),IF(AND($Y$2&gt;=3,$Y$2&lt;=6),CONCATENATE("(Summer)"),"N/A")))))))</f>
        <v>Number of Students (Spring)</v>
      </c>
      <c r="M41" s="91">
        <f t="shared" ref="M41:Q43" si="8">+B10</f>
        <v>0</v>
      </c>
      <c r="N41" s="91">
        <f t="shared" si="8"/>
        <v>0</v>
      </c>
      <c r="O41" s="91">
        <f t="shared" si="8"/>
        <v>0</v>
      </c>
      <c r="P41" s="91">
        <f t="shared" si="8"/>
        <v>0</v>
      </c>
      <c r="Q41" s="91">
        <f t="shared" si="8"/>
        <v>0</v>
      </c>
      <c r="S41" s="47"/>
    </row>
    <row r="42" spans="7:20" x14ac:dyDescent="0.25">
      <c r="G42" s="47"/>
      <c r="H42" s="47"/>
      <c r="I42" s="100"/>
      <c r="J42" s="49"/>
      <c r="K42" s="264"/>
      <c r="L42" s="128" t="str">
        <f>CONCATENATE("Number of Students ",IF(AND($Y$2&gt;=7,$Y$2&lt;=9),CONCATENATE("(Spring)"),IF(AND($Y$2&gt;=7,$Y$2&lt;=10),CONCATENATE("(Summer)"),IF(OR($Y$2&gt;=10,$Y$2&lt;=2),CONCATENATE("(Summer)"),IF(AND($Y$2&gt;=7,$Y$2&lt;=10),CONCATENATE("(Fall)"),IF(OR($Y$2&gt;=10,$Y$2&lt;=2),CONCATENATE("(Fall) "),IF(AND($Y$2&gt;=3,$Y$2&lt;=6),CONCATENATE("(Fall)"),"N/A")))))))</f>
        <v>Number of Students (Summer)</v>
      </c>
      <c r="M42" s="91">
        <f t="shared" si="8"/>
        <v>0</v>
      </c>
      <c r="N42" s="91">
        <f t="shared" si="8"/>
        <v>0</v>
      </c>
      <c r="O42" s="91">
        <f t="shared" si="8"/>
        <v>0</v>
      </c>
      <c r="P42" s="91">
        <f t="shared" si="8"/>
        <v>0</v>
      </c>
      <c r="Q42" s="91">
        <f t="shared" si="8"/>
        <v>0</v>
      </c>
      <c r="S42" s="47"/>
    </row>
    <row r="43" spans="7:20" x14ac:dyDescent="0.25">
      <c r="G43" s="47"/>
      <c r="H43" s="47"/>
      <c r="I43" s="100"/>
      <c r="J43" s="100"/>
      <c r="K43" s="286"/>
      <c r="L43" s="128" t="str">
        <f>CONCATENATE("Number of Students ",IF(AND($Y$2&gt;=7,$Y$2&lt;=9),CONCATENATE("(Summer)"),IF(AND($Y$2&gt;=7,$Y$2&lt;=10),CONCATENATE("(Fall)"),IF(OR($Y$2&gt;=10,$Y$2&lt;=2),CONCATENATE("(Fall)"),IF(AND($Y$2&gt;=7,$Y$2&lt;=10),CONCATENATE("(Spring)"),IF(OR($Y$2&gt;=10,$Y$2&lt;=2),CONCATENATE("(Spring)"),IF(AND($Y$2&gt;=3,$Y$2&lt;=6),CONCATENATE("(Spring)"),"N/A")))))))</f>
        <v>Number of Students (Fall)</v>
      </c>
      <c r="M43" s="91">
        <f t="shared" si="8"/>
        <v>0</v>
      </c>
      <c r="N43" s="91">
        <f t="shared" si="8"/>
        <v>0</v>
      </c>
      <c r="O43" s="91">
        <f t="shared" si="8"/>
        <v>0</v>
      </c>
      <c r="P43" s="91">
        <f t="shared" si="8"/>
        <v>0</v>
      </c>
      <c r="Q43" s="91">
        <f t="shared" si="8"/>
        <v>0</v>
      </c>
      <c r="S43" s="47"/>
    </row>
    <row r="44" spans="7:20" x14ac:dyDescent="0.25">
      <c r="G44" s="47"/>
      <c r="H44" s="47"/>
      <c r="I44" s="100"/>
      <c r="J44" s="100"/>
      <c r="K44" s="286"/>
      <c r="L44" s="49"/>
      <c r="M44" s="57"/>
      <c r="N44" s="57"/>
      <c r="O44" s="57"/>
      <c r="P44" s="57"/>
      <c r="Q44" s="57"/>
      <c r="S44" s="47"/>
    </row>
    <row r="45" spans="7:20" x14ac:dyDescent="0.25">
      <c r="G45" s="47"/>
      <c r="H45" s="47"/>
      <c r="I45" s="100"/>
      <c r="J45" s="100"/>
      <c r="K45" s="286"/>
      <c r="L45" s="49"/>
      <c r="M45" s="57"/>
      <c r="N45" s="57"/>
      <c r="O45" s="57"/>
      <c r="P45" s="57"/>
      <c r="Q45" s="57"/>
      <c r="S45" s="47"/>
    </row>
    <row r="46" spans="7:20" ht="15.75" thickBot="1" x14ac:dyDescent="0.3">
      <c r="G46" s="47"/>
      <c r="H46" s="47"/>
      <c r="I46" s="100"/>
      <c r="J46" s="100"/>
      <c r="K46" s="286"/>
      <c r="L46" s="59" t="s">
        <v>123</v>
      </c>
      <c r="M46" s="75" t="s">
        <v>1</v>
      </c>
      <c r="N46" s="76" t="s">
        <v>2</v>
      </c>
      <c r="O46" s="76" t="s">
        <v>3</v>
      </c>
      <c r="P46" s="76" t="s">
        <v>44</v>
      </c>
      <c r="Q46" s="76" t="s">
        <v>50</v>
      </c>
      <c r="S46" s="47"/>
    </row>
    <row r="47" spans="7:20" x14ac:dyDescent="0.25">
      <c r="G47" s="47"/>
      <c r="H47" s="47"/>
      <c r="I47" s="100"/>
      <c r="J47" s="100"/>
      <c r="K47" s="286"/>
      <c r="L47" s="60" t="s">
        <v>22</v>
      </c>
      <c r="M47" s="61">
        <f>SUM(M57:M59)</f>
        <v>0</v>
      </c>
      <c r="N47" s="61">
        <f>SUM(N57:N59)</f>
        <v>0</v>
      </c>
      <c r="O47" s="61">
        <f>SUM(O57:O59)</f>
        <v>0</v>
      </c>
      <c r="P47" s="61">
        <f>SUM(P57:P59)</f>
        <v>0</v>
      </c>
      <c r="Q47" s="61">
        <f>SUM(Q57:Q59)</f>
        <v>0</v>
      </c>
      <c r="S47" s="47"/>
    </row>
    <row r="48" spans="7:20" x14ac:dyDescent="0.25">
      <c r="G48" s="47"/>
      <c r="H48" s="47"/>
      <c r="I48" s="100"/>
      <c r="J48" s="100"/>
      <c r="K48" s="286"/>
      <c r="L48" s="60" t="s">
        <v>8</v>
      </c>
      <c r="M48" s="61">
        <f>SUM(M60:M62)</f>
        <v>0</v>
      </c>
      <c r="N48" s="61">
        <f>SUM(N60:N62)</f>
        <v>0</v>
      </c>
      <c r="O48" s="61">
        <f>SUM(O60:O62)</f>
        <v>0</v>
      </c>
      <c r="P48" s="61">
        <f>SUM(P60:P62)</f>
        <v>0</v>
      </c>
      <c r="Q48" s="61">
        <f>SUM(Q60:Q62)</f>
        <v>0</v>
      </c>
      <c r="S48" s="47"/>
    </row>
    <row r="49" spans="7:19" x14ac:dyDescent="0.25">
      <c r="G49" s="47"/>
      <c r="H49" s="47"/>
      <c r="I49" s="100"/>
      <c r="J49" s="100"/>
      <c r="K49" s="286"/>
      <c r="L49" s="60" t="s">
        <v>9</v>
      </c>
      <c r="M49" s="61">
        <f>SUM(M63:M65)</f>
        <v>0</v>
      </c>
      <c r="N49" s="61">
        <f>SUM(N63:N65)</f>
        <v>0</v>
      </c>
      <c r="O49" s="61">
        <f>SUM(O63:O65)</f>
        <v>0</v>
      </c>
      <c r="P49" s="61">
        <f>SUM(P63:P65)</f>
        <v>0</v>
      </c>
      <c r="Q49" s="61">
        <f>SUM(Q63:Q65)</f>
        <v>0</v>
      </c>
      <c r="S49" s="47"/>
    </row>
    <row r="50" spans="7:19" ht="15.75" thickBot="1" x14ac:dyDescent="0.3">
      <c r="G50" s="47"/>
      <c r="H50" s="47"/>
      <c r="I50" s="100"/>
      <c r="J50" s="100"/>
      <c r="K50" s="286"/>
      <c r="L50" s="62" t="s">
        <v>31</v>
      </c>
      <c r="M50" s="63">
        <f>SUM(M47:M49)</f>
        <v>0</v>
      </c>
      <c r="N50" s="63">
        <f>SUM(N47:N49)</f>
        <v>0</v>
      </c>
      <c r="O50" s="63">
        <f>SUM(O47:O49)</f>
        <v>0</v>
      </c>
      <c r="P50" s="63">
        <f>SUM(P47:P49)</f>
        <v>0</v>
      </c>
      <c r="Q50" s="63">
        <f>SUM(Q47:Q49)</f>
        <v>0</v>
      </c>
      <c r="S50" s="47"/>
    </row>
    <row r="51" spans="7:19" x14ac:dyDescent="0.25">
      <c r="G51" s="47"/>
      <c r="H51" s="47"/>
      <c r="I51" s="100"/>
      <c r="K51" s="266"/>
      <c r="M51" s="129"/>
      <c r="S51" s="47"/>
    </row>
    <row r="52" spans="7:19" x14ac:dyDescent="0.25">
      <c r="G52" s="47"/>
      <c r="H52" s="47"/>
      <c r="I52" s="100"/>
      <c r="K52" s="266"/>
      <c r="S52" s="47"/>
    </row>
    <row r="53" spans="7:19" x14ac:dyDescent="0.25">
      <c r="G53" s="47"/>
      <c r="H53" s="47"/>
      <c r="I53" s="100"/>
      <c r="K53" s="266"/>
      <c r="L53" s="130"/>
      <c r="M53" s="82" t="str">
        <f>CONCATENATE("FY",$Y$3)</f>
        <v>FY2023</v>
      </c>
      <c r="N53" s="82" t="str">
        <f>CONCATENATE("FY",$Y$3+1)</f>
        <v>FY2024</v>
      </c>
      <c r="O53" s="82" t="str">
        <f>CONCATENATE("FY",$Y$3+2)</f>
        <v>FY2025</v>
      </c>
      <c r="P53" s="82" t="str">
        <f>CONCATENATE("FY",$Y$3+3)</f>
        <v>FY2026</v>
      </c>
      <c r="Q53" s="82" t="str">
        <f>CONCATENATE("FY",$Y$3+4)</f>
        <v>FY2027</v>
      </c>
      <c r="S53" s="47"/>
    </row>
    <row r="54" spans="7:19" x14ac:dyDescent="0.25">
      <c r="G54" s="47"/>
      <c r="H54" s="47"/>
      <c r="I54" s="100"/>
      <c r="K54" s="266"/>
      <c r="L54" s="131"/>
      <c r="M54" s="82" t="str">
        <f>IF(OR($Y$2&gt;=7,$Y$2&lt;=2),CONCATENATE("FY",$Y$3),IF(AND($Y$2&gt;=3,$Y$2&lt;=6),CONCATENATE("FY",$Y$3+1),"N/A"))</f>
        <v>FY2023</v>
      </c>
      <c r="N54" s="82" t="str">
        <f>IF(OR($Y$2&gt;=7,$Y$2&lt;=2),CONCATENATE("FY",$Y$3+1),IF(AND($Y$2&gt;=3,$Y$2&lt;=6),CONCATENATE("FY",$Y$3+2),"N/A"))</f>
        <v>FY2024</v>
      </c>
      <c r="O54" s="82" t="str">
        <f>IF(OR($Y$2&gt;=7,$Y$2&lt;=2),CONCATENATE("FY",$Y$3+2),IF(AND($Y$2&gt;=3,$Y$2&lt;=6),CONCATENATE("FY",$Y$3+3),"N/A"))</f>
        <v>FY2025</v>
      </c>
      <c r="P54" s="82" t="str">
        <f>IF(OR($Y$2&gt;=7,$Y$2&lt;=2),CONCATENATE("FY",$Y$3+3),IF(AND($Y$2&gt;=3,$Y$2&lt;=6),CONCATENATE("FY",$Y$3+4),"N/A"))</f>
        <v>FY2026</v>
      </c>
      <c r="Q54" s="82" t="str">
        <f>IF(OR($Y$2&gt;=7,$Y$2&lt;=2),CONCATENATE("FY",$Y$3+4),IF(AND($Y$2&gt;=3,$Y$2&lt;=6),CONCATENATE("FY",$Y$3+5),"N/A"))</f>
        <v>FY2027</v>
      </c>
      <c r="S54" s="47"/>
    </row>
    <row r="55" spans="7:19" x14ac:dyDescent="0.25">
      <c r="G55" s="47"/>
      <c r="H55" s="47"/>
      <c r="I55" s="100"/>
      <c r="K55" s="266"/>
      <c r="L55" s="82"/>
      <c r="M55" s="82" t="str">
        <f>IF(AND($Y$2&gt;=1,$Y$2&lt;=6),CONCATENATE("FY",$Y$3+1),IF(AND($Y$2&gt;=7,$Y$2&lt;=9),CONCATENATE("FY",$Y$3),IF(AND($Y$2&gt;=10,$Y$2&lt;=126),CONCATENATE("FY",$Y$3+1),"N/A")))</f>
        <v>FY2024</v>
      </c>
      <c r="N55" s="82" t="str">
        <f>IF(AND($Y$2&gt;=1,$Y$2&lt;=6),CONCATENATE("FY",$Y$3+2),IF(AND($Y$2&gt;=7,$Y$2&lt;=9),CONCATENATE("FY",$Y$3+1),IF(AND($Y$2&gt;=10,$Y$2&lt;=126),CONCATENATE("FY",$Y$3+2),"N/A")))</f>
        <v>FY2025</v>
      </c>
      <c r="O55" s="82" t="str">
        <f>IF(AND($Y$2&gt;=1,$Y$2&lt;=6),CONCATENATE("FY",$Y$3+3),IF(AND($Y$2&gt;=7,$Y$2&lt;=9),CONCATENATE("FY",$Y$3+2),IF(AND($Y$2&gt;=10,$Y$2&lt;=126),CONCATENATE("FY",$Y$3+3),"N/A")))</f>
        <v>FY2026</v>
      </c>
      <c r="P55" s="82" t="str">
        <f>IF(AND($Y$2&gt;=1,$Y$2&lt;=6),CONCATENATE("FY",$Y$3+4),IF(AND($Y$2&gt;=7,$Y$2&lt;=9),CONCATENATE("FY",$Y$3+3),IF(AND($Y$2&gt;=10,$Y$2&lt;=126),CONCATENATE("FY",$Y$3+4),"N/A")))</f>
        <v>FY2027</v>
      </c>
      <c r="Q55" s="82" t="str">
        <f>IF(AND($Y$2&gt;=1,$Y$2&lt;=6),CONCATENATE("FY",$Y$3+5),IF(AND($Y$2&gt;=7,$Y$2&lt;=9),CONCATENATE("FY",$Y$3+4),IF(AND($Y$2&gt;=10,$Y$2&lt;=126),CONCATENATE("FY",$Y$3+5),"N/A")))</f>
        <v>FY2028</v>
      </c>
      <c r="S55" s="47"/>
    </row>
    <row r="56" spans="7:19" ht="15.75" thickBot="1" x14ac:dyDescent="0.3">
      <c r="G56" s="47"/>
      <c r="H56" s="47"/>
      <c r="I56" s="100"/>
      <c r="K56" s="266"/>
      <c r="L56" s="59" t="s">
        <v>124</v>
      </c>
      <c r="M56" s="75" t="s">
        <v>1</v>
      </c>
      <c r="N56" s="76" t="s">
        <v>2</v>
      </c>
      <c r="O56" s="76" t="s">
        <v>3</v>
      </c>
      <c r="P56" s="76" t="s">
        <v>44</v>
      </c>
      <c r="Q56" s="76" t="s">
        <v>50</v>
      </c>
    </row>
    <row r="57" spans="7:19" x14ac:dyDescent="0.25">
      <c r="G57" s="47"/>
      <c r="H57" s="47"/>
      <c r="I57" s="100"/>
      <c r="K57" s="266"/>
      <c r="L57" s="132" t="str">
        <f>CONCATENATE("Stipend ",IF(AND(Y2&gt;=7,Y2&lt;=9),CONCATENATE("(Fall)"),IF(AND(Y2&gt;=7,Y2&lt;=10),CONCATENATE("(Spring)"),IF(OR(Y2&gt;=10,Y2&lt;=2),CONCATENATE("(Spring)"),IF(AND(Y2&gt;=7,Y2&lt;=10),CONCATENATE("(Summer)"),IF(OR(Y2&gt;=10,Y2&lt;=2),CONCATENATE("(Summer)"),IF(AND(Y2&gt;=3,Y2&lt;=6),CONCATENATE("(Summer)"),"N/A")))))))</f>
        <v>Stipend (Spring)</v>
      </c>
      <c r="M57" s="133">
        <f>IF(RIGHT($L57,8)="(Summer)",ROUND(M41*HLOOKUP(M53,M28:S33,3,FALSE),0))+IF(RIGHT($L57,8)&lt;&gt;"(Summer)",ROUND(M41*HLOOKUP(M53,M28:S33,2,FALSE)/2,0))</f>
        <v>0</v>
      </c>
      <c r="N57" s="133">
        <f>IF(RIGHT($L57,8)="(Summer)",ROUND(N41*HLOOKUP(N53,N28:T33,3,FALSE),0))+IF(RIGHT($L57,8)&lt;&gt;"(Summer)",ROUND(N41*HLOOKUP(N53,N28:T33,2,FALSE)/2,0))</f>
        <v>0</v>
      </c>
      <c r="O57" s="133">
        <f>IF(RIGHT($L57,8)="(Summer)",ROUND(O41*HLOOKUP(O53,O28:U33,3,FALSE),0))+IF(RIGHT($L57,8)&lt;&gt;"(Summer)",ROUND(O41*HLOOKUP(O53,O28:U33,2,FALSE)/2,0))</f>
        <v>0</v>
      </c>
      <c r="P57" s="133">
        <f>IF(RIGHT($L57,8)="(Summer)",ROUND(P41*HLOOKUP(P53,P28:V33,3,FALSE),0))+IF(RIGHT($L57,8)&lt;&gt;"(Summer)",ROUND(P41*HLOOKUP(P53,P28:V33,2,FALSE)/2,0))</f>
        <v>0</v>
      </c>
      <c r="Q57" s="133">
        <f>IF(RIGHT($L57,8)="(Summer)",ROUND(Q41*HLOOKUP(Q53,Q28:W33,3,FALSE),0))+IF(RIGHT($L57,8)&lt;&gt;"(Summer)",ROUND(Q41*HLOOKUP(Q53,Q28:W33,2,FALSE)/2,0))</f>
        <v>0</v>
      </c>
    </row>
    <row r="58" spans="7:19" x14ac:dyDescent="0.25">
      <c r="G58" s="47"/>
      <c r="H58" s="47"/>
      <c r="I58" s="100"/>
      <c r="K58" s="266"/>
      <c r="L58" s="134" t="str">
        <f>CONCATENATE("Stipend ",IF(AND(Y2&gt;=7,Y2&lt;=9),CONCATENATE("(Spring)"),IF(AND(Y2&gt;=7,Y2&lt;=10),CONCATENATE("(Summer)"),IF(OR(Y2&gt;=10,Y2&lt;=2),CONCATENATE("(Summer)"),IF(AND(Y2&gt;=7,Y2&lt;=10),CONCATENATE("(Fall)"),IF(OR(Y2&gt;=10,Y2&lt;=2),CONCATENATE("(Fall) "),IF(AND(Y2&gt;=3,Y2&lt;=6),CONCATENATE("(Fall)"),"N/A")))))))</f>
        <v>Stipend (Summer)</v>
      </c>
      <c r="M58" s="133">
        <f>IF(RIGHT($L58,8)="(Summer)",ROUND(M42*HLOOKUP(M54,M28:S33,3,FALSE),0))+IF(RIGHT($L58,8)&lt;&gt;"(Summer)",ROUND(M42*HLOOKUP(M54,M28:S33,2,FALSE)/2,0))</f>
        <v>0</v>
      </c>
      <c r="N58" s="133">
        <f>IF(RIGHT($L58,8)="(Summer)",ROUND(N42*HLOOKUP(N54,N28:T33,3,FALSE),0))+IF(RIGHT($L58,8)&lt;&gt;"(Summer)",ROUND(N42*HLOOKUP(N54,N28:T33,2,FALSE)/2,0))</f>
        <v>0</v>
      </c>
      <c r="O58" s="133">
        <f>IF(RIGHT($L58,8)="(Summer)",ROUND(O42*HLOOKUP(O54,O28:U33,3,FALSE),0))+IF(RIGHT($L58,8)&lt;&gt;"(Summer)",ROUND(O42*HLOOKUP(O54,O28:U33,2,FALSE)/2,0))</f>
        <v>0</v>
      </c>
      <c r="P58" s="133">
        <f>IF(RIGHT($L58,8)="(Summer)",ROUND(P42*HLOOKUP(P54,P28:V33,3,FALSE),0))+IF(RIGHT($L58,8)&lt;&gt;"(Summer)",ROUND(P42*HLOOKUP(P54,P28:V33,2,FALSE)/2,0))</f>
        <v>0</v>
      </c>
      <c r="Q58" s="133">
        <f>IF(RIGHT($L58,8)="(Summer)",ROUND(Q42*HLOOKUP(Q54,Q28:W33,3,FALSE),0))+IF(RIGHT($L58,8)&lt;&gt;"(Summer)",ROUND(Q42*HLOOKUP(Q54,Q28:W33,2,FALSE)/2,0))</f>
        <v>0</v>
      </c>
    </row>
    <row r="59" spans="7:19" x14ac:dyDescent="0.25">
      <c r="G59" s="47"/>
      <c r="H59" s="47"/>
      <c r="I59" s="100"/>
      <c r="K59" s="266"/>
      <c r="L59" s="134" t="str">
        <f>CONCATENATE("Stipend ",IF(AND(Y2&gt;=7,Y2&lt;=9),CONCATENATE("(Summer)"),IF(AND(Y2&gt;=7,Y2&lt;=10),CONCATENATE("(Fall)"),IF(OR(Y2&gt;=10,Y2&lt;=2),CONCATENATE("(Fall)"),IF(AND(Y2&gt;=7,Y2&lt;=10),CONCATENATE("(Spring)"),IF(OR(Y2&gt;=10,Y2&lt;=2),CONCATENATE("(Spring)"),IF(AND(Y2&gt;=3,Y2&lt;=6),CONCATENATE("(Spring)"),"N/A")))))))</f>
        <v>Stipend (Fall)</v>
      </c>
      <c r="M59" s="133">
        <f>IF(RIGHT($L59,8)="(Summer)",ROUND(M43*HLOOKUP(M55,M28:S33,3,FALSE),0))+IF(RIGHT($L59,8)&lt;&gt;"(Summer)",ROUND(M43*HLOOKUP(M55,M28:S33,2,FALSE)/2,0))</f>
        <v>0</v>
      </c>
      <c r="N59" s="133">
        <f>IF(RIGHT($L59,8)="(Summer)",ROUND(N43*HLOOKUP(N55,N28:T33,3,FALSE),0))+IF(RIGHT($L59,8)&lt;&gt;"(Summer)",ROUND(N43*HLOOKUP(N55,N28:T33,2,FALSE)/2,0))</f>
        <v>0</v>
      </c>
      <c r="O59" s="133">
        <f>IF(RIGHT($L59,8)="(Summer)",ROUND(O43*HLOOKUP(O55,O28:U33,3,FALSE),0))+IF(RIGHT($L59,8)&lt;&gt;"(Summer)",ROUND(O43*HLOOKUP(O55,O28:U33,2,FALSE)/2,0))</f>
        <v>0</v>
      </c>
      <c r="P59" s="133">
        <f>IF(RIGHT($L59,8)="(Summer)",ROUND(P43*HLOOKUP(P55,P28:V33,3,FALSE),0))+IF(RIGHT($L59,8)&lt;&gt;"(Summer)",ROUND(P43*HLOOKUP(P55,P28:V33,2,FALSE)/2,0))</f>
        <v>0</v>
      </c>
      <c r="Q59" s="133">
        <f>IF(RIGHT($L59,8)="(Summer)",ROUND(Q43*HLOOKUP(Q55,Q28:W33,3,FALSE),0))+IF(RIGHT($L59,8)&lt;&gt;"(Summer)",ROUND(Q43*HLOOKUP(Q55,Q28:W33,2,FALSE)/2,0))</f>
        <v>0</v>
      </c>
    </row>
    <row r="60" spans="7:19" x14ac:dyDescent="0.25">
      <c r="G60" s="47"/>
      <c r="H60" s="47"/>
      <c r="I60" s="100"/>
      <c r="K60" s="266"/>
      <c r="L60" s="134" t="str">
        <f>CONCATENATE("Tuition ",IF(AND(Y2&gt;=7,Y2&lt;=9),CONCATENATE("(Fall)"),IF(AND(Y2&gt;=7,Y2&lt;=10),CONCATENATE("(Spring)"),IF(OR(Y2&gt;=10,Y2&lt;=2),CONCATENATE("(Spring)"),IF(AND(Y2&gt;=7,Y2&lt;=10),CONCATENATE("(Summer)"),IF(OR(Y2&gt;=10,Y2&lt;=2),CONCATENATE("(Summer)"),IF(AND(Y2&gt;=3,Y2&lt;=6),CONCATENATE("(Summer)"),"N/A")))))))</f>
        <v>Tuition (Spring)</v>
      </c>
      <c r="M60" s="133">
        <f>IF(RIGHT($L60,8)="(Summer)",0,ROUND(M41*HLOOKUP(M53,M28:S33,5,FALSE)/2,0))</f>
        <v>0</v>
      </c>
      <c r="N60" s="133">
        <f>IF(RIGHT($L60,8)="(Summer)",0,ROUND(N41*HLOOKUP(N53,N28:T33,5,FALSE)/2,0))</f>
        <v>0</v>
      </c>
      <c r="O60" s="133">
        <f>IF(RIGHT($L60,8)="(Summer)",0,ROUND(O41*HLOOKUP(O53,O28:U33,5,FALSE)/2,0))</f>
        <v>0</v>
      </c>
      <c r="P60" s="133">
        <f>IF(RIGHT($L60,8)="(Summer)",0,ROUND(P41*HLOOKUP(P53,P28:V33,5,FALSE)/2,0))</f>
        <v>0</v>
      </c>
      <c r="Q60" s="133">
        <f>IF(RIGHT($L60,8)="(Summer)",0,ROUND(Q41*HLOOKUP(Q53,Q28:W33,5,FALSE)/2,0))</f>
        <v>0</v>
      </c>
    </row>
    <row r="61" spans="7:19" x14ac:dyDescent="0.25">
      <c r="G61" s="47"/>
      <c r="H61" s="47"/>
      <c r="I61" s="100"/>
      <c r="K61" s="266"/>
      <c r="L61" s="134" t="str">
        <f>CONCATENATE("Tuition ",IF(AND(Y2&gt;=7,Y2&lt;=9),CONCATENATE("(Spring)"),IF(AND(Y2&gt;=7,Y2&lt;=10),CONCATENATE("(Summer)"),IF(OR(Y2&gt;=10,Y2&lt;=2),CONCATENATE("(Summer)"),IF(AND(Y2&gt;=7,Y2&lt;=10),CONCATENATE("(Fall)"),IF(OR(Y2&gt;=10,Y2&lt;=2),CONCATENATE("(Fall) "),IF(AND(Y2&gt;=3,Y2&lt;=6),CONCATENATE("(Fall)"),"N/A")))))))</f>
        <v>Tuition (Summer)</v>
      </c>
      <c r="M61" s="133">
        <f>IF(RIGHT($L61,8)="(Summer)",0,ROUND(M42*HLOOKUP(M54,M28:S33,5,FALSE)/2,0))</f>
        <v>0</v>
      </c>
      <c r="N61" s="133">
        <f>IF(RIGHT($L61,8)="(Summer)",0,ROUND(N42*HLOOKUP(N54,N28:T33,5,FALSE)/2,0))</f>
        <v>0</v>
      </c>
      <c r="O61" s="133">
        <f>IF(RIGHT($L61,8)="(Summer)",0,ROUND(O42*HLOOKUP(O54,O28:U33,5,FALSE)/2,0))</f>
        <v>0</v>
      </c>
      <c r="P61" s="133">
        <f>IF(RIGHT($L61,8)="(Summer)",0,ROUND(P42*HLOOKUP(P54,P28:V33,5,FALSE)/2,0))</f>
        <v>0</v>
      </c>
      <c r="Q61" s="133">
        <f>IF(RIGHT($L61,8)="(Summer)",0,ROUND(Q42*HLOOKUP(Q54,Q28:W33,5,FALSE)/2,0))</f>
        <v>0</v>
      </c>
    </row>
    <row r="62" spans="7:19" x14ac:dyDescent="0.25">
      <c r="G62" s="47"/>
      <c r="H62" s="47"/>
      <c r="I62" s="100"/>
      <c r="J62" s="100"/>
      <c r="K62" s="286"/>
      <c r="L62" s="134" t="str">
        <f>CONCATENATE("Tuition ",IF(AND(Y2&gt;=7,Y2&lt;=9),CONCATENATE("(Summer)"),IF(AND(Y2&gt;=7,Y2&lt;=10),CONCATENATE("(Fall)"),IF(OR(Y2&gt;=10,Y2&lt;=2),CONCATENATE("(Fall)"),IF(AND(Y2&gt;=7,Y2&lt;=10),CONCATENATE("(Spring)"),IF(OR(Y2&gt;=10,Y2&lt;=2),CONCATENATE("(Spring)"),IF(AND(Y2&gt;=3,Y2&lt;=6),CONCATENATE("(Spring)"),"N/A")))))))</f>
        <v>Tuition (Fall)</v>
      </c>
      <c r="M62" s="133">
        <f>IF(RIGHT($L62,8)="(Summer)",0,ROUND(M43*HLOOKUP(M55,M28:S33,5,FALSE)/2,0))</f>
        <v>0</v>
      </c>
      <c r="N62" s="133">
        <f>IF(RIGHT($L62,8)="(Summer)",0,ROUND(N43*HLOOKUP(N55,N28:T33,5,FALSE)/2,0))</f>
        <v>0</v>
      </c>
      <c r="O62" s="133">
        <f>IF(RIGHT($L62,8)="(Summer)",0,ROUND(O43*HLOOKUP(O55,O28:U33,5,FALSE)/2,0))</f>
        <v>0</v>
      </c>
      <c r="P62" s="133">
        <f>IF(RIGHT($L62,8)="(Summer)",0,ROUND(P43*HLOOKUP(P55,P28:V33,5,FALSE)/2,0))</f>
        <v>0</v>
      </c>
      <c r="Q62" s="133">
        <f>IF(RIGHT($L62,8)="(Summer)",0,ROUND(Q43*HLOOKUP(Q55,Q28:W33,5,FALSE)/2,0))</f>
        <v>0</v>
      </c>
    </row>
    <row r="63" spans="7:19" x14ac:dyDescent="0.25">
      <c r="G63" s="47"/>
      <c r="H63" s="47"/>
      <c r="I63" s="100"/>
      <c r="J63" s="81"/>
      <c r="K63" s="288"/>
      <c r="L63" s="134" t="str">
        <f>CONCATENATE("Health Insurance ",IF(AND(Y2&gt;=7,Y2&lt;=9),CONCATENATE("(Fall)"),IF(AND(Y2&gt;=7,Y2&lt;=10),CONCATENATE("(Spring)"),IF(OR(Y2&gt;=10,Y2&lt;=2),CONCATENATE("(Spring)"),IF(AND(Y2&gt;=7,Y2&lt;=10),CONCATENATE("(Summer)"),IF(OR(Y2&gt;=10,Y2&lt;=2),CONCATENATE("(Summer)"),IF(AND(Y2&gt;=3,Y2&lt;=6),CONCATENATE("(Summer)"),"N/A")))))))</f>
        <v>Health Insurance (Spring)</v>
      </c>
      <c r="M63" s="133">
        <f>IF(RIGHT($L63,8)="(Summer)",0,ROUND(M41*HLOOKUP(M53,M28:S33,6,FALSE)/2,0))</f>
        <v>0</v>
      </c>
      <c r="N63" s="133">
        <f>IF(RIGHT($L63,8)="(Summer)",0,ROUND(N41*HLOOKUP(N53,N28:T33,6,FALSE)/2,0))</f>
        <v>0</v>
      </c>
      <c r="O63" s="133">
        <f>IF(RIGHT($L63,8)="(Summer)",0,ROUND(O41*HLOOKUP(O53,O28:U33,6,FALSE)/2,0))</f>
        <v>0</v>
      </c>
      <c r="P63" s="133">
        <f>IF(RIGHT($L63,8)="(Summer)",0,ROUND(P41*HLOOKUP(P53,P28:V33,6,FALSE)/2,0))</f>
        <v>0</v>
      </c>
      <c r="Q63" s="133">
        <f>IF(RIGHT($L63,8)="(Summer)",0,ROUND(Q41*HLOOKUP(Q53,Q28:W33,6,FALSE)/2,0))</f>
        <v>0</v>
      </c>
    </row>
    <row r="64" spans="7:19" x14ac:dyDescent="0.25">
      <c r="G64" s="47"/>
      <c r="H64" s="47"/>
      <c r="I64" s="100"/>
      <c r="J64" s="49"/>
      <c r="K64" s="264"/>
      <c r="L64" s="134" t="str">
        <f>CONCATENATE("Health Insurance ",IF(AND(Y2&gt;=7,Y2&lt;=9),CONCATENATE("(Spring)"),IF(AND(Y2&gt;=7,Y2&lt;=10),CONCATENATE("(Summer)"),IF(OR(Y2&gt;=10,Y2&lt;=2),CONCATENATE("(Summer)"),IF(AND(Y2&gt;=7,Y2&lt;=10),CONCATENATE("(Fall)"),IF(OR(Y2&gt;=10,Y2&lt;=2),CONCATENATE("(Fall) "),IF(AND(Y2&gt;=3,Y2&lt;=6),CONCATENATE("(Fall)"),"N/A")))))))</f>
        <v>Health Insurance (Summer)</v>
      </c>
      <c r="M64" s="133">
        <f>IF(RIGHT($L64,8)="(Summer)",0,ROUND(M42*HLOOKUP(M54,M28:S33,6,FALSE)/2,0))</f>
        <v>0</v>
      </c>
      <c r="N64" s="133">
        <f>IF(RIGHT($L64,8)="(Summer)",0,ROUND(N42*HLOOKUP(N54,N28:T33,6,FALSE)/2,0))</f>
        <v>0</v>
      </c>
      <c r="O64" s="133">
        <f>IF(RIGHT($L64,8)="(Summer)",0,ROUND(O42*HLOOKUP(O54,O28:U33,6,FALSE)/2,0))</f>
        <v>0</v>
      </c>
      <c r="P64" s="133">
        <f>IF(RIGHT($L64,8)="(Summer)",0,ROUND(P42*HLOOKUP(P54,P28:V33,6,FALSE)/2,0))</f>
        <v>0</v>
      </c>
      <c r="Q64" s="133">
        <f>IF(RIGHT($L64,8)="(Summer)",0,ROUND(Q42*HLOOKUP(Q54,Q28:W33,6,FALSE)/2,0))</f>
        <v>0</v>
      </c>
    </row>
    <row r="65" spans="2:20" x14ac:dyDescent="0.25">
      <c r="G65" s="47"/>
      <c r="H65" s="47"/>
      <c r="I65" s="100"/>
      <c r="J65" s="100"/>
      <c r="K65" s="286"/>
      <c r="L65" s="134" t="str">
        <f>CONCATENATE("Health Insurance ",IF(AND(Y2&gt;=7,Y2&lt;=9),CONCATENATE("(Summer)"),IF(AND(Y2&gt;=7,Y2&lt;=10),CONCATENATE("(Fall)"),IF(OR(Y2&gt;=10,Y2&lt;=2),CONCATENATE("(Fall)"),IF(AND(Y2&gt;=7,Y2&lt;=10),CONCATENATE("(Spring)"),IF(OR(Y2&gt;=10,Y2&lt;=2),CONCATENATE("(Spring)"),IF(AND(Y2&gt;=3,Y2&lt;=6),CONCATENATE("(Spring)"),"N/A")))))))</f>
        <v>Health Insurance (Fall)</v>
      </c>
      <c r="M65" s="133">
        <f>IF(RIGHT($L65,8)="(Summer)",0,ROUND(M43*HLOOKUP(M55,M28:S33,6,FALSE)/2,0))</f>
        <v>0</v>
      </c>
      <c r="N65" s="133">
        <f>IF(RIGHT($L65,8)="(Summer)",0,ROUND(N43*HLOOKUP(N55,N28:T33,6,FALSE)/2,0))</f>
        <v>0</v>
      </c>
      <c r="O65" s="133">
        <f>IF(RIGHT($L65,8)="(Summer)",0,ROUND(O43*HLOOKUP(O55,O28:U33,6,FALSE)/2,0))</f>
        <v>0</v>
      </c>
      <c r="P65" s="133">
        <f>IF(RIGHT($L65,8)="(Summer)",0,ROUND(P43*HLOOKUP(P55,P28:V33,6,FALSE)/2,0))</f>
        <v>0</v>
      </c>
      <c r="Q65" s="133">
        <f>IF(RIGHT($L65,8)="(Summer)",0,ROUND(Q43*HLOOKUP(Q55,Q28:W33,6,FALSE)/2,0))</f>
        <v>0</v>
      </c>
    </row>
    <row r="66" spans="2:20" ht="15.75" thickBot="1" x14ac:dyDescent="0.3">
      <c r="G66" s="47"/>
      <c r="H66" s="47"/>
      <c r="I66" s="100"/>
      <c r="J66" s="100"/>
      <c r="K66" s="286"/>
      <c r="L66" s="62" t="s">
        <v>31</v>
      </c>
      <c r="M66" s="63">
        <f>SUM(M57:M65)</f>
        <v>0</v>
      </c>
      <c r="N66" s="63">
        <f>SUM(N57:N65)</f>
        <v>0</v>
      </c>
      <c r="O66" s="63">
        <f>SUM(O57:O65)</f>
        <v>0</v>
      </c>
      <c r="P66" s="63">
        <f>SUM(P57:P65)</f>
        <v>0</v>
      </c>
      <c r="Q66" s="63">
        <f>SUM(Q57:Q65)</f>
        <v>0</v>
      </c>
    </row>
    <row r="68" spans="2:20" x14ac:dyDescent="0.25">
      <c r="C68" s="129"/>
    </row>
    <row r="70" spans="2:20" x14ac:dyDescent="0.25">
      <c r="K70" s="81"/>
    </row>
    <row r="71" spans="2:20" x14ac:dyDescent="0.25">
      <c r="K71" s="279"/>
      <c r="L71" s="66" t="str">
        <f>+L$6</f>
        <v>Graduate Student (Stipend, Tuition, Health Ins) - Contract College Rates:</v>
      </c>
    </row>
    <row r="72" spans="2:20" x14ac:dyDescent="0.25">
      <c r="K72" s="279"/>
      <c r="L72" s="49"/>
      <c r="M72" s="122" t="str">
        <f>+$M$10</f>
        <v>FY2023</v>
      </c>
      <c r="N72" s="122" t="str">
        <f>+$N$10</f>
        <v>FY2024</v>
      </c>
      <c r="O72" s="122" t="str">
        <f>+$O$10</f>
        <v>FY2025</v>
      </c>
      <c r="P72" s="122" t="str">
        <f>+$P$10</f>
        <v>FY2026</v>
      </c>
      <c r="Q72" s="122" t="str">
        <f>+$Q$10</f>
        <v>FY2027</v>
      </c>
      <c r="R72" s="122" t="str">
        <f>+$R$10</f>
        <v>FY2028</v>
      </c>
      <c r="S72" s="122" t="str">
        <f>+$S$10</f>
        <v>FY2029</v>
      </c>
      <c r="T72" s="123" t="s">
        <v>119</v>
      </c>
    </row>
    <row r="73" spans="2:20" x14ac:dyDescent="0.25">
      <c r="K73" s="279"/>
      <c r="L73" s="54" t="s">
        <v>35</v>
      </c>
      <c r="M73" s="110">
        <f>+$M$11</f>
        <v>30088</v>
      </c>
      <c r="N73" s="110">
        <f>IF(ROUND(M73*(1+$T73),0)=$N$11,ROUND(M73*(1+$T73),0),$N$11)</f>
        <v>31592</v>
      </c>
      <c r="O73" s="110">
        <f t="shared" ref="O73:S74" si="9">ROUND(N73*(1+$T73),0)</f>
        <v>32856</v>
      </c>
      <c r="P73" s="110">
        <f t="shared" si="9"/>
        <v>34170</v>
      </c>
      <c r="Q73" s="110">
        <f t="shared" si="9"/>
        <v>35537</v>
      </c>
      <c r="R73" s="110">
        <f t="shared" si="9"/>
        <v>36958</v>
      </c>
      <c r="S73" s="110">
        <f t="shared" si="9"/>
        <v>38436</v>
      </c>
      <c r="T73" s="55">
        <v>0.04</v>
      </c>
    </row>
    <row r="74" spans="2:20" x14ac:dyDescent="0.25">
      <c r="K74" s="279"/>
      <c r="L74" s="54" t="s">
        <v>23</v>
      </c>
      <c r="M74" s="110">
        <f>+$M$12</f>
        <v>10029</v>
      </c>
      <c r="N74" s="110">
        <f>IF(ROUND(M74*(1+$T74),0)=$N$12,ROUND(M74*(1+$T74),0),$N$12)</f>
        <v>10530</v>
      </c>
      <c r="O74" s="110">
        <f t="shared" si="9"/>
        <v>10951</v>
      </c>
      <c r="P74" s="110">
        <f t="shared" si="9"/>
        <v>11389</v>
      </c>
      <c r="Q74" s="110">
        <f t="shared" si="9"/>
        <v>11845</v>
      </c>
      <c r="R74" s="110">
        <f t="shared" si="9"/>
        <v>12319</v>
      </c>
      <c r="S74" s="110">
        <f t="shared" si="9"/>
        <v>12812</v>
      </c>
      <c r="T74" s="97">
        <v>0.04</v>
      </c>
    </row>
    <row r="75" spans="2:20" x14ac:dyDescent="0.25">
      <c r="B75" s="82"/>
      <c r="C75" s="82"/>
      <c r="D75" s="82"/>
      <c r="E75" s="82"/>
      <c r="F75" s="82"/>
      <c r="G75" s="82"/>
      <c r="K75" s="279"/>
      <c r="L75" s="54" t="s">
        <v>30</v>
      </c>
      <c r="M75" s="110">
        <f>+$M$13</f>
        <v>40117</v>
      </c>
      <c r="N75" s="110">
        <f>+N73+N74</f>
        <v>42122</v>
      </c>
      <c r="O75" s="110">
        <f t="shared" ref="O75:S75" si="10">+O73+O74</f>
        <v>43807</v>
      </c>
      <c r="P75" s="110">
        <f t="shared" si="10"/>
        <v>45559</v>
      </c>
      <c r="Q75" s="110">
        <f t="shared" si="10"/>
        <v>47382</v>
      </c>
      <c r="R75" s="110">
        <f t="shared" si="10"/>
        <v>49277</v>
      </c>
      <c r="S75" s="110">
        <f t="shared" si="10"/>
        <v>51248</v>
      </c>
      <c r="T75" s="55"/>
    </row>
    <row r="76" spans="2:20" x14ac:dyDescent="0.25">
      <c r="B76" s="82"/>
      <c r="C76" s="82"/>
      <c r="D76" s="82"/>
      <c r="E76" s="82"/>
      <c r="F76" s="82"/>
      <c r="G76" s="82"/>
      <c r="K76" s="279"/>
      <c r="L76" s="54" t="s">
        <v>8</v>
      </c>
      <c r="M76" s="110">
        <f>IF(B16="Contract College",$M$14,$M$15)</f>
        <v>14750</v>
      </c>
      <c r="N76" s="110">
        <f>ROUND(M76*(1+$T76),0)</f>
        <v>14750</v>
      </c>
      <c r="O76" s="110">
        <f t="shared" ref="O76:S77" si="11">ROUND(N76*(1+$T76),0)</f>
        <v>14750</v>
      </c>
      <c r="P76" s="110">
        <f t="shared" si="11"/>
        <v>14750</v>
      </c>
      <c r="Q76" s="110">
        <f t="shared" si="11"/>
        <v>14750</v>
      </c>
      <c r="R76" s="110">
        <f t="shared" si="11"/>
        <v>14750</v>
      </c>
      <c r="S76" s="110">
        <f t="shared" si="11"/>
        <v>14750</v>
      </c>
      <c r="T76" s="55">
        <v>0</v>
      </c>
    </row>
    <row r="77" spans="2:20" x14ac:dyDescent="0.25">
      <c r="B77" s="82"/>
      <c r="C77" s="82"/>
      <c r="D77" s="82"/>
      <c r="E77" s="82"/>
      <c r="F77" s="82"/>
      <c r="G77" s="82"/>
      <c r="K77" s="279"/>
      <c r="L77" s="54" t="s">
        <v>24</v>
      </c>
      <c r="M77" s="110">
        <f>+$M$16</f>
        <v>4046</v>
      </c>
      <c r="N77" s="110">
        <f>IF(ROUND(M77*(1+$T77),0)=$N$16,ROUND(M77*(1+$T77),0),$N$16)</f>
        <v>4451</v>
      </c>
      <c r="O77" s="110">
        <f t="shared" si="11"/>
        <v>4896</v>
      </c>
      <c r="P77" s="110">
        <f t="shared" si="11"/>
        <v>5386</v>
      </c>
      <c r="Q77" s="110">
        <f t="shared" si="11"/>
        <v>5925</v>
      </c>
      <c r="R77" s="110">
        <f t="shared" si="11"/>
        <v>6518</v>
      </c>
      <c r="S77" s="110">
        <f t="shared" si="11"/>
        <v>7170</v>
      </c>
      <c r="T77" s="55">
        <v>0.1</v>
      </c>
    </row>
    <row r="78" spans="2:20" x14ac:dyDescent="0.25">
      <c r="B78" s="82"/>
      <c r="C78" s="82"/>
      <c r="D78" s="82"/>
      <c r="E78" s="82"/>
      <c r="F78" s="82"/>
      <c r="G78" s="82"/>
      <c r="K78" s="279"/>
      <c r="S78" s="47"/>
    </row>
    <row r="79" spans="2:20" x14ac:dyDescent="0.25">
      <c r="B79" s="82"/>
      <c r="C79" s="82"/>
      <c r="D79" s="82"/>
      <c r="E79" s="82"/>
      <c r="F79" s="82"/>
      <c r="G79" s="82"/>
      <c r="K79" s="279"/>
      <c r="S79" s="47"/>
    </row>
    <row r="80" spans="2:20" x14ac:dyDescent="0.25">
      <c r="B80" s="82"/>
      <c r="C80" s="82"/>
      <c r="D80" s="82"/>
      <c r="E80" s="82"/>
      <c r="F80" s="82"/>
      <c r="G80" s="82"/>
      <c r="K80" s="279"/>
      <c r="M80" s="82" t="str">
        <f t="shared" ref="M80:Q83" si="12">+M36</f>
        <v>Spring 2023</v>
      </c>
      <c r="N80" s="82" t="str">
        <f t="shared" si="12"/>
        <v>Spring 2024</v>
      </c>
      <c r="O80" s="82" t="str">
        <f t="shared" si="12"/>
        <v>Spring 2025</v>
      </c>
      <c r="P80" s="82" t="str">
        <f t="shared" si="12"/>
        <v>Spring 2026</v>
      </c>
      <c r="Q80" s="82" t="str">
        <f t="shared" si="12"/>
        <v>Spring 2027</v>
      </c>
      <c r="S80" s="47"/>
    </row>
    <row r="81" spans="2:19" x14ac:dyDescent="0.25">
      <c r="B81" s="82"/>
      <c r="C81" s="82"/>
      <c r="D81" s="82"/>
      <c r="E81" s="82"/>
      <c r="F81" s="82"/>
      <c r="G81" s="82"/>
      <c r="K81" s="279"/>
      <c r="M81" s="82" t="str">
        <f t="shared" si="12"/>
        <v>Summer 2023</v>
      </c>
      <c r="N81" s="82" t="str">
        <f t="shared" si="12"/>
        <v>Summer 2024</v>
      </c>
      <c r="O81" s="82" t="str">
        <f t="shared" si="12"/>
        <v>Summer 2025</v>
      </c>
      <c r="P81" s="82" t="str">
        <f t="shared" si="12"/>
        <v>Summer 2026</v>
      </c>
      <c r="Q81" s="82" t="str">
        <f t="shared" si="12"/>
        <v>Summer 2027</v>
      </c>
      <c r="S81" s="47"/>
    </row>
    <row r="82" spans="2:19" x14ac:dyDescent="0.25">
      <c r="B82" s="82"/>
      <c r="C82" s="82"/>
      <c r="D82" s="82"/>
      <c r="E82" s="82"/>
      <c r="F82" s="82"/>
      <c r="G82" s="82"/>
      <c r="K82" s="280"/>
      <c r="M82" s="82" t="str">
        <f t="shared" si="12"/>
        <v>Fall 2023</v>
      </c>
      <c r="N82" s="82" t="str">
        <f t="shared" si="12"/>
        <v>Fall 2024</v>
      </c>
      <c r="O82" s="82" t="str">
        <f t="shared" si="12"/>
        <v>Fall 2025</v>
      </c>
      <c r="P82" s="82" t="str">
        <f t="shared" si="12"/>
        <v>Fall 2026</v>
      </c>
      <c r="Q82" s="82" t="str">
        <f t="shared" si="12"/>
        <v>Fall 2027</v>
      </c>
      <c r="S82" s="47"/>
    </row>
    <row r="83" spans="2:19" x14ac:dyDescent="0.25">
      <c r="B83" s="82"/>
      <c r="C83" s="82"/>
      <c r="D83" s="82"/>
      <c r="E83" s="82"/>
      <c r="F83" s="82"/>
      <c r="G83" s="82"/>
      <c r="K83" s="280"/>
      <c r="M83" s="58" t="str">
        <f t="shared" si="12"/>
        <v>FY2023&amp;24</v>
      </c>
      <c r="N83" s="58" t="str">
        <f t="shared" si="12"/>
        <v>FY2024&amp;25</v>
      </c>
      <c r="O83" s="58" t="str">
        <f t="shared" si="12"/>
        <v>FY2025&amp;26</v>
      </c>
      <c r="P83" s="58" t="str">
        <f t="shared" si="12"/>
        <v>FY2026&amp;27</v>
      </c>
      <c r="Q83" s="58" t="str">
        <f t="shared" si="12"/>
        <v>FY2027&amp;28</v>
      </c>
      <c r="S83" s="47"/>
    </row>
    <row r="84" spans="2:19" ht="15.75" thickBot="1" x14ac:dyDescent="0.3">
      <c r="B84" s="82"/>
      <c r="C84" s="82"/>
      <c r="D84" s="82"/>
      <c r="E84" s="82"/>
      <c r="F84" s="82"/>
      <c r="G84" s="82"/>
      <c r="K84" s="279"/>
      <c r="L84" s="59" t="s">
        <v>86</v>
      </c>
      <c r="M84" s="75" t="s">
        <v>1</v>
      </c>
      <c r="N84" s="76" t="s">
        <v>2</v>
      </c>
      <c r="O84" s="76" t="s">
        <v>3</v>
      </c>
      <c r="P84" s="76" t="s">
        <v>44</v>
      </c>
      <c r="Q84" s="76" t="s">
        <v>50</v>
      </c>
      <c r="S84" s="47"/>
    </row>
    <row r="85" spans="2:19" x14ac:dyDescent="0.25">
      <c r="B85" s="82"/>
      <c r="C85" s="82"/>
      <c r="D85" s="82"/>
      <c r="E85" s="82"/>
      <c r="F85" s="82"/>
      <c r="G85" s="82"/>
      <c r="K85" s="281"/>
      <c r="L85" s="92" t="str">
        <f>CONCATENATE("Number of Students ",IF(AND($Y$2&gt;=7,$Y$2&lt;=9),CONCATENATE("(Fall)"),IF(AND($Y$2&gt;=7,$Y$2&lt;=10),CONCATENATE("(Spring)"),IF(OR($Y$2&gt;=10,$Y$2&lt;=2),CONCATENATE("(Spring)"),IF(AND($Y$2&gt;=7,$Y$2&lt;=10),CONCATENATE("(Summer)"),IF(OR($Y$2&gt;=10,$Y$2&lt;=2),CONCATENATE("(Summer)"),IF(AND($Y$2&gt;=3,$Y$2&lt;=6),CONCATENATE("(Summer)"),"N/A")))))))</f>
        <v>Number of Students (Spring)</v>
      </c>
      <c r="M85" s="91">
        <f t="shared" ref="M85:Q87" si="13">+B19</f>
        <v>0</v>
      </c>
      <c r="N85" s="91">
        <f t="shared" si="13"/>
        <v>0</v>
      </c>
      <c r="O85" s="91">
        <f t="shared" si="13"/>
        <v>0</v>
      </c>
      <c r="P85" s="91">
        <f t="shared" si="13"/>
        <v>0</v>
      </c>
      <c r="Q85" s="91">
        <f t="shared" si="13"/>
        <v>0</v>
      </c>
      <c r="S85" s="47"/>
    </row>
    <row r="86" spans="2:19" x14ac:dyDescent="0.25">
      <c r="B86" s="82"/>
      <c r="C86" s="82"/>
      <c r="D86" s="82"/>
      <c r="E86" s="82"/>
      <c r="F86" s="82"/>
      <c r="G86" s="82"/>
      <c r="K86" s="270"/>
      <c r="L86" s="128" t="str">
        <f>CONCATENATE("Number of Students ",IF(AND($Y$2&gt;=7,$Y$2&lt;=9),CONCATENATE("(Spring)"),IF(AND($Y$2&gt;=7,$Y$2&lt;=10),CONCATENATE("(Summer)"),IF(OR($Y$2&gt;=10,$Y$2&lt;=2),CONCATENATE("(Summer)"),IF(AND($Y$2&gt;=7,$Y$2&lt;=10),CONCATENATE("(Fall)"),IF(OR($Y$2&gt;=10,$Y$2&lt;=2),CONCATENATE("(Fall) "),IF(AND($Y$2&gt;=3,$Y$2&lt;=6),CONCATENATE("(Fall)"),"N/A")))))))</f>
        <v>Number of Students (Summer)</v>
      </c>
      <c r="M86" s="91">
        <f t="shared" si="13"/>
        <v>0</v>
      </c>
      <c r="N86" s="91">
        <f t="shared" si="13"/>
        <v>0</v>
      </c>
      <c r="O86" s="91">
        <f t="shared" si="13"/>
        <v>0</v>
      </c>
      <c r="P86" s="91">
        <f t="shared" si="13"/>
        <v>0</v>
      </c>
      <c r="Q86" s="91">
        <f t="shared" si="13"/>
        <v>0</v>
      </c>
      <c r="S86" s="47"/>
    </row>
    <row r="87" spans="2:19" x14ac:dyDescent="0.25">
      <c r="B87" s="82"/>
      <c r="C87" s="82"/>
      <c r="D87" s="82"/>
      <c r="E87" s="82"/>
      <c r="F87" s="82"/>
      <c r="G87" s="82"/>
      <c r="K87" s="279"/>
      <c r="L87" s="128" t="str">
        <f>CONCATENATE("Number of Students ",IF(AND($Y$2&gt;=7,$Y$2&lt;=9),CONCATENATE("(Summer)"),IF(AND($Y$2&gt;=7,$Y$2&lt;=10),CONCATENATE("(Fall)"),IF(OR($Y$2&gt;=10,$Y$2&lt;=2),CONCATENATE("(Fall)"),IF(AND($Y$2&gt;=7,$Y$2&lt;=10),CONCATENATE("(Spring)"),IF(OR($Y$2&gt;=10,$Y$2&lt;=2),CONCATENATE("(Spring)"),IF(AND($Y$2&gt;=3,$Y$2&lt;=6),CONCATENATE("(Spring)"),"N/A")))))))</f>
        <v>Number of Students (Fall)</v>
      </c>
      <c r="M87" s="91">
        <f t="shared" si="13"/>
        <v>0</v>
      </c>
      <c r="N87" s="91">
        <f t="shared" si="13"/>
        <v>0</v>
      </c>
      <c r="O87" s="91">
        <f t="shared" si="13"/>
        <v>0</v>
      </c>
      <c r="P87" s="91">
        <f t="shared" si="13"/>
        <v>0</v>
      </c>
      <c r="Q87" s="91">
        <f t="shared" si="13"/>
        <v>0</v>
      </c>
      <c r="S87" s="47"/>
    </row>
    <row r="88" spans="2:19" x14ac:dyDescent="0.25">
      <c r="B88" s="82"/>
      <c r="C88" s="82"/>
      <c r="D88" s="82"/>
      <c r="E88" s="82"/>
      <c r="F88" s="82"/>
      <c r="G88" s="82"/>
      <c r="K88" s="279"/>
      <c r="L88" s="49"/>
      <c r="M88" s="57"/>
      <c r="N88" s="57"/>
      <c r="O88" s="57"/>
      <c r="P88" s="57"/>
      <c r="Q88" s="57"/>
      <c r="S88" s="47"/>
    </row>
    <row r="89" spans="2:19" x14ac:dyDescent="0.25">
      <c r="B89" s="82"/>
      <c r="C89" s="82"/>
      <c r="D89" s="82"/>
      <c r="E89" s="82"/>
      <c r="F89" s="82"/>
      <c r="G89" s="82"/>
      <c r="J89" s="100"/>
      <c r="K89" s="279"/>
      <c r="L89" s="49"/>
      <c r="M89" s="57"/>
      <c r="N89" s="57"/>
      <c r="O89" s="57"/>
      <c r="P89" s="57"/>
      <c r="Q89" s="57"/>
      <c r="S89" s="47"/>
    </row>
    <row r="90" spans="2:19" ht="15.75" thickBot="1" x14ac:dyDescent="0.3">
      <c r="B90" s="82"/>
      <c r="C90" s="82"/>
      <c r="D90" s="82"/>
      <c r="E90" s="82"/>
      <c r="F90" s="82"/>
      <c r="G90" s="82"/>
      <c r="J90" s="100"/>
      <c r="K90" s="279"/>
      <c r="L90" s="59" t="s">
        <v>123</v>
      </c>
      <c r="M90" s="75" t="s">
        <v>1</v>
      </c>
      <c r="N90" s="76" t="s">
        <v>2</v>
      </c>
      <c r="O90" s="76" t="s">
        <v>3</v>
      </c>
      <c r="P90" s="76" t="s">
        <v>44</v>
      </c>
      <c r="Q90" s="76" t="s">
        <v>50</v>
      </c>
      <c r="S90" s="47"/>
    </row>
    <row r="91" spans="2:19" x14ac:dyDescent="0.25">
      <c r="B91" s="82"/>
      <c r="C91" s="82"/>
      <c r="D91" s="82"/>
      <c r="E91" s="82"/>
      <c r="F91" s="82"/>
      <c r="G91" s="82"/>
      <c r="J91" s="100"/>
      <c r="K91" s="279"/>
      <c r="L91" s="60" t="s">
        <v>22</v>
      </c>
      <c r="M91" s="61">
        <f>SUM(M101:M103)</f>
        <v>0</v>
      </c>
      <c r="N91" s="61">
        <f>SUM(N101:N103)</f>
        <v>0</v>
      </c>
      <c r="O91" s="61">
        <f>SUM(O101:O103)</f>
        <v>0</v>
      </c>
      <c r="P91" s="61">
        <f>SUM(P101:P103)</f>
        <v>0</v>
      </c>
      <c r="Q91" s="61">
        <f>SUM(Q101:Q103)</f>
        <v>0</v>
      </c>
      <c r="S91" s="47"/>
    </row>
    <row r="92" spans="2:19" x14ac:dyDescent="0.25">
      <c r="B92" s="82"/>
      <c r="C92" s="82"/>
      <c r="D92" s="82"/>
      <c r="E92" s="82"/>
      <c r="F92" s="82"/>
      <c r="G92" s="82"/>
      <c r="J92" s="100"/>
      <c r="K92" s="279"/>
      <c r="L92" s="60" t="s">
        <v>8</v>
      </c>
      <c r="M92" s="61">
        <f>SUM(M104:M106)</f>
        <v>0</v>
      </c>
      <c r="N92" s="61">
        <f>SUM(N104:N106)</f>
        <v>0</v>
      </c>
      <c r="O92" s="61">
        <f>SUM(O104:O106)</f>
        <v>0</v>
      </c>
      <c r="P92" s="61">
        <f>SUM(P104:P106)</f>
        <v>0</v>
      </c>
      <c r="Q92" s="61">
        <f>SUM(Q104:Q106)</f>
        <v>0</v>
      </c>
      <c r="S92" s="47"/>
    </row>
    <row r="93" spans="2:19" x14ac:dyDescent="0.25">
      <c r="B93" s="82"/>
      <c r="C93" s="82"/>
      <c r="D93" s="82"/>
      <c r="E93" s="82"/>
      <c r="F93" s="82"/>
      <c r="G93" s="82"/>
      <c r="J93" s="100"/>
      <c r="K93" s="279"/>
      <c r="L93" s="60" t="s">
        <v>9</v>
      </c>
      <c r="M93" s="61">
        <f>SUM(M107:M109)</f>
        <v>0</v>
      </c>
      <c r="N93" s="61">
        <f>SUM(N107:N109)</f>
        <v>0</v>
      </c>
      <c r="O93" s="61">
        <f>SUM(O107:O109)</f>
        <v>0</v>
      </c>
      <c r="P93" s="61">
        <f>SUM(P107:P109)</f>
        <v>0</v>
      </c>
      <c r="Q93" s="61">
        <f>SUM(Q107:Q109)</f>
        <v>0</v>
      </c>
      <c r="S93" s="47"/>
    </row>
    <row r="94" spans="2:19" ht="15.75" thickBot="1" x14ac:dyDescent="0.3">
      <c r="B94" s="82"/>
      <c r="C94" s="82"/>
      <c r="D94" s="82"/>
      <c r="E94" s="82"/>
      <c r="F94" s="82"/>
      <c r="G94" s="82"/>
      <c r="J94" s="100"/>
      <c r="K94" s="279"/>
      <c r="L94" s="62" t="s">
        <v>31</v>
      </c>
      <c r="M94" s="63">
        <f>SUM(M91:M93)</f>
        <v>0</v>
      </c>
      <c r="N94" s="63">
        <f>SUM(N91:N93)</f>
        <v>0</v>
      </c>
      <c r="O94" s="63">
        <f>SUM(O91:O93)</f>
        <v>0</v>
      </c>
      <c r="P94" s="63">
        <f>SUM(P91:P93)</f>
        <v>0</v>
      </c>
      <c r="Q94" s="63">
        <f>SUM(Q91:Q93)</f>
        <v>0</v>
      </c>
      <c r="S94" s="47"/>
    </row>
    <row r="95" spans="2:19" x14ac:dyDescent="0.25">
      <c r="B95" s="82"/>
      <c r="C95" s="82"/>
      <c r="D95" s="82"/>
      <c r="E95" s="82"/>
      <c r="F95" s="82"/>
      <c r="G95" s="82"/>
      <c r="J95" s="100"/>
      <c r="K95" s="272"/>
      <c r="M95" s="129"/>
      <c r="S95" s="47"/>
    </row>
    <row r="96" spans="2:19" x14ac:dyDescent="0.25">
      <c r="B96" s="82"/>
      <c r="C96" s="82"/>
      <c r="D96" s="82"/>
      <c r="E96" s="82"/>
      <c r="F96" s="82"/>
      <c r="G96" s="82"/>
      <c r="J96" s="100"/>
      <c r="K96" s="272"/>
      <c r="S96" s="47"/>
    </row>
    <row r="97" spans="2:19" x14ac:dyDescent="0.25">
      <c r="B97" s="82"/>
      <c r="C97" s="82"/>
      <c r="D97" s="82"/>
      <c r="E97" s="82"/>
      <c r="F97" s="82"/>
      <c r="G97" s="82"/>
      <c r="J97" s="100"/>
      <c r="K97" s="272"/>
      <c r="L97" s="130"/>
      <c r="M97" s="82" t="str">
        <f>CONCATENATE("FY",$Y$3)</f>
        <v>FY2023</v>
      </c>
      <c r="N97" s="82" t="str">
        <f>CONCATENATE("FY",$Y$3+1)</f>
        <v>FY2024</v>
      </c>
      <c r="O97" s="82" t="str">
        <f>CONCATENATE("FY",$Y$3+2)</f>
        <v>FY2025</v>
      </c>
      <c r="P97" s="82" t="str">
        <f>CONCATENATE("FY",$Y$3+3)</f>
        <v>FY2026</v>
      </c>
      <c r="Q97" s="82" t="str">
        <f>CONCATENATE("FY",$Y$3+4)</f>
        <v>FY2027</v>
      </c>
      <c r="S97" s="47"/>
    </row>
    <row r="98" spans="2:19" x14ac:dyDescent="0.25">
      <c r="B98" s="82"/>
      <c r="C98" s="82"/>
      <c r="D98" s="82"/>
      <c r="E98" s="82"/>
      <c r="F98" s="82"/>
      <c r="G98" s="82"/>
      <c r="J98" s="100"/>
      <c r="K98" s="272"/>
      <c r="L98" s="131"/>
      <c r="M98" s="82" t="str">
        <f>IF(OR($Y$2&gt;=7,$Y$2&lt;=2),CONCATENATE("FY",$Y$3),IF(AND($Y$2&gt;=3,$Y$2&lt;=6),CONCATENATE("FY",$Y$3+1),"N/A"))</f>
        <v>FY2023</v>
      </c>
      <c r="N98" s="82" t="str">
        <f>IF(OR($Y$2&gt;=7,$Y$2&lt;=2),CONCATENATE("FY",$Y$3+1),IF(AND($Y$2&gt;=3,$Y$2&lt;=6),CONCATENATE("FY",$Y$3+2),"N/A"))</f>
        <v>FY2024</v>
      </c>
      <c r="O98" s="82" t="str">
        <f>IF(OR($Y$2&gt;=7,$Y$2&lt;=2),CONCATENATE("FY",$Y$3+2),IF(AND($Y$2&gt;=3,$Y$2&lt;=6),CONCATENATE("FY",$Y$3+3),"N/A"))</f>
        <v>FY2025</v>
      </c>
      <c r="P98" s="82" t="str">
        <f>IF(OR($Y$2&gt;=7,$Y$2&lt;=2),CONCATENATE("FY",$Y$3+3),IF(AND($Y$2&gt;=3,$Y$2&lt;=6),CONCATENATE("FY",$Y$3+4),"N/A"))</f>
        <v>FY2026</v>
      </c>
      <c r="Q98" s="82" t="str">
        <f>IF(OR($Y$2&gt;=7,$Y$2&lt;=2),CONCATENATE("FY",$Y$3+4),IF(AND($Y$2&gt;=3,$Y$2&lt;=6),CONCATENATE("FY",$Y$3+5),"N/A"))</f>
        <v>FY2027</v>
      </c>
      <c r="S98" s="47"/>
    </row>
    <row r="99" spans="2:19" x14ac:dyDescent="0.25">
      <c r="B99" s="82"/>
      <c r="C99" s="82"/>
      <c r="D99" s="82"/>
      <c r="E99" s="82"/>
      <c r="F99" s="82"/>
      <c r="G99" s="82"/>
      <c r="J99" s="100"/>
      <c r="K99" s="272"/>
      <c r="L99" s="82"/>
      <c r="M99" s="82" t="str">
        <f>IF(AND($Y$2&gt;=1,$Y$2&lt;=6),CONCATENATE("FY",$Y$3+1),IF(AND($Y$2&gt;=7,$Y$2&lt;=9),CONCATENATE("FY",$Y$3),IF(AND($Y$2&gt;=10,$Y$2&lt;=126),CONCATENATE("FY",$Y$3+1),"N/A")))</f>
        <v>FY2024</v>
      </c>
      <c r="N99" s="82" t="str">
        <f>IF(AND($Y$2&gt;=1,$Y$2&lt;=6),CONCATENATE("FY",$Y$3+2),IF(AND($Y$2&gt;=7,$Y$2&lt;=9),CONCATENATE("FY",$Y$3+1),IF(AND($Y$2&gt;=10,$Y$2&lt;=126),CONCATENATE("FY",$Y$3+2),"N/A")))</f>
        <v>FY2025</v>
      </c>
      <c r="O99" s="82" t="str">
        <f>IF(AND($Y$2&gt;=1,$Y$2&lt;=6),CONCATENATE("FY",$Y$3+3),IF(AND($Y$2&gt;=7,$Y$2&lt;=9),CONCATENATE("FY",$Y$3+2),IF(AND($Y$2&gt;=10,$Y$2&lt;=126),CONCATENATE("FY",$Y$3+3),"N/A")))</f>
        <v>FY2026</v>
      </c>
      <c r="P99" s="82" t="str">
        <f>IF(AND($Y$2&gt;=1,$Y$2&lt;=6),CONCATENATE("FY",$Y$3+4),IF(AND($Y$2&gt;=7,$Y$2&lt;=9),CONCATENATE("FY",$Y$3+3),IF(AND($Y$2&gt;=10,$Y$2&lt;=126),CONCATENATE("FY",$Y$3+4),"N/A")))</f>
        <v>FY2027</v>
      </c>
      <c r="Q99" s="82" t="str">
        <f>IF(AND($Y$2&gt;=1,$Y$2&lt;=6),CONCATENATE("FY",$Y$3+5),IF(AND($Y$2&gt;=7,$Y$2&lt;=9),CONCATENATE("FY",$Y$3+4),IF(AND($Y$2&gt;=10,$Y$2&lt;=126),CONCATENATE("FY",$Y$3+5),"N/A")))</f>
        <v>FY2028</v>
      </c>
      <c r="S99" s="47"/>
    </row>
    <row r="100" spans="2:19" ht="15.75" thickBot="1" x14ac:dyDescent="0.3">
      <c r="B100" s="82"/>
      <c r="C100" s="82"/>
      <c r="D100" s="82"/>
      <c r="E100" s="82"/>
      <c r="F100" s="82"/>
      <c r="G100" s="82"/>
      <c r="J100" s="100"/>
      <c r="K100" s="272"/>
      <c r="L100" s="59" t="s">
        <v>124</v>
      </c>
      <c r="M100" s="75" t="s">
        <v>1</v>
      </c>
      <c r="N100" s="76" t="s">
        <v>2</v>
      </c>
      <c r="O100" s="76" t="s">
        <v>3</v>
      </c>
      <c r="P100" s="76" t="s">
        <v>44</v>
      </c>
      <c r="Q100" s="76" t="s">
        <v>50</v>
      </c>
    </row>
    <row r="101" spans="2:19" x14ac:dyDescent="0.25">
      <c r="B101" s="82"/>
      <c r="C101" s="82"/>
      <c r="D101" s="82"/>
      <c r="E101" s="82"/>
      <c r="F101" s="82"/>
      <c r="G101" s="82"/>
      <c r="J101" s="100"/>
      <c r="K101" s="272"/>
      <c r="L101" s="132" t="str">
        <f t="shared" ref="L101:L109" si="14">+L57</f>
        <v>Stipend (Spring)</v>
      </c>
      <c r="M101" s="133">
        <f>IF(RIGHT($L101,8)="(Summer)",ROUND(M85*HLOOKUP(M97,M72:S77,3,FALSE),0))+IF(RIGHT($L101,8)&lt;&gt;"(Summer)",ROUND(M85*HLOOKUP(M97,M72:S77,2,FALSE)/2,0))</f>
        <v>0</v>
      </c>
      <c r="N101" s="133">
        <f t="shared" ref="N101:Q101" si="15">IF(RIGHT($L101,8)="(Summer)",ROUND(N85*HLOOKUP(N97,N72:T77,3,FALSE),0))+IF(RIGHT($L101,8)&lt;&gt;"(Summer)",ROUND(N85*HLOOKUP(N97,N72:T77,2,FALSE)/2,0))</f>
        <v>0</v>
      </c>
      <c r="O101" s="133">
        <f t="shared" si="15"/>
        <v>0</v>
      </c>
      <c r="P101" s="133">
        <f t="shared" si="15"/>
        <v>0</v>
      </c>
      <c r="Q101" s="133">
        <f t="shared" si="15"/>
        <v>0</v>
      </c>
    </row>
    <row r="102" spans="2:19" x14ac:dyDescent="0.25">
      <c r="B102" s="82"/>
      <c r="C102" s="82"/>
      <c r="D102" s="82"/>
      <c r="E102" s="82"/>
      <c r="F102" s="82"/>
      <c r="G102" s="82"/>
      <c r="J102" s="100"/>
      <c r="K102" s="272"/>
      <c r="L102" s="134" t="str">
        <f t="shared" si="14"/>
        <v>Stipend (Summer)</v>
      </c>
      <c r="M102" s="133">
        <f>IF(RIGHT($L102,8)="(Summer)",ROUND(M86*HLOOKUP(M98,M72:S77,3,FALSE),0))+IF(RIGHT($L102,8)&lt;&gt;"(Summer)",ROUND(M86*HLOOKUP(M98,M72:S77,2,FALSE)/2,0))</f>
        <v>0</v>
      </c>
      <c r="N102" s="133">
        <f t="shared" ref="N102:Q102" si="16">IF(RIGHT($L102,8)="(Summer)",ROUND(N86*HLOOKUP(N98,N72:T77,3,FALSE),0))+IF(RIGHT($L102,8)&lt;&gt;"(Summer)",ROUND(N86*HLOOKUP(N98,N72:T77,2,FALSE)/2,0))</f>
        <v>0</v>
      </c>
      <c r="O102" s="133">
        <f t="shared" si="16"/>
        <v>0</v>
      </c>
      <c r="P102" s="133">
        <f t="shared" si="16"/>
        <v>0</v>
      </c>
      <c r="Q102" s="133">
        <f t="shared" si="16"/>
        <v>0</v>
      </c>
    </row>
    <row r="103" spans="2:19" x14ac:dyDescent="0.25">
      <c r="B103" s="82"/>
      <c r="C103" s="82"/>
      <c r="D103" s="82"/>
      <c r="E103" s="82"/>
      <c r="F103" s="82"/>
      <c r="G103" s="82"/>
      <c r="J103" s="100"/>
      <c r="K103" s="272"/>
      <c r="L103" s="134" t="str">
        <f t="shared" si="14"/>
        <v>Stipend (Fall)</v>
      </c>
      <c r="M103" s="133">
        <f>IF(RIGHT($L103,8)="(Summer)",ROUND(M87*HLOOKUP(M99,M72:S77,3,FALSE),0))+IF(RIGHT($L103,8)&lt;&gt;"(Summer)",ROUND(M87*HLOOKUP(M99,M72:S77,2,FALSE)/2,0))</f>
        <v>0</v>
      </c>
      <c r="N103" s="133">
        <f t="shared" ref="N103:Q103" si="17">IF(RIGHT($L103,8)="(Summer)",ROUND(N87*HLOOKUP(N99,N72:T77,3,FALSE),0))+IF(RIGHT($L103,8)&lt;&gt;"(Summer)",ROUND(N87*HLOOKUP(N99,N72:T77,2,FALSE)/2,0))</f>
        <v>0</v>
      </c>
      <c r="O103" s="133">
        <f t="shared" si="17"/>
        <v>0</v>
      </c>
      <c r="P103" s="133">
        <f t="shared" si="17"/>
        <v>0</v>
      </c>
      <c r="Q103" s="133">
        <f t="shared" si="17"/>
        <v>0</v>
      </c>
    </row>
    <row r="104" spans="2:19" x14ac:dyDescent="0.25">
      <c r="B104" s="82"/>
      <c r="C104" s="82"/>
      <c r="D104" s="82"/>
      <c r="E104" s="82"/>
      <c r="F104" s="82"/>
      <c r="G104" s="82"/>
      <c r="J104" s="100"/>
      <c r="K104" s="272"/>
      <c r="L104" s="134" t="str">
        <f t="shared" si="14"/>
        <v>Tuition (Spring)</v>
      </c>
      <c r="M104" s="133">
        <f>IF(RIGHT($L104,8)="(Summer)",0,ROUND(M85*HLOOKUP(M97,M72:S77,5,FALSE)/2,0))</f>
        <v>0</v>
      </c>
      <c r="N104" s="133">
        <f t="shared" ref="N104:Q104" si="18">IF(RIGHT($L104,8)="(Summer)",0,ROUND(N85*HLOOKUP(N97,N72:T77,5,FALSE)/2,0))</f>
        <v>0</v>
      </c>
      <c r="O104" s="133">
        <f t="shared" si="18"/>
        <v>0</v>
      </c>
      <c r="P104" s="133">
        <f t="shared" si="18"/>
        <v>0</v>
      </c>
      <c r="Q104" s="133">
        <f t="shared" si="18"/>
        <v>0</v>
      </c>
    </row>
    <row r="105" spans="2:19" x14ac:dyDescent="0.25">
      <c r="B105" s="82"/>
      <c r="C105" s="82"/>
      <c r="D105" s="82"/>
      <c r="E105" s="82"/>
      <c r="F105" s="82"/>
      <c r="G105" s="82"/>
      <c r="J105" s="100"/>
      <c r="K105" s="272"/>
      <c r="L105" s="134" t="str">
        <f t="shared" si="14"/>
        <v>Tuition (Summer)</v>
      </c>
      <c r="M105" s="133">
        <f>IF(RIGHT($L105,8)="(Summer)",0,ROUND(M86*HLOOKUP(M98,M72:S77,5,FALSE)/2,0))</f>
        <v>0</v>
      </c>
      <c r="N105" s="133">
        <f t="shared" ref="N105:Q105" si="19">IF(RIGHT($L105,8)="(Summer)",0,ROUND(N86*HLOOKUP(N98,N72:T77,5,FALSE)/2,0))</f>
        <v>0</v>
      </c>
      <c r="O105" s="133">
        <f t="shared" si="19"/>
        <v>0</v>
      </c>
      <c r="P105" s="133">
        <f t="shared" si="19"/>
        <v>0</v>
      </c>
      <c r="Q105" s="133">
        <f t="shared" si="19"/>
        <v>0</v>
      </c>
    </row>
    <row r="106" spans="2:19" x14ac:dyDescent="0.25">
      <c r="B106" s="82"/>
      <c r="C106" s="82"/>
      <c r="D106" s="82"/>
      <c r="E106" s="82"/>
      <c r="F106" s="82"/>
      <c r="G106" s="82"/>
      <c r="J106" s="100"/>
      <c r="K106" s="279"/>
      <c r="L106" s="134" t="str">
        <f t="shared" si="14"/>
        <v>Tuition (Fall)</v>
      </c>
      <c r="M106" s="133">
        <f>IF(RIGHT($L106,8)="(Summer)",0,ROUND(M87*HLOOKUP(M99,M72:S77,5,FALSE)/2,0))</f>
        <v>0</v>
      </c>
      <c r="N106" s="133">
        <f t="shared" ref="N106:Q106" si="20">IF(RIGHT($L106,8)="(Summer)",0,ROUND(N87*HLOOKUP(N99,N72:T77,5,FALSE)/2,0))</f>
        <v>0</v>
      </c>
      <c r="O106" s="133">
        <f t="shared" si="20"/>
        <v>0</v>
      </c>
      <c r="P106" s="133">
        <f t="shared" si="20"/>
        <v>0</v>
      </c>
      <c r="Q106" s="133">
        <f t="shared" si="20"/>
        <v>0</v>
      </c>
    </row>
    <row r="107" spans="2:19" x14ac:dyDescent="0.25">
      <c r="B107" s="82"/>
      <c r="C107" s="82"/>
      <c r="D107" s="82"/>
      <c r="E107" s="82"/>
      <c r="F107" s="82"/>
      <c r="G107" s="82"/>
      <c r="J107" s="100"/>
      <c r="K107" s="281"/>
      <c r="L107" s="134" t="str">
        <f t="shared" si="14"/>
        <v>Health Insurance (Spring)</v>
      </c>
      <c r="M107" s="133">
        <f>IF(RIGHT($L107,8)="(Summer)",0,ROUND(M85*HLOOKUP(M97,M72:S77,6,FALSE)/2,0))</f>
        <v>0</v>
      </c>
      <c r="N107" s="133">
        <f t="shared" ref="N107:Q107" si="21">IF(RIGHT($L107,8)="(Summer)",0,ROUND(N85*HLOOKUP(N97,N72:T77,6,FALSE)/2,0))</f>
        <v>0</v>
      </c>
      <c r="O107" s="133">
        <f t="shared" si="21"/>
        <v>0</v>
      </c>
      <c r="P107" s="133">
        <f t="shared" si="21"/>
        <v>0</v>
      </c>
      <c r="Q107" s="133">
        <f t="shared" si="21"/>
        <v>0</v>
      </c>
    </row>
    <row r="108" spans="2:19" x14ac:dyDescent="0.25">
      <c r="B108" s="82"/>
      <c r="C108" s="82"/>
      <c r="D108" s="82"/>
      <c r="E108" s="82"/>
      <c r="F108" s="82"/>
      <c r="G108" s="82"/>
      <c r="J108" s="100"/>
      <c r="K108" s="270"/>
      <c r="L108" s="134" t="str">
        <f t="shared" si="14"/>
        <v>Health Insurance (Summer)</v>
      </c>
      <c r="M108" s="133">
        <f>IF(RIGHT($L108,8)="(Summer)",0,ROUND(M86*HLOOKUP(M98,M72:S77,6,FALSE)/2,0))</f>
        <v>0</v>
      </c>
      <c r="N108" s="133">
        <f t="shared" ref="N108:Q108" si="22">IF(RIGHT($L108,8)="(Summer)",0,ROUND(N86*HLOOKUP(N98,N72:T77,6,FALSE)/2,0))</f>
        <v>0</v>
      </c>
      <c r="O108" s="133">
        <f t="shared" si="22"/>
        <v>0</v>
      </c>
      <c r="P108" s="133">
        <f t="shared" si="22"/>
        <v>0</v>
      </c>
      <c r="Q108" s="133">
        <f t="shared" si="22"/>
        <v>0</v>
      </c>
    </row>
    <row r="109" spans="2:19" x14ac:dyDescent="0.25">
      <c r="B109" s="82"/>
      <c r="C109" s="82"/>
      <c r="D109" s="82"/>
      <c r="E109" s="82"/>
      <c r="F109" s="82"/>
      <c r="G109" s="82"/>
      <c r="J109" s="100"/>
      <c r="K109" s="279"/>
      <c r="L109" s="134" t="str">
        <f t="shared" si="14"/>
        <v>Health Insurance (Fall)</v>
      </c>
      <c r="M109" s="133">
        <f>IF(RIGHT($L109,8)="(Summer)",0,ROUND(M87*HLOOKUP(M99,M72:S77,6,FALSE)/2,0))</f>
        <v>0</v>
      </c>
      <c r="N109" s="133">
        <f t="shared" ref="N109:Q109" si="23">IF(RIGHT($L109,8)="(Summer)",0,ROUND(N87*HLOOKUP(N99,N72:T77,6,FALSE)/2,0))</f>
        <v>0</v>
      </c>
      <c r="O109" s="133">
        <f t="shared" si="23"/>
        <v>0</v>
      </c>
      <c r="P109" s="133">
        <f t="shared" si="23"/>
        <v>0</v>
      </c>
      <c r="Q109" s="133">
        <f t="shared" si="23"/>
        <v>0</v>
      </c>
    </row>
    <row r="110" spans="2:19" ht="15.75" thickBot="1" x14ac:dyDescent="0.3">
      <c r="B110" s="82"/>
      <c r="C110" s="82"/>
      <c r="D110" s="82"/>
      <c r="E110" s="82"/>
      <c r="F110" s="82"/>
      <c r="G110" s="82"/>
      <c r="J110" s="100"/>
      <c r="K110" s="279"/>
      <c r="L110" s="62" t="s">
        <v>31</v>
      </c>
      <c r="M110" s="63">
        <f>SUM(M101:M109)</f>
        <v>0</v>
      </c>
      <c r="N110" s="63">
        <f>SUM(N101:N109)</f>
        <v>0</v>
      </c>
      <c r="O110" s="63">
        <f>SUM(O101:O109)</f>
        <v>0</v>
      </c>
      <c r="P110" s="63">
        <f>SUM(P101:P109)</f>
        <v>0</v>
      </c>
      <c r="Q110" s="63">
        <f>SUM(Q101:Q109)</f>
        <v>0</v>
      </c>
    </row>
    <row r="111" spans="2:19" x14ac:dyDescent="0.25">
      <c r="B111" s="82"/>
      <c r="C111" s="82"/>
      <c r="D111" s="82"/>
      <c r="E111" s="82"/>
      <c r="F111" s="82"/>
      <c r="G111" s="82"/>
    </row>
    <row r="112" spans="2:19" x14ac:dyDescent="0.25">
      <c r="B112" s="82"/>
      <c r="C112" s="82"/>
      <c r="D112" s="82"/>
      <c r="E112" s="82"/>
      <c r="F112" s="82"/>
      <c r="G112" s="82"/>
    </row>
    <row r="113" spans="2:7" x14ac:dyDescent="0.25">
      <c r="B113" s="82"/>
      <c r="C113" s="82"/>
      <c r="D113" s="82"/>
      <c r="E113" s="82"/>
      <c r="F113" s="82"/>
      <c r="G113" s="82"/>
    </row>
    <row r="114" spans="2:7" x14ac:dyDescent="0.25">
      <c r="B114" s="82"/>
      <c r="C114" s="82"/>
      <c r="D114" s="82"/>
      <c r="E114" s="82"/>
      <c r="F114" s="82"/>
      <c r="G114" s="82"/>
    </row>
    <row r="115" spans="2:7" x14ac:dyDescent="0.25">
      <c r="B115" s="82"/>
      <c r="C115" s="82"/>
      <c r="D115" s="82"/>
      <c r="E115" s="82"/>
      <c r="F115" s="82"/>
      <c r="G115" s="82"/>
    </row>
    <row r="116" spans="2:7" x14ac:dyDescent="0.25">
      <c r="B116" s="82"/>
      <c r="C116" s="82"/>
      <c r="D116" s="82"/>
      <c r="E116" s="82"/>
      <c r="F116" s="82"/>
      <c r="G116" s="82"/>
    </row>
    <row r="117" spans="2:7" x14ac:dyDescent="0.25">
      <c r="B117" s="82"/>
      <c r="C117" s="82"/>
      <c r="D117" s="82"/>
      <c r="E117" s="82"/>
      <c r="F117" s="82"/>
      <c r="G117" s="82"/>
    </row>
    <row r="118" spans="2:7" x14ac:dyDescent="0.25">
      <c r="B118" s="82"/>
      <c r="C118" s="82"/>
      <c r="D118" s="82"/>
      <c r="E118" s="82"/>
      <c r="F118" s="82"/>
      <c r="G118" s="82"/>
    </row>
    <row r="119" spans="2:7" x14ac:dyDescent="0.25">
      <c r="B119" s="82"/>
      <c r="C119" s="82"/>
      <c r="D119" s="82"/>
      <c r="E119" s="82"/>
      <c r="F119" s="82"/>
      <c r="G119" s="82"/>
    </row>
    <row r="120" spans="2:7" x14ac:dyDescent="0.25">
      <c r="B120" s="82"/>
      <c r="C120" s="82"/>
      <c r="D120" s="82"/>
      <c r="E120" s="82"/>
      <c r="F120" s="82"/>
      <c r="G120" s="82"/>
    </row>
    <row r="121" spans="2:7" x14ac:dyDescent="0.25">
      <c r="B121" s="82"/>
      <c r="C121" s="82"/>
      <c r="D121" s="82"/>
      <c r="E121" s="82"/>
      <c r="F121" s="82"/>
      <c r="G121" s="82"/>
    </row>
    <row r="122" spans="2:7" x14ac:dyDescent="0.25">
      <c r="B122" s="82"/>
      <c r="C122" s="82"/>
      <c r="D122" s="82"/>
      <c r="E122" s="82"/>
      <c r="F122" s="82"/>
      <c r="G122" s="82"/>
    </row>
    <row r="123" spans="2:7" x14ac:dyDescent="0.25">
      <c r="B123" s="82"/>
      <c r="C123" s="82"/>
      <c r="D123" s="82"/>
      <c r="E123" s="82"/>
      <c r="F123" s="82"/>
      <c r="G123" s="82"/>
    </row>
    <row r="124" spans="2:7" x14ac:dyDescent="0.25">
      <c r="B124" s="82"/>
      <c r="C124" s="82"/>
      <c r="D124" s="82"/>
      <c r="E124" s="82"/>
      <c r="F124" s="82"/>
      <c r="G124" s="82"/>
    </row>
    <row r="125" spans="2:7" x14ac:dyDescent="0.25">
      <c r="B125" s="82"/>
      <c r="C125" s="82"/>
      <c r="D125" s="82"/>
      <c r="E125" s="82"/>
      <c r="F125" s="82"/>
      <c r="G125" s="82"/>
    </row>
    <row r="126" spans="2:7" x14ac:dyDescent="0.25">
      <c r="B126" s="82"/>
      <c r="C126" s="82"/>
      <c r="D126" s="82"/>
      <c r="E126" s="82"/>
      <c r="F126" s="82"/>
      <c r="G126" s="82"/>
    </row>
    <row r="127" spans="2:7" x14ac:dyDescent="0.25">
      <c r="B127" s="82"/>
      <c r="C127" s="82"/>
      <c r="D127" s="82"/>
      <c r="E127" s="82"/>
      <c r="F127" s="82"/>
      <c r="G127" s="82"/>
    </row>
    <row r="128" spans="2:7" x14ac:dyDescent="0.25">
      <c r="B128" s="82"/>
      <c r="C128" s="82"/>
      <c r="D128" s="82"/>
      <c r="E128" s="82"/>
      <c r="F128" s="82"/>
      <c r="G128" s="82"/>
    </row>
    <row r="129" spans="2:7" x14ac:dyDescent="0.25">
      <c r="B129" s="82"/>
      <c r="C129" s="82"/>
      <c r="D129" s="82"/>
      <c r="E129" s="82"/>
      <c r="F129" s="82"/>
      <c r="G129" s="82"/>
    </row>
    <row r="130" spans="2:7" x14ac:dyDescent="0.25">
      <c r="B130" s="82"/>
      <c r="C130" s="82"/>
      <c r="D130" s="82"/>
      <c r="E130" s="82"/>
      <c r="F130" s="82"/>
      <c r="G130" s="82"/>
    </row>
    <row r="131" spans="2:7" x14ac:dyDescent="0.25">
      <c r="B131" s="82"/>
      <c r="C131" s="82"/>
      <c r="D131" s="82"/>
      <c r="E131" s="82"/>
      <c r="F131" s="82"/>
      <c r="G131" s="82"/>
    </row>
    <row r="132" spans="2:7" x14ac:dyDescent="0.25">
      <c r="B132" s="82"/>
      <c r="C132" s="82"/>
      <c r="D132" s="82"/>
      <c r="E132" s="82"/>
      <c r="F132" s="82"/>
      <c r="G132" s="82"/>
    </row>
    <row r="133" spans="2:7" x14ac:dyDescent="0.25">
      <c r="B133" s="82"/>
      <c r="C133" s="82"/>
      <c r="D133" s="82"/>
      <c r="E133" s="82"/>
      <c r="F133" s="82"/>
      <c r="G133" s="82"/>
    </row>
    <row r="134" spans="2:7" x14ac:dyDescent="0.25">
      <c r="B134" s="82"/>
      <c r="C134" s="82"/>
      <c r="D134" s="82"/>
      <c r="E134" s="82"/>
      <c r="F134" s="82"/>
      <c r="G134" s="82"/>
    </row>
    <row r="135" spans="2:7" x14ac:dyDescent="0.25">
      <c r="B135" s="82"/>
      <c r="C135" s="82"/>
      <c r="D135" s="82"/>
      <c r="E135" s="82"/>
      <c r="F135" s="82"/>
      <c r="G135" s="82"/>
    </row>
    <row r="136" spans="2:7" x14ac:dyDescent="0.25">
      <c r="B136" s="82"/>
      <c r="C136" s="82"/>
      <c r="D136" s="82"/>
      <c r="E136" s="82"/>
      <c r="F136" s="82"/>
      <c r="G136" s="82"/>
    </row>
    <row r="137" spans="2:7" x14ac:dyDescent="0.25">
      <c r="B137" s="82"/>
      <c r="C137" s="82"/>
      <c r="D137" s="82"/>
      <c r="E137" s="82"/>
      <c r="F137" s="82"/>
      <c r="G137" s="82"/>
    </row>
    <row r="138" spans="2:7" x14ac:dyDescent="0.25">
      <c r="B138" s="82"/>
      <c r="C138" s="82"/>
      <c r="D138" s="82"/>
      <c r="E138" s="82"/>
      <c r="F138" s="82"/>
      <c r="G138" s="82"/>
    </row>
    <row r="139" spans="2:7" x14ac:dyDescent="0.25">
      <c r="B139" s="82"/>
      <c r="C139" s="82"/>
      <c r="D139" s="82"/>
      <c r="E139" s="82"/>
      <c r="F139" s="82"/>
      <c r="G139" s="82"/>
    </row>
    <row r="140" spans="2:7" x14ac:dyDescent="0.25">
      <c r="B140" s="82"/>
      <c r="C140" s="82"/>
      <c r="D140" s="82"/>
      <c r="E140" s="82"/>
      <c r="F140" s="82"/>
      <c r="G140" s="82"/>
    </row>
    <row r="141" spans="2:7" x14ac:dyDescent="0.25">
      <c r="B141" s="82"/>
      <c r="C141" s="82"/>
      <c r="D141" s="82"/>
      <c r="E141" s="82"/>
      <c r="F141" s="82"/>
      <c r="G141" s="82"/>
    </row>
    <row r="142" spans="2:7" x14ac:dyDescent="0.25">
      <c r="B142" s="82"/>
      <c r="C142" s="82"/>
      <c r="D142" s="82"/>
      <c r="E142" s="82"/>
      <c r="F142" s="82"/>
      <c r="G142" s="82"/>
    </row>
    <row r="143" spans="2:7" x14ac:dyDescent="0.25">
      <c r="B143" s="82"/>
      <c r="C143" s="82"/>
      <c r="D143" s="82"/>
      <c r="E143" s="82"/>
      <c r="F143" s="82"/>
      <c r="G143" s="82"/>
    </row>
  </sheetData>
  <dataValidations count="1">
    <dataValidation type="list" allowBlank="1" showInputMessage="1" showErrorMessage="1" sqref="B7 B16" xr:uid="{00000000-0002-0000-1D00-000000000000}">
      <formula1>#REF!</formula1>
    </dataValidation>
  </dataValidations>
  <printOptions headings="1" gridLines="1"/>
  <pageMargins left="0.7" right="0.7" top="0.75" bottom="0.75" header="0.3" footer="0.3"/>
  <pageSetup scale="64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2" tint="-9.9978637043366805E-2"/>
  </sheetPr>
  <dimension ref="A1:I19"/>
  <sheetViews>
    <sheetView topLeftCell="A7" zoomScale="115" zoomScaleNormal="115" workbookViewId="0">
      <selection activeCell="E24" sqref="E24"/>
    </sheetView>
  </sheetViews>
  <sheetFormatPr defaultRowHeight="15" x14ac:dyDescent="0.25"/>
  <cols>
    <col min="1" max="1" width="30.7109375" bestFit="1" customWidth="1"/>
    <col min="7" max="7" width="12.42578125" customWidth="1"/>
    <col min="8" max="8" width="12.28515625" customWidth="1"/>
  </cols>
  <sheetData>
    <row r="1" spans="1:8" ht="15.75" thickBot="1" x14ac:dyDescent="0.3">
      <c r="A1" s="2"/>
      <c r="B1" s="645" t="s">
        <v>295</v>
      </c>
      <c r="C1" s="645" t="s">
        <v>296</v>
      </c>
      <c r="D1" s="645" t="s">
        <v>297</v>
      </c>
      <c r="E1" s="645" t="s">
        <v>298</v>
      </c>
      <c r="F1" s="645" t="s">
        <v>299</v>
      </c>
      <c r="G1" s="645" t="s">
        <v>300</v>
      </c>
      <c r="H1" s="3"/>
    </row>
    <row r="2" spans="1:8" x14ac:dyDescent="0.25">
      <c r="A2" s="636" t="s">
        <v>16</v>
      </c>
      <c r="B2" s="704">
        <f>+'Budget Summary'!B93</f>
        <v>106815</v>
      </c>
      <c r="C2" s="704">
        <f>+'Budget Summary'!C93</f>
        <v>100157</v>
      </c>
      <c r="D2" s="704">
        <f>+'Budget Summary'!D93</f>
        <v>0</v>
      </c>
      <c r="E2" s="704">
        <f>+'Budget Summary'!E93</f>
        <v>0</v>
      </c>
      <c r="F2" s="704">
        <f>+'Budget Summary'!F93</f>
        <v>0</v>
      </c>
      <c r="G2" s="705">
        <f t="shared" ref="G2:G18" si="0">SUM(B2:F2)</f>
        <v>206972</v>
      </c>
      <c r="H2" s="3"/>
    </row>
    <row r="3" spans="1:8" x14ac:dyDescent="0.25">
      <c r="A3" s="639" t="s">
        <v>303</v>
      </c>
      <c r="B3" s="635">
        <f>+'Budget Summary'!B70*-1</f>
        <v>0</v>
      </c>
      <c r="C3" s="635">
        <f>+'Budget Summary'!C70*-1</f>
        <v>0</v>
      </c>
      <c r="D3" s="635">
        <f>+'Budget Summary'!D70*-1</f>
        <v>0</v>
      </c>
      <c r="E3" s="635">
        <f>+'Budget Summary'!E70*-1</f>
        <v>0</v>
      </c>
      <c r="F3" s="635">
        <f>+'Budget Summary'!F70*-1</f>
        <v>0</v>
      </c>
      <c r="G3" s="640">
        <f t="shared" si="0"/>
        <v>0</v>
      </c>
      <c r="H3" s="3"/>
    </row>
    <row r="4" spans="1:8" x14ac:dyDescent="0.25">
      <c r="A4" s="639" t="s">
        <v>304</v>
      </c>
      <c r="B4" s="635">
        <f>+'Budget Summary'!B81*-1</f>
        <v>0</v>
      </c>
      <c r="C4" s="635">
        <f>+'Budget Summary'!C81*-1</f>
        <v>0</v>
      </c>
      <c r="D4" s="635">
        <f>+'Budget Summary'!D81*-1</f>
        <v>0</v>
      </c>
      <c r="E4" s="635">
        <f>+'Budget Summary'!E81*-1</f>
        <v>0</v>
      </c>
      <c r="F4" s="635">
        <f>+'Budget Summary'!F81*-1</f>
        <v>0</v>
      </c>
      <c r="G4" s="640">
        <f t="shared" si="0"/>
        <v>0</v>
      </c>
      <c r="H4" s="3"/>
    </row>
    <row r="5" spans="1:8" x14ac:dyDescent="0.25">
      <c r="A5" s="639" t="s">
        <v>305</v>
      </c>
      <c r="B5" s="635">
        <f>+'Budget Summary'!B108*-1</f>
        <v>0</v>
      </c>
      <c r="C5" s="635">
        <f>+'Budget Summary'!C108*-1</f>
        <v>0</v>
      </c>
      <c r="D5" s="635">
        <f>+'Budget Summary'!D108*-1</f>
        <v>0</v>
      </c>
      <c r="E5" s="635">
        <f>+'Budget Summary'!E108*-1</f>
        <v>0</v>
      </c>
      <c r="F5" s="635">
        <f>+'Budget Summary'!F108*-1</f>
        <v>0</v>
      </c>
      <c r="G5" s="640">
        <f t="shared" si="0"/>
        <v>0</v>
      </c>
      <c r="H5" s="3"/>
    </row>
    <row r="6" spans="1:8" x14ac:dyDescent="0.25">
      <c r="A6" s="639" t="s">
        <v>306</v>
      </c>
      <c r="B6" s="635">
        <f>+'Budget Summary'!B89*-1</f>
        <v>0</v>
      </c>
      <c r="C6" s="635">
        <f>+'Budget Summary'!C89*-1</f>
        <v>0</v>
      </c>
      <c r="D6" s="635">
        <f>+'Budget Summary'!D89*-1</f>
        <v>0</v>
      </c>
      <c r="E6" s="635">
        <f>+'Budget Summary'!E89*-1</f>
        <v>0</v>
      </c>
      <c r="F6" s="635">
        <f>+'Budget Summary'!F89*-1</f>
        <v>0</v>
      </c>
      <c r="G6" s="640">
        <f t="shared" si="0"/>
        <v>0</v>
      </c>
      <c r="H6" s="3"/>
    </row>
    <row r="7" spans="1:8" x14ac:dyDescent="0.25">
      <c r="A7" s="639" t="s">
        <v>307</v>
      </c>
      <c r="B7" s="635">
        <f>+'Budget Summary'!B90*-1</f>
        <v>0</v>
      </c>
      <c r="C7" s="635">
        <f>+'Budget Summary'!C90*-1</f>
        <v>0</v>
      </c>
      <c r="D7" s="635">
        <f>+'Budget Summary'!D90*-1</f>
        <v>0</v>
      </c>
      <c r="E7" s="635">
        <f>+'Budget Summary'!E90*-1</f>
        <v>0</v>
      </c>
      <c r="F7" s="635">
        <f>+'Budget Summary'!F90*-1</f>
        <v>0</v>
      </c>
      <c r="G7" s="640">
        <f t="shared" si="0"/>
        <v>0</v>
      </c>
      <c r="H7" s="3"/>
    </row>
    <row r="8" spans="1:8" x14ac:dyDescent="0.25">
      <c r="A8" s="641" t="s">
        <v>160</v>
      </c>
      <c r="B8" s="702">
        <f>SUM(B2:B7)</f>
        <v>106815</v>
      </c>
      <c r="C8" s="702">
        <f>SUM(C2:C7)</f>
        <v>100157</v>
      </c>
      <c r="D8" s="702">
        <f>SUM(D2:D7)</f>
        <v>0</v>
      </c>
      <c r="E8" s="702">
        <f>SUM(E2:E7)</f>
        <v>0</v>
      </c>
      <c r="F8" s="702">
        <f>SUM(F2:F7)</f>
        <v>0</v>
      </c>
      <c r="G8" s="703">
        <f t="shared" si="0"/>
        <v>206972</v>
      </c>
      <c r="H8" s="3"/>
    </row>
    <row r="9" spans="1:8" x14ac:dyDescent="0.25">
      <c r="A9" s="639" t="s">
        <v>309</v>
      </c>
      <c r="B9" s="635">
        <f>+'Budget Summary'!B94</f>
        <v>106815</v>
      </c>
      <c r="C9" s="635">
        <f>+'Budget Summary'!C94</f>
        <v>100157</v>
      </c>
      <c r="D9" s="635">
        <f>+'Budget Summary'!D94</f>
        <v>0</v>
      </c>
      <c r="E9" s="635">
        <f>+'Budget Summary'!E94</f>
        <v>0</v>
      </c>
      <c r="F9" s="635">
        <f>+'Budget Summary'!F94</f>
        <v>0</v>
      </c>
      <c r="G9" s="640">
        <f t="shared" si="0"/>
        <v>206972</v>
      </c>
      <c r="H9" s="3"/>
    </row>
    <row r="10" spans="1:8" x14ac:dyDescent="0.25">
      <c r="A10" s="639" t="s">
        <v>310</v>
      </c>
      <c r="B10" s="635">
        <f>+'Budget Summary'!B95</f>
        <v>0</v>
      </c>
      <c r="C10" s="635">
        <f>+'Budget Summary'!C95</f>
        <v>0</v>
      </c>
      <c r="D10" s="635">
        <f>+'Budget Summary'!D95</f>
        <v>0</v>
      </c>
      <c r="E10" s="635">
        <f>+'Budget Summary'!E95</f>
        <v>0</v>
      </c>
      <c r="F10" s="635">
        <f>+'Budget Summary'!F95</f>
        <v>0</v>
      </c>
      <c r="G10" s="640">
        <f t="shared" si="0"/>
        <v>0</v>
      </c>
      <c r="H10" s="3"/>
    </row>
    <row r="11" spans="1:8" x14ac:dyDescent="0.25">
      <c r="A11" s="639" t="s">
        <v>311</v>
      </c>
      <c r="B11" s="635">
        <f>+'Budget Summary'!B96</f>
        <v>0</v>
      </c>
      <c r="C11" s="635">
        <f>+'Budget Summary'!C96</f>
        <v>0</v>
      </c>
      <c r="D11" s="635">
        <f>+'Budget Summary'!D96</f>
        <v>0</v>
      </c>
      <c r="E11" s="635">
        <f>+'Budget Summary'!E96</f>
        <v>0</v>
      </c>
      <c r="F11" s="635">
        <f>+'Budget Summary'!F96</f>
        <v>0</v>
      </c>
      <c r="G11" s="640">
        <f t="shared" si="0"/>
        <v>0</v>
      </c>
      <c r="H11" s="3"/>
    </row>
    <row r="12" spans="1:8" x14ac:dyDescent="0.25">
      <c r="A12" s="639" t="s">
        <v>316</v>
      </c>
      <c r="B12" s="635">
        <f>+'Budget Summary'!B97</f>
        <v>0</v>
      </c>
      <c r="C12" s="635">
        <f>+'Budget Summary'!C97</f>
        <v>0</v>
      </c>
      <c r="D12" s="635">
        <f>+'Budget Summary'!D97</f>
        <v>0</v>
      </c>
      <c r="E12" s="635">
        <f>+'Budget Summary'!E97</f>
        <v>0</v>
      </c>
      <c r="F12" s="635">
        <f>+'Budget Summary'!F97</f>
        <v>0</v>
      </c>
      <c r="G12" s="640">
        <f t="shared" si="0"/>
        <v>0</v>
      </c>
      <c r="H12" s="3"/>
    </row>
    <row r="13" spans="1:8" x14ac:dyDescent="0.25">
      <c r="A13" s="641" t="s">
        <v>293</v>
      </c>
      <c r="B13" s="702">
        <f>SUM(B14:B17)</f>
        <v>60885</v>
      </c>
      <c r="C13" s="702">
        <f>SUM(C14:C17)</f>
        <v>57089</v>
      </c>
      <c r="D13" s="702">
        <f>SUM(D14:D17)</f>
        <v>0</v>
      </c>
      <c r="E13" s="702">
        <f>SUM(E14:E17)</f>
        <v>0</v>
      </c>
      <c r="F13" s="702">
        <f>SUM(F14:F17)</f>
        <v>0</v>
      </c>
      <c r="G13" s="703">
        <f t="shared" si="0"/>
        <v>117974</v>
      </c>
      <c r="H13" s="2"/>
    </row>
    <row r="14" spans="1:8" x14ac:dyDescent="0.25">
      <c r="A14" s="639" t="s">
        <v>312</v>
      </c>
      <c r="B14" s="648">
        <f>ROUND(('Budget Summary'!B94*'Budget Summary'!J105*'Budget Summary'!$K$111)+('Budget Summary'!B94*'Budget Summary'!K105*'Budget Summary'!$K$112),0)</f>
        <v>60885</v>
      </c>
      <c r="C14" s="648">
        <f>ROUND(('Budget Summary'!C94*'Budget Summary'!K105*'Budget Summary'!$K$111)+('Budget Summary'!C94*'Budget Summary'!L105*'Budget Summary'!$K$112),0)</f>
        <v>57089</v>
      </c>
      <c r="D14" s="648">
        <f>ROUND(('Budget Summary'!D94*'Budget Summary'!L105*'Budget Summary'!$K$111)+('Budget Summary'!D94*'Budget Summary'!M105*'Budget Summary'!$K$112),0)</f>
        <v>0</v>
      </c>
      <c r="E14" s="648">
        <f>ROUND(('Budget Summary'!E94*'Budget Summary'!M105*'Budget Summary'!$K$111)+('Budget Summary'!E94*'Budget Summary'!N105*'Budget Summary'!$K$112),0)</f>
        <v>0</v>
      </c>
      <c r="F14" s="648">
        <f>ROUND(('Budget Summary'!F94*'Budget Summary'!N105*'Budget Summary'!$K$111)+('Budget Summary'!F94*'Budget Summary'!O105*'Budget Summary'!$K$112),0)</f>
        <v>0</v>
      </c>
      <c r="G14" s="640">
        <f t="shared" si="0"/>
        <v>117974</v>
      </c>
      <c r="H14" s="3"/>
    </row>
    <row r="15" spans="1:8" x14ac:dyDescent="0.25">
      <c r="A15" s="639" t="s">
        <v>313</v>
      </c>
      <c r="B15" s="648">
        <f>+ROUND(('Budget Summary'!B95*'Budget Summary'!J108*'Budget Summary'!$K$111)+('Budget Summary'!B95*'Budget Summary'!K108*'Budget Summary'!$K$112),0)</f>
        <v>0</v>
      </c>
      <c r="C15" s="648">
        <f>+ROUND(('Budget Summary'!C95*'Budget Summary'!K108*'Budget Summary'!$K$111)+('Budget Summary'!C95*'Budget Summary'!L108*'Budget Summary'!$K$112),0)</f>
        <v>0</v>
      </c>
      <c r="D15" s="648">
        <f>+ROUND(('Budget Summary'!D95*'Budget Summary'!L108*'Budget Summary'!$K$111)+('Budget Summary'!D95*'Budget Summary'!M108*'Budget Summary'!$K$112),0)</f>
        <v>0</v>
      </c>
      <c r="E15" s="648">
        <f>+ROUND(('Budget Summary'!E95*'Budget Summary'!M108*'Budget Summary'!$K$111)+('Budget Summary'!E95*'Budget Summary'!N108*'Budget Summary'!$K$112),0)</f>
        <v>0</v>
      </c>
      <c r="F15" s="648">
        <f>+ROUND(('Budget Summary'!F95*'Budget Summary'!N108*'Budget Summary'!$K$111)+('Budget Summary'!F95*'Budget Summary'!O108*'Budget Summary'!$K$112),0)</f>
        <v>0</v>
      </c>
      <c r="G15" s="640">
        <f t="shared" si="0"/>
        <v>0</v>
      </c>
      <c r="H15" s="3"/>
    </row>
    <row r="16" spans="1:8" x14ac:dyDescent="0.25">
      <c r="A16" s="639" t="s">
        <v>314</v>
      </c>
      <c r="B16" s="648">
        <f>+ROUND(('Budget Summary'!B96*'Budget Summary'!J106*'Budget Summary'!$K$111)+('Budget Summary'!B96*'Budget Summary'!K106*'Budget Summary'!$K$112),0)</f>
        <v>0</v>
      </c>
      <c r="C16" s="648">
        <f>+ROUND(('Budget Summary'!C96*'Budget Summary'!K106*'Budget Summary'!$K$111)+('Budget Summary'!C96*'Budget Summary'!L106*'Budget Summary'!$K$112),0)</f>
        <v>0</v>
      </c>
      <c r="D16" s="648">
        <f>+ROUND(('Budget Summary'!D96*'Budget Summary'!L106*'Budget Summary'!$K$111)+('Budget Summary'!D96*'Budget Summary'!M106*'Budget Summary'!$K$112),0)</f>
        <v>0</v>
      </c>
      <c r="E16" s="648">
        <f>+ROUND(('Budget Summary'!E96*'Budget Summary'!M106*'Budget Summary'!$K$111)+('Budget Summary'!E96*'Budget Summary'!N106*'Budget Summary'!$K$112),0)</f>
        <v>0</v>
      </c>
      <c r="F16" s="648">
        <f>+ROUND(('Budget Summary'!F96*'Budget Summary'!N106*'Budget Summary'!$K$111)+('Budget Summary'!F96*'Budget Summary'!O106*'Budget Summary'!$K$112),0)</f>
        <v>0</v>
      </c>
      <c r="G16" s="640">
        <f t="shared" si="0"/>
        <v>0</v>
      </c>
      <c r="H16" s="3"/>
    </row>
    <row r="17" spans="1:9" x14ac:dyDescent="0.25">
      <c r="A17" s="639" t="s">
        <v>315</v>
      </c>
      <c r="B17" s="648">
        <f>+ROUND(('Budget Summary'!B97*'Budget Summary'!J108*'Budget Summary'!$K$111)+('Budget Summary'!B97*'Budget Summary'!K108*'Budget Summary'!$K$112),0)</f>
        <v>0</v>
      </c>
      <c r="C17" s="648">
        <f>+ROUND(('Budget Summary'!C97*'Budget Summary'!K108*'Budget Summary'!$K$111)+('Budget Summary'!C97*'Budget Summary'!L108*'Budget Summary'!$K$112),0)</f>
        <v>0</v>
      </c>
      <c r="D17" s="648">
        <f>+ROUND(('Budget Summary'!D97*'Budget Summary'!L108*'Budget Summary'!$K$111)+('Budget Summary'!D97*'Budget Summary'!M108*'Budget Summary'!$K$112),0)</f>
        <v>0</v>
      </c>
      <c r="E17" s="648">
        <f>+ROUND(('Budget Summary'!E97*'Budget Summary'!M108*'Budget Summary'!$K$111)+('Budget Summary'!E97*'Budget Summary'!N108*'Budget Summary'!$K$112),0)</f>
        <v>0</v>
      </c>
      <c r="F17" s="648">
        <f>+ROUND(('Budget Summary'!F97*'Budget Summary'!N108*'Budget Summary'!$K$111)+('Budget Summary'!F97*'Budget Summary'!O108*'Budget Summary'!$K$112),0)</f>
        <v>0</v>
      </c>
      <c r="G17" s="640">
        <f t="shared" si="0"/>
        <v>0</v>
      </c>
      <c r="H17" s="3"/>
    </row>
    <row r="18" spans="1:9" ht="15.75" thickBot="1" x14ac:dyDescent="0.3">
      <c r="A18" s="642" t="s">
        <v>294</v>
      </c>
      <c r="B18" s="706">
        <f>+B2+B13</f>
        <v>167700</v>
      </c>
      <c r="C18" s="706">
        <f>+C2+C13</f>
        <v>157246</v>
      </c>
      <c r="D18" s="706">
        <f>+D2+D13</f>
        <v>0</v>
      </c>
      <c r="E18" s="706">
        <f>+E2+E13</f>
        <v>0</v>
      </c>
      <c r="F18" s="706">
        <f>+F2+F13</f>
        <v>0</v>
      </c>
      <c r="G18" s="707">
        <f t="shared" si="0"/>
        <v>324946</v>
      </c>
      <c r="H18" s="3">
        <f>+G2+G13</f>
        <v>324946</v>
      </c>
    </row>
    <row r="19" spans="1:9" x14ac:dyDescent="0.25">
      <c r="H19" s="3">
        <f>+'Budget Summary'!G99</f>
        <v>248366</v>
      </c>
      <c r="I19" s="3" t="s">
        <v>442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2" tint="-9.9978637043366805E-2"/>
  </sheetPr>
  <dimension ref="A1:I22"/>
  <sheetViews>
    <sheetView topLeftCell="A7" zoomScale="115" zoomScaleNormal="115" workbookViewId="0">
      <selection activeCell="I22" sqref="I22"/>
    </sheetView>
  </sheetViews>
  <sheetFormatPr defaultRowHeight="15" x14ac:dyDescent="0.25"/>
  <cols>
    <col min="1" max="1" width="30.7109375" bestFit="1" customWidth="1"/>
  </cols>
  <sheetData>
    <row r="1" spans="1:8" ht="15.75" thickBot="1" x14ac:dyDescent="0.3">
      <c r="A1" s="2"/>
      <c r="B1" s="645" t="s">
        <v>295</v>
      </c>
      <c r="C1" s="645" t="s">
        <v>296</v>
      </c>
      <c r="D1" s="645" t="s">
        <v>297</v>
      </c>
      <c r="E1" s="645" t="s">
        <v>298</v>
      </c>
      <c r="F1" s="645" t="s">
        <v>299</v>
      </c>
      <c r="G1" s="645" t="s">
        <v>300</v>
      </c>
      <c r="H1" s="3"/>
    </row>
    <row r="2" spans="1:8" x14ac:dyDescent="0.25">
      <c r="A2" s="636" t="s">
        <v>302</v>
      </c>
      <c r="B2" s="637">
        <f>IF(AND('rates, dates, etc'!$B$12="TFF",+'rates, dates, etc'!$B$16="No"),'Budget Summary'!B99,0)</f>
        <v>0</v>
      </c>
      <c r="C2" s="637">
        <f>IF(AND('rates, dates, etc'!$B$12="TFF",+'rates, dates, etc'!$B$16="No"),'Budget Summary'!C99,0)</f>
        <v>0</v>
      </c>
      <c r="D2" s="637">
        <f>IF(AND('rates, dates, etc'!$B$12="TFF",+'rates, dates, etc'!$B$16="No"),'Budget Summary'!D99,0)</f>
        <v>0</v>
      </c>
      <c r="E2" s="637">
        <f>IF(AND('rates, dates, etc'!$B$12="TFF",+'rates, dates, etc'!$B$16="No"),'Budget Summary'!E99,0)</f>
        <v>0</v>
      </c>
      <c r="F2" s="637">
        <f>IF(AND('rates, dates, etc'!$B$12="TFF",+'rates, dates, etc'!$B$16="No"),'Budget Summary'!F99,0)</f>
        <v>0</v>
      </c>
      <c r="G2" s="640">
        <f>IF(AND('rates, dates, etc'!$B$12="TFF",+'rates, dates, etc'!$B$16="No"),'Budget Summary'!G99,0)</f>
        <v>0</v>
      </c>
      <c r="H2" s="3"/>
    </row>
    <row r="3" spans="1:8" x14ac:dyDescent="0.25">
      <c r="A3" s="641" t="str">
        <f>CONCATENATE("Indirect Costs at ",TEXT(ROUND(+(H3),5),"0.00%"),"TFFA")</f>
        <v>Indirect Costs at 0.00%TFFA</v>
      </c>
      <c r="B3" s="635">
        <f>ROUND(B2*$H$3,0)</f>
        <v>0</v>
      </c>
      <c r="C3" s="635">
        <f>ROUND(C2*$H$3,0)</f>
        <v>0</v>
      </c>
      <c r="D3" s="635">
        <f>ROUND(D2*$H$3,0)</f>
        <v>0</v>
      </c>
      <c r="E3" s="635">
        <f>ROUND(E2*$H$3,0)</f>
        <v>0</v>
      </c>
      <c r="F3" s="635">
        <f>ROUND(F2*$H$3,0)</f>
        <v>0</v>
      </c>
      <c r="G3" s="640">
        <f>SUM(B3:F3)</f>
        <v>0</v>
      </c>
      <c r="H3" s="420">
        <f>IF(AND('rates, dates, etc'!B12="TFF",+'rates, dates, etc'!B16="No"),+'rates, dates, etc'!B13,0)</f>
        <v>0</v>
      </c>
    </row>
    <row r="4" spans="1:8" x14ac:dyDescent="0.25">
      <c r="A4" s="639" t="s">
        <v>308</v>
      </c>
      <c r="B4" s="635">
        <f>IF(AND('rates, dates, etc'!$B$12="TFF",+'rates, dates, etc'!$B$16="No"),'Budget Summary'!B112*-1,0)</f>
        <v>0</v>
      </c>
      <c r="C4" s="635">
        <f>IF(AND('rates, dates, etc'!$B$12="TFF",+'rates, dates, etc'!$B$16="No"),'Budget Summary'!C112*-1,0)</f>
        <v>0</v>
      </c>
      <c r="D4" s="635">
        <f>IF(AND('rates, dates, etc'!$B$12="TFF",+'rates, dates, etc'!$B$16="No"),'Budget Summary'!D112*-1,0)</f>
        <v>0</v>
      </c>
      <c r="E4" s="635">
        <f>IF(AND('rates, dates, etc'!$B$12="TFF",+'rates, dates, etc'!$B$16="No"),'Budget Summary'!E112*-1,0)</f>
        <v>0</v>
      </c>
      <c r="F4" s="635">
        <f>IF(AND('rates, dates, etc'!$B$12="TFF",+'rates, dates, etc'!$B$16="No"),'Budget Summary'!F112*-1,0)</f>
        <v>0</v>
      </c>
      <c r="G4" s="640">
        <f>IF(AND('rates, dates, etc'!$B$12="TFF",+'rates, dates, etc'!$B$16="No"),'Budget Summary'!G112*-1,0)</f>
        <v>0</v>
      </c>
      <c r="H4" s="3"/>
    </row>
    <row r="5" spans="1:8" ht="15.75" thickBot="1" x14ac:dyDescent="0.3">
      <c r="A5" s="642" t="s">
        <v>301</v>
      </c>
      <c r="B5" s="643">
        <f t="shared" ref="B5:G5" si="0">SUM(B3:B4)</f>
        <v>0</v>
      </c>
      <c r="C5" s="643">
        <f t="shared" si="0"/>
        <v>0</v>
      </c>
      <c r="D5" s="643">
        <f t="shared" si="0"/>
        <v>0</v>
      </c>
      <c r="E5" s="643">
        <f t="shared" si="0"/>
        <v>0</v>
      </c>
      <c r="F5" s="643">
        <f t="shared" si="0"/>
        <v>0</v>
      </c>
      <c r="G5" s="644">
        <f t="shared" si="0"/>
        <v>0</v>
      </c>
      <c r="H5" s="3"/>
    </row>
    <row r="6" spans="1:8" ht="15.75" thickBot="1" x14ac:dyDescent="0.3">
      <c r="A6" s="2"/>
      <c r="B6" s="2"/>
      <c r="C6" s="2"/>
      <c r="D6" s="2"/>
      <c r="E6" s="2"/>
      <c r="F6" s="2"/>
      <c r="G6" s="3"/>
      <c r="H6" s="3"/>
    </row>
    <row r="7" spans="1:8" ht="15.75" thickBot="1" x14ac:dyDescent="0.3">
      <c r="A7" s="2"/>
      <c r="B7" s="645" t="s">
        <v>295</v>
      </c>
      <c r="C7" s="645" t="s">
        <v>296</v>
      </c>
      <c r="D7" s="645" t="s">
        <v>297</v>
      </c>
      <c r="E7" s="645" t="s">
        <v>298</v>
      </c>
      <c r="F7" s="645" t="s">
        <v>299</v>
      </c>
      <c r="G7" s="645" t="s">
        <v>300</v>
      </c>
      <c r="H7" s="3"/>
    </row>
    <row r="8" spans="1:8" x14ac:dyDescent="0.25">
      <c r="A8" s="636" t="s">
        <v>302</v>
      </c>
      <c r="B8" s="637">
        <f>IF(AND('rates, dates, etc'!$B$12="TFF",+'rates, dates, etc'!$B$16="No"),'Budget Summary'!B99,0)</f>
        <v>0</v>
      </c>
      <c r="C8" s="637">
        <f>IF(AND('rates, dates, etc'!$B$12="TFF",+'rates, dates, etc'!$B$16="No"),'Budget Summary'!C99,0)</f>
        <v>0</v>
      </c>
      <c r="D8" s="637">
        <f>IF(AND('rates, dates, etc'!$B$12="TFF",+'rates, dates, etc'!$B$16="No"),'Budget Summary'!D99,0)</f>
        <v>0</v>
      </c>
      <c r="E8" s="637">
        <f>IF(AND('rates, dates, etc'!$B$12="TFF",+'rates, dates, etc'!$B$16="No"),'Budget Summary'!E99,0)</f>
        <v>0</v>
      </c>
      <c r="F8" s="637">
        <f>IF(AND('rates, dates, etc'!$B$12="TFF",+'rates, dates, etc'!$B$16="No"),'Budget Summary'!F99,0)</f>
        <v>0</v>
      </c>
      <c r="G8" s="638">
        <f>IF(AND('rates, dates, etc'!$B$12="TFF",+'rates, dates, etc'!$B$16="No"),'Budget Summary'!G99,0)</f>
        <v>0</v>
      </c>
      <c r="H8" s="3"/>
    </row>
    <row r="9" spans="1:8" x14ac:dyDescent="0.25">
      <c r="A9" s="641" t="str">
        <f>CONCATENATE("Indirect Costs at ",TEXT(ROUND(+(H9),5),"0.00%"),"TFFA")</f>
        <v>Indirect Costs at 0.00%TFFA</v>
      </c>
      <c r="B9" s="635">
        <f>ROUND(B8*$H$9,0)</f>
        <v>0</v>
      </c>
      <c r="C9" s="635">
        <f>ROUND(C8*$H$9,0)</f>
        <v>0</v>
      </c>
      <c r="D9" s="635">
        <f>ROUND(D8*$H$9,0)</f>
        <v>0</v>
      </c>
      <c r="E9" s="635">
        <f>ROUND(E8*$H$9,0)</f>
        <v>0</v>
      </c>
      <c r="F9" s="635">
        <f>ROUND(F8*$H$9,0)</f>
        <v>0</v>
      </c>
      <c r="G9" s="640">
        <f t="shared" ref="G9:G20" si="1">SUM(B9:F9)</f>
        <v>0</v>
      </c>
      <c r="H9" s="646">
        <f>IF(AND('rates, dates, etc'!B12="TFF",+'rates, dates, etc'!B16="No"),+'rates, dates, etc'!B13,0)</f>
        <v>0</v>
      </c>
    </row>
    <row r="10" spans="1:8" x14ac:dyDescent="0.25">
      <c r="A10" s="649" t="str">
        <f ca="1">CONCATENATE("    Less Indirect Costs for ",""&amp;MID('rates, dates, etc'!AH9,FIND("]",'rates, dates, etc'!AH9)+1,25))</f>
        <v xml:space="preserve">    Less Indirect Costs for Consortium 1</v>
      </c>
      <c r="B10" s="635">
        <f>IF(AND('rates, dates, etc'!$B$12="TFF",+'rates, dates, etc'!$B$16="No"),'Consortium 1'!B56*-1,0)</f>
        <v>0</v>
      </c>
      <c r="C10" s="635">
        <f>IF(AND('rates, dates, etc'!$B$12="TFF",+'rates, dates, etc'!$B$16="No"),'Consortium 1'!C56*-1,0)</f>
        <v>0</v>
      </c>
      <c r="D10" s="635">
        <f>IF(AND('rates, dates, etc'!$B$12="TFF",+'rates, dates, etc'!$B$16="No"),'Consortium 1'!D56*-1,0)</f>
        <v>0</v>
      </c>
      <c r="E10" s="635">
        <f>IF(AND('rates, dates, etc'!$B$12="TFF",+'rates, dates, etc'!$B$16="No"),'Consortium 1'!E56*-1,0)</f>
        <v>0</v>
      </c>
      <c r="F10" s="635">
        <f>IF(AND('rates, dates, etc'!$B$12="TFF",+'rates, dates, etc'!$B$16="No"),'Consortium 1'!F56*-1,0)</f>
        <v>0</v>
      </c>
      <c r="G10" s="640">
        <f t="shared" si="1"/>
        <v>0</v>
      </c>
      <c r="H10" s="3"/>
    </row>
    <row r="11" spans="1:8" x14ac:dyDescent="0.25">
      <c r="A11" s="649" t="str">
        <f ca="1">CONCATENATE("    Less Indirect Costs for ",""&amp;MID('rates, dates, etc'!AH10,FIND("]",'rates, dates, etc'!AH10)+1,25))</f>
        <v xml:space="preserve">    Less Indirect Costs for Consortium 2</v>
      </c>
      <c r="B11" s="648">
        <f>IF(AND('rates, dates, etc'!$B$12="TFF",+'rates, dates, etc'!$B$16="No"),'Consortium 2'!B56*-1,0)</f>
        <v>0</v>
      </c>
      <c r="C11" s="648">
        <f>IF(AND('rates, dates, etc'!$B$12="TFF",+'rates, dates, etc'!$B$16="No"),'Consortium 2'!C56*-1,0)</f>
        <v>0</v>
      </c>
      <c r="D11" s="648">
        <f>IF(AND('rates, dates, etc'!$B$12="TFF",+'rates, dates, etc'!$B$16="No"),'Consortium 2'!D56*-1,0)</f>
        <v>0</v>
      </c>
      <c r="E11" s="648">
        <f>IF(AND('rates, dates, etc'!$B$12="TFF",+'rates, dates, etc'!$B$16="No"),'Consortium 2'!E56*-1,0)</f>
        <v>0</v>
      </c>
      <c r="F11" s="648">
        <f>IF(AND('rates, dates, etc'!$B$12="TFF",+'rates, dates, etc'!$B$16="No"),'Consortium 2'!F56*-1,0)</f>
        <v>0</v>
      </c>
      <c r="G11" s="640">
        <f t="shared" si="1"/>
        <v>0</v>
      </c>
      <c r="H11" s="3"/>
    </row>
    <row r="12" spans="1:8" x14ac:dyDescent="0.25">
      <c r="A12" s="649" t="str">
        <f ca="1">CONCATENATE("    Less Indirect Costs for ",""&amp;MID('rates, dates, etc'!AH11,FIND("]",'rates, dates, etc'!AH11)+1,25))</f>
        <v xml:space="preserve">    Less Indirect Costs for Consortium 3</v>
      </c>
      <c r="B12" s="648">
        <f>IF(AND('rates, dates, etc'!$B$12="TFF",+'rates, dates, etc'!$B$16="No"),'Consortium 3'!B56*-1,0)</f>
        <v>0</v>
      </c>
      <c r="C12" s="648">
        <f>IF(AND('rates, dates, etc'!$B$12="TFF",+'rates, dates, etc'!$B$16="No"),'Consortium 3'!C56*-1,0)</f>
        <v>0</v>
      </c>
      <c r="D12" s="648">
        <f>IF(AND('rates, dates, etc'!$B$12="TFF",+'rates, dates, etc'!$B$16="No"),'Consortium 3'!D56*-1,0)</f>
        <v>0</v>
      </c>
      <c r="E12" s="648">
        <f>IF(AND('rates, dates, etc'!$B$12="TFF",+'rates, dates, etc'!$B$16="No"),'Consortium 3'!E56*-1,0)</f>
        <v>0</v>
      </c>
      <c r="F12" s="648">
        <f>IF(AND('rates, dates, etc'!$B$12="TFF",+'rates, dates, etc'!$B$16="No"),'Consortium 3'!F56*-1,0)</f>
        <v>0</v>
      </c>
      <c r="G12" s="640">
        <f t="shared" si="1"/>
        <v>0</v>
      </c>
      <c r="H12" s="3"/>
    </row>
    <row r="13" spans="1:8" x14ac:dyDescent="0.25">
      <c r="A13" s="649" t="str">
        <f ca="1">CONCATENATE("    Less Indirect Costs for ",""&amp;MID('rates, dates, etc'!AH12,FIND("]",'rates, dates, etc'!AH12)+1,25))</f>
        <v xml:space="preserve">    Less Indirect Costs for Consortium 4</v>
      </c>
      <c r="B13" s="648">
        <f>IF(AND('rates, dates, etc'!$B$12="TFF",+'rates, dates, etc'!$B$16="No"),'Consortium 4'!B56*-1,0)</f>
        <v>0</v>
      </c>
      <c r="C13" s="648">
        <f>IF(AND('rates, dates, etc'!$B$12="TFF",+'rates, dates, etc'!$B$16="No"),'Consortium 4'!C56*-1,0)</f>
        <v>0</v>
      </c>
      <c r="D13" s="648">
        <f>IF(AND('rates, dates, etc'!$B$12="TFF",+'rates, dates, etc'!$B$16="No"),'Consortium 4'!D56*-1,0)</f>
        <v>0</v>
      </c>
      <c r="E13" s="648">
        <f>IF(AND('rates, dates, etc'!$B$12="TFF",+'rates, dates, etc'!$B$16="No"),'Consortium 4'!E56*-1,0)</f>
        <v>0</v>
      </c>
      <c r="F13" s="648">
        <f>IF(AND('rates, dates, etc'!$B$12="TFF",+'rates, dates, etc'!$B$16="No"),'Consortium 4'!F56*-1,0)</f>
        <v>0</v>
      </c>
      <c r="G13" s="640">
        <f t="shared" si="1"/>
        <v>0</v>
      </c>
      <c r="H13" s="3"/>
    </row>
    <row r="14" spans="1:8" x14ac:dyDescent="0.25">
      <c r="A14" s="649" t="str">
        <f ca="1">CONCATENATE("    Less Indirect Costs for ",""&amp;MID('rates, dates, etc'!AH13,FIND("]",'rates, dates, etc'!AH13)+1,25))</f>
        <v xml:space="preserve">    Less Indirect Costs for Consortium 5</v>
      </c>
      <c r="B14" s="648">
        <f>IF(AND('rates, dates, etc'!$B$12="TFF",+'rates, dates, etc'!$B$16="No"),'Consortium 5'!B56*-1,0)</f>
        <v>0</v>
      </c>
      <c r="C14" s="648">
        <f>IF(AND('rates, dates, etc'!$B$12="TFF",+'rates, dates, etc'!$B$16="No"),'Consortium 5'!C56*-1,0)</f>
        <v>0</v>
      </c>
      <c r="D14" s="648">
        <f>IF(AND('rates, dates, etc'!$B$12="TFF",+'rates, dates, etc'!$B$16="No"),'Consortium 5'!D56*-1,0)</f>
        <v>0</v>
      </c>
      <c r="E14" s="648">
        <f>IF(AND('rates, dates, etc'!$B$12="TFF",+'rates, dates, etc'!$B$16="No"),'Consortium 5'!E56*-1,0)</f>
        <v>0</v>
      </c>
      <c r="F14" s="648">
        <f>IF(AND('rates, dates, etc'!$B$12="TFF",+'rates, dates, etc'!$B$16="No"),'Consortium 5'!F56*-1,0)</f>
        <v>0</v>
      </c>
      <c r="G14" s="640">
        <f t="shared" si="1"/>
        <v>0</v>
      </c>
      <c r="H14" s="3"/>
    </row>
    <row r="15" spans="1:8" x14ac:dyDescent="0.25">
      <c r="A15" s="649" t="str">
        <f ca="1">CONCATENATE("    Less Indirect Costs for ",""&amp;MID('rates, dates, etc'!AH14,FIND("]",'rates, dates, etc'!AH14)+1,25))</f>
        <v xml:space="preserve">    Less Indirect Costs for Consortium 6</v>
      </c>
      <c r="B15" s="648">
        <f>IF(AND('rates, dates, etc'!$B$12="TFF",+'rates, dates, etc'!$B$16="No"),'Consortium 6'!B56*-1,0)</f>
        <v>0</v>
      </c>
      <c r="C15" s="648">
        <f>IF(AND('rates, dates, etc'!$B$12="TFF",+'rates, dates, etc'!$B$16="No"),'Consortium 6'!C56*-1,0)</f>
        <v>0</v>
      </c>
      <c r="D15" s="648">
        <f>IF(AND('rates, dates, etc'!$B$12="TFF",+'rates, dates, etc'!$B$16="No"),'Consortium 6'!D56*-1,0)</f>
        <v>0</v>
      </c>
      <c r="E15" s="648">
        <f>IF(AND('rates, dates, etc'!$B$12="TFF",+'rates, dates, etc'!$B$16="No"),'Consortium 6'!E56*-1,0)</f>
        <v>0</v>
      </c>
      <c r="F15" s="648">
        <f>IF(AND('rates, dates, etc'!$B$12="TFF",+'rates, dates, etc'!$B$16="No"),'Consortium 6'!F56*-1,0)</f>
        <v>0</v>
      </c>
      <c r="G15" s="640">
        <f t="shared" si="1"/>
        <v>0</v>
      </c>
      <c r="H15" s="3"/>
    </row>
    <row r="16" spans="1:8" x14ac:dyDescent="0.25">
      <c r="A16" s="649" t="str">
        <f ca="1">CONCATENATE("    Less Indirect Costs for ",""&amp;MID('rates, dates, etc'!AH15,FIND("]",'rates, dates, etc'!AH15)+1,25))</f>
        <v xml:space="preserve">    Less Indirect Costs for Consortium 7</v>
      </c>
      <c r="B16" s="648">
        <f>IF(AND('rates, dates, etc'!$B$12="TFF",+'rates, dates, etc'!$B$16="No"),'Consortium 7'!B56*-1,0)</f>
        <v>0</v>
      </c>
      <c r="C16" s="648">
        <f>IF(AND('rates, dates, etc'!$B$12="TFF",+'rates, dates, etc'!$B$16="No"),'Consortium 7'!C56*-1,0)</f>
        <v>0</v>
      </c>
      <c r="D16" s="648">
        <f>IF(AND('rates, dates, etc'!$B$12="TFF",+'rates, dates, etc'!$B$16="No"),'Consortium 7'!D56*-1,0)</f>
        <v>0</v>
      </c>
      <c r="E16" s="648">
        <f>IF(AND('rates, dates, etc'!$B$12="TFF",+'rates, dates, etc'!$B$16="No"),'Consortium 7'!E56*-1,0)</f>
        <v>0</v>
      </c>
      <c r="F16" s="648">
        <f>IF(AND('rates, dates, etc'!$B$12="TFF",+'rates, dates, etc'!$B$16="No"),'Consortium 7'!F56*-1,0)</f>
        <v>0</v>
      </c>
      <c r="G16" s="640">
        <f t="shared" si="1"/>
        <v>0</v>
      </c>
      <c r="H16" s="3"/>
    </row>
    <row r="17" spans="1:9" x14ac:dyDescent="0.25">
      <c r="A17" s="649" t="str">
        <f ca="1">CONCATENATE("    Less Indirect Costs for ",""&amp;MID('rates, dates, etc'!AH16,FIND("]",'rates, dates, etc'!AH16)+1,25))</f>
        <v xml:space="preserve">    Less Indirect Costs for Consortium 8</v>
      </c>
      <c r="B17" s="648">
        <f>IF(AND('rates, dates, etc'!$B$12="TFF",+'rates, dates, etc'!$B$16="No"),'Consortium 8'!B56*-1,0)</f>
        <v>0</v>
      </c>
      <c r="C17" s="648">
        <f>IF(AND('rates, dates, etc'!$B$12="TFF",+'rates, dates, etc'!$B$16="No"),'Consortium 8'!C56*-1,0)</f>
        <v>0</v>
      </c>
      <c r="D17" s="648">
        <f>IF(AND('rates, dates, etc'!$B$12="TFF",+'rates, dates, etc'!$B$16="No"),'Consortium 8'!D56*-1,0)</f>
        <v>0</v>
      </c>
      <c r="E17" s="648">
        <f>IF(AND('rates, dates, etc'!$B$12="TFF",+'rates, dates, etc'!$B$16="No"),'Consortium 8'!E56*-1,0)</f>
        <v>0</v>
      </c>
      <c r="F17" s="648">
        <f>IF(AND('rates, dates, etc'!$B$12="TFF",+'rates, dates, etc'!$B$16="No"),'Consortium 8'!F56*-1,0)</f>
        <v>0</v>
      </c>
      <c r="G17" s="640">
        <f t="shared" si="1"/>
        <v>0</v>
      </c>
      <c r="H17" s="3"/>
    </row>
    <row r="18" spans="1:9" x14ac:dyDescent="0.25">
      <c r="A18" s="649" t="str">
        <f ca="1">CONCATENATE("    Less Indirect Costs for ",""&amp;MID('rates, dates, etc'!AH17,FIND("]",'rates, dates, etc'!AH17)+1,25))</f>
        <v xml:space="preserve">    Less Indirect Costs for Consortium 9</v>
      </c>
      <c r="B18" s="648">
        <f>IF(AND('rates, dates, etc'!$B$12="TFF",+'rates, dates, etc'!$B$16="No"),'Consortium 9'!B56*-1,0)</f>
        <v>0</v>
      </c>
      <c r="C18" s="648">
        <f>IF(AND('rates, dates, etc'!$B$12="TFF",+'rates, dates, etc'!$B$16="No"),'Consortium 9'!C56*-1,0)</f>
        <v>0</v>
      </c>
      <c r="D18" s="648">
        <f>IF(AND('rates, dates, etc'!$B$12="TFF",+'rates, dates, etc'!$B$16="No"),'Consortium 9'!D56*-1,0)</f>
        <v>0</v>
      </c>
      <c r="E18" s="648">
        <f>IF(AND('rates, dates, etc'!$B$12="TFF",+'rates, dates, etc'!$B$16="No"),'Consortium 9'!E56*-1,0)</f>
        <v>0</v>
      </c>
      <c r="F18" s="648">
        <f>IF(AND('rates, dates, etc'!$B$12="TFF",+'rates, dates, etc'!$B$16="No"),'Consortium 9'!F56*-1,0)</f>
        <v>0</v>
      </c>
      <c r="G18" s="640">
        <f t="shared" si="1"/>
        <v>0</v>
      </c>
      <c r="H18" s="3"/>
    </row>
    <row r="19" spans="1:9" x14ac:dyDescent="0.25">
      <c r="A19" s="649" t="str">
        <f ca="1">CONCATENATE("    Less Indirect Costs for ",""&amp;MID('rates, dates, etc'!AH18,FIND("]",'rates, dates, etc'!AH18)+1,25))</f>
        <v xml:space="preserve">    Less Indirect Costs for Consortium 10</v>
      </c>
      <c r="B19" s="648">
        <f>IF(AND('rates, dates, etc'!$B$12="TFF",+'rates, dates, etc'!$B$16="No"),'Consortium 10'!B56*-1,0)</f>
        <v>0</v>
      </c>
      <c r="C19" s="648">
        <f>IF(AND('rates, dates, etc'!$B$12="TFF",+'rates, dates, etc'!$B$16="No"),'Consortium 10'!C56*-1,0)</f>
        <v>0</v>
      </c>
      <c r="D19" s="648">
        <f>IF(AND('rates, dates, etc'!$B$12="TFF",+'rates, dates, etc'!$B$16="No"),'Consortium 10'!D56*-1,0)</f>
        <v>0</v>
      </c>
      <c r="E19" s="648">
        <f>IF(AND('rates, dates, etc'!$B$12="TFF",+'rates, dates, etc'!$B$16="No"),'Consortium 10'!E56*-1,0)</f>
        <v>0</v>
      </c>
      <c r="F19" s="648">
        <f>IF(AND('rates, dates, etc'!$B$12="TFF",+'rates, dates, etc'!$B$16="No"),'Consortium 10'!F56*-1,0)</f>
        <v>0</v>
      </c>
      <c r="G19" s="640">
        <f t="shared" si="1"/>
        <v>0</v>
      </c>
      <c r="H19" s="3"/>
    </row>
    <row r="20" spans="1:9" ht="15.75" thickBot="1" x14ac:dyDescent="0.3">
      <c r="A20" s="642" t="s">
        <v>301</v>
      </c>
      <c r="B20" s="643">
        <f>SUM(B9:B19)</f>
        <v>0</v>
      </c>
      <c r="C20" s="643">
        <f>SUM(C9:C19)</f>
        <v>0</v>
      </c>
      <c r="D20" s="643">
        <f>SUM(D9:D19)</f>
        <v>0</v>
      </c>
      <c r="E20" s="643">
        <f>SUM(E9:E19)</f>
        <v>0</v>
      </c>
      <c r="F20" s="643">
        <f>SUM(F9:F19)</f>
        <v>0</v>
      </c>
      <c r="G20" s="644">
        <f t="shared" si="1"/>
        <v>0</v>
      </c>
      <c r="H20" s="3">
        <f>SUM(G9:G19)</f>
        <v>0</v>
      </c>
    </row>
    <row r="21" spans="1:9" x14ac:dyDescent="0.25">
      <c r="H21" s="3">
        <f>+'Budget Summary'!G98</f>
        <v>41394</v>
      </c>
      <c r="I21" s="70" t="s">
        <v>443</v>
      </c>
    </row>
    <row r="22" spans="1:9" x14ac:dyDescent="0.25">
      <c r="H22" s="3">
        <f>+H20-H21</f>
        <v>-41394</v>
      </c>
      <c r="I22" s="70" t="str">
        <f>IF(H20-H21 &gt;=0, "IDC is ok", "Check IDC")</f>
        <v>Check IDC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1"/>
  <sheetViews>
    <sheetView topLeftCell="A4" zoomScale="154" zoomScaleNormal="154" workbookViewId="0">
      <selection activeCell="B26" sqref="B26"/>
    </sheetView>
  </sheetViews>
  <sheetFormatPr defaultRowHeight="15" x14ac:dyDescent="0.25"/>
  <cols>
    <col min="1" max="1" width="28.7109375" customWidth="1"/>
    <col min="2" max="7" width="8.28515625" customWidth="1"/>
    <col min="9" max="9" width="28" bestFit="1" customWidth="1"/>
    <col min="14" max="15" width="9.28515625" customWidth="1"/>
  </cols>
  <sheetData>
    <row r="1" spans="1:7" x14ac:dyDescent="0.25">
      <c r="A1" s="66" t="str">
        <f>+'rates, dates, etc'!B4</f>
        <v>Assessing the Potential for Demand Response to Manage Generation Shortfalls in a Zero-Carbon Electricity Grid”</v>
      </c>
    </row>
    <row r="2" spans="1:7" x14ac:dyDescent="0.25">
      <c r="A2" s="66" t="str">
        <f>+'rates, dates, etc'!B3</f>
        <v>USDA</v>
      </c>
    </row>
    <row r="3" spans="1:7" ht="15.75" thickBot="1" x14ac:dyDescent="0.3"/>
    <row r="4" spans="1:7" x14ac:dyDescent="0.25">
      <c r="A4" s="4" t="s">
        <v>0</v>
      </c>
      <c r="B4" s="5" t="s">
        <v>1</v>
      </c>
      <c r="C4" s="5" t="s">
        <v>2</v>
      </c>
      <c r="D4" s="5" t="s">
        <v>3</v>
      </c>
      <c r="E4" s="5" t="s">
        <v>44</v>
      </c>
      <c r="F4" s="5" t="s">
        <v>50</v>
      </c>
      <c r="G4" s="23"/>
    </row>
    <row r="5" spans="1:7" ht="15.75" thickBot="1" x14ac:dyDescent="0.3">
      <c r="A5" s="4" t="str">
        <f>CONCATENATE("PI: ",'rates, dates, etc'!B27)</f>
        <v>PI: Vivek Srikrishnan</v>
      </c>
      <c r="B5" s="6">
        <f>+'rates, dates, etc'!B5</f>
        <v>44927</v>
      </c>
      <c r="C5" s="6">
        <f>+B6+1</f>
        <v>45292</v>
      </c>
      <c r="D5" s="6">
        <f t="shared" ref="D5:F5" si="0">+C6+1</f>
        <v>45658</v>
      </c>
      <c r="E5" s="6">
        <f t="shared" si="0"/>
        <v>46023</v>
      </c>
      <c r="F5" s="6">
        <f t="shared" si="0"/>
        <v>46388</v>
      </c>
      <c r="G5" s="24"/>
    </row>
    <row r="6" spans="1:7" ht="15.75" thickBot="1" x14ac:dyDescent="0.3">
      <c r="A6" s="7" t="s">
        <v>4</v>
      </c>
      <c r="B6" s="8">
        <f>DATE(YEAR(B5), MONTH(B5) + 12, DAY(B5))-1</f>
        <v>45291</v>
      </c>
      <c r="C6" s="8">
        <f t="shared" ref="C6:F6" si="1">DATE(YEAR(C5), MONTH(C5) + 12, DAY(C5))-1</f>
        <v>45657</v>
      </c>
      <c r="D6" s="8">
        <f t="shared" si="1"/>
        <v>46022</v>
      </c>
      <c r="E6" s="8">
        <f t="shared" si="1"/>
        <v>46387</v>
      </c>
      <c r="F6" s="8">
        <f t="shared" si="1"/>
        <v>46752</v>
      </c>
      <c r="G6" s="25" t="s">
        <v>5</v>
      </c>
    </row>
    <row r="7" spans="1:7" x14ac:dyDescent="0.25">
      <c r="A7" s="10" t="s">
        <v>261</v>
      </c>
      <c r="B7" s="11">
        <f>+B26+J26+B43+J43+B73+J73+B90+J90</f>
        <v>120514</v>
      </c>
      <c r="C7" s="11">
        <f t="shared" ref="C7:F15" si="2">+C26+K26+C43+K43+C73+K73+C90+K90</f>
        <v>118494</v>
      </c>
      <c r="D7" s="11">
        <f t="shared" si="2"/>
        <v>0</v>
      </c>
      <c r="E7" s="11">
        <f t="shared" si="2"/>
        <v>0</v>
      </c>
      <c r="F7" s="11">
        <f t="shared" si="2"/>
        <v>0</v>
      </c>
      <c r="G7" s="27">
        <f t="shared" ref="G7" si="3">SUM(B7:F7)</f>
        <v>239008</v>
      </c>
    </row>
    <row r="8" spans="1:7" x14ac:dyDescent="0.25">
      <c r="A8" s="10" t="s">
        <v>262</v>
      </c>
      <c r="B8" s="11">
        <f t="shared" ref="B8:B15" si="4">+B27+J27+B44+J44+B74+J74+B91+J91</f>
        <v>0</v>
      </c>
      <c r="C8" s="11">
        <f t="shared" si="2"/>
        <v>0</v>
      </c>
      <c r="D8" s="11">
        <f t="shared" si="2"/>
        <v>0</v>
      </c>
      <c r="E8" s="11">
        <f t="shared" si="2"/>
        <v>0</v>
      </c>
      <c r="F8" s="11">
        <f t="shared" si="2"/>
        <v>0</v>
      </c>
      <c r="G8" s="27">
        <f t="shared" ref="G8:G16" si="5">SUM(B8:F8)</f>
        <v>0</v>
      </c>
    </row>
    <row r="9" spans="1:7" x14ac:dyDescent="0.25">
      <c r="A9" s="10" t="s">
        <v>263</v>
      </c>
      <c r="B9" s="11">
        <f t="shared" si="4"/>
        <v>0</v>
      </c>
      <c r="C9" s="11">
        <f t="shared" si="2"/>
        <v>627</v>
      </c>
      <c r="D9" s="11">
        <f t="shared" si="2"/>
        <v>0</v>
      </c>
      <c r="E9" s="11">
        <f t="shared" si="2"/>
        <v>0</v>
      </c>
      <c r="F9" s="11">
        <f t="shared" si="2"/>
        <v>0</v>
      </c>
      <c r="G9" s="27">
        <f t="shared" si="5"/>
        <v>627</v>
      </c>
    </row>
    <row r="10" spans="1:7" x14ac:dyDescent="0.25">
      <c r="A10" s="10" t="s">
        <v>264</v>
      </c>
      <c r="B10" s="11">
        <f t="shared" si="4"/>
        <v>0</v>
      </c>
      <c r="C10" s="11">
        <f t="shared" si="2"/>
        <v>0</v>
      </c>
      <c r="D10" s="11">
        <f t="shared" si="2"/>
        <v>0</v>
      </c>
      <c r="E10" s="11">
        <f t="shared" si="2"/>
        <v>0</v>
      </c>
      <c r="F10" s="11">
        <f t="shared" si="2"/>
        <v>0</v>
      </c>
      <c r="G10" s="27">
        <f t="shared" si="5"/>
        <v>0</v>
      </c>
    </row>
    <row r="11" spans="1:7" x14ac:dyDescent="0.25">
      <c r="A11" s="10" t="s">
        <v>265</v>
      </c>
      <c r="B11" s="11">
        <f t="shared" si="4"/>
        <v>0</v>
      </c>
      <c r="C11" s="11">
        <f t="shared" si="2"/>
        <v>0</v>
      </c>
      <c r="D11" s="11">
        <f t="shared" si="2"/>
        <v>0</v>
      </c>
      <c r="E11" s="11">
        <f t="shared" si="2"/>
        <v>0</v>
      </c>
      <c r="F11" s="11">
        <f t="shared" si="2"/>
        <v>0</v>
      </c>
      <c r="G11" s="27">
        <f t="shared" si="5"/>
        <v>0</v>
      </c>
    </row>
    <row r="12" spans="1:7" x14ac:dyDescent="0.25">
      <c r="A12" s="10" t="s">
        <v>14</v>
      </c>
      <c r="B12" s="11">
        <f t="shared" si="4"/>
        <v>423</v>
      </c>
      <c r="C12" s="11">
        <f t="shared" si="2"/>
        <v>0</v>
      </c>
      <c r="D12" s="11">
        <f t="shared" si="2"/>
        <v>0</v>
      </c>
      <c r="E12" s="11">
        <f t="shared" si="2"/>
        <v>0</v>
      </c>
      <c r="F12" s="11">
        <f t="shared" si="2"/>
        <v>0</v>
      </c>
      <c r="G12" s="27">
        <f t="shared" si="5"/>
        <v>423</v>
      </c>
    </row>
    <row r="13" spans="1:7" x14ac:dyDescent="0.25">
      <c r="A13" s="10" t="s">
        <v>92</v>
      </c>
      <c r="B13" s="11">
        <f t="shared" si="4"/>
        <v>0</v>
      </c>
      <c r="C13" s="11">
        <f t="shared" si="2"/>
        <v>0</v>
      </c>
      <c r="D13" s="11">
        <f t="shared" si="2"/>
        <v>0</v>
      </c>
      <c r="E13" s="11">
        <f t="shared" si="2"/>
        <v>0</v>
      </c>
      <c r="F13" s="11">
        <f t="shared" si="2"/>
        <v>0</v>
      </c>
      <c r="G13" s="27">
        <f t="shared" si="5"/>
        <v>0</v>
      </c>
    </row>
    <row r="14" spans="1:7" x14ac:dyDescent="0.25">
      <c r="A14" s="10" t="s">
        <v>266</v>
      </c>
      <c r="B14" s="11">
        <f t="shared" si="4"/>
        <v>0</v>
      </c>
      <c r="C14" s="11">
        <f t="shared" si="2"/>
        <v>0</v>
      </c>
      <c r="D14" s="11">
        <f t="shared" si="2"/>
        <v>0</v>
      </c>
      <c r="E14" s="11">
        <f t="shared" si="2"/>
        <v>0</v>
      </c>
      <c r="F14" s="11">
        <f t="shared" si="2"/>
        <v>0</v>
      </c>
      <c r="G14" s="27">
        <f t="shared" si="5"/>
        <v>0</v>
      </c>
    </row>
    <row r="15" spans="1:7" x14ac:dyDescent="0.25">
      <c r="A15" s="10" t="s">
        <v>268</v>
      </c>
      <c r="B15" s="11">
        <f t="shared" si="4"/>
        <v>0</v>
      </c>
      <c r="C15" s="11">
        <f t="shared" si="2"/>
        <v>0</v>
      </c>
      <c r="D15" s="11">
        <f t="shared" si="2"/>
        <v>0</v>
      </c>
      <c r="E15" s="11">
        <f t="shared" si="2"/>
        <v>0</v>
      </c>
      <c r="F15" s="11">
        <f t="shared" si="2"/>
        <v>0</v>
      </c>
      <c r="G15" s="27">
        <f t="shared" si="5"/>
        <v>0</v>
      </c>
    </row>
    <row r="16" spans="1:7" x14ac:dyDescent="0.25">
      <c r="A16" s="10" t="s">
        <v>267</v>
      </c>
      <c r="B16" s="11">
        <f>+B35+B36+J35+J36+B52+B53+J52+J53++B82+B83+J82+J83+B99+B100+J99+J100</f>
        <v>7239</v>
      </c>
      <c r="C16" s="11">
        <f t="shared" ref="C16:F16" si="6">+C35+C36+K35+K36+C52+C53+K52+K53++C82+C83+K82+K83+C99+C100+K99+K100</f>
        <v>1066</v>
      </c>
      <c r="D16" s="11">
        <f t="shared" si="6"/>
        <v>0</v>
      </c>
      <c r="E16" s="11">
        <f t="shared" si="6"/>
        <v>0</v>
      </c>
      <c r="F16" s="11">
        <f t="shared" si="6"/>
        <v>0</v>
      </c>
      <c r="G16" s="27">
        <f t="shared" si="5"/>
        <v>8305</v>
      </c>
    </row>
    <row r="17" spans="1:15" ht="15.75" thickBot="1" x14ac:dyDescent="0.3">
      <c r="A17" s="375" t="s">
        <v>269</v>
      </c>
      <c r="B17" s="376">
        <f>SUM(B7:B16)</f>
        <v>128176</v>
      </c>
      <c r="C17" s="376">
        <f>SUM(C7:C16)</f>
        <v>120187</v>
      </c>
      <c r="D17" s="376">
        <f>SUM(D7:D16)</f>
        <v>0</v>
      </c>
      <c r="E17" s="376">
        <f>SUM(E7:E16)</f>
        <v>0</v>
      </c>
      <c r="F17" s="376">
        <f>SUM(F7:F16)</f>
        <v>0</v>
      </c>
      <c r="G17" s="377">
        <f>SUM(B17:F17)</f>
        <v>248363</v>
      </c>
      <c r="H17" s="614">
        <f>+'Budget Summary'!G99</f>
        <v>248366</v>
      </c>
      <c r="I17" s="11" t="s">
        <v>276</v>
      </c>
    </row>
    <row r="18" spans="1:15" x14ac:dyDescent="0.25">
      <c r="F18" s="612"/>
      <c r="H18" s="614">
        <f>+G17-H17</f>
        <v>-3</v>
      </c>
      <c r="I18" s="11" t="s">
        <v>277</v>
      </c>
    </row>
    <row r="20" spans="1:15" x14ac:dyDescent="0.25">
      <c r="A20" s="10" t="s">
        <v>270</v>
      </c>
    </row>
    <row r="22" spans="1:15" ht="15.75" thickBot="1" x14ac:dyDescent="0.3"/>
    <row r="23" spans="1:15" x14ac:dyDescent="0.25">
      <c r="A23" s="4"/>
      <c r="B23" s="5" t="s">
        <v>1</v>
      </c>
      <c r="C23" s="5" t="s">
        <v>2</v>
      </c>
      <c r="D23" s="5" t="s">
        <v>3</v>
      </c>
      <c r="E23" s="5" t="s">
        <v>44</v>
      </c>
      <c r="F23" s="5" t="s">
        <v>50</v>
      </c>
      <c r="G23" s="23"/>
      <c r="I23" s="4"/>
      <c r="J23" s="5" t="s">
        <v>1</v>
      </c>
      <c r="K23" s="5" t="s">
        <v>2</v>
      </c>
      <c r="L23" s="5" t="s">
        <v>3</v>
      </c>
      <c r="M23" s="5" t="s">
        <v>44</v>
      </c>
      <c r="N23" s="5" t="s">
        <v>50</v>
      </c>
      <c r="O23" s="23"/>
    </row>
    <row r="24" spans="1:15" ht="15.75" thickBot="1" x14ac:dyDescent="0.3">
      <c r="A24" s="4" t="s">
        <v>271</v>
      </c>
      <c r="B24" s="6">
        <f>+B5</f>
        <v>44927</v>
      </c>
      <c r="C24" s="6">
        <f>+B25+1</f>
        <v>45292</v>
      </c>
      <c r="D24" s="6">
        <f t="shared" ref="D24" si="7">+C25+1</f>
        <v>45658</v>
      </c>
      <c r="E24" s="6">
        <f t="shared" ref="E24" si="8">+D25+1</f>
        <v>46023</v>
      </c>
      <c r="F24" s="6">
        <f t="shared" ref="F24" si="9">+E25+1</f>
        <v>46388</v>
      </c>
      <c r="G24" s="24"/>
      <c r="I24" s="4" t="s">
        <v>273</v>
      </c>
      <c r="J24" s="6">
        <f>+B5</f>
        <v>44927</v>
      </c>
      <c r="K24" s="6">
        <f>+J25+1</f>
        <v>45292</v>
      </c>
      <c r="L24" s="6">
        <f t="shared" ref="L24" si="10">+K25+1</f>
        <v>45658</v>
      </c>
      <c r="M24" s="6">
        <f t="shared" ref="M24" si="11">+L25+1</f>
        <v>46023</v>
      </c>
      <c r="N24" s="6">
        <f t="shared" ref="N24" si="12">+M25+1</f>
        <v>46388</v>
      </c>
      <c r="O24" s="24"/>
    </row>
    <row r="25" spans="1:15" ht="15.75" thickBot="1" x14ac:dyDescent="0.3">
      <c r="A25" s="7" t="s">
        <v>4</v>
      </c>
      <c r="B25" s="8">
        <f>DATE(YEAR(B24), MONTH(B24) + 12, DAY(B24))-1</f>
        <v>45291</v>
      </c>
      <c r="C25" s="8">
        <f t="shared" ref="C25:F25" si="13">DATE(YEAR(C24), MONTH(C24) + 12, DAY(C24))-1</f>
        <v>45657</v>
      </c>
      <c r="D25" s="8">
        <f t="shared" si="13"/>
        <v>46022</v>
      </c>
      <c r="E25" s="8">
        <f t="shared" si="13"/>
        <v>46387</v>
      </c>
      <c r="F25" s="8">
        <f t="shared" si="13"/>
        <v>46752</v>
      </c>
      <c r="G25" s="25" t="s">
        <v>5</v>
      </c>
      <c r="I25" s="7" t="s">
        <v>4</v>
      </c>
      <c r="J25" s="8">
        <f>DATE(YEAR(J24), MONTH(J24) + 12, DAY(J24))-1</f>
        <v>45291</v>
      </c>
      <c r="K25" s="8">
        <f t="shared" ref="K25:N25" si="14">DATE(YEAR(K24), MONTH(K24) + 12, DAY(K24))-1</f>
        <v>45657</v>
      </c>
      <c r="L25" s="8">
        <f t="shared" si="14"/>
        <v>46022</v>
      </c>
      <c r="M25" s="8">
        <f t="shared" si="14"/>
        <v>46387</v>
      </c>
      <c r="N25" s="8">
        <f t="shared" si="14"/>
        <v>46752</v>
      </c>
      <c r="O25" s="25" t="s">
        <v>5</v>
      </c>
    </row>
    <row r="26" spans="1:15" x14ac:dyDescent="0.25">
      <c r="A26" s="10" t="s">
        <v>261</v>
      </c>
      <c r="B26" s="11">
        <f>IF(AND('rates, dates, etc'!$B$30="Contract College",'rates, dates, etc'!$B$31="On"),'Lead Budget'!B29,0)+IF(AND('rates, dates, etc'!$B$136="Contract College",'rates, dates, etc'!$B$137="On"),Stedman!B29,0)+IF(AND('rates, dates, etc'!$B$242="Contract College",'rates, dates, etc'!$B$243="On"),'Co PI 2'!B29,0)+IF(AND('rates, dates, etc'!$B$348="Contract College",'rates, dates, etc'!$B$349="On"),'Co PI 3'!B29,0)+IF(AND('rates, dates, etc'!$B$454="Contract College",'rates, dates, etc'!$B$455="On"),'Co-PI Budget (4)'!B29,0)+IF(AND('rates, dates, etc'!$B$560="Contract College",'rates, dates, etc'!$B$561="On"),'Co-PI Budget (5)'!B29,0)</f>
        <v>100429</v>
      </c>
      <c r="C26" s="11">
        <f>IF(AND('rates, dates, etc'!$B$30="Contract College",'rates, dates, etc'!$B$31="On"),'Lead Budget'!C29,0)+IF(AND('rates, dates, etc'!$B$136="Contract College",'rates, dates, etc'!$B$137="On"),Stedman!C29,0)+IF(AND('rates, dates, etc'!$B$242="Contract College",'rates, dates, etc'!$B$243="On"),'Co PI 2'!C29,0)+IF(AND('rates, dates, etc'!$B$348="Contract College",'rates, dates, etc'!$B$349="On"),'Co PI 3'!C29,0)+IF(AND('rates, dates, etc'!$B$454="Contract College",'rates, dates, etc'!$B$455="On"),'Co-PI Budget (4)'!C29,0)+IF(AND('rates, dates, etc'!$B$560="Contract College",'rates, dates, etc'!$B$561="On"),'Co-PI Budget (5)'!C29,0)</f>
        <v>98745</v>
      </c>
      <c r="D26" s="11">
        <f>IF(AND('rates, dates, etc'!$B$30="Contract College",'rates, dates, etc'!$B$31="On"),'Lead Budget'!D29,0)+IF(AND('rates, dates, etc'!$B$136="Contract College",'rates, dates, etc'!$B$137="On"),Stedman!D29,0)+IF(AND('rates, dates, etc'!$B$242="Contract College",'rates, dates, etc'!$B$243="On"),'Co PI 2'!D29,0)+IF(AND('rates, dates, etc'!$B$348="Contract College",'rates, dates, etc'!$B$349="On"),'Co PI 3'!D29,0)+IF(AND('rates, dates, etc'!$B$454="Contract College",'rates, dates, etc'!$B$455="On"),'Co-PI Budget (4)'!D29,0)+IF(AND('rates, dates, etc'!$B$560="Contract College",'rates, dates, etc'!$B$561="On"),'Co-PI Budget (5)'!D29,0)</f>
        <v>0</v>
      </c>
      <c r="E26" s="11">
        <f>IF(AND('rates, dates, etc'!$B$30="Contract College",'rates, dates, etc'!$B$31="On"),'Lead Budget'!E29,0)+IF(AND('rates, dates, etc'!$B$136="Contract College",'rates, dates, etc'!$B$137="On"),Stedman!E29,0)+IF(AND('rates, dates, etc'!$B$242="Contract College",'rates, dates, etc'!$B$243="On"),'Co PI 2'!E29,0)+IF(AND('rates, dates, etc'!$B$348="Contract College",'rates, dates, etc'!$B$349="On"),'Co PI 3'!E29,0)+IF(AND('rates, dates, etc'!$B$454="Contract College",'rates, dates, etc'!$B$455="On"),'Co-PI Budget (4)'!E29,0)+IF(AND('rates, dates, etc'!$B$560="Contract College",'rates, dates, etc'!$B$561="On"),'Co-PI Budget (5)'!E29,0)</f>
        <v>0</v>
      </c>
      <c r="F26" s="11">
        <f>IF(AND('rates, dates, etc'!$B$30="Contract College",'rates, dates, etc'!$B$31="On"),'Lead Budget'!F29,0)+IF(AND('rates, dates, etc'!$B$136="Contract College",'rates, dates, etc'!$B$137="On"),Stedman!F29,0)+IF(AND('rates, dates, etc'!$B$242="Contract College",'rates, dates, etc'!$B$243="On"),'Co PI 2'!F29,0)+IF(AND('rates, dates, etc'!$B$348="Contract College",'rates, dates, etc'!$B$349="On"),'Co PI 3'!F29,0)+IF(AND('rates, dates, etc'!$B$454="Contract College",'rates, dates, etc'!$B$455="On"),'Co-PI Budget (4)'!F29,0)+IF(AND('rates, dates, etc'!$B$560="Contract College",'rates, dates, etc'!$B$561="On"),'Co-PI Budget (5)'!F29,0)</f>
        <v>0</v>
      </c>
      <c r="G26" s="27">
        <f t="shared" ref="G26:G36" si="15">SUM(B26:F26)</f>
        <v>199174</v>
      </c>
      <c r="I26" s="10" t="s">
        <v>261</v>
      </c>
      <c r="J26" s="11">
        <f>IF(AND('rates, dates, etc'!$B$30="Contract College",'rates, dates, etc'!$B$31="Off"),'Lead Budget'!B29,0)+IF(AND('rates, dates, etc'!$B$136="Contract College",'rates, dates, etc'!$B$137="Off"),Stedman!B29,0)+IF(AND('rates, dates, etc'!$B$242="Contract College",'rates, dates, etc'!$B$243="Off"),'Co PI 2'!B29,0)+IF(AND('rates, dates, etc'!$B$348="Contract College",'rates, dates, etc'!$B$349="Off"),'Co PI 3'!B29,0)+IF(AND('rates, dates, etc'!$B$454="Contract College",'rates, dates, etc'!$B$455="Off"),'Co-PI Budget (4)'!B29,0)+IF(AND('rates, dates, etc'!$B$560="Contract College",'rates, dates, etc'!$B$561="Off"),'Co-PI Budget (5)'!B29,0)</f>
        <v>0</v>
      </c>
      <c r="K26" s="11">
        <f>IF(AND('rates, dates, etc'!$B$30="Contract College",'rates, dates, etc'!$B$31="Off"),'Lead Budget'!C29,0)+IF(AND('rates, dates, etc'!$B$136="Contract College",'rates, dates, etc'!$B$137="Off"),Stedman!C29,0)+IF(AND('rates, dates, etc'!$B$242="Contract College",'rates, dates, etc'!$B$243="Off"),'Co PI 2'!C29,0)+IF(AND('rates, dates, etc'!$B$348="Contract College",'rates, dates, etc'!$B$349="Off"),'Co PI 3'!C29,0)+IF(AND('rates, dates, etc'!$B$454="Contract College",'rates, dates, etc'!$B$455="Off"),'Co-PI Budget (4)'!C29,0)+IF(AND('rates, dates, etc'!$B$560="Contract College",'rates, dates, etc'!$B$561="Off"),'Co-PI Budget (5)'!C29,0)</f>
        <v>0</v>
      </c>
      <c r="L26" s="11">
        <f>IF(AND('rates, dates, etc'!$B$30="Contract College",'rates, dates, etc'!$B$31="Off"),'Lead Budget'!D29,0)+IF(AND('rates, dates, etc'!$B$136="Contract College",'rates, dates, etc'!$B$137="Off"),Stedman!D29,0)+IF(AND('rates, dates, etc'!$B$242="Contract College",'rates, dates, etc'!$B$243="Off"),'Co PI 2'!D29,0)+IF(AND('rates, dates, etc'!$B$348="Contract College",'rates, dates, etc'!$B$349="Off"),'Co PI 3'!D29,0)+IF(AND('rates, dates, etc'!$B$454="Contract College",'rates, dates, etc'!$B$455="Off"),'Co-PI Budget (4)'!D29,0)+IF(AND('rates, dates, etc'!$B$560="Contract College",'rates, dates, etc'!$B$561="Off"),'Co-PI Budget (5)'!D29,0)</f>
        <v>0</v>
      </c>
      <c r="M26" s="11">
        <f>IF(AND('rates, dates, etc'!$B$30="Contract College",'rates, dates, etc'!$B$31="Off"),'Lead Budget'!E29,0)+IF(AND('rates, dates, etc'!$B$136="Contract College",'rates, dates, etc'!$B$137="Off"),Stedman!E29,0)+IF(AND('rates, dates, etc'!$B$242="Contract College",'rates, dates, etc'!$B$243="Off"),'Co PI 2'!E29,0)+IF(AND('rates, dates, etc'!$B$348="Contract College",'rates, dates, etc'!$B$349="Off"),'Co PI 3'!E29,0)+IF(AND('rates, dates, etc'!$B$454="Contract College",'rates, dates, etc'!$B$455="Off"),'Co-PI Budget (4)'!E29,0)+IF(AND('rates, dates, etc'!$B$560="Contract College",'rates, dates, etc'!$B$561="Off"),'Co-PI Budget (5)'!E29,0)</f>
        <v>0</v>
      </c>
      <c r="N26" s="11">
        <f>IF(AND('rates, dates, etc'!$B$30="Contract College",'rates, dates, etc'!$B$31="Off"),'Lead Budget'!F29,0)+IF(AND('rates, dates, etc'!$B$136="Contract College",'rates, dates, etc'!$B$137="Off"),Stedman!F29,0)+IF(AND('rates, dates, etc'!$B$242="Contract College",'rates, dates, etc'!$B$243="Off"),'Co PI 2'!F29,0)+IF(AND('rates, dates, etc'!$B$348="Contract College",'rates, dates, etc'!$B$349="Off"),'Co PI 3'!F29,0)+IF(AND('rates, dates, etc'!$B$454="Contract College",'rates, dates, etc'!$B$455="Off"),'Co-PI Budget (4)'!F29,0)+IF(AND('rates, dates, etc'!$B$560="Contract College",'rates, dates, etc'!$B$561="Off"),'Co-PI Budget (5)'!F29,0)</f>
        <v>0</v>
      </c>
      <c r="O26" s="27">
        <f t="shared" ref="O26:O36" si="16">SUM(J26:N26)</f>
        <v>0</v>
      </c>
    </row>
    <row r="27" spans="1:15" x14ac:dyDescent="0.25">
      <c r="A27" s="10" t="s">
        <v>262</v>
      </c>
      <c r="B27" s="11">
        <f>IF(AND('rates, dates, etc'!$B$30="Contract College",'rates, dates, etc'!$B$31="On"),'Lead Budget'!B33,0)+IF(AND('rates, dates, etc'!$B$136="Contract College",'rates, dates, etc'!$B$137="On"),Stedman!B33,0)+IF(AND('rates, dates, etc'!$B$242="Contract College",'rates, dates, etc'!$B$243="On"),'Co PI 2'!B33,0)+IF(AND('rates, dates, etc'!$B$348="Contract College",'rates, dates, etc'!$B$349="On"),'Co PI 3'!B33,0)+IF(AND('rates, dates, etc'!$B$454="Contract College",'rates, dates, etc'!$B$455="On"),'Co-PI Budget (4)'!B33,0)+IF(AND('rates, dates, etc'!$B$560="Contract College",'rates, dates, etc'!$B$561="On"),'Co-PI Budget (5)'!B33,0)</f>
        <v>0</v>
      </c>
      <c r="C27" s="11">
        <f>IF(AND('rates, dates, etc'!$B$30="Contract College",'rates, dates, etc'!$B$31="On"),'Lead Budget'!C33,0)+IF(AND('rates, dates, etc'!$B$136="Contract College",'rates, dates, etc'!$B$137="On"),Stedman!C33,0)+IF(AND('rates, dates, etc'!$B$242="Contract College",'rates, dates, etc'!$B$243="On"),'Co PI 2'!C33,0)+IF(AND('rates, dates, etc'!$B$348="Contract College",'rates, dates, etc'!$B$349="On"),'Co PI 3'!C33,0)+IF(AND('rates, dates, etc'!$B$454="Contract College",'rates, dates, etc'!$B$455="On"),'Co-PI Budget (4)'!C33,0)+IF(AND('rates, dates, etc'!$B$560="Contract College",'rates, dates, etc'!$B$561="On"),'Co-PI Budget (5)'!C33,0)</f>
        <v>0</v>
      </c>
      <c r="D27" s="11">
        <f>IF(AND('rates, dates, etc'!$B$30="Contract College",'rates, dates, etc'!$B$31="On"),'Lead Budget'!D33,0)+IF(AND('rates, dates, etc'!$B$136="Contract College",'rates, dates, etc'!$B$137="On"),Stedman!D33,0)+IF(AND('rates, dates, etc'!$B$242="Contract College",'rates, dates, etc'!$B$243="On"),'Co PI 2'!D33,0)+IF(AND('rates, dates, etc'!$B$348="Contract College",'rates, dates, etc'!$B$349="On"),'Co PI 3'!D33,0)+IF(AND('rates, dates, etc'!$B$454="Contract College",'rates, dates, etc'!$B$455="On"),'Co-PI Budget (4)'!D33,0)+IF(AND('rates, dates, etc'!$B$560="Contract College",'rates, dates, etc'!$B$561="On"),'Co-PI Budget (5)'!D33,0)</f>
        <v>0</v>
      </c>
      <c r="E27" s="11">
        <f>IF(AND('rates, dates, etc'!$B$30="Contract College",'rates, dates, etc'!$B$31="On"),'Lead Budget'!E33,0)+IF(AND('rates, dates, etc'!$B$136="Contract College",'rates, dates, etc'!$B$137="On"),Stedman!E33,0)+IF(AND('rates, dates, etc'!$B$242="Contract College",'rates, dates, etc'!$B$243="On"),'Co PI 2'!E33,0)+IF(AND('rates, dates, etc'!$B$348="Contract College",'rates, dates, etc'!$B$349="On"),'Co PI 3'!E33,0)+IF(AND('rates, dates, etc'!$B$454="Contract College",'rates, dates, etc'!$B$455="On"),'Co-PI Budget (4)'!E33,0)+IF(AND('rates, dates, etc'!$B$560="Contract College",'rates, dates, etc'!$B$561="On"),'Co-PI Budget (5)'!E33,0)</f>
        <v>0</v>
      </c>
      <c r="F27" s="11">
        <f>IF(AND('rates, dates, etc'!$B$30="Contract College",'rates, dates, etc'!$B$31="On"),'Lead Budget'!F33,0)+IF(AND('rates, dates, etc'!$B$136="Contract College",'rates, dates, etc'!$B$137="On"),Stedman!F33,0)+IF(AND('rates, dates, etc'!$B$242="Contract College",'rates, dates, etc'!$B$243="On"),'Co PI 2'!F33,0)+IF(AND('rates, dates, etc'!$B$348="Contract College",'rates, dates, etc'!$B$349="On"),'Co PI 3'!F33,0)+IF(AND('rates, dates, etc'!$B$454="Contract College",'rates, dates, etc'!$B$455="On"),'Co-PI Budget (4)'!F33,0)+IF(AND('rates, dates, etc'!$B$560="Contract College",'rates, dates, etc'!$B$561="On"),'Co-PI Budget (5)'!F33,0)</f>
        <v>0</v>
      </c>
      <c r="G27" s="27">
        <f t="shared" si="15"/>
        <v>0</v>
      </c>
      <c r="I27" s="10" t="s">
        <v>262</v>
      </c>
      <c r="J27" s="11">
        <f>IF(AND('rates, dates, etc'!$B$30="Contract College",'rates, dates, etc'!$B$31="Off"),'Lead Budget'!B33,0)+IF(AND('rates, dates, etc'!$B$136="Contract College",'rates, dates, etc'!$B$137="Off"),Stedman!B33,0)+IF(AND('rates, dates, etc'!$B$242="Contract College",'rates, dates, etc'!$B$243="Off"),'Co PI 2'!B33,0)+IF(AND('rates, dates, etc'!$B$348="Contract College",'rates, dates, etc'!$B$349="Off"),'Co PI 3'!B33,0)+IF(AND('rates, dates, etc'!$B$454="Contract College",'rates, dates, etc'!$B$455="Off"),'Co-PI Budget (4)'!B33,0)+IF(AND('rates, dates, etc'!$B$560="Contract College",'rates, dates, etc'!$B$561="Off"),'Co-PI Budget (5)'!B33,0)</f>
        <v>0</v>
      </c>
      <c r="K27" s="11">
        <f>IF(AND('rates, dates, etc'!$B$30="Contract College",'rates, dates, etc'!$B$31="Off"),'Lead Budget'!C33,0)+IF(AND('rates, dates, etc'!$B$136="Contract College",'rates, dates, etc'!$B$137="Off"),Stedman!C33,0)+IF(AND('rates, dates, etc'!$B$242="Contract College",'rates, dates, etc'!$B$243="Off"),'Co PI 2'!C33,0)+IF(AND('rates, dates, etc'!$B$348="Contract College",'rates, dates, etc'!$B$349="Off"),'Co PI 3'!C33,0)+IF(AND('rates, dates, etc'!$B$454="Contract College",'rates, dates, etc'!$B$455="Off"),'Co-PI Budget (4)'!C33,0)+IF(AND('rates, dates, etc'!$B$560="Contract College",'rates, dates, etc'!$B$561="Off"),'Co-PI Budget (5)'!C33,0)</f>
        <v>0</v>
      </c>
      <c r="L27" s="11">
        <f>IF(AND('rates, dates, etc'!$B$30="Contract College",'rates, dates, etc'!$B$31="Off"),'Lead Budget'!D33,0)+IF(AND('rates, dates, etc'!$B$136="Contract College",'rates, dates, etc'!$B$137="Off"),Stedman!D33,0)+IF(AND('rates, dates, etc'!$B$242="Contract College",'rates, dates, etc'!$B$243="Off"),'Co PI 2'!D33,0)+IF(AND('rates, dates, etc'!$B$348="Contract College",'rates, dates, etc'!$B$349="Off"),'Co PI 3'!D33,0)+IF(AND('rates, dates, etc'!$B$454="Contract College",'rates, dates, etc'!$B$455="Off"),'Co-PI Budget (4)'!D33,0)+IF(AND('rates, dates, etc'!$B$560="Contract College",'rates, dates, etc'!$B$561="Off"),'Co-PI Budget (5)'!D33,0)</f>
        <v>0</v>
      </c>
      <c r="M27" s="11">
        <f>IF(AND('rates, dates, etc'!$B$30="Contract College",'rates, dates, etc'!$B$31="Off"),'Lead Budget'!E33,0)+IF(AND('rates, dates, etc'!$B$136="Contract College",'rates, dates, etc'!$B$137="Off"),Stedman!E33,0)+IF(AND('rates, dates, etc'!$B$242="Contract College",'rates, dates, etc'!$B$243="Off"),'Co PI 2'!E33,0)+IF(AND('rates, dates, etc'!$B$348="Contract College",'rates, dates, etc'!$B$349="Off"),'Co PI 3'!E33,0)+IF(AND('rates, dates, etc'!$B$454="Contract College",'rates, dates, etc'!$B$455="Off"),'Co-PI Budget (4)'!E33,0)+IF(AND('rates, dates, etc'!$B$560="Contract College",'rates, dates, etc'!$B$561="Off"),'Co-PI Budget (5)'!E33,0)</f>
        <v>0</v>
      </c>
      <c r="N27" s="11">
        <f>IF(AND('rates, dates, etc'!$B$30="Contract College",'rates, dates, etc'!$B$31="Off"),'Lead Budget'!F33,0)+IF(AND('rates, dates, etc'!$B$136="Contract College",'rates, dates, etc'!$B$137="Off"),Stedman!F33,0)+IF(AND('rates, dates, etc'!$B$242="Contract College",'rates, dates, etc'!$B$243="Off"),'Co PI 2'!F33,0)+IF(AND('rates, dates, etc'!$B$348="Contract College",'rates, dates, etc'!$B$349="Off"),'Co PI 3'!F33,0)+IF(AND('rates, dates, etc'!$B$454="Contract College",'rates, dates, etc'!$B$455="Off"),'Co-PI Budget (4)'!F33,0)+IF(AND('rates, dates, etc'!$B$560="Contract College",'rates, dates, etc'!$B$561="Off"),'Co-PI Budget (5)'!F33,0)</f>
        <v>0</v>
      </c>
      <c r="O27" s="27">
        <f t="shared" si="16"/>
        <v>0</v>
      </c>
    </row>
    <row r="28" spans="1:15" x14ac:dyDescent="0.25">
      <c r="A28" s="10" t="s">
        <v>263</v>
      </c>
      <c r="B28" s="11">
        <f>IF(AND('rates, dates, etc'!$B$30="Contract College",'rates, dates, etc'!$B$31="On"),'Lead Budget'!B35,0)+IF(AND('rates, dates, etc'!$B$136="Contract College",'rates, dates, etc'!$B$137="On"),Stedman!B35,0)+IF(AND('rates, dates, etc'!$B$242="Contract College",'rates, dates, etc'!$B$243="On"),'Co PI 2'!B35,0)+IF(AND('rates, dates, etc'!$B$348="Contract College",'rates, dates, etc'!$B$349="On"),'Co PI 3'!B35,0)+IF(AND('rates, dates, etc'!$B$454="Contract College",'rates, dates, etc'!$B$455="On"),'Co-PI Budget (4)'!B35,0)+IF(AND('rates, dates, etc'!$B$560="Contract College",'rates, dates, etc'!$B$561="On"),'Co-PI Budget (5)'!B35,0)</f>
        <v>0</v>
      </c>
      <c r="C28" s="11">
        <f>IF(AND('rates, dates, etc'!$B$30="Contract College",'rates, dates, etc'!$B$31="On"),'Lead Budget'!C35,0)+IF(AND('rates, dates, etc'!$B$136="Contract College",'rates, dates, etc'!$B$137="On"),Stedman!C35,0)+IF(AND('rates, dates, etc'!$B$242="Contract College",'rates, dates, etc'!$B$243="On"),'Co PI 2'!C35,0)+IF(AND('rates, dates, etc'!$B$348="Contract College",'rates, dates, etc'!$B$349="On"),'Co PI 3'!C35,0)+IF(AND('rates, dates, etc'!$B$454="Contract College",'rates, dates, etc'!$B$455="On"),'Co-PI Budget (4)'!C35,0)+IF(AND('rates, dates, etc'!$B$560="Contract College",'rates, dates, etc'!$B$561="On"),'Co-PI Budget (5)'!C35,0)</f>
        <v>523</v>
      </c>
      <c r="D28" s="11">
        <f>IF(AND('rates, dates, etc'!$B$30="Contract College",'rates, dates, etc'!$B$31="On"),'Lead Budget'!D35,0)+IF(AND('rates, dates, etc'!$B$136="Contract College",'rates, dates, etc'!$B$137="On"),Stedman!D35,0)+IF(AND('rates, dates, etc'!$B$242="Contract College",'rates, dates, etc'!$B$243="On"),'Co PI 2'!D35,0)+IF(AND('rates, dates, etc'!$B$348="Contract College",'rates, dates, etc'!$B$349="On"),'Co PI 3'!D35,0)+IF(AND('rates, dates, etc'!$B$454="Contract College",'rates, dates, etc'!$B$455="On"),'Co-PI Budget (4)'!D35,0)+IF(AND('rates, dates, etc'!$B$560="Contract College",'rates, dates, etc'!$B$561="On"),'Co-PI Budget (5)'!D35,0)</f>
        <v>0</v>
      </c>
      <c r="E28" s="11">
        <f>IF(AND('rates, dates, etc'!$B$30="Contract College",'rates, dates, etc'!$B$31="On"),'Lead Budget'!E35,0)+IF(AND('rates, dates, etc'!$B$136="Contract College",'rates, dates, etc'!$B$137="On"),Stedman!E35,0)+IF(AND('rates, dates, etc'!$B$242="Contract College",'rates, dates, etc'!$B$243="On"),'Co PI 2'!E35,0)+IF(AND('rates, dates, etc'!$B$348="Contract College",'rates, dates, etc'!$B$349="On"),'Co PI 3'!E35,0)+IF(AND('rates, dates, etc'!$B$454="Contract College",'rates, dates, etc'!$B$455="On"),'Co-PI Budget (4)'!E35,0)+IF(AND('rates, dates, etc'!$B$560="Contract College",'rates, dates, etc'!$B$561="On"),'Co-PI Budget (5)'!E35,0)</f>
        <v>0</v>
      </c>
      <c r="F28" s="11">
        <f>IF(AND('rates, dates, etc'!$B$30="Contract College",'rates, dates, etc'!$B$31="On"),'Lead Budget'!F35,0)+IF(AND('rates, dates, etc'!$B$136="Contract College",'rates, dates, etc'!$B$137="On"),Stedman!F35,0)+IF(AND('rates, dates, etc'!$B$242="Contract College",'rates, dates, etc'!$B$243="On"),'Co PI 2'!F35,0)+IF(AND('rates, dates, etc'!$B$348="Contract College",'rates, dates, etc'!$B$349="On"),'Co PI 3'!F35,0)+IF(AND('rates, dates, etc'!$B$454="Contract College",'rates, dates, etc'!$B$455="On"),'Co-PI Budget (4)'!F35,0)+IF(AND('rates, dates, etc'!$B$560="Contract College",'rates, dates, etc'!$B$561="On"),'Co-PI Budget (5)'!F35,0)</f>
        <v>0</v>
      </c>
      <c r="G28" s="27">
        <f t="shared" si="15"/>
        <v>523</v>
      </c>
      <c r="I28" s="10" t="s">
        <v>263</v>
      </c>
      <c r="J28" s="11">
        <f>IF(AND('rates, dates, etc'!$B$30="Contract College",'rates, dates, etc'!$B$31="Off"),'Lead Budget'!B35,0)+IF(AND('rates, dates, etc'!$B$136="Contract College",'rates, dates, etc'!$B$137="Off"),Stedman!B35,0)+IF(AND('rates, dates, etc'!$B$242="Contract College",'rates, dates, etc'!$B$243="Off"),'Co PI 2'!B35,0)+IF(AND('rates, dates, etc'!$B$348="Contract College",'rates, dates, etc'!$B$349="Off"),'Co PI 3'!B35,0)+IF(AND('rates, dates, etc'!$B$454="Contract College",'rates, dates, etc'!$B$455="Off"),'Co-PI Budget (4)'!B35,0)+IF(AND('rates, dates, etc'!$B$560="Contract College",'rates, dates, etc'!$B$561="Off"),'Co-PI Budget (5)'!B35,0)</f>
        <v>0</v>
      </c>
      <c r="K28" s="11">
        <f>IF(AND('rates, dates, etc'!$B$30="Contract College",'rates, dates, etc'!$B$31="Off"),'Lead Budget'!C35,0)+IF(AND('rates, dates, etc'!$B$136="Contract College",'rates, dates, etc'!$B$137="Off"),Stedman!C35,0)+IF(AND('rates, dates, etc'!$B$242="Contract College",'rates, dates, etc'!$B$243="Off"),'Co PI 2'!C35,0)+IF(AND('rates, dates, etc'!$B$348="Contract College",'rates, dates, etc'!$B$349="Off"),'Co PI 3'!C35,0)+IF(AND('rates, dates, etc'!$B$454="Contract College",'rates, dates, etc'!$B$455="Off"),'Co-PI Budget (4)'!C35,0)+IF(AND('rates, dates, etc'!$B$560="Contract College",'rates, dates, etc'!$B$561="Off"),'Co-PI Budget (5)'!C35,0)</f>
        <v>0</v>
      </c>
      <c r="L28" s="11">
        <f>IF(AND('rates, dates, etc'!$B$30="Contract College",'rates, dates, etc'!$B$31="Off"),'Lead Budget'!D35,0)+IF(AND('rates, dates, etc'!$B$136="Contract College",'rates, dates, etc'!$B$137="Off"),Stedman!D35,0)+IF(AND('rates, dates, etc'!$B$242="Contract College",'rates, dates, etc'!$B$243="Off"),'Co PI 2'!D35,0)+IF(AND('rates, dates, etc'!$B$348="Contract College",'rates, dates, etc'!$B$349="Off"),'Co PI 3'!D35,0)+IF(AND('rates, dates, etc'!$B$454="Contract College",'rates, dates, etc'!$B$455="Off"),'Co-PI Budget (4)'!D35,0)+IF(AND('rates, dates, etc'!$B$560="Contract College",'rates, dates, etc'!$B$561="Off"),'Co-PI Budget (5)'!D35,0)</f>
        <v>0</v>
      </c>
      <c r="M28" s="11">
        <f>IF(AND('rates, dates, etc'!$B$30="Contract College",'rates, dates, etc'!$B$31="Off"),'Lead Budget'!E35,0)+IF(AND('rates, dates, etc'!$B$136="Contract College",'rates, dates, etc'!$B$137="Off"),Stedman!E35,0)+IF(AND('rates, dates, etc'!$B$242="Contract College",'rates, dates, etc'!$B$243="Off"),'Co PI 2'!E35,0)+IF(AND('rates, dates, etc'!$B$348="Contract College",'rates, dates, etc'!$B$349="Off"),'Co PI 3'!E35,0)+IF(AND('rates, dates, etc'!$B$454="Contract College",'rates, dates, etc'!$B$455="Off"),'Co-PI Budget (4)'!E35,0)+IF(AND('rates, dates, etc'!$B$560="Contract College",'rates, dates, etc'!$B$561="Off"),'Co-PI Budget (5)'!E35,0)</f>
        <v>0</v>
      </c>
      <c r="N28" s="11">
        <f>IF(AND('rates, dates, etc'!$B$30="Contract College",'rates, dates, etc'!$B$31="Off"),'Lead Budget'!F35,0)+IF(AND('rates, dates, etc'!$B$136="Contract College",'rates, dates, etc'!$B$137="Off"),Stedman!F35,0)+IF(AND('rates, dates, etc'!$B$242="Contract College",'rates, dates, etc'!$B$243="Off"),'Co PI 2'!F35,0)+IF(AND('rates, dates, etc'!$B$348="Contract College",'rates, dates, etc'!$B$349="Off"),'Co PI 3'!F35,0)+IF(AND('rates, dates, etc'!$B$454="Contract College",'rates, dates, etc'!$B$455="Off"),'Co-PI Budget (4)'!F35,0)+IF(AND('rates, dates, etc'!$B$560="Contract College",'rates, dates, etc'!$B$561="Off"),'Co-PI Budget (5)'!F35,0)</f>
        <v>0</v>
      </c>
      <c r="O28" s="27">
        <f t="shared" si="16"/>
        <v>0</v>
      </c>
    </row>
    <row r="29" spans="1:15" x14ac:dyDescent="0.25">
      <c r="A29" s="10" t="s">
        <v>264</v>
      </c>
      <c r="B29" s="611">
        <f>IF(AND('rates, dates, etc'!$B$30="Contract College",'rates, dates, etc'!$B$31="On"),'Lead Budget'!B36,0)+IF(AND('rates, dates, etc'!$B$136="Contract College",'rates, dates, etc'!$B$137="On"),Stedman!B36,0)+IF(AND('rates, dates, etc'!$B$242="Contract College",'rates, dates, etc'!$B$243="On"),'Co PI 2'!B36,0)+IF(AND('rates, dates, etc'!$B$348="Contract College",'rates, dates, etc'!$B$349="On"),'Co PI 3'!B36,0)+IF(AND('rates, dates, etc'!$B$454="Contract College",'rates, dates, etc'!$B$455="On"),'Co-PI Budget (4)'!B36,0)+IF(AND('rates, dates, etc'!$B$560="Contract College",'rates, dates, etc'!$B$561="On"),'Co-PI Budget (5)'!B36,0)</f>
        <v>0</v>
      </c>
      <c r="C29" s="611">
        <f>IF(AND('rates, dates, etc'!$B$30="Contract College",'rates, dates, etc'!$B$31="On"),'Lead Budget'!C36,0)+IF(AND('rates, dates, etc'!$B$136="Contract College",'rates, dates, etc'!$B$137="On"),Stedman!C36,0)+IF(AND('rates, dates, etc'!$B$242="Contract College",'rates, dates, etc'!$B$243="On"),'Co PI 2'!C36,0)+IF(AND('rates, dates, etc'!$B$348="Contract College",'rates, dates, etc'!$B$349="On"),'Co PI 3'!C36,0)+IF(AND('rates, dates, etc'!$B$454="Contract College",'rates, dates, etc'!$B$455="On"),'Co-PI Budget (4)'!C36,0)+IF(AND('rates, dates, etc'!$B$560="Contract College",'rates, dates, etc'!$B$561="On"),'Co-PI Budget (5)'!C36,0)</f>
        <v>0</v>
      </c>
      <c r="D29" s="611">
        <f>IF(AND('rates, dates, etc'!$B$30="Contract College",'rates, dates, etc'!$B$31="On"),'Lead Budget'!D36,0)+IF(AND('rates, dates, etc'!$B$136="Contract College",'rates, dates, etc'!$B$137="On"),Stedman!D36,0)+IF(AND('rates, dates, etc'!$B$242="Contract College",'rates, dates, etc'!$B$243="On"),'Co PI 2'!D36,0)+IF(AND('rates, dates, etc'!$B$348="Contract College",'rates, dates, etc'!$B$349="On"),'Co PI 3'!D36,0)+IF(AND('rates, dates, etc'!$B$454="Contract College",'rates, dates, etc'!$B$455="On"),'Co-PI Budget (4)'!D36,0)+IF(AND('rates, dates, etc'!$B$560="Contract College",'rates, dates, etc'!$B$561="On"),'Co-PI Budget (5)'!D36,0)</f>
        <v>0</v>
      </c>
      <c r="E29" s="611">
        <f>IF(AND('rates, dates, etc'!$B$30="Contract College",'rates, dates, etc'!$B$31="On"),'Lead Budget'!E36,0)+IF(AND('rates, dates, etc'!$B$136="Contract College",'rates, dates, etc'!$B$137="On"),Stedman!E36,0)+IF(AND('rates, dates, etc'!$B$242="Contract College",'rates, dates, etc'!$B$243="On"),'Co PI 2'!E36,0)+IF(AND('rates, dates, etc'!$B$348="Contract College",'rates, dates, etc'!$B$349="On"),'Co PI 3'!E36,0)+IF(AND('rates, dates, etc'!$B$454="Contract College",'rates, dates, etc'!$B$455="On"),'Co-PI Budget (4)'!E36,0)+IF(AND('rates, dates, etc'!$B$560="Contract College",'rates, dates, etc'!$B$561="On"),'Co-PI Budget (5)'!E36,0)</f>
        <v>0</v>
      </c>
      <c r="F29" s="611">
        <f>IF(AND('rates, dates, etc'!$B$30="Contract College",'rates, dates, etc'!$B$31="On"),'Lead Budget'!F36,0)+IF(AND('rates, dates, etc'!$B$136="Contract College",'rates, dates, etc'!$B$137="On"),Stedman!F36,0)+IF(AND('rates, dates, etc'!$B$242="Contract College",'rates, dates, etc'!$B$243="On"),'Co PI 2'!F36,0)+IF(AND('rates, dates, etc'!$B$348="Contract College",'rates, dates, etc'!$B$349="On"),'Co PI 3'!F36,0)+IF(AND('rates, dates, etc'!$B$454="Contract College",'rates, dates, etc'!$B$455="On"),'Co-PI Budget (4)'!F36,0)+IF(AND('rates, dates, etc'!$B$560="Contract College",'rates, dates, etc'!$B$561="On"),'Co-PI Budget (5)'!F36,0)</f>
        <v>0</v>
      </c>
      <c r="G29" s="27">
        <f t="shared" si="15"/>
        <v>0</v>
      </c>
      <c r="I29" s="10" t="s">
        <v>264</v>
      </c>
      <c r="J29" s="611">
        <f>IF(AND('rates, dates, etc'!$B$30="Contract College",'rates, dates, etc'!$B$31="Off"),'Lead Budget'!B36,0)+IF(AND('rates, dates, etc'!$B$136="Contract College",'rates, dates, etc'!$B$137="Off"),Stedman!B36,0)+IF(AND('rates, dates, etc'!$B$242="Contract College",'rates, dates, etc'!$B$243="Off"),'Co PI 2'!B36,0)+IF(AND('rates, dates, etc'!$B$348="Contract College",'rates, dates, etc'!$B$349="Off"),'Co PI 3'!B36,0)+IF(AND('rates, dates, etc'!$B$454="Contract College",'rates, dates, etc'!$B$455="Off"),'Co-PI Budget (4)'!B36,0)+IF(AND('rates, dates, etc'!$B$560="Contract College",'rates, dates, etc'!$B$561="Off"),'Co-PI Budget (5)'!B36,0)</f>
        <v>0</v>
      </c>
      <c r="K29" s="611">
        <f>IF(AND('rates, dates, etc'!$B$30="Contract College",'rates, dates, etc'!$B$31="Off"),'Lead Budget'!C36,0)+IF(AND('rates, dates, etc'!$B$136="Contract College",'rates, dates, etc'!$B$137="Off"),Stedman!C36,0)+IF(AND('rates, dates, etc'!$B$242="Contract College",'rates, dates, etc'!$B$243="Off"),'Co PI 2'!C36,0)+IF(AND('rates, dates, etc'!$B$348="Contract College",'rates, dates, etc'!$B$349="Off"),'Co PI 3'!C36,0)+IF(AND('rates, dates, etc'!$B$454="Contract College",'rates, dates, etc'!$B$455="Off"),'Co-PI Budget (4)'!C36,0)+IF(AND('rates, dates, etc'!$B$560="Contract College",'rates, dates, etc'!$B$561="Off"),'Co-PI Budget (5)'!C36,0)</f>
        <v>0</v>
      </c>
      <c r="L29" s="611">
        <f>IF(AND('rates, dates, etc'!$B$30="Contract College",'rates, dates, etc'!$B$31="Off"),'Lead Budget'!D36,0)+IF(AND('rates, dates, etc'!$B$136="Contract College",'rates, dates, etc'!$B$137="Off"),Stedman!D36,0)+IF(AND('rates, dates, etc'!$B$242="Contract College",'rates, dates, etc'!$B$243="Off"),'Co PI 2'!D36,0)+IF(AND('rates, dates, etc'!$B$348="Contract College",'rates, dates, etc'!$B$349="Off"),'Co PI 3'!D36,0)+IF(AND('rates, dates, etc'!$B$454="Contract College",'rates, dates, etc'!$B$455="Off"),'Co-PI Budget (4)'!D36,0)+IF(AND('rates, dates, etc'!$B$560="Contract College",'rates, dates, etc'!$B$561="Off"),'Co-PI Budget (5)'!D36,0)</f>
        <v>0</v>
      </c>
      <c r="M29" s="611">
        <f>IF(AND('rates, dates, etc'!$B$30="Contract College",'rates, dates, etc'!$B$31="Off"),'Lead Budget'!E36,0)+IF(AND('rates, dates, etc'!$B$136="Contract College",'rates, dates, etc'!$B$137="Off"),Stedman!E36,0)+IF(AND('rates, dates, etc'!$B$242="Contract College",'rates, dates, etc'!$B$243="Off"),'Co PI 2'!E36,0)+IF(AND('rates, dates, etc'!$B$348="Contract College",'rates, dates, etc'!$B$349="Off"),'Co PI 3'!E36,0)+IF(AND('rates, dates, etc'!$B$454="Contract College",'rates, dates, etc'!$B$455="Off"),'Co-PI Budget (4)'!E36,0)+IF(AND('rates, dates, etc'!$B$560="Contract College",'rates, dates, etc'!$B$561="Off"),'Co-PI Budget (5)'!E36,0)</f>
        <v>0</v>
      </c>
      <c r="N29" s="611">
        <f>IF(AND('rates, dates, etc'!$B$30="Contract College",'rates, dates, etc'!$B$31="Off"),'Lead Budget'!F36,0)+IF(AND('rates, dates, etc'!$B$136="Contract College",'rates, dates, etc'!$B$137="Off"),Stedman!F36,0)+IF(AND('rates, dates, etc'!$B$242="Contract College",'rates, dates, etc'!$B$243="Off"),'Co PI 2'!F36,0)+IF(AND('rates, dates, etc'!$B$348="Contract College",'rates, dates, etc'!$B$349="Off"),'Co PI 3'!F36,0)+IF(AND('rates, dates, etc'!$B$454="Contract College",'rates, dates, etc'!$B$455="Off"),'Co-PI Budget (4)'!F36,0)+IF(AND('rates, dates, etc'!$B$560="Contract College",'rates, dates, etc'!$B$561="Off"),'Co-PI Budget (5)'!F36,0)</f>
        <v>0</v>
      </c>
      <c r="O29" s="27">
        <f t="shared" si="16"/>
        <v>0</v>
      </c>
    </row>
    <row r="30" spans="1:15" x14ac:dyDescent="0.25">
      <c r="A30" s="10" t="s">
        <v>265</v>
      </c>
      <c r="B30" s="611">
        <f>IF(AND('rates, dates, etc'!$B$30="Contract College",'rates, dates, etc'!$B$31="On"),'Lead Budget'!B44,0)+IF(AND('rates, dates, etc'!$B$136="Contract College",'rates, dates, etc'!$B$137="On"),Stedman!B44,0)+IF(AND('rates, dates, etc'!$B$242="Contract College",'rates, dates, etc'!$B$243="On"),'Co PI 2'!B44,0)+IF(AND('rates, dates, etc'!$B$348="Contract College",'rates, dates, etc'!$B$349="On"),'Co PI 3'!B44,0)+IF(AND('rates, dates, etc'!$B$454="Contract College",'rates, dates, etc'!$B$455="On"),'Co-PI Budget (4)'!B44,0)+IF(AND('rates, dates, etc'!$B$560="Contract College",'rates, dates, etc'!$B$561="On"),'Co-PI Budget (5)'!B44,0)</f>
        <v>0</v>
      </c>
      <c r="C30" s="611">
        <f>IF(AND('rates, dates, etc'!$B$30="Contract College",'rates, dates, etc'!$B$31="On"),'Lead Budget'!C44,0)+IF(AND('rates, dates, etc'!$B$136="Contract College",'rates, dates, etc'!$B$137="On"),Stedman!C44,0)+IF(AND('rates, dates, etc'!$B$242="Contract College",'rates, dates, etc'!$B$243="On"),'Co PI 2'!C44,0)+IF(AND('rates, dates, etc'!$B$348="Contract College",'rates, dates, etc'!$B$349="On"),'Co PI 3'!C44,0)+IF(AND('rates, dates, etc'!$B$454="Contract College",'rates, dates, etc'!$B$455="On"),'Co-PI Budget (4)'!C44,0)+IF(AND('rates, dates, etc'!$B$560="Contract College",'rates, dates, etc'!$B$561="On"),'Co-PI Budget (5)'!C44,0)</f>
        <v>0</v>
      </c>
      <c r="D30" s="611">
        <f>IF(AND('rates, dates, etc'!$B$30="Contract College",'rates, dates, etc'!$B$31="On"),'Lead Budget'!D44,0)+IF(AND('rates, dates, etc'!$B$136="Contract College",'rates, dates, etc'!$B$137="On"),Stedman!D44,0)+IF(AND('rates, dates, etc'!$B$242="Contract College",'rates, dates, etc'!$B$243="On"),'Co PI 2'!D44,0)+IF(AND('rates, dates, etc'!$B$348="Contract College",'rates, dates, etc'!$B$349="On"),'Co PI 3'!D44,0)+IF(AND('rates, dates, etc'!$B$454="Contract College",'rates, dates, etc'!$B$455="On"),'Co-PI Budget (4)'!D44,0)+IF(AND('rates, dates, etc'!$B$560="Contract College",'rates, dates, etc'!$B$561="On"),'Co-PI Budget (5)'!D44,0)</f>
        <v>0</v>
      </c>
      <c r="E30" s="611">
        <f>IF(AND('rates, dates, etc'!$B$30="Contract College",'rates, dates, etc'!$B$31="On"),'Lead Budget'!E44,0)+IF(AND('rates, dates, etc'!$B$136="Contract College",'rates, dates, etc'!$B$137="On"),Stedman!E44,0)+IF(AND('rates, dates, etc'!$B$242="Contract College",'rates, dates, etc'!$B$243="On"),'Co PI 2'!E44,0)+IF(AND('rates, dates, etc'!$B$348="Contract College",'rates, dates, etc'!$B$349="On"),'Co PI 3'!E44,0)+IF(AND('rates, dates, etc'!$B$454="Contract College",'rates, dates, etc'!$B$455="On"),'Co-PI Budget (4)'!E44,0)+IF(AND('rates, dates, etc'!$B$560="Contract College",'rates, dates, etc'!$B$561="On"),'Co-PI Budget (5)'!E44,0)</f>
        <v>0</v>
      </c>
      <c r="F30" s="611">
        <f>IF(AND('rates, dates, etc'!$B$30="Contract College",'rates, dates, etc'!$B$31="On"),'Lead Budget'!F44,0)+IF(AND('rates, dates, etc'!$B$136="Contract College",'rates, dates, etc'!$B$137="On"),Stedman!F44,0)+IF(AND('rates, dates, etc'!$B$242="Contract College",'rates, dates, etc'!$B$243="On"),'Co PI 2'!F44,0)+IF(AND('rates, dates, etc'!$B$348="Contract College",'rates, dates, etc'!$B$349="On"),'Co PI 3'!F44,0)+IF(AND('rates, dates, etc'!$B$454="Contract College",'rates, dates, etc'!$B$455="On"),'Co-PI Budget (4)'!F44,0)+IF(AND('rates, dates, etc'!$B$560="Contract College",'rates, dates, etc'!$B$561="On"),'Co-PI Budget (5)'!F44,0)</f>
        <v>0</v>
      </c>
      <c r="G30" s="27">
        <f>SUM(B30:F30)</f>
        <v>0</v>
      </c>
      <c r="I30" s="10" t="s">
        <v>265</v>
      </c>
      <c r="J30" s="611">
        <f>IF(AND('rates, dates, etc'!$B$30="Contract College",'rates, dates, etc'!$B$31="Off"),'Lead Budget'!B44,0)+IF(AND('rates, dates, etc'!$B$136="Contract College",'rates, dates, etc'!$B$137="Off"),Stedman!B44,0)+IF(AND('rates, dates, etc'!$B$242="Contract College",'rates, dates, etc'!$B$243="Off"),'Co PI 2'!B44,0)+IF(AND('rates, dates, etc'!$B$348="Contract College",'rates, dates, etc'!$B$349="Off"),'Co PI 3'!B44,0)+IF(AND('rates, dates, etc'!$B$454="Contract College",'rates, dates, etc'!$B$455="Off"),'Co-PI Budget (4)'!B44,0)+IF(AND('rates, dates, etc'!$B$560="Contract College",'rates, dates, etc'!$B$561="Off"),'Co-PI Budget (5)'!B44,0)</f>
        <v>0</v>
      </c>
      <c r="K30" s="611">
        <f>IF(AND('rates, dates, etc'!$B$30="Contract College",'rates, dates, etc'!$B$31="Off"),'Lead Budget'!C44,0)+IF(AND('rates, dates, etc'!$B$136="Contract College",'rates, dates, etc'!$B$137="Off"),Stedman!C44,0)+IF(AND('rates, dates, etc'!$B$242="Contract College",'rates, dates, etc'!$B$243="Off"),'Co PI 2'!C44,0)+IF(AND('rates, dates, etc'!$B$348="Contract College",'rates, dates, etc'!$B$349="Off"),'Co PI 3'!C44,0)+IF(AND('rates, dates, etc'!$B$454="Contract College",'rates, dates, etc'!$B$455="Off"),'Co-PI Budget (4)'!C44,0)+IF(AND('rates, dates, etc'!$B$560="Contract College",'rates, dates, etc'!$B$561="Off"),'Co-PI Budget (5)'!C44,0)</f>
        <v>0</v>
      </c>
      <c r="L30" s="611">
        <f>IF(AND('rates, dates, etc'!$B$30="Contract College",'rates, dates, etc'!$B$31="Off"),'Lead Budget'!D44,0)+IF(AND('rates, dates, etc'!$B$136="Contract College",'rates, dates, etc'!$B$137="Off"),Stedman!D44,0)+IF(AND('rates, dates, etc'!$B$242="Contract College",'rates, dates, etc'!$B$243="Off"),'Co PI 2'!D44,0)+IF(AND('rates, dates, etc'!$B$348="Contract College",'rates, dates, etc'!$B$349="Off"),'Co PI 3'!D44,0)+IF(AND('rates, dates, etc'!$B$454="Contract College",'rates, dates, etc'!$B$455="Off"),'Co-PI Budget (4)'!D44,0)+IF(AND('rates, dates, etc'!$B$560="Contract College",'rates, dates, etc'!$B$561="Off"),'Co-PI Budget (5)'!D44,0)</f>
        <v>0</v>
      </c>
      <c r="M30" s="611">
        <f>IF(AND('rates, dates, etc'!$B$30="Contract College",'rates, dates, etc'!$B$31="Off"),'Lead Budget'!E44,0)+IF(AND('rates, dates, etc'!$B$136="Contract College",'rates, dates, etc'!$B$137="Off"),Stedman!E44,0)+IF(AND('rates, dates, etc'!$B$242="Contract College",'rates, dates, etc'!$B$243="Off"),'Co PI 2'!E44,0)+IF(AND('rates, dates, etc'!$B$348="Contract College",'rates, dates, etc'!$B$349="Off"),'Co PI 3'!E44,0)+IF(AND('rates, dates, etc'!$B$454="Contract College",'rates, dates, etc'!$B$455="Off"),'Co-PI Budget (4)'!E44,0)+IF(AND('rates, dates, etc'!$B$560="Contract College",'rates, dates, etc'!$B$561="Off"),'Co-PI Budget (5)'!E44,0)</f>
        <v>0</v>
      </c>
      <c r="N30" s="611">
        <f>IF(AND('rates, dates, etc'!$B$30="Contract College",'rates, dates, etc'!$B$31="Off"),'Lead Budget'!F44,0)+IF(AND('rates, dates, etc'!$B$136="Contract College",'rates, dates, etc'!$B$137="Off"),Stedman!F44,0)+IF(AND('rates, dates, etc'!$B$242="Contract College",'rates, dates, etc'!$B$243="Off"),'Co PI 2'!F44,0)+IF(AND('rates, dates, etc'!$B$348="Contract College",'rates, dates, etc'!$B$349="Off"),'Co PI 3'!F44,0)+IF(AND('rates, dates, etc'!$B$454="Contract College",'rates, dates, etc'!$B$455="Off"),'Co-PI Budget (4)'!F44,0)+IF(AND('rates, dates, etc'!$B$560="Contract College",'rates, dates, etc'!$B$561="Off"),'Co-PI Budget (5)'!F44,0)</f>
        <v>0</v>
      </c>
      <c r="O30" s="27">
        <f t="shared" si="16"/>
        <v>0</v>
      </c>
    </row>
    <row r="31" spans="1:15" x14ac:dyDescent="0.25">
      <c r="A31" s="10" t="s">
        <v>14</v>
      </c>
      <c r="B31" s="611">
        <f>IF(AND('rates, dates, etc'!$B$30="Contract College",'rates, dates, etc'!$B$31="On"),'Lead Budget'!B46,0)+IF(AND('rates, dates, etc'!$B$136="Contract College",'rates, dates, etc'!$B$137="On"),Stedman!B46,0)+IF(AND('rates, dates, etc'!$B$242="Contract College",'rates, dates, etc'!$B$243="On"),'Co PI 2'!B46,0)+IF(AND('rates, dates, etc'!$B$348="Contract College",'rates, dates, etc'!$B$349="On"),'Co PI 3'!B46,0)+IF(AND('rates, dates, etc'!$B$454="Contract College",'rates, dates, etc'!$B$455="On"),'Co-PI Budget (4)'!B46,0)+IF(AND('rates, dates, etc'!$B$560="Contract College",'rates, dates, etc'!$B$561="On"),'Co-PI Budget (5)'!B46,0)</f>
        <v>353</v>
      </c>
      <c r="C31" s="611">
        <f>IF(AND('rates, dates, etc'!$B$30="Contract College",'rates, dates, etc'!$B$31="On"),'Lead Budget'!C46,0)+IF(AND('rates, dates, etc'!$B$136="Contract College",'rates, dates, etc'!$B$137="On"),Stedman!C46,0)+IF(AND('rates, dates, etc'!$B$242="Contract College",'rates, dates, etc'!$B$243="On"),'Co PI 2'!C46,0)+IF(AND('rates, dates, etc'!$B$348="Contract College",'rates, dates, etc'!$B$349="On"),'Co PI 3'!C46,0)+IF(AND('rates, dates, etc'!$B$454="Contract College",'rates, dates, etc'!$B$455="On"),'Co-PI Budget (4)'!C46,0)+IF(AND('rates, dates, etc'!$B$560="Contract College",'rates, dates, etc'!$B$561="On"),'Co-PI Budget (5)'!C46,0)</f>
        <v>0</v>
      </c>
      <c r="D31" s="611">
        <f>IF(AND('rates, dates, etc'!$B$30="Contract College",'rates, dates, etc'!$B$31="On"),'Lead Budget'!D46,0)+IF(AND('rates, dates, etc'!$B$136="Contract College",'rates, dates, etc'!$B$137="On"),Stedman!D46,0)+IF(AND('rates, dates, etc'!$B$242="Contract College",'rates, dates, etc'!$B$243="On"),'Co PI 2'!D46,0)+IF(AND('rates, dates, etc'!$B$348="Contract College",'rates, dates, etc'!$B$349="On"),'Co PI 3'!D46,0)+IF(AND('rates, dates, etc'!$B$454="Contract College",'rates, dates, etc'!$B$455="On"),'Co-PI Budget (4)'!D46,0)+IF(AND('rates, dates, etc'!$B$560="Contract College",'rates, dates, etc'!$B$561="On"),'Co-PI Budget (5)'!D46,0)</f>
        <v>0</v>
      </c>
      <c r="E31" s="611">
        <f>IF(AND('rates, dates, etc'!$B$30="Contract College",'rates, dates, etc'!$B$31="On"),'Lead Budget'!E46,0)+IF(AND('rates, dates, etc'!$B$136="Contract College",'rates, dates, etc'!$B$137="On"),Stedman!E46,0)+IF(AND('rates, dates, etc'!$B$242="Contract College",'rates, dates, etc'!$B$243="On"),'Co PI 2'!E46,0)+IF(AND('rates, dates, etc'!$B$348="Contract College",'rates, dates, etc'!$B$349="On"),'Co PI 3'!E46,0)+IF(AND('rates, dates, etc'!$B$454="Contract College",'rates, dates, etc'!$B$455="On"),'Co-PI Budget (4)'!E46,0)+IF(AND('rates, dates, etc'!$B$560="Contract College",'rates, dates, etc'!$B$561="On"),'Co-PI Budget (5)'!E46,0)</f>
        <v>0</v>
      </c>
      <c r="F31" s="611">
        <f>IF(AND('rates, dates, etc'!$B$30="Contract College",'rates, dates, etc'!$B$31="On"),'Lead Budget'!F46,0)+IF(AND('rates, dates, etc'!$B$136="Contract College",'rates, dates, etc'!$B$137="On"),Stedman!F46,0)+IF(AND('rates, dates, etc'!$B$242="Contract College",'rates, dates, etc'!$B$243="On"),'Co PI 2'!F46,0)+IF(AND('rates, dates, etc'!$B$348="Contract College",'rates, dates, etc'!$B$349="On"),'Co PI 3'!F46,0)+IF(AND('rates, dates, etc'!$B$454="Contract College",'rates, dates, etc'!$B$455="On"),'Co-PI Budget (4)'!F46,0)+IF(AND('rates, dates, etc'!$B$560="Contract College",'rates, dates, etc'!$B$561="On"),'Co-PI Budget (5)'!F46,0)</f>
        <v>0</v>
      </c>
      <c r="G31" s="27">
        <f>SUM(B31:F31)</f>
        <v>353</v>
      </c>
      <c r="I31" s="10" t="s">
        <v>14</v>
      </c>
      <c r="J31" s="611">
        <f>IF(AND('rates, dates, etc'!$B$30="Contract College",'rates, dates, etc'!$B$31="Off"),'Lead Budget'!B46,0)+IF(AND('rates, dates, etc'!$B$136="Contract College",'rates, dates, etc'!$B$137="Off"),Stedman!B46,0)+IF(AND('rates, dates, etc'!$B$242="Contract College",'rates, dates, etc'!$B$243="Off"),'Co PI 2'!B46,0)+IF(AND('rates, dates, etc'!$B$348="Contract College",'rates, dates, etc'!$B$349="Off"),'Co PI 3'!B46,0)+IF(AND('rates, dates, etc'!$B$454="Contract College",'rates, dates, etc'!$B$455="Off"),'Co-PI Budget (4)'!B46,0)+IF(AND('rates, dates, etc'!$B$560="Contract College",'rates, dates, etc'!$B$561="Off"),'Co-PI Budget (5)'!B46,0)</f>
        <v>0</v>
      </c>
      <c r="K31" s="611">
        <f>IF(AND('rates, dates, etc'!$B$30="Contract College",'rates, dates, etc'!$B$31="Off"),'Lead Budget'!C46,0)+IF(AND('rates, dates, etc'!$B$136="Contract College",'rates, dates, etc'!$B$137="Off"),Stedman!C46,0)+IF(AND('rates, dates, etc'!$B$242="Contract College",'rates, dates, etc'!$B$243="Off"),'Co PI 2'!C46,0)+IF(AND('rates, dates, etc'!$B$348="Contract College",'rates, dates, etc'!$B$349="Off"),'Co PI 3'!C46,0)+IF(AND('rates, dates, etc'!$B$454="Contract College",'rates, dates, etc'!$B$455="Off"),'Co-PI Budget (4)'!C46,0)+IF(AND('rates, dates, etc'!$B$560="Contract College",'rates, dates, etc'!$B$561="Off"),'Co-PI Budget (5)'!C46,0)</f>
        <v>0</v>
      </c>
      <c r="L31" s="611">
        <f>IF(AND('rates, dates, etc'!$B$30="Contract College",'rates, dates, etc'!$B$31="Off"),'Lead Budget'!D46,0)+IF(AND('rates, dates, etc'!$B$136="Contract College",'rates, dates, etc'!$B$137="Off"),Stedman!D46,0)+IF(AND('rates, dates, etc'!$B$242="Contract College",'rates, dates, etc'!$B$243="Off"),'Co PI 2'!D46,0)+IF(AND('rates, dates, etc'!$B$348="Contract College",'rates, dates, etc'!$B$349="Off"),'Co PI 3'!D46,0)+IF(AND('rates, dates, etc'!$B$454="Contract College",'rates, dates, etc'!$B$455="Off"),'Co-PI Budget (4)'!D46,0)+IF(AND('rates, dates, etc'!$B$560="Contract College",'rates, dates, etc'!$B$561="Off"),'Co-PI Budget (5)'!D46,0)</f>
        <v>0</v>
      </c>
      <c r="M31" s="611">
        <f>IF(AND('rates, dates, etc'!$B$30="Contract College",'rates, dates, etc'!$B$31="Off"),'Lead Budget'!E46,0)+IF(AND('rates, dates, etc'!$B$136="Contract College",'rates, dates, etc'!$B$137="Off"),Stedman!E46,0)+IF(AND('rates, dates, etc'!$B$242="Contract College",'rates, dates, etc'!$B$243="Off"),'Co PI 2'!E46,0)+IF(AND('rates, dates, etc'!$B$348="Contract College",'rates, dates, etc'!$B$349="Off"),'Co PI 3'!E46,0)+IF(AND('rates, dates, etc'!$B$454="Contract College",'rates, dates, etc'!$B$455="Off"),'Co-PI Budget (4)'!E46,0)+IF(AND('rates, dates, etc'!$B$560="Contract College",'rates, dates, etc'!$B$561="Off"),'Co-PI Budget (5)'!E46,0)</f>
        <v>0</v>
      </c>
      <c r="N31" s="611">
        <f>IF(AND('rates, dates, etc'!$B$30="Contract College",'rates, dates, etc'!$B$31="Off"),'Lead Budget'!F46,0)+IF(AND('rates, dates, etc'!$B$136="Contract College",'rates, dates, etc'!$B$137="Off"),Stedman!F46,0)+IF(AND('rates, dates, etc'!$B$242="Contract College",'rates, dates, etc'!$B$243="Off"),'Co PI 2'!F46,0)+IF(AND('rates, dates, etc'!$B$348="Contract College",'rates, dates, etc'!$B$349="Off"),'Co PI 3'!F46,0)+IF(AND('rates, dates, etc'!$B$454="Contract College",'rates, dates, etc'!$B$455="Off"),'Co-PI Budget (4)'!F46,0)+IF(AND('rates, dates, etc'!$B$560="Contract College",'rates, dates, etc'!$B$561="Off"),'Co-PI Budget (5)'!F46,0)</f>
        <v>0</v>
      </c>
      <c r="O31" s="27">
        <f t="shared" si="16"/>
        <v>0</v>
      </c>
    </row>
    <row r="32" spans="1:15" x14ac:dyDescent="0.25">
      <c r="A32" s="10" t="s">
        <v>92</v>
      </c>
      <c r="B32" s="611">
        <f>IF(AND('rates, dates, etc'!$B$30="Contract College",'rates, dates, etc'!$B$31="On"),'Lead Budget'!B47,0)+IF(AND('rates, dates, etc'!$B$136="Contract College",'rates, dates, etc'!$B$137="On"),Stedman!B47,0)+IF(AND('rates, dates, etc'!$B$242="Contract College",'rates, dates, etc'!$B$243="On"),'Co PI 2'!B47,0)+IF(AND('rates, dates, etc'!$B$348="Contract College",'rates, dates, etc'!$B$349="On"),'Co PI 3'!B47,0)+IF(AND('rates, dates, etc'!$B$454="Contract College",'rates, dates, etc'!$B$455="On"),'Co-PI Budget (4)'!B47,0)+IF(AND('rates, dates, etc'!$B$560="Contract College",'rates, dates, etc'!$B$561="On"),'Co-PI Budget (5)'!B47,0)</f>
        <v>0</v>
      </c>
      <c r="C32" s="611">
        <f>IF(AND('rates, dates, etc'!$B$30="Contract College",'rates, dates, etc'!$B$31="On"),'Lead Budget'!C47,0)+IF(AND('rates, dates, etc'!$B$136="Contract College",'rates, dates, etc'!$B$137="On"),Stedman!C47,0)+IF(AND('rates, dates, etc'!$B$242="Contract College",'rates, dates, etc'!$B$243="On"),'Co PI 2'!C47,0)+IF(AND('rates, dates, etc'!$B$348="Contract College",'rates, dates, etc'!$B$349="On"),'Co PI 3'!C47,0)+IF(AND('rates, dates, etc'!$B$454="Contract College",'rates, dates, etc'!$B$455="On"),'Co-PI Budget (4)'!C47,0)+IF(AND('rates, dates, etc'!$B$560="Contract College",'rates, dates, etc'!$B$561="On"),'Co-PI Budget (5)'!C47,0)</f>
        <v>0</v>
      </c>
      <c r="D32" s="611">
        <f>IF(AND('rates, dates, etc'!$B$30="Contract College",'rates, dates, etc'!$B$31="On"),'Lead Budget'!D47,0)+IF(AND('rates, dates, etc'!$B$136="Contract College",'rates, dates, etc'!$B$137="On"),Stedman!D47,0)+IF(AND('rates, dates, etc'!$B$242="Contract College",'rates, dates, etc'!$B$243="On"),'Co PI 2'!D47,0)+IF(AND('rates, dates, etc'!$B$348="Contract College",'rates, dates, etc'!$B$349="On"),'Co PI 3'!D47,0)+IF(AND('rates, dates, etc'!$B$454="Contract College",'rates, dates, etc'!$B$455="On"),'Co-PI Budget (4)'!D47,0)+IF(AND('rates, dates, etc'!$B$560="Contract College",'rates, dates, etc'!$B$561="On"),'Co-PI Budget (5)'!D47,0)</f>
        <v>0</v>
      </c>
      <c r="E32" s="611">
        <f>IF(AND('rates, dates, etc'!$B$30="Contract College",'rates, dates, etc'!$B$31="On"),'Lead Budget'!E47,0)+IF(AND('rates, dates, etc'!$B$136="Contract College",'rates, dates, etc'!$B$137="On"),Stedman!E47,0)+IF(AND('rates, dates, etc'!$B$242="Contract College",'rates, dates, etc'!$B$243="On"),'Co PI 2'!E47,0)+IF(AND('rates, dates, etc'!$B$348="Contract College",'rates, dates, etc'!$B$349="On"),'Co PI 3'!E47,0)+IF(AND('rates, dates, etc'!$B$454="Contract College",'rates, dates, etc'!$B$455="On"),'Co-PI Budget (4)'!E47,0)+IF(AND('rates, dates, etc'!$B$560="Contract College",'rates, dates, etc'!$B$561="On"),'Co-PI Budget (5)'!E47,0)</f>
        <v>0</v>
      </c>
      <c r="F32" s="611">
        <f>IF(AND('rates, dates, etc'!$B$30="Contract College",'rates, dates, etc'!$B$31="On"),'Lead Budget'!F47,0)+IF(AND('rates, dates, etc'!$B$136="Contract College",'rates, dates, etc'!$B$137="On"),Stedman!F47,0)+IF(AND('rates, dates, etc'!$B$242="Contract College",'rates, dates, etc'!$B$243="On"),'Co PI 2'!F47,0)+IF(AND('rates, dates, etc'!$B$348="Contract College",'rates, dates, etc'!$B$349="On"),'Co PI 3'!F47,0)+IF(AND('rates, dates, etc'!$B$454="Contract College",'rates, dates, etc'!$B$455="On"),'Co-PI Budget (4)'!F47,0)+IF(AND('rates, dates, etc'!$B$560="Contract College",'rates, dates, etc'!$B$561="On"),'Co-PI Budget (5)'!F47,0)</f>
        <v>0</v>
      </c>
      <c r="G32" s="27">
        <f t="shared" si="15"/>
        <v>0</v>
      </c>
      <c r="I32" s="10" t="s">
        <v>92</v>
      </c>
      <c r="J32" s="611">
        <f>IF(AND('rates, dates, etc'!$B$30="Contract College",'rates, dates, etc'!$B$31="Off"),'Lead Budget'!B47,0)+IF(AND('rates, dates, etc'!$B$136="Contract College",'rates, dates, etc'!$B$137="Off"),Stedman!B47,0)+IF(AND('rates, dates, etc'!$B$242="Contract College",'rates, dates, etc'!$B$243="Off"),'Co PI 2'!B47,0)+IF(AND('rates, dates, etc'!$B$348="Contract College",'rates, dates, etc'!$B$349="Off"),'Co PI 3'!B47,0)+IF(AND('rates, dates, etc'!$B$454="Contract College",'rates, dates, etc'!$B$455="Off"),'Co-PI Budget (4)'!B47,0)+IF(AND('rates, dates, etc'!$B$560="Contract College",'rates, dates, etc'!$B$561="Off"),'Co-PI Budget (5)'!B47,0)</f>
        <v>0</v>
      </c>
      <c r="K32" s="611">
        <f>IF(AND('rates, dates, etc'!$B$30="Contract College",'rates, dates, etc'!$B$31="Off"),'Lead Budget'!C47,0)+IF(AND('rates, dates, etc'!$B$136="Contract College",'rates, dates, etc'!$B$137="Off"),Stedman!C47,0)+IF(AND('rates, dates, etc'!$B$242="Contract College",'rates, dates, etc'!$B$243="Off"),'Co PI 2'!C47,0)+IF(AND('rates, dates, etc'!$B$348="Contract College",'rates, dates, etc'!$B$349="Off"),'Co PI 3'!C47,0)+IF(AND('rates, dates, etc'!$B$454="Contract College",'rates, dates, etc'!$B$455="Off"),'Co-PI Budget (4)'!C47,0)+IF(AND('rates, dates, etc'!$B$560="Contract College",'rates, dates, etc'!$B$561="Off"),'Co-PI Budget (5)'!C47,0)</f>
        <v>0</v>
      </c>
      <c r="L32" s="611">
        <f>IF(AND('rates, dates, etc'!$B$30="Contract College",'rates, dates, etc'!$B$31="Off"),'Lead Budget'!D47,0)+IF(AND('rates, dates, etc'!$B$136="Contract College",'rates, dates, etc'!$B$137="Off"),Stedman!D47,0)+IF(AND('rates, dates, etc'!$B$242="Contract College",'rates, dates, etc'!$B$243="Off"),'Co PI 2'!D47,0)+IF(AND('rates, dates, etc'!$B$348="Contract College",'rates, dates, etc'!$B$349="Off"),'Co PI 3'!D47,0)+IF(AND('rates, dates, etc'!$B$454="Contract College",'rates, dates, etc'!$B$455="Off"),'Co-PI Budget (4)'!D47,0)+IF(AND('rates, dates, etc'!$B$560="Contract College",'rates, dates, etc'!$B$561="Off"),'Co-PI Budget (5)'!D47,0)</f>
        <v>0</v>
      </c>
      <c r="M32" s="611">
        <f>IF(AND('rates, dates, etc'!$B$30="Contract College",'rates, dates, etc'!$B$31="Off"),'Lead Budget'!E47,0)+IF(AND('rates, dates, etc'!$B$136="Contract College",'rates, dates, etc'!$B$137="Off"),Stedman!E47,0)+IF(AND('rates, dates, etc'!$B$242="Contract College",'rates, dates, etc'!$B$243="Off"),'Co PI 2'!E47,0)+IF(AND('rates, dates, etc'!$B$348="Contract College",'rates, dates, etc'!$B$349="Off"),'Co PI 3'!E47,0)+IF(AND('rates, dates, etc'!$B$454="Contract College",'rates, dates, etc'!$B$455="Off"),'Co-PI Budget (4)'!E47,0)+IF(AND('rates, dates, etc'!$B$560="Contract College",'rates, dates, etc'!$B$561="Off"),'Co-PI Budget (5)'!E47,0)</f>
        <v>0</v>
      </c>
      <c r="N32" s="611">
        <f>IF(AND('rates, dates, etc'!$B$30="Contract College",'rates, dates, etc'!$B$31="Off"),'Lead Budget'!F47,0)+IF(AND('rates, dates, etc'!$B$136="Contract College",'rates, dates, etc'!$B$137="Off"),Stedman!F47,0)+IF(AND('rates, dates, etc'!$B$242="Contract College",'rates, dates, etc'!$B$243="Off"),'Co PI 2'!F47,0)+IF(AND('rates, dates, etc'!$B$348="Contract College",'rates, dates, etc'!$B$349="Off"),'Co PI 3'!F47,0)+IF(AND('rates, dates, etc'!$B$454="Contract College",'rates, dates, etc'!$B$455="Off"),'Co-PI Budget (4)'!F47,0)+IF(AND('rates, dates, etc'!$B$560="Contract College",'rates, dates, etc'!$B$561="Off"),'Co-PI Budget (5)'!F47,0)</f>
        <v>0</v>
      </c>
      <c r="O32" s="27">
        <f t="shared" si="16"/>
        <v>0</v>
      </c>
    </row>
    <row r="33" spans="1:15" x14ac:dyDescent="0.25">
      <c r="A33" s="10" t="s">
        <v>266</v>
      </c>
      <c r="B33" s="611">
        <f>IF(AND('rates, dates, etc'!$B$30="Contract College",'rates, dates, etc'!$B$31="On"),SUM('Lead Budget'!B48:B49),0)+IF(AND('rates, dates, etc'!$B$136="Contract College",'rates, dates, etc'!$B$137="On"),SUM(Stedman!B48:B49),0)+IF(AND('rates, dates, etc'!$B$242="Contract College",'rates, dates, etc'!$B$243="On"),SUM('Co PI 2'!B48:B49),0)+IF(AND('rates, dates, etc'!$B$348="Contract College",'rates, dates, etc'!$B$349="On"),SUM('Co PI 3'!B48:B49),0)+IF(AND('rates, dates, etc'!$B$454="Contract College",'rates, dates, etc'!$B$455="On"),SUM('Co-PI Budget (4)'!B48:B49),0)+IF(AND('rates, dates, etc'!$B$560="Contract College",'rates, dates, etc'!$B$561="On"),SUM('Co-PI Budget (5)'!B48:B49),0)</f>
        <v>0</v>
      </c>
      <c r="C33" s="611">
        <f>IF(AND('rates, dates, etc'!$B$30="Contract College",'rates, dates, etc'!$B$31="On"),SUM('Lead Budget'!C48:C49),0)+IF(AND('rates, dates, etc'!$B$136="Contract College",'rates, dates, etc'!$B$137="On"),SUM(Stedman!C48:C49),0)+IF(AND('rates, dates, etc'!$B$242="Contract College",'rates, dates, etc'!$B$243="On"),SUM('Co PI 2'!C48:C49),0)+IF(AND('rates, dates, etc'!$B$348="Contract College",'rates, dates, etc'!$B$349="On"),SUM('Co PI 3'!C48:C49),0)+IF(AND('rates, dates, etc'!$B$454="Contract College",'rates, dates, etc'!$B$455="On"),SUM('Co-PI Budget (4)'!C48:C49),0)+IF(AND('rates, dates, etc'!$B$560="Contract College",'rates, dates, etc'!$B$561="On"),SUM('Co-PI Budget (5)'!C48:C49),0)</f>
        <v>0</v>
      </c>
      <c r="D33" s="611">
        <f>IF(AND('rates, dates, etc'!$B$30="Contract College",'rates, dates, etc'!$B$31="On"),SUM('Lead Budget'!D48:D49),0)+IF(AND('rates, dates, etc'!$B$136="Contract College",'rates, dates, etc'!$B$137="On"),SUM(Stedman!D48:D49),0)+IF(AND('rates, dates, etc'!$B$242="Contract College",'rates, dates, etc'!$B$243="On"),SUM('Co PI 2'!D48:D49),0)+IF(AND('rates, dates, etc'!$B$348="Contract College",'rates, dates, etc'!$B$349="On"),SUM('Co PI 3'!D48:D49),0)+IF(AND('rates, dates, etc'!$B$454="Contract College",'rates, dates, etc'!$B$455="On"),SUM('Co-PI Budget (4)'!D48:D49),0)+IF(AND('rates, dates, etc'!$B$560="Contract College",'rates, dates, etc'!$B$561="On"),SUM('Co-PI Budget (5)'!D48:D49),0)</f>
        <v>0</v>
      </c>
      <c r="E33" s="611">
        <f>IF(AND('rates, dates, etc'!$B$30="Contract College",'rates, dates, etc'!$B$31="On"),SUM('Lead Budget'!E48:E49),0)+IF(AND('rates, dates, etc'!$B$136="Contract College",'rates, dates, etc'!$B$137="On"),SUM(Stedman!E48:E49),0)+IF(AND('rates, dates, etc'!$B$242="Contract College",'rates, dates, etc'!$B$243="On"),SUM('Co PI 2'!E48:E49),0)+IF(AND('rates, dates, etc'!$B$348="Contract College",'rates, dates, etc'!$B$349="On"),SUM('Co PI 3'!E48:E49),0)+IF(AND('rates, dates, etc'!$B$454="Contract College",'rates, dates, etc'!$B$455="On"),SUM('Co-PI Budget (4)'!E48:E49),0)+IF(AND('rates, dates, etc'!$B$560="Contract College",'rates, dates, etc'!$B$561="On"),SUM('Co-PI Budget (5)'!E48:E49),0)</f>
        <v>0</v>
      </c>
      <c r="F33" s="611">
        <f>IF(AND('rates, dates, etc'!$B$30="Contract College",'rates, dates, etc'!$B$31="On"),SUM('Lead Budget'!F48:F49),0)+IF(AND('rates, dates, etc'!$B$136="Contract College",'rates, dates, etc'!$B$137="On"),SUM(Stedman!F48:F49),0)+IF(AND('rates, dates, etc'!$B$242="Contract College",'rates, dates, etc'!$B$243="On"),SUM('Co PI 2'!F48:F49),0)+IF(AND('rates, dates, etc'!$B$348="Contract College",'rates, dates, etc'!$B$349="On"),SUM('Co PI 3'!F48:F49),0)+IF(AND('rates, dates, etc'!$B$454="Contract College",'rates, dates, etc'!$B$455="On"),SUM('Co-PI Budget (4)'!F48:F49),0)+IF(AND('rates, dates, etc'!$B$560="Contract College",'rates, dates, etc'!$B$561="On"),SUM('Co-PI Budget (5)'!F48:F49),0)</f>
        <v>0</v>
      </c>
      <c r="G33" s="27">
        <f t="shared" si="15"/>
        <v>0</v>
      </c>
      <c r="I33" s="10" t="s">
        <v>266</v>
      </c>
      <c r="J33" s="611">
        <f>IF(AND('rates, dates, etc'!$B$30="Contract College",'rates, dates, etc'!$B$31="Off"),SUM('Lead Budget'!B48:B49),0)+IF(AND('rates, dates, etc'!$B$136="Contract College",'rates, dates, etc'!$B$137="Off"),SUM(Stedman!B48:B49),0)+IF(AND('rates, dates, etc'!$B$242="Contract College",'rates, dates, etc'!$B$243="Off"),SUM('Co PI 2'!B48:B49),0)+IF(AND('rates, dates, etc'!$B$348="Contract College",'rates, dates, etc'!$B$349="Off"),SUM('Co PI 3'!B48:B49),0)+IF(AND('rates, dates, etc'!$B$454="Contract College",'rates, dates, etc'!$B$455="Off"),SUM('Co-PI Budget (4)'!B48:B49),0)+IF(AND('rates, dates, etc'!$B$560="Contract College",'rates, dates, etc'!$B$561="Off"),SUM('Co-PI Budget (5)'!B48:B49),0)</f>
        <v>0</v>
      </c>
      <c r="K33" s="611">
        <f>IF(AND('rates, dates, etc'!$B$30="Contract College",'rates, dates, etc'!$B$31="Off"),SUM('Lead Budget'!C48:C49),0)+IF(AND('rates, dates, etc'!$B$136="Contract College",'rates, dates, etc'!$B$137="Off"),SUM(Stedman!C48:C49),0)+IF(AND('rates, dates, etc'!$B$242="Contract College",'rates, dates, etc'!$B$243="Off"),SUM('Co PI 2'!C48:C49),0)+IF(AND('rates, dates, etc'!$B$348="Contract College",'rates, dates, etc'!$B$349="Off"),SUM('Co PI 3'!C48:C49),0)+IF(AND('rates, dates, etc'!$B$454="Contract College",'rates, dates, etc'!$B$455="Off"),SUM('Co-PI Budget (4)'!C48:C49),0)+IF(AND('rates, dates, etc'!$B$560="Contract College",'rates, dates, etc'!$B$561="Off"),SUM('Co-PI Budget (5)'!C48:C49),0)</f>
        <v>0</v>
      </c>
      <c r="L33" s="611">
        <f>IF(AND('rates, dates, etc'!$B$30="Contract College",'rates, dates, etc'!$B$31="Off"),SUM('Lead Budget'!D48:D49),0)+IF(AND('rates, dates, etc'!$B$136="Contract College",'rates, dates, etc'!$B$137="Off"),SUM(Stedman!D48:D49),0)+IF(AND('rates, dates, etc'!$B$242="Contract College",'rates, dates, etc'!$B$243="Off"),SUM('Co PI 2'!D48:D49),0)+IF(AND('rates, dates, etc'!$B$348="Contract College",'rates, dates, etc'!$B$349="Off"),SUM('Co PI 3'!D48:D49),0)+IF(AND('rates, dates, etc'!$B$454="Contract College",'rates, dates, etc'!$B$455="Off"),SUM('Co-PI Budget (4)'!D48:D49),0)+IF(AND('rates, dates, etc'!$B$560="Contract College",'rates, dates, etc'!$B$561="Off"),SUM('Co-PI Budget (5)'!D48:D49),0)</f>
        <v>0</v>
      </c>
      <c r="M33" s="611">
        <f>IF(AND('rates, dates, etc'!$B$30="Contract College",'rates, dates, etc'!$B$31="Off"),SUM('Lead Budget'!E48:E49),0)+IF(AND('rates, dates, etc'!$B$136="Contract College",'rates, dates, etc'!$B$137="Off"),SUM(Stedman!E48:E49),0)+IF(AND('rates, dates, etc'!$B$242="Contract College",'rates, dates, etc'!$B$243="Off"),SUM('Co PI 2'!E48:E49),0)+IF(AND('rates, dates, etc'!$B$348="Contract College",'rates, dates, etc'!$B$349="Off"),SUM('Co PI 3'!E48:E49),0)+IF(AND('rates, dates, etc'!$B$454="Contract College",'rates, dates, etc'!$B$455="Off"),SUM('Co-PI Budget (4)'!E48:E49),0)+IF(AND('rates, dates, etc'!$B$560="Contract College",'rates, dates, etc'!$B$561="Off"),SUM('Co-PI Budget (5)'!E48:E49),0)</f>
        <v>0</v>
      </c>
      <c r="N33" s="611">
        <f>IF(AND('rates, dates, etc'!$B$30="Contract College",'rates, dates, etc'!$B$31="Off"),SUM('Lead Budget'!F48:F49),0)+IF(AND('rates, dates, etc'!$B$136="Contract College",'rates, dates, etc'!$B$137="Off"),SUM(Stedman!F48:F49),0)+IF(AND('rates, dates, etc'!$B$242="Contract College",'rates, dates, etc'!$B$243="Off"),SUM('Co PI 2'!F48:F49),0)+IF(AND('rates, dates, etc'!$B$348="Contract College",'rates, dates, etc'!$B$349="Off"),SUM('Co PI 3'!F48:F49),0)+IF(AND('rates, dates, etc'!$B$454="Contract College",'rates, dates, etc'!$B$455="Off"),SUM('Co-PI Budget (4)'!F48:F49),0)+IF(AND('rates, dates, etc'!$B$560="Contract College",'rates, dates, etc'!$B$561="Off"),SUM('Co-PI Budget (5)'!F48:F49),0)</f>
        <v>0</v>
      </c>
      <c r="O33" s="27">
        <f t="shared" si="16"/>
        <v>0</v>
      </c>
    </row>
    <row r="34" spans="1:15" x14ac:dyDescent="0.25">
      <c r="A34" s="10" t="s">
        <v>268</v>
      </c>
      <c r="B34" s="611">
        <f>IF(AND('rates, dates, etc'!$B$30="Contract College",'rates, dates, etc'!$B$31="On"),'Lead Budget'!B50,0)+IF(AND('rates, dates, etc'!$B$136="Contract College",'rates, dates, etc'!$B$137="On"),Stedman!B50,0)+IF(AND('rates, dates, etc'!$B$242="Contract College",'rates, dates, etc'!$B$243="On"),'Co PI 2'!B50,0)+IF(AND('rates, dates, etc'!$B$348="Contract College",'rates, dates, etc'!$B$349="On"),'Co PI 3'!B50,0)+IF(AND('rates, dates, etc'!$B$454="Contract College",'rates, dates, etc'!$B$455="On"),'Co-PI Budget (4)'!B50,0)+IF(AND('rates, dates, etc'!$B$560="Contract College",'rates, dates, etc'!$B$561="On"),'Co-PI Budget (5)'!B50,0)</f>
        <v>0</v>
      </c>
      <c r="C34" s="611">
        <f>IF(AND('rates, dates, etc'!$B$30="Contract College",'rates, dates, etc'!$B$31="On"),'Lead Budget'!C50,0)+IF(AND('rates, dates, etc'!$B$136="Contract College",'rates, dates, etc'!$B$137="On"),Stedman!C50,0)+IF(AND('rates, dates, etc'!$B$242="Contract College",'rates, dates, etc'!$B$243="On"),'Co PI 2'!C50,0)+IF(AND('rates, dates, etc'!$B$348="Contract College",'rates, dates, etc'!$B$349="On"),'Co PI 3'!C50,0)+IF(AND('rates, dates, etc'!$B$454="Contract College",'rates, dates, etc'!$B$455="On"),'Co-PI Budget (4)'!C50,0)+IF(AND('rates, dates, etc'!$B$560="Contract College",'rates, dates, etc'!$B$561="On"),'Co-PI Budget (5)'!C50,0)</f>
        <v>0</v>
      </c>
      <c r="D34" s="611">
        <f>IF(AND('rates, dates, etc'!$B$30="Contract College",'rates, dates, etc'!$B$31="On"),'Lead Budget'!D50,0)+IF(AND('rates, dates, etc'!$B$136="Contract College",'rates, dates, etc'!$B$137="On"),Stedman!D50,0)+IF(AND('rates, dates, etc'!$B$242="Contract College",'rates, dates, etc'!$B$243="On"),'Co PI 2'!D50,0)+IF(AND('rates, dates, etc'!$B$348="Contract College",'rates, dates, etc'!$B$349="On"),'Co PI 3'!D50,0)+IF(AND('rates, dates, etc'!$B$454="Contract College",'rates, dates, etc'!$B$455="On"),'Co-PI Budget (4)'!D50,0)+IF(AND('rates, dates, etc'!$B$560="Contract College",'rates, dates, etc'!$B$561="On"),'Co-PI Budget (5)'!D50,0)</f>
        <v>0</v>
      </c>
      <c r="E34" s="611">
        <f>IF(AND('rates, dates, etc'!$B$30="Contract College",'rates, dates, etc'!$B$31="On"),'Lead Budget'!E50,0)+IF(AND('rates, dates, etc'!$B$136="Contract College",'rates, dates, etc'!$B$137="On"),Stedman!E50,0)+IF(AND('rates, dates, etc'!$B$242="Contract College",'rates, dates, etc'!$B$243="On"),'Co PI 2'!E50,0)+IF(AND('rates, dates, etc'!$B$348="Contract College",'rates, dates, etc'!$B$349="On"),'Co PI 3'!E50,0)+IF(AND('rates, dates, etc'!$B$454="Contract College",'rates, dates, etc'!$B$455="On"),'Co-PI Budget (4)'!E50,0)+IF(AND('rates, dates, etc'!$B$560="Contract College",'rates, dates, etc'!$B$561="On"),'Co-PI Budget (5)'!E50,0)</f>
        <v>0</v>
      </c>
      <c r="F34" s="611">
        <f>IF(AND('rates, dates, etc'!$B$30="Contract College",'rates, dates, etc'!$B$31="On"),'Lead Budget'!F50,0)+IF(AND('rates, dates, etc'!$B$136="Contract College",'rates, dates, etc'!$B$137="On"),Stedman!F50,0)+IF(AND('rates, dates, etc'!$B$242="Contract College",'rates, dates, etc'!$B$243="On"),'Co PI 2'!F50,0)+IF(AND('rates, dates, etc'!$B$348="Contract College",'rates, dates, etc'!$B$349="On"),'Co PI 3'!F50,0)+IF(AND('rates, dates, etc'!$B$454="Contract College",'rates, dates, etc'!$B$455="On"),'Co-PI Budget (4)'!F50,0)+IF(AND('rates, dates, etc'!$B$560="Contract College",'rates, dates, etc'!$B$561="On"),'Co-PI Budget (5)'!F50,0)</f>
        <v>0</v>
      </c>
      <c r="G34" s="27">
        <f t="shared" si="15"/>
        <v>0</v>
      </c>
      <c r="I34" s="10" t="s">
        <v>268</v>
      </c>
      <c r="J34" s="611">
        <f>IF(AND('rates, dates, etc'!$B$30="Contract College",'rates, dates, etc'!$B$31="Off"),'Lead Budget'!B50,0)+IF(AND('rates, dates, etc'!$B$136="Contract College",'rates, dates, etc'!$B$137="Off"),Stedman!B50,0)+IF(AND('rates, dates, etc'!$B$242="Contract College",'rates, dates, etc'!$B$243="Off"),'Co PI 2'!B50,0)+IF(AND('rates, dates, etc'!$B$348="Contract College",'rates, dates, etc'!$B$349="Off"),'Co PI 3'!B50,0)+IF(AND('rates, dates, etc'!$B$454="Contract College",'rates, dates, etc'!$B$455="Off"),'Co-PI Budget (4)'!B50,0)+IF(AND('rates, dates, etc'!$B$560="Contract College",'rates, dates, etc'!$B$561="Off"),'Co-PI Budget (5)'!B50,0)</f>
        <v>0</v>
      </c>
      <c r="K34" s="611">
        <f>IF(AND('rates, dates, etc'!$B$30="Contract College",'rates, dates, etc'!$B$31="Off"),'Lead Budget'!C50,0)+IF(AND('rates, dates, etc'!$B$136="Contract College",'rates, dates, etc'!$B$137="Off"),Stedman!C50,0)+IF(AND('rates, dates, etc'!$B$242="Contract College",'rates, dates, etc'!$B$243="Off"),'Co PI 2'!C50,0)+IF(AND('rates, dates, etc'!$B$348="Contract College",'rates, dates, etc'!$B$349="Off"),'Co PI 3'!C50,0)+IF(AND('rates, dates, etc'!$B$454="Contract College",'rates, dates, etc'!$B$455="Off"),'Co-PI Budget (4)'!C50,0)+IF(AND('rates, dates, etc'!$B$560="Contract College",'rates, dates, etc'!$B$561="Off"),'Co-PI Budget (5)'!C50,0)</f>
        <v>0</v>
      </c>
      <c r="L34" s="611">
        <f>IF(AND('rates, dates, etc'!$B$30="Contract College",'rates, dates, etc'!$B$31="Off"),'Lead Budget'!D50,0)+IF(AND('rates, dates, etc'!$B$136="Contract College",'rates, dates, etc'!$B$137="Off"),Stedman!D50,0)+IF(AND('rates, dates, etc'!$B$242="Contract College",'rates, dates, etc'!$B$243="Off"),'Co PI 2'!D50,0)+IF(AND('rates, dates, etc'!$B$348="Contract College",'rates, dates, etc'!$B$349="Off"),'Co PI 3'!D50,0)+IF(AND('rates, dates, etc'!$B$454="Contract College",'rates, dates, etc'!$B$455="Off"),'Co-PI Budget (4)'!D50,0)+IF(AND('rates, dates, etc'!$B$560="Contract College",'rates, dates, etc'!$B$561="Off"),'Co-PI Budget (5)'!D50,0)</f>
        <v>0</v>
      </c>
      <c r="M34" s="611">
        <f>IF(AND('rates, dates, etc'!$B$30="Contract College",'rates, dates, etc'!$B$31="Off"),'Lead Budget'!E50,0)+IF(AND('rates, dates, etc'!$B$136="Contract College",'rates, dates, etc'!$B$137="Off"),Stedman!E50,0)+IF(AND('rates, dates, etc'!$B$242="Contract College",'rates, dates, etc'!$B$243="Off"),'Co PI 2'!E50,0)+IF(AND('rates, dates, etc'!$B$348="Contract College",'rates, dates, etc'!$B$349="Off"),'Co PI 3'!E50,0)+IF(AND('rates, dates, etc'!$B$454="Contract College",'rates, dates, etc'!$B$455="Off"),'Co-PI Budget (4)'!E50,0)+IF(AND('rates, dates, etc'!$B$560="Contract College",'rates, dates, etc'!$B$561="Off"),'Co-PI Budget (5)'!E50,0)</f>
        <v>0</v>
      </c>
      <c r="N34" s="611">
        <f>IF(AND('rates, dates, etc'!$B$30="Contract College",'rates, dates, etc'!$B$31="Off"),'Lead Budget'!F50,0)+IF(AND('rates, dates, etc'!$B$136="Contract College",'rates, dates, etc'!$B$137="Off"),Stedman!F50,0)+IF(AND('rates, dates, etc'!$B$242="Contract College",'rates, dates, etc'!$B$243="Off"),'Co PI 2'!F50,0)+IF(AND('rates, dates, etc'!$B$348="Contract College",'rates, dates, etc'!$B$349="Off"),'Co PI 3'!F50,0)+IF(AND('rates, dates, etc'!$B$454="Contract College",'rates, dates, etc'!$B$455="Off"),'Co-PI Budget (4)'!F50,0)+IF(AND('rates, dates, etc'!$B$560="Contract College",'rates, dates, etc'!$B$561="Off"),'Co-PI Budget (5)'!F50,0)</f>
        <v>0</v>
      </c>
      <c r="O34" s="27">
        <f t="shared" si="16"/>
        <v>0</v>
      </c>
    </row>
    <row r="35" spans="1:15" x14ac:dyDescent="0.25">
      <c r="A35" s="10" t="s">
        <v>275</v>
      </c>
      <c r="B35" s="611">
        <f>IF(AND('rates, dates, etc'!$B$30="Contract College",'rates, dates, etc'!$B$31="On"),SUM('Lead Budget'!B52:B53),0)+IF(AND('rates, dates, etc'!$B$136="Contract College",'rates, dates, etc'!$B$137="On"),SUM(Stedman!B52:B53),0)+IF(AND('rates, dates, etc'!$B$242="Contract College",'rates, dates, etc'!$B$243="On"),SUM('Co PI 2'!B52:B53),0)+IF(AND('rates, dates, etc'!$B$348="Contract College",'rates, dates, etc'!$B$349="On"),SUM('Co PI 3'!B52:B53),0)+IF(AND('rates, dates, etc'!$B$454="Contract College",'rates, dates, etc'!$B$455="On"),SUM('Co-PI Budget (4)'!B52:B53),0)+IF(AND('rates, dates, etc'!$B$560="Contract College",'rates, dates, etc'!$B$561="On"),SUM('Co-PI Budget (5)'!B52:B53),0)</f>
        <v>0</v>
      </c>
      <c r="C35" s="611">
        <f>IF(AND('rates, dates, etc'!$B$30="Contract College",'rates, dates, etc'!$B$31="On"),SUM('Lead Budget'!C52:C53),0)+IF(AND('rates, dates, etc'!$B$136="Contract College",'rates, dates, etc'!$B$137="On"),SUM(Stedman!C52:C53),0)+IF(AND('rates, dates, etc'!$B$242="Contract College",'rates, dates, etc'!$B$243="On"),SUM('Co PI 2'!C52:C53),0)+IF(AND('rates, dates, etc'!$B$348="Contract College",'rates, dates, etc'!$B$349="On"),SUM('Co PI 3'!C52:C53),0)+IF(AND('rates, dates, etc'!$B$454="Contract College",'rates, dates, etc'!$B$455="On"),SUM('Co-PI Budget (4)'!C52:C53),0)+IF(AND('rates, dates, etc'!$B$560="Contract College",'rates, dates, etc'!$B$561="On"),SUM('Co-PI Budget (5)'!C52:C53),0)</f>
        <v>0</v>
      </c>
      <c r="D35" s="611">
        <f>IF(AND('rates, dates, etc'!$B$30="Contract College",'rates, dates, etc'!$B$31="On"),SUM('Lead Budget'!D52:D53),0)+IF(AND('rates, dates, etc'!$B$136="Contract College",'rates, dates, etc'!$B$137="On"),SUM(Stedman!D52:D53),0)+IF(AND('rates, dates, etc'!$B$242="Contract College",'rates, dates, etc'!$B$243="On"),SUM('Co PI 2'!D52:D53),0)+IF(AND('rates, dates, etc'!$B$348="Contract College",'rates, dates, etc'!$B$349="On"),SUM('Co PI 3'!D52:D53),0)+IF(AND('rates, dates, etc'!$B$454="Contract College",'rates, dates, etc'!$B$455="On"),SUM('Co-PI Budget (4)'!D52:D53),0)+IF(AND('rates, dates, etc'!$B$560="Contract College",'rates, dates, etc'!$B$561="On"),SUM('Co-PI Budget (5)'!D52:D53),0)</f>
        <v>0</v>
      </c>
      <c r="E35" s="611">
        <f>IF(AND('rates, dates, etc'!$B$30="Contract College",'rates, dates, etc'!$B$31="On"),SUM('Lead Budget'!E52:E53),0)+IF(AND('rates, dates, etc'!$B$136="Contract College",'rates, dates, etc'!$B$137="On"),SUM(Stedman!E52:E53),0)+IF(AND('rates, dates, etc'!$B$242="Contract College",'rates, dates, etc'!$B$243="On"),SUM('Co PI 2'!E52:E53),0)+IF(AND('rates, dates, etc'!$B$348="Contract College",'rates, dates, etc'!$B$349="On"),SUM('Co PI 3'!E52:E53),0)+IF(AND('rates, dates, etc'!$B$454="Contract College",'rates, dates, etc'!$B$455="On"),SUM('Co-PI Budget (4)'!E52:E53),0)+IF(AND('rates, dates, etc'!$B$560="Contract College",'rates, dates, etc'!$B$561="On"),SUM('Co-PI Budget (5)'!E52:E53),0)</f>
        <v>0</v>
      </c>
      <c r="F35" s="611">
        <f>IF(AND('rates, dates, etc'!$B$30="Contract College",'rates, dates, etc'!$B$31="On"),SUM('Lead Budget'!F52:F53),0)+IF(AND('rates, dates, etc'!$B$136="Contract College",'rates, dates, etc'!$B$137="On"),SUM(Stedman!F52:F53),0)+IF(AND('rates, dates, etc'!$B$242="Contract College",'rates, dates, etc'!$B$243="On"),SUM('Co PI 2'!F52:F53),0)+IF(AND('rates, dates, etc'!$B$348="Contract College",'rates, dates, etc'!$B$349="On"),SUM('Co PI 3'!F52:F53),0)+IF(AND('rates, dates, etc'!$B$454="Contract College",'rates, dates, etc'!$B$455="On"),SUM('Co-PI Budget (4)'!F52:F53),0)+IF(AND('rates, dates, etc'!$B$560="Contract College",'rates, dates, etc'!$B$561="On"),SUM('Co-PI Budget (5)'!F52:F53),0)</f>
        <v>0</v>
      </c>
      <c r="G35" s="27">
        <f t="shared" si="15"/>
        <v>0</v>
      </c>
      <c r="I35" s="10" t="s">
        <v>275</v>
      </c>
      <c r="J35" s="611">
        <f>IF(AND('rates, dates, etc'!$B$30="Contract College",'rates, dates, etc'!$B$31="Off"),SUM('Lead Budget'!B52:B53),0)+IF(AND('rates, dates, etc'!$B$136="Contract College",'rates, dates, etc'!$B$137="Off"),SUM(Stedman!B52:B53),0)+IF(AND('rates, dates, etc'!$B$242="Contract College",'rates, dates, etc'!$B$243="Off"),SUM('Co PI 2'!B52:B53),0)+IF(AND('rates, dates, etc'!$B$348="Contract College",'rates, dates, etc'!$B$349="Off"),SUM('Co PI 3'!B52:B53),0)+IF(AND('rates, dates, etc'!$B$454="Contract College",'rates, dates, etc'!$B$455="Off"),SUM('Co-PI Budget (4)'!B52:B53),0)+IF(AND('rates, dates, etc'!$B$560="Contract College",'rates, dates, etc'!$B$561="Off"),SUM('Co-PI Budget (5)'!B52:B53),0)</f>
        <v>0</v>
      </c>
      <c r="K35" s="611">
        <f>IF(AND('rates, dates, etc'!$B$30="Contract College",'rates, dates, etc'!$B$31="Off"),SUM('Lead Budget'!C52:C53),0)+IF(AND('rates, dates, etc'!$B$136="Contract College",'rates, dates, etc'!$B$137="Off"),SUM(Stedman!C52:C53),0)+IF(AND('rates, dates, etc'!$B$242="Contract College",'rates, dates, etc'!$B$243="Off"),SUM('Co PI 2'!C52:C53),0)+IF(AND('rates, dates, etc'!$B$348="Contract College",'rates, dates, etc'!$B$349="Off"),SUM('Co PI 3'!C52:C53),0)+IF(AND('rates, dates, etc'!$B$454="Contract College",'rates, dates, etc'!$B$455="Off"),SUM('Co-PI Budget (4)'!C52:C53),0)+IF(AND('rates, dates, etc'!$B$560="Contract College",'rates, dates, etc'!$B$561="Off"),SUM('Co-PI Budget (5)'!C52:C53),0)</f>
        <v>0</v>
      </c>
      <c r="L35" s="611">
        <f>IF(AND('rates, dates, etc'!$B$30="Contract College",'rates, dates, etc'!$B$31="Off"),SUM('Lead Budget'!D52:D53),0)+IF(AND('rates, dates, etc'!$B$136="Contract College",'rates, dates, etc'!$B$137="Off"),SUM(Stedman!D52:D53),0)+IF(AND('rates, dates, etc'!$B$242="Contract College",'rates, dates, etc'!$B$243="Off"),SUM('Co PI 2'!D52:D53),0)+IF(AND('rates, dates, etc'!$B$348="Contract College",'rates, dates, etc'!$B$349="Off"),SUM('Co PI 3'!D52:D53),0)+IF(AND('rates, dates, etc'!$B$454="Contract College",'rates, dates, etc'!$B$455="Off"),SUM('Co-PI Budget (4)'!D52:D53),0)+IF(AND('rates, dates, etc'!$B$560="Contract College",'rates, dates, etc'!$B$561="Off"),SUM('Co-PI Budget (5)'!D52:D53),0)</f>
        <v>0</v>
      </c>
      <c r="M35" s="611">
        <f>IF(AND('rates, dates, etc'!$B$30="Contract College",'rates, dates, etc'!$B$31="Off"),SUM('Lead Budget'!E52:E53),0)+IF(AND('rates, dates, etc'!$B$136="Contract College",'rates, dates, etc'!$B$137="Off"),SUM(Stedman!E52:E53),0)+IF(AND('rates, dates, etc'!$B$242="Contract College",'rates, dates, etc'!$B$243="Off"),SUM('Co PI 2'!E52:E53),0)+IF(AND('rates, dates, etc'!$B$348="Contract College",'rates, dates, etc'!$B$349="Off"),SUM('Co PI 3'!E52:E53),0)+IF(AND('rates, dates, etc'!$B$454="Contract College",'rates, dates, etc'!$B$455="Off"),SUM('Co-PI Budget (4)'!E52:E53),0)+IF(AND('rates, dates, etc'!$B$560="Contract College",'rates, dates, etc'!$B$561="Off"),SUM('Co-PI Budget (5)'!E52:E53),0)</f>
        <v>0</v>
      </c>
      <c r="N35" s="611">
        <f>IF(AND('rates, dates, etc'!$B$30="Contract College",'rates, dates, etc'!$B$31="Off"),SUM('Lead Budget'!F52:F53),0)+IF(AND('rates, dates, etc'!$B$136="Contract College",'rates, dates, etc'!$B$137="Off"),SUM(Stedman!F52:F53),0)+IF(AND('rates, dates, etc'!$B$242="Contract College",'rates, dates, etc'!$B$243="Off"),SUM('Co PI 2'!F52:F53),0)+IF(AND('rates, dates, etc'!$B$348="Contract College",'rates, dates, etc'!$B$349="Off"),SUM('Co PI 3'!F52:F53),0)+IF(AND('rates, dates, etc'!$B$454="Contract College",'rates, dates, etc'!$B$455="Off"),SUM('Co-PI Budget (4)'!F52:F53),0)+IF(AND('rates, dates, etc'!$B$560="Contract College",'rates, dates, etc'!$B$561="Off"),SUM('Co-PI Budget (5)'!F52:F53),0)</f>
        <v>0</v>
      </c>
      <c r="O35" s="27">
        <f t="shared" si="16"/>
        <v>0</v>
      </c>
    </row>
    <row r="36" spans="1:15" x14ac:dyDescent="0.25">
      <c r="A36" s="10" t="s">
        <v>267</v>
      </c>
      <c r="B36" s="611">
        <f>IF(AND('rates, dates, etc'!$B$30="Contract College",'rates, dates, etc'!$B$31="On"),SUM('Lead Budget'!B51:B54),0)+IF(AND('rates, dates, etc'!$B$136="Contract College",'rates, dates, etc'!$B$137="On"),SUM(Stedman!B51:B54),0)+IF(AND('rates, dates, etc'!$B$242="Contract College",'rates, dates, etc'!$B$243="On"),SUM('Co PI 2'!B51:B54),0)+IF(AND('rates, dates, etc'!$B$348="Contract College",'rates, dates, etc'!$B$349="On"),SUM('Co PI 3'!B51:B54),0)+IF(AND('rates, dates, etc'!$B$454="Contract College",'rates, dates, etc'!$B$455="On"),SUM('Co-PI Budget (4)'!B51:B54),0)+IF(AND('rates, dates, etc'!$B$560="Contract College",'rates, dates, etc'!$B$561="On"),SUM('Co-PI Budget (5)'!B51:B54),0)-B35</f>
        <v>6033</v>
      </c>
      <c r="C36" s="611">
        <f>IF(AND('rates, dates, etc'!$B$30="Contract College",'rates, dates, etc'!$B$31="On"),SUM('Lead Budget'!C51:C54),0)+IF(AND('rates, dates, etc'!$B$136="Contract College",'rates, dates, etc'!$B$137="On"),SUM(Stedman!C51:C54),0)+IF(AND('rates, dates, etc'!$B$242="Contract College",'rates, dates, etc'!$B$243="On"),SUM('Co PI 2'!C51:C54),0)+IF(AND('rates, dates, etc'!$B$348="Contract College",'rates, dates, etc'!$B$349="On"),SUM('Co PI 3'!C51:C54),0)+IF(AND('rates, dates, etc'!$B$454="Contract College",'rates, dates, etc'!$B$455="On"),SUM('Co-PI Budget (4)'!C51:C54),0)+IF(AND('rates, dates, etc'!$B$560="Contract College",'rates, dates, etc'!$B$561="On"),SUM('Co-PI Budget (5)'!C51:C54),0)-C35</f>
        <v>889</v>
      </c>
      <c r="D36" s="611">
        <f>IF(AND('rates, dates, etc'!$B$30="Contract College",'rates, dates, etc'!$B$31="On"),SUM('Lead Budget'!D51:D54),0)+IF(AND('rates, dates, etc'!$B$136="Contract College",'rates, dates, etc'!$B$137="On"),SUM(Stedman!D51:D54),0)+IF(AND('rates, dates, etc'!$B$242="Contract College",'rates, dates, etc'!$B$243="On"),SUM('Co PI 2'!D51:D54),0)+IF(AND('rates, dates, etc'!$B$348="Contract College",'rates, dates, etc'!$B$349="On"),SUM('Co PI 3'!D51:D54),0)+IF(AND('rates, dates, etc'!$B$454="Contract College",'rates, dates, etc'!$B$455="On"),SUM('Co-PI Budget (4)'!D51:D54),0)+IF(AND('rates, dates, etc'!$B$560="Contract College",'rates, dates, etc'!$B$561="On"),SUM('Co-PI Budget (5)'!D51:D54),0)-D35</f>
        <v>0</v>
      </c>
      <c r="E36" s="611">
        <f>IF(AND('rates, dates, etc'!$B$30="Contract College",'rates, dates, etc'!$B$31="On"),SUM('Lead Budget'!E51:E54),0)+IF(AND('rates, dates, etc'!$B$136="Contract College",'rates, dates, etc'!$B$137="On"),SUM(Stedman!E51:E54),0)+IF(AND('rates, dates, etc'!$B$242="Contract College",'rates, dates, etc'!$B$243="On"),SUM('Co PI 2'!E51:E54),0)+IF(AND('rates, dates, etc'!$B$348="Contract College",'rates, dates, etc'!$B$349="On"),SUM('Co PI 3'!E51:E54),0)+IF(AND('rates, dates, etc'!$B$454="Contract College",'rates, dates, etc'!$B$455="On"),SUM('Co-PI Budget (4)'!E51:E54),0)+IF(AND('rates, dates, etc'!$B$560="Contract College",'rates, dates, etc'!$B$561="On"),SUM('Co-PI Budget (5)'!E51:E54),0)-E35</f>
        <v>0</v>
      </c>
      <c r="F36" s="611">
        <f>IF(AND('rates, dates, etc'!$B$30="Contract College",'rates, dates, etc'!$B$31="On"),SUM('Lead Budget'!F51:F54),0)+IF(AND('rates, dates, etc'!$B$136="Contract College",'rates, dates, etc'!$B$137="On"),SUM(Stedman!F51:F54),0)+IF(AND('rates, dates, etc'!$B$242="Contract College",'rates, dates, etc'!$B$243="On"),SUM('Co PI 2'!F51:F54),0)+IF(AND('rates, dates, etc'!$B$348="Contract College",'rates, dates, etc'!$B$349="On"),SUM('Co PI 3'!F51:F54),0)+IF(AND('rates, dates, etc'!$B$454="Contract College",'rates, dates, etc'!$B$455="On"),SUM('Co-PI Budget (4)'!F51:F54),0)+IF(AND('rates, dates, etc'!$B$560="Contract College",'rates, dates, etc'!$B$561="On"),SUM('Co-PI Budget (5)'!F51:F54),0)-F35</f>
        <v>0</v>
      </c>
      <c r="G36" s="27">
        <f t="shared" si="15"/>
        <v>6922</v>
      </c>
      <c r="I36" s="10" t="s">
        <v>267</v>
      </c>
      <c r="J36" s="611">
        <f>IF(AND('rates, dates, etc'!$B$30="Contract College",'rates, dates, etc'!$B$31="Off"),SUM('Lead Budget'!B51:B54),0)+IF(AND('rates, dates, etc'!$B$136="Contract College",'rates, dates, etc'!$B$137="Off"),SUM(Stedman!B51:B54),0)+IF(AND('rates, dates, etc'!$B$242="Contract College",'rates, dates, etc'!$B$243="Off"),SUM('Co PI 2'!B51:B54),0)+IF(AND('rates, dates, etc'!$B$348="Contract College",'rates, dates, etc'!$B$349="Off"),SUM('Co PI 3'!B51:B54),0)+IF(AND('rates, dates, etc'!$B$454="Contract College",'rates, dates, etc'!$B$455="Off"),SUM('Co-PI Budget (4)'!B51:B54),0)+IF(AND('rates, dates, etc'!$B$560="Contract College",'rates, dates, etc'!$B$561="Off"),SUM('Co-PI Budget (5)'!B51:B54),0)-J35</f>
        <v>0</v>
      </c>
      <c r="K36" s="611">
        <f>IF(AND('rates, dates, etc'!$B$30="Contract College",'rates, dates, etc'!$B$31="Off"),SUM('Lead Budget'!C51:C54),0)+IF(AND('rates, dates, etc'!$B$136="Contract College",'rates, dates, etc'!$B$137="Off"),SUM(Stedman!C51:C54),0)+IF(AND('rates, dates, etc'!$B$242="Contract College",'rates, dates, etc'!$B$243="Off"),SUM('Co PI 2'!C51:C54),0)+IF(AND('rates, dates, etc'!$B$348="Contract College",'rates, dates, etc'!$B$349="Off"),SUM('Co PI 3'!C51:C54),0)+IF(AND('rates, dates, etc'!$B$454="Contract College",'rates, dates, etc'!$B$455="Off"),SUM('Co-PI Budget (4)'!C51:C54),0)+IF(AND('rates, dates, etc'!$B$560="Contract College",'rates, dates, etc'!$B$561="Off"),SUM('Co-PI Budget (5)'!C51:C54),0)-K35</f>
        <v>0</v>
      </c>
      <c r="L36" s="611">
        <f>IF(AND('rates, dates, etc'!$B$30="Contract College",'rates, dates, etc'!$B$31="Off"),SUM('Lead Budget'!D51:D54),0)+IF(AND('rates, dates, etc'!$B$136="Contract College",'rates, dates, etc'!$B$137="Off"),SUM(Stedman!D51:D54),0)+IF(AND('rates, dates, etc'!$B$242="Contract College",'rates, dates, etc'!$B$243="Off"),SUM('Co PI 2'!D51:D54),0)+IF(AND('rates, dates, etc'!$B$348="Contract College",'rates, dates, etc'!$B$349="Off"),SUM('Co PI 3'!D51:D54),0)+IF(AND('rates, dates, etc'!$B$454="Contract College",'rates, dates, etc'!$B$455="Off"),SUM('Co-PI Budget (4)'!D51:D54),0)+IF(AND('rates, dates, etc'!$B$560="Contract College",'rates, dates, etc'!$B$561="Off"),SUM('Co-PI Budget (5)'!D51:D54),0)-L35</f>
        <v>0</v>
      </c>
      <c r="M36" s="611">
        <f>IF(AND('rates, dates, etc'!$B$30="Contract College",'rates, dates, etc'!$B$31="Off"),SUM('Lead Budget'!E51:E54),0)+IF(AND('rates, dates, etc'!$B$136="Contract College",'rates, dates, etc'!$B$137="Off"),SUM(Stedman!E51:E54),0)+IF(AND('rates, dates, etc'!$B$242="Contract College",'rates, dates, etc'!$B$243="Off"),SUM('Co PI 2'!E51:E54),0)+IF(AND('rates, dates, etc'!$B$348="Contract College",'rates, dates, etc'!$B$349="Off"),SUM('Co PI 3'!E51:E54),0)+IF(AND('rates, dates, etc'!$B$454="Contract College",'rates, dates, etc'!$B$455="Off"),SUM('Co-PI Budget (4)'!E51:E54),0)+IF(AND('rates, dates, etc'!$B$560="Contract College",'rates, dates, etc'!$B$561="Off"),SUM('Co-PI Budget (5)'!E51:E54),0)-M35</f>
        <v>0</v>
      </c>
      <c r="N36" s="611">
        <f>IF(AND('rates, dates, etc'!$B$30="Contract College",'rates, dates, etc'!$B$31="Off"),SUM('Lead Budget'!F51:F54),0)+IF(AND('rates, dates, etc'!$B$136="Contract College",'rates, dates, etc'!$B$137="Off"),SUM(Stedman!F51:F54),0)+IF(AND('rates, dates, etc'!$B$242="Contract College",'rates, dates, etc'!$B$243="Off"),SUM('Co PI 2'!F51:F54),0)+IF(AND('rates, dates, etc'!$B$348="Contract College",'rates, dates, etc'!$B$349="Off"),SUM('Co PI 3'!F51:F54),0)+IF(AND('rates, dates, etc'!$B$454="Contract College",'rates, dates, etc'!$B$455="Off"),SUM('Co-PI Budget (4)'!F51:F54),0)+IF(AND('rates, dates, etc'!$B$560="Contract College",'rates, dates, etc'!$B$561="Off"),SUM('Co-PI Budget (5)'!F51:F54),0)-N35</f>
        <v>0</v>
      </c>
      <c r="O36" s="27">
        <f t="shared" si="16"/>
        <v>0</v>
      </c>
    </row>
    <row r="37" spans="1:15" ht="15.75" thickBot="1" x14ac:dyDescent="0.3">
      <c r="A37" s="375" t="s">
        <v>269</v>
      </c>
      <c r="B37" s="376">
        <f>SUM(B26:B36)</f>
        <v>106815</v>
      </c>
      <c r="C37" s="376">
        <f>SUM(C26:C36)</f>
        <v>100157</v>
      </c>
      <c r="D37" s="376">
        <f>SUM(D26:D36)</f>
        <v>0</v>
      </c>
      <c r="E37" s="376">
        <f>SUM(E26:E36)</f>
        <v>0</v>
      </c>
      <c r="F37" s="376">
        <f>SUM(F26:F36)</f>
        <v>0</v>
      </c>
      <c r="G37" s="377">
        <f>SUM(B37:F37)</f>
        <v>206972</v>
      </c>
      <c r="I37" s="375" t="s">
        <v>269</v>
      </c>
      <c r="J37" s="376">
        <f>SUM(J26:J36)</f>
        <v>0</v>
      </c>
      <c r="K37" s="376">
        <f>SUM(K26:K36)</f>
        <v>0</v>
      </c>
      <c r="L37" s="376">
        <f>SUM(L26:L36)</f>
        <v>0</v>
      </c>
      <c r="M37" s="376">
        <f>SUM(M26:M36)</f>
        <v>0</v>
      </c>
      <c r="N37" s="376">
        <f>SUM(N26:N36)</f>
        <v>0</v>
      </c>
      <c r="O37" s="377">
        <f>SUM(J37:N37)</f>
        <v>0</v>
      </c>
    </row>
    <row r="39" spans="1:15" ht="15.75" thickBot="1" x14ac:dyDescent="0.3"/>
    <row r="40" spans="1:15" x14ac:dyDescent="0.25">
      <c r="A40" s="4"/>
      <c r="B40" s="5" t="s">
        <v>1</v>
      </c>
      <c r="C40" s="5" t="s">
        <v>2</v>
      </c>
      <c r="D40" s="5" t="s">
        <v>3</v>
      </c>
      <c r="E40" s="5" t="s">
        <v>44</v>
      </c>
      <c r="F40" s="5" t="s">
        <v>50</v>
      </c>
      <c r="G40" s="23"/>
      <c r="I40" s="4"/>
      <c r="J40" s="5" t="s">
        <v>1</v>
      </c>
      <c r="K40" s="5" t="s">
        <v>2</v>
      </c>
      <c r="L40" s="5" t="s">
        <v>3</v>
      </c>
      <c r="M40" s="5" t="s">
        <v>44</v>
      </c>
      <c r="N40" s="5" t="s">
        <v>50</v>
      </c>
      <c r="O40" s="23"/>
    </row>
    <row r="41" spans="1:15" ht="15.75" thickBot="1" x14ac:dyDescent="0.3">
      <c r="A41" s="4" t="s">
        <v>272</v>
      </c>
      <c r="B41" s="6">
        <f>+B5</f>
        <v>44927</v>
      </c>
      <c r="C41" s="6">
        <f>+B42+1</f>
        <v>45292</v>
      </c>
      <c r="D41" s="6">
        <f t="shared" ref="D41" si="17">+C42+1</f>
        <v>45658</v>
      </c>
      <c r="E41" s="6">
        <f t="shared" ref="E41" si="18">+D42+1</f>
        <v>46023</v>
      </c>
      <c r="F41" s="6">
        <f t="shared" ref="F41" si="19">+E42+1</f>
        <v>46388</v>
      </c>
      <c r="G41" s="24"/>
      <c r="I41" s="4" t="s">
        <v>274</v>
      </c>
      <c r="J41" s="6">
        <f>+B5</f>
        <v>44927</v>
      </c>
      <c r="K41" s="6">
        <f>+J42+1</f>
        <v>45292</v>
      </c>
      <c r="L41" s="6">
        <f t="shared" ref="L41" si="20">+K42+1</f>
        <v>45658</v>
      </c>
      <c r="M41" s="6">
        <f t="shared" ref="M41" si="21">+L42+1</f>
        <v>46023</v>
      </c>
      <c r="N41" s="6">
        <f t="shared" ref="N41" si="22">+M42+1</f>
        <v>46388</v>
      </c>
      <c r="O41" s="24"/>
    </row>
    <row r="42" spans="1:15" ht="15.75" thickBot="1" x14ac:dyDescent="0.3">
      <c r="A42" s="7" t="s">
        <v>4</v>
      </c>
      <c r="B42" s="8">
        <f>DATE(YEAR(B41), MONTH(B41) + 12, DAY(B41))-1</f>
        <v>45291</v>
      </c>
      <c r="C42" s="8">
        <f t="shared" ref="C42:F42" si="23">DATE(YEAR(C41), MONTH(C41) + 12, DAY(C41))-1</f>
        <v>45657</v>
      </c>
      <c r="D42" s="8">
        <f t="shared" si="23"/>
        <v>46022</v>
      </c>
      <c r="E42" s="8">
        <f t="shared" si="23"/>
        <v>46387</v>
      </c>
      <c r="F42" s="8">
        <f t="shared" si="23"/>
        <v>46752</v>
      </c>
      <c r="G42" s="25" t="s">
        <v>5</v>
      </c>
      <c r="I42" s="7" t="s">
        <v>4</v>
      </c>
      <c r="J42" s="8">
        <f>DATE(YEAR(J41), MONTH(J41) + 12, DAY(J41))-1</f>
        <v>45291</v>
      </c>
      <c r="K42" s="8">
        <f t="shared" ref="K42:N42" si="24">DATE(YEAR(K41), MONTH(K41) + 12, DAY(K41))-1</f>
        <v>45657</v>
      </c>
      <c r="L42" s="8">
        <f t="shared" si="24"/>
        <v>46022</v>
      </c>
      <c r="M42" s="8">
        <f t="shared" si="24"/>
        <v>46387</v>
      </c>
      <c r="N42" s="8">
        <f t="shared" si="24"/>
        <v>46752</v>
      </c>
      <c r="O42" s="25" t="s">
        <v>5</v>
      </c>
    </row>
    <row r="43" spans="1:15" x14ac:dyDescent="0.25">
      <c r="A43" s="10" t="s">
        <v>261</v>
      </c>
      <c r="B43" s="11">
        <f>IF(AND('rates, dates, etc'!$B$30="Endowed College",'rates, dates, etc'!$B$31="On"),'Lead Budget'!B29,0)+IF(AND('rates, dates, etc'!$B$136="Endowed College",'rates, dates, etc'!$B$137="On"),Stedman!B29,0)+IF(AND('rates, dates, etc'!$B$242="Endowed College",'rates, dates, etc'!$B$243="On"),'Co PI 2'!B29,0)+IF(AND('rates, dates, etc'!$B$348="Endowed College",'rates, dates, etc'!$B$349="On"),'Co PI 3'!B29,0)+IF(AND('rates, dates, etc'!$B$454="Endowed College",'rates, dates, etc'!$B$455="On"),'Co-PI Budget (4)'!B29,0)+IF(AND('rates, dates, etc'!$B$560="Endowed College",'rates, dates, etc'!$B$561="On"),'Co-PI Budget (5)'!B29,0)</f>
        <v>0</v>
      </c>
      <c r="C43" s="11">
        <f>IF(AND('rates, dates, etc'!$B$30="Endowed College",'rates, dates, etc'!$B$31="On"),'Lead Budget'!C29,0)+IF(AND('rates, dates, etc'!$B$136="Endowed College",'rates, dates, etc'!$B$137="On"),Stedman!C29,0)+IF(AND('rates, dates, etc'!$B$242="Endowed College",'rates, dates, etc'!$B$243="On"),'Co PI 2'!C29,0)+IF(AND('rates, dates, etc'!$B$348="Endowed College",'rates, dates, etc'!$B$349="On"),'Co PI 3'!C29,0)+IF(AND('rates, dates, etc'!$B$454="Endowed College",'rates, dates, etc'!$B$455="On"),'Co-PI Budget (4)'!C29,0)+IF(AND('rates, dates, etc'!$B$560="Endowed College",'rates, dates, etc'!$B$561="On"),'Co-PI Budget (5)'!C29,0)</f>
        <v>0</v>
      </c>
      <c r="D43" s="11">
        <f>IF(AND('rates, dates, etc'!$B$30="Endowed College",'rates, dates, etc'!$B$31="On"),'Lead Budget'!D29,0)+IF(AND('rates, dates, etc'!$B$136="Endowed College",'rates, dates, etc'!$B$137="On"),Stedman!D29,0)+IF(AND('rates, dates, etc'!$B$242="Endowed College",'rates, dates, etc'!$B$243="On"),'Co PI 2'!D29,0)+IF(AND('rates, dates, etc'!$B$348="Endowed College",'rates, dates, etc'!$B$349="On"),'Co PI 3'!D29,0)+IF(AND('rates, dates, etc'!$B$454="Endowed College",'rates, dates, etc'!$B$455="On"),'Co-PI Budget (4)'!D29,0)+IF(AND('rates, dates, etc'!$B$560="Endowed College",'rates, dates, etc'!$B$561="On"),'Co-PI Budget (5)'!D29,0)</f>
        <v>0</v>
      </c>
      <c r="E43" s="11">
        <f>IF(AND('rates, dates, etc'!$B$30="Endowed College",'rates, dates, etc'!$B$31="On"),'Lead Budget'!E29,0)+IF(AND('rates, dates, etc'!$B$136="Endowed College",'rates, dates, etc'!$B$137="On"),Stedman!E29,0)+IF(AND('rates, dates, etc'!$B$242="Endowed College",'rates, dates, etc'!$B$243="On"),'Co PI 2'!E29,0)+IF(AND('rates, dates, etc'!$B$348="Endowed College",'rates, dates, etc'!$B$349="On"),'Co PI 3'!E29,0)+IF(AND('rates, dates, etc'!$B$454="Endowed College",'rates, dates, etc'!$B$455="On"),'Co-PI Budget (4)'!E29,0)+IF(AND('rates, dates, etc'!$B$560="Endowed College",'rates, dates, etc'!$B$561="On"),'Co-PI Budget (5)'!E29,0)</f>
        <v>0</v>
      </c>
      <c r="F43" s="11">
        <f>IF(AND('rates, dates, etc'!$B$30="Endowed College",'rates, dates, etc'!$B$31="On"),'Lead Budget'!F29,0)+IF(AND('rates, dates, etc'!$B$136="Endowed College",'rates, dates, etc'!$B$137="On"),Stedman!F29,0)+IF(AND('rates, dates, etc'!$B$242="Endowed College",'rates, dates, etc'!$B$243="On"),'Co PI 2'!F29,0)+IF(AND('rates, dates, etc'!$B$348="Endowed College",'rates, dates, etc'!$B$349="On"),'Co PI 3'!F29,0)+IF(AND('rates, dates, etc'!$B$454="Endowed College",'rates, dates, etc'!$B$455="On"),'Co-PI Budget (4)'!F29,0)+IF(AND('rates, dates, etc'!$B$560="Endowed College",'rates, dates, etc'!$B$561="On"),'Co-PI Budget (5)'!F29,0)</f>
        <v>0</v>
      </c>
      <c r="G43" s="27">
        <f t="shared" ref="G43:G53" si="25">SUM(B43:F43)</f>
        <v>0</v>
      </c>
      <c r="I43" s="10" t="s">
        <v>261</v>
      </c>
      <c r="J43" s="11">
        <f>IF(AND('rates, dates, etc'!$B$30="Endowed College",'rates, dates, etc'!$B$31="Off"),'Lead Budget'!B29,0)+IF(AND('rates, dates, etc'!$B$136="Endowed College",'rates, dates, etc'!$B$137="Off"),Stedman!B29,0)+IF(AND('rates, dates, etc'!$B$242="Endowed College",'rates, dates, etc'!$B$243="Off"),'Co PI 2'!B29,0)+IF(AND('rates, dates, etc'!$B$348="Endowed College",'rates, dates, etc'!$B$349="Off"),'Co PI 3'!B29,0)+IF(AND('rates, dates, etc'!$B$454="Endowed College",'rates, dates, etc'!$B$455="Off"),'Co-PI Budget (4)'!B29,0)+IF(AND('rates, dates, etc'!$B$560="Endowed College",'rates, dates, etc'!$B$561="Off"),'Co-PI Budget (5)'!B29,0)</f>
        <v>0</v>
      </c>
      <c r="K43" s="11">
        <f>IF(AND('rates, dates, etc'!$B$30="Endowed College",'rates, dates, etc'!$B$31="Off"),'Lead Budget'!C29,0)+IF(AND('rates, dates, etc'!$B$136="Endowed College",'rates, dates, etc'!$B$137="Off"),Stedman!C29,0)+IF(AND('rates, dates, etc'!$B$242="Endowed College",'rates, dates, etc'!$B$243="Off"),'Co PI 2'!C29,0)+IF(AND('rates, dates, etc'!$B$348="Endowed College",'rates, dates, etc'!$B$349="Off"),'Co PI 3'!C29,0)+IF(AND('rates, dates, etc'!$B$454="Endowed College",'rates, dates, etc'!$B$455="Off"),'Co-PI Budget (4)'!C29,0)+IF(AND('rates, dates, etc'!$B$560="Endowed College",'rates, dates, etc'!$B$561="Off"),'Co-PI Budget (5)'!C29,0)</f>
        <v>0</v>
      </c>
      <c r="L43" s="11">
        <f>IF(AND('rates, dates, etc'!$B$30="Endowed College",'rates, dates, etc'!$B$31="Off"),'Lead Budget'!D29,0)+IF(AND('rates, dates, etc'!$B$136="Endowed College",'rates, dates, etc'!$B$137="Off"),Stedman!D29,0)+IF(AND('rates, dates, etc'!$B$242="Endowed College",'rates, dates, etc'!$B$243="Off"),'Co PI 2'!D29,0)+IF(AND('rates, dates, etc'!$B$348="Endowed College",'rates, dates, etc'!$B$349="Off"),'Co PI 3'!D29,0)+IF(AND('rates, dates, etc'!$B$454="Endowed College",'rates, dates, etc'!$B$455="Off"),'Co-PI Budget (4)'!D29,0)+IF(AND('rates, dates, etc'!$B$560="Endowed College",'rates, dates, etc'!$B$561="Off"),'Co-PI Budget (5)'!D29,0)</f>
        <v>0</v>
      </c>
      <c r="M43" s="11">
        <f>IF(AND('rates, dates, etc'!$B$30="Endowed College",'rates, dates, etc'!$B$31="Off"),'Lead Budget'!E29,0)+IF(AND('rates, dates, etc'!$B$136="Endowed College",'rates, dates, etc'!$B$137="Off"),Stedman!E29,0)+IF(AND('rates, dates, etc'!$B$242="Endowed College",'rates, dates, etc'!$B$243="Off"),'Co PI 2'!E29,0)+IF(AND('rates, dates, etc'!$B$348="Endowed College",'rates, dates, etc'!$B$349="Off"),'Co PI 3'!E29,0)+IF(AND('rates, dates, etc'!$B$454="Endowed College",'rates, dates, etc'!$B$455="Off"),'Co-PI Budget (4)'!E29,0)+IF(AND('rates, dates, etc'!$B$560="Endowed College",'rates, dates, etc'!$B$561="Off"),'Co-PI Budget (5)'!E29,0)</f>
        <v>0</v>
      </c>
      <c r="N43" s="11">
        <f>IF(AND('rates, dates, etc'!$B$30="Endowed College",'rates, dates, etc'!$B$31="Off"),'Lead Budget'!F29,0)+IF(AND('rates, dates, etc'!$B$136="Endowed College",'rates, dates, etc'!$B$137="Off"),Stedman!F29,0)+IF(AND('rates, dates, etc'!$B$242="Endowed College",'rates, dates, etc'!$B$243="Off"),'Co PI 2'!F29,0)+IF(AND('rates, dates, etc'!$B$348="Endowed College",'rates, dates, etc'!$B$349="Off"),'Co PI 3'!F29,0)+IF(AND('rates, dates, etc'!$B$454="Endowed College",'rates, dates, etc'!$B$455="Off"),'Co-PI Budget (4)'!F29,0)+IF(AND('rates, dates, etc'!$B$560="Endowed College",'rates, dates, etc'!$B$561="Off"),'Co-PI Budget (5)'!F29,0)</f>
        <v>0</v>
      </c>
      <c r="O43" s="27">
        <f t="shared" ref="O43:O53" si="26">SUM(J43:N43)</f>
        <v>0</v>
      </c>
    </row>
    <row r="44" spans="1:15" x14ac:dyDescent="0.25">
      <c r="A44" s="10" t="s">
        <v>262</v>
      </c>
      <c r="B44" s="11">
        <f>IF(AND('rates, dates, etc'!$B$30="Endowed College",'rates, dates, etc'!$B$31="On"),'Lead Budget'!B33,0)+IF(AND('rates, dates, etc'!$B$136="Endowed College",'rates, dates, etc'!$B$137="On"),Stedman!B33,0)+IF(AND('rates, dates, etc'!$B$242="Endowed College",'rates, dates, etc'!$B$243="On"),'Co PI 2'!B33,0)+IF(AND('rates, dates, etc'!$B$348="Endowed College",'rates, dates, etc'!$B$349="On"),'Co PI 3'!B33,0)+IF(AND('rates, dates, etc'!$B$454="Endowed College",'rates, dates, etc'!$B$455="On"),'Co-PI Budget (4)'!B33,0)+IF(AND('rates, dates, etc'!$B$560="Endowed College",'rates, dates, etc'!$B$561="On"),'Co-PI Budget (5)'!B33,0)</f>
        <v>0</v>
      </c>
      <c r="C44" s="11">
        <f>IF(AND('rates, dates, etc'!$B$30="Endowed College",'rates, dates, etc'!$B$31="On"),'Lead Budget'!C33,0)+IF(AND('rates, dates, etc'!$B$136="Endowed College",'rates, dates, etc'!$B$137="On"),Stedman!C33,0)+IF(AND('rates, dates, etc'!$B$242="Endowed College",'rates, dates, etc'!$B$243="On"),'Co PI 2'!C33,0)+IF(AND('rates, dates, etc'!$B$348="Endowed College",'rates, dates, etc'!$B$349="On"),'Co PI 3'!C33,0)+IF(AND('rates, dates, etc'!$B$454="Endowed College",'rates, dates, etc'!$B$455="On"),'Co-PI Budget (4)'!C33,0)+IF(AND('rates, dates, etc'!$B$560="Endowed College",'rates, dates, etc'!$B$561="On"),'Co-PI Budget (5)'!C33,0)</f>
        <v>0</v>
      </c>
      <c r="D44" s="11">
        <f>IF(AND('rates, dates, etc'!$B$30="Endowed College",'rates, dates, etc'!$B$31="On"),'Lead Budget'!D33,0)+IF(AND('rates, dates, etc'!$B$136="Endowed College",'rates, dates, etc'!$B$137="On"),Stedman!D33,0)+IF(AND('rates, dates, etc'!$B$242="Endowed College",'rates, dates, etc'!$B$243="On"),'Co PI 2'!D33,0)+IF(AND('rates, dates, etc'!$B$348="Endowed College",'rates, dates, etc'!$B$349="On"),'Co PI 3'!D33,0)+IF(AND('rates, dates, etc'!$B$454="Endowed College",'rates, dates, etc'!$B$455="On"),'Co-PI Budget (4)'!D33,0)+IF(AND('rates, dates, etc'!$B$560="Endowed College",'rates, dates, etc'!$B$561="On"),'Co-PI Budget (5)'!D33,0)</f>
        <v>0</v>
      </c>
      <c r="E44" s="11">
        <f>IF(AND('rates, dates, etc'!$B$30="Endowed College",'rates, dates, etc'!$B$31="On"),'Lead Budget'!E33,0)+IF(AND('rates, dates, etc'!$B$136="Endowed College",'rates, dates, etc'!$B$137="On"),Stedman!E33,0)+IF(AND('rates, dates, etc'!$B$242="Endowed College",'rates, dates, etc'!$B$243="On"),'Co PI 2'!E33,0)+IF(AND('rates, dates, etc'!$B$348="Endowed College",'rates, dates, etc'!$B$349="On"),'Co PI 3'!E33,0)+IF(AND('rates, dates, etc'!$B$454="Endowed College",'rates, dates, etc'!$B$455="On"),'Co-PI Budget (4)'!E33,0)+IF(AND('rates, dates, etc'!$B$560="Endowed College",'rates, dates, etc'!$B$561="On"),'Co-PI Budget (5)'!E33,0)</f>
        <v>0</v>
      </c>
      <c r="F44" s="11">
        <f>IF(AND('rates, dates, etc'!$B$30="Endowed College",'rates, dates, etc'!$B$31="On"),'Lead Budget'!F33,0)+IF(AND('rates, dates, etc'!$B$136="Endowed College",'rates, dates, etc'!$B$137="On"),Stedman!F33,0)+IF(AND('rates, dates, etc'!$B$242="Endowed College",'rates, dates, etc'!$B$243="On"),'Co PI 2'!F33,0)+IF(AND('rates, dates, etc'!$B$348="Endowed College",'rates, dates, etc'!$B$349="On"),'Co PI 3'!F33,0)+IF(AND('rates, dates, etc'!$B$454="Endowed College",'rates, dates, etc'!$B$455="On"),'Co-PI Budget (4)'!F33,0)+IF(AND('rates, dates, etc'!$B$560="Endowed College",'rates, dates, etc'!$B$561="On"),'Co-PI Budget (5)'!F33,0)</f>
        <v>0</v>
      </c>
      <c r="G44" s="27">
        <f t="shared" si="25"/>
        <v>0</v>
      </c>
      <c r="I44" s="10" t="s">
        <v>262</v>
      </c>
      <c r="J44" s="11">
        <f>IF(AND('rates, dates, etc'!$B$30="Endowed College",'rates, dates, etc'!$B$31="Off"),'Lead Budget'!B33,0)+IF(AND('rates, dates, etc'!$B$136="Endowed College",'rates, dates, etc'!$B$137="Off"),Stedman!B33,0)+IF(AND('rates, dates, etc'!$B$242="Endowed College",'rates, dates, etc'!$B$243="Off"),'Co PI 2'!B33,0)+IF(AND('rates, dates, etc'!$B$348="Endowed College",'rates, dates, etc'!$B$349="Off"),'Co PI 3'!B33,0)+IF(AND('rates, dates, etc'!$B$454="Endowed College",'rates, dates, etc'!$B$455="Off"),'Co-PI Budget (4)'!B33,0)+IF(AND('rates, dates, etc'!$B$560="Endowed College",'rates, dates, etc'!$B$561="Off"),'Co-PI Budget (5)'!B33,0)</f>
        <v>0</v>
      </c>
      <c r="K44" s="11">
        <f>IF(AND('rates, dates, etc'!$B$30="Endowed College",'rates, dates, etc'!$B$31="Off"),'Lead Budget'!C33,0)+IF(AND('rates, dates, etc'!$B$136="Endowed College",'rates, dates, etc'!$B$137="Off"),Stedman!C33,0)+IF(AND('rates, dates, etc'!$B$242="Endowed College",'rates, dates, etc'!$B$243="Off"),'Co PI 2'!C33,0)+IF(AND('rates, dates, etc'!$B$348="Endowed College",'rates, dates, etc'!$B$349="Off"),'Co PI 3'!C33,0)+IF(AND('rates, dates, etc'!$B$454="Endowed College",'rates, dates, etc'!$B$455="Off"),'Co-PI Budget (4)'!C33,0)+IF(AND('rates, dates, etc'!$B$560="Endowed College",'rates, dates, etc'!$B$561="Off"),'Co-PI Budget (5)'!C33,0)</f>
        <v>0</v>
      </c>
      <c r="L44" s="11">
        <f>IF(AND('rates, dates, etc'!$B$30="Endowed College",'rates, dates, etc'!$B$31="Off"),'Lead Budget'!D33,0)+IF(AND('rates, dates, etc'!$B$136="Endowed College",'rates, dates, etc'!$B$137="Off"),Stedman!D33,0)+IF(AND('rates, dates, etc'!$B$242="Endowed College",'rates, dates, etc'!$B$243="Off"),'Co PI 2'!D33,0)+IF(AND('rates, dates, etc'!$B$348="Endowed College",'rates, dates, etc'!$B$349="Off"),'Co PI 3'!D33,0)+IF(AND('rates, dates, etc'!$B$454="Endowed College",'rates, dates, etc'!$B$455="Off"),'Co-PI Budget (4)'!D33,0)+IF(AND('rates, dates, etc'!$B$560="Endowed College",'rates, dates, etc'!$B$561="Off"),'Co-PI Budget (5)'!D33,0)</f>
        <v>0</v>
      </c>
      <c r="M44" s="11">
        <f>IF(AND('rates, dates, etc'!$B$30="Endowed College",'rates, dates, etc'!$B$31="Off"),'Lead Budget'!E33,0)+IF(AND('rates, dates, etc'!$B$136="Endowed College",'rates, dates, etc'!$B$137="Off"),Stedman!E33,0)+IF(AND('rates, dates, etc'!$B$242="Endowed College",'rates, dates, etc'!$B$243="Off"),'Co PI 2'!E33,0)+IF(AND('rates, dates, etc'!$B$348="Endowed College",'rates, dates, etc'!$B$349="Off"),'Co PI 3'!E33,0)+IF(AND('rates, dates, etc'!$B$454="Endowed College",'rates, dates, etc'!$B$455="Off"),'Co-PI Budget (4)'!E33,0)+IF(AND('rates, dates, etc'!$B$560="Endowed College",'rates, dates, etc'!$B$561="Off"),'Co-PI Budget (5)'!E33,0)</f>
        <v>0</v>
      </c>
      <c r="N44" s="11">
        <f>IF(AND('rates, dates, etc'!$B$30="Endowed College",'rates, dates, etc'!$B$31="Off"),'Lead Budget'!F33,0)+IF(AND('rates, dates, etc'!$B$136="Endowed College",'rates, dates, etc'!$B$137="Off"),Stedman!F33,0)+IF(AND('rates, dates, etc'!$B$242="Endowed College",'rates, dates, etc'!$B$243="Off"),'Co PI 2'!F33,0)+IF(AND('rates, dates, etc'!$B$348="Endowed College",'rates, dates, etc'!$B$349="Off"),'Co PI 3'!F33,0)+IF(AND('rates, dates, etc'!$B$454="Endowed College",'rates, dates, etc'!$B$455="Off"),'Co-PI Budget (4)'!F33,0)+IF(AND('rates, dates, etc'!$B$560="Endowed College",'rates, dates, etc'!$B$561="Off"),'Co-PI Budget (5)'!F33,0)</f>
        <v>0</v>
      </c>
      <c r="O44" s="27">
        <f t="shared" si="26"/>
        <v>0</v>
      </c>
    </row>
    <row r="45" spans="1:15" x14ac:dyDescent="0.25">
      <c r="A45" s="10" t="s">
        <v>263</v>
      </c>
      <c r="B45" s="11">
        <f>IF(AND('rates, dates, etc'!$B$30="Endowed College",'rates, dates, etc'!$B$31="On"),'Lead Budget'!B35,0)+IF(AND('rates, dates, etc'!$B$136="Endowed College",'rates, dates, etc'!$B$137="On"),Stedman!B35,0)+IF(AND('rates, dates, etc'!$B$242="Endowed College",'rates, dates, etc'!$B$243="On"),'Co PI 2'!B35,0)+IF(AND('rates, dates, etc'!$B$348="Endowed College",'rates, dates, etc'!$B$349="On"),'Co PI 3'!B35,0)+IF(AND('rates, dates, etc'!$B$454="Endowed College",'rates, dates, etc'!$B$455="On"),'Co-PI Budget (4)'!B35,0)+IF(AND('rates, dates, etc'!$B$560="Endowed College",'rates, dates, etc'!$B$561="On"),'Co-PI Budget (5)'!B35,0)</f>
        <v>0</v>
      </c>
      <c r="C45" s="11">
        <f>IF(AND('rates, dates, etc'!$B$30="Endowed College",'rates, dates, etc'!$B$31="On"),'Lead Budget'!C35,0)+IF(AND('rates, dates, etc'!$B$136="Endowed College",'rates, dates, etc'!$B$137="On"),Stedman!C35,0)+IF(AND('rates, dates, etc'!$B$242="Endowed College",'rates, dates, etc'!$B$243="On"),'Co PI 2'!C35,0)+IF(AND('rates, dates, etc'!$B$348="Endowed College",'rates, dates, etc'!$B$349="On"),'Co PI 3'!C35,0)+IF(AND('rates, dates, etc'!$B$454="Endowed College",'rates, dates, etc'!$B$455="On"),'Co-PI Budget (4)'!C35,0)+IF(AND('rates, dates, etc'!$B$560="Endowed College",'rates, dates, etc'!$B$561="On"),'Co-PI Budget (5)'!C35,0)</f>
        <v>0</v>
      </c>
      <c r="D45" s="11">
        <f>IF(AND('rates, dates, etc'!$B$30="Endowed College",'rates, dates, etc'!$B$31="On"),'Lead Budget'!D35,0)+IF(AND('rates, dates, etc'!$B$136="Endowed College",'rates, dates, etc'!$B$137="On"),Stedman!D35,0)+IF(AND('rates, dates, etc'!$B$242="Endowed College",'rates, dates, etc'!$B$243="On"),'Co PI 2'!D35,0)+IF(AND('rates, dates, etc'!$B$348="Endowed College",'rates, dates, etc'!$B$349="On"),'Co PI 3'!D35,0)+IF(AND('rates, dates, etc'!$B$454="Endowed College",'rates, dates, etc'!$B$455="On"),'Co-PI Budget (4)'!D35,0)+IF(AND('rates, dates, etc'!$B$560="Endowed College",'rates, dates, etc'!$B$561="On"),'Co-PI Budget (5)'!D35,0)</f>
        <v>0</v>
      </c>
      <c r="E45" s="11">
        <f>IF(AND('rates, dates, etc'!$B$30="Endowed College",'rates, dates, etc'!$B$31="On"),'Lead Budget'!E35,0)+IF(AND('rates, dates, etc'!$B$136="Endowed College",'rates, dates, etc'!$B$137="On"),Stedman!E35,0)+IF(AND('rates, dates, etc'!$B$242="Endowed College",'rates, dates, etc'!$B$243="On"),'Co PI 2'!E35,0)+IF(AND('rates, dates, etc'!$B$348="Endowed College",'rates, dates, etc'!$B$349="On"),'Co PI 3'!E35,0)+IF(AND('rates, dates, etc'!$B$454="Endowed College",'rates, dates, etc'!$B$455="On"),'Co-PI Budget (4)'!E35,0)+IF(AND('rates, dates, etc'!$B$560="Endowed College",'rates, dates, etc'!$B$561="On"),'Co-PI Budget (5)'!E35,0)</f>
        <v>0</v>
      </c>
      <c r="F45" s="11">
        <f>IF(AND('rates, dates, etc'!$B$30="Endowed College",'rates, dates, etc'!$B$31="On"),'Lead Budget'!F35,0)+IF(AND('rates, dates, etc'!$B$136="Endowed College",'rates, dates, etc'!$B$137="On"),Stedman!F35,0)+IF(AND('rates, dates, etc'!$B$242="Endowed College",'rates, dates, etc'!$B$243="On"),'Co PI 2'!F35,0)+IF(AND('rates, dates, etc'!$B$348="Endowed College",'rates, dates, etc'!$B$349="On"),'Co PI 3'!F35,0)+IF(AND('rates, dates, etc'!$B$454="Endowed College",'rates, dates, etc'!$B$455="On"),'Co-PI Budget (4)'!F35,0)+IF(AND('rates, dates, etc'!$B$560="Endowed College",'rates, dates, etc'!$B$561="On"),'Co-PI Budget (5)'!F35,0)</f>
        <v>0</v>
      </c>
      <c r="G45" s="27">
        <f t="shared" si="25"/>
        <v>0</v>
      </c>
      <c r="I45" s="10" t="s">
        <v>263</v>
      </c>
      <c r="J45" s="11">
        <f>IF(AND('rates, dates, etc'!$B$30="Endowed College",'rates, dates, etc'!$B$31="Off"),'Lead Budget'!B35,0)+IF(AND('rates, dates, etc'!$B$136="Endowed College",'rates, dates, etc'!$B$137="Off"),Stedman!B35,0)+IF(AND('rates, dates, etc'!$B$242="Endowed College",'rates, dates, etc'!$B$243="Off"),'Co PI 2'!B35,0)+IF(AND('rates, dates, etc'!$B$348="Endowed College",'rates, dates, etc'!$B$349="Off"),'Co PI 3'!B35,0)+IF(AND('rates, dates, etc'!$B$454="Endowed College",'rates, dates, etc'!$B$455="Off"),'Co-PI Budget (4)'!B35,0)+IF(AND('rates, dates, etc'!$B$560="Endowed College",'rates, dates, etc'!$B$561="Off"),'Co-PI Budget (5)'!B35,0)</f>
        <v>0</v>
      </c>
      <c r="K45" s="11">
        <f>IF(AND('rates, dates, etc'!$B$30="Endowed College",'rates, dates, etc'!$B$31="Off"),'Lead Budget'!C35,0)+IF(AND('rates, dates, etc'!$B$136="Endowed College",'rates, dates, etc'!$B$137="Off"),Stedman!C35,0)+IF(AND('rates, dates, etc'!$B$242="Endowed College",'rates, dates, etc'!$B$243="Off"),'Co PI 2'!C35,0)+IF(AND('rates, dates, etc'!$B$348="Endowed College",'rates, dates, etc'!$B$349="Off"),'Co PI 3'!C35,0)+IF(AND('rates, dates, etc'!$B$454="Endowed College",'rates, dates, etc'!$B$455="Off"),'Co-PI Budget (4)'!C35,0)+IF(AND('rates, dates, etc'!$B$560="Endowed College",'rates, dates, etc'!$B$561="Off"),'Co-PI Budget (5)'!C35,0)</f>
        <v>0</v>
      </c>
      <c r="L45" s="11">
        <f>IF(AND('rates, dates, etc'!$B$30="Endowed College",'rates, dates, etc'!$B$31="Off"),'Lead Budget'!D35,0)+IF(AND('rates, dates, etc'!$B$136="Endowed College",'rates, dates, etc'!$B$137="Off"),Stedman!D35,0)+IF(AND('rates, dates, etc'!$B$242="Endowed College",'rates, dates, etc'!$B$243="Off"),'Co PI 2'!D35,0)+IF(AND('rates, dates, etc'!$B$348="Endowed College",'rates, dates, etc'!$B$349="Off"),'Co PI 3'!D35,0)+IF(AND('rates, dates, etc'!$B$454="Endowed College",'rates, dates, etc'!$B$455="Off"),'Co-PI Budget (4)'!D35,0)+IF(AND('rates, dates, etc'!$B$560="Endowed College",'rates, dates, etc'!$B$561="Off"),'Co-PI Budget (5)'!D35,0)</f>
        <v>0</v>
      </c>
      <c r="M45" s="11">
        <f>IF(AND('rates, dates, etc'!$B$30="Endowed College",'rates, dates, etc'!$B$31="Off"),'Lead Budget'!E35,0)+IF(AND('rates, dates, etc'!$B$136="Endowed College",'rates, dates, etc'!$B$137="Off"),Stedman!E35,0)+IF(AND('rates, dates, etc'!$B$242="Endowed College",'rates, dates, etc'!$B$243="Off"),'Co PI 2'!E35,0)+IF(AND('rates, dates, etc'!$B$348="Endowed College",'rates, dates, etc'!$B$349="Off"),'Co PI 3'!E35,0)+IF(AND('rates, dates, etc'!$B$454="Endowed College",'rates, dates, etc'!$B$455="Off"),'Co-PI Budget (4)'!E35,0)+IF(AND('rates, dates, etc'!$B$560="Endowed College",'rates, dates, etc'!$B$561="Off"),'Co-PI Budget (5)'!E35,0)</f>
        <v>0</v>
      </c>
      <c r="N45" s="11">
        <f>IF(AND('rates, dates, etc'!$B$30="Endowed College",'rates, dates, etc'!$B$31="Off"),'Lead Budget'!F35,0)+IF(AND('rates, dates, etc'!$B$136="Endowed College",'rates, dates, etc'!$B$137="Off"),Stedman!F35,0)+IF(AND('rates, dates, etc'!$B$242="Endowed College",'rates, dates, etc'!$B$243="Off"),'Co PI 2'!F35,0)+IF(AND('rates, dates, etc'!$B$348="Endowed College",'rates, dates, etc'!$B$349="Off"),'Co PI 3'!F35,0)+IF(AND('rates, dates, etc'!$B$454="Endowed College",'rates, dates, etc'!$B$455="Off"),'Co-PI Budget (4)'!F35,0)+IF(AND('rates, dates, etc'!$B$560="Endowed College",'rates, dates, etc'!$B$561="Off"),'Co-PI Budget (5)'!F35,0)</f>
        <v>0</v>
      </c>
      <c r="O45" s="27">
        <f t="shared" si="26"/>
        <v>0</v>
      </c>
    </row>
    <row r="46" spans="1:15" x14ac:dyDescent="0.25">
      <c r="A46" s="10" t="s">
        <v>264</v>
      </c>
      <c r="B46" s="11">
        <f>IF(AND('rates, dates, etc'!$B$30="Endowed College",'rates, dates, etc'!$B$31="On"),'Lead Budget'!B36,0)+IF(AND('rates, dates, etc'!$B$136="Endowed College",'rates, dates, etc'!$B$137="On"),Stedman!B36,0)+IF(AND('rates, dates, etc'!$B$242="Endowed College",'rates, dates, etc'!$B$243="On"),'Co PI 2'!B36,0)+IF(AND('rates, dates, etc'!$B$348="Endowed College",'rates, dates, etc'!$B$349="On"),'Co PI 3'!B36,0)+IF(AND('rates, dates, etc'!$B$454="Endowed College",'rates, dates, etc'!$B$455="On"),'Co-PI Budget (4)'!B36,0)+IF(AND('rates, dates, etc'!$B$560="Endowed College",'rates, dates, etc'!$B$561="On"),'Co-PI Budget (5)'!B36,0)</f>
        <v>0</v>
      </c>
      <c r="C46" s="11">
        <f>IF(AND('rates, dates, etc'!$B$30="Endowed College",'rates, dates, etc'!$B$31="On"),'Lead Budget'!C36,0)+IF(AND('rates, dates, etc'!$B$136="Endowed College",'rates, dates, etc'!$B$137="On"),Stedman!C36,0)+IF(AND('rates, dates, etc'!$B$242="Endowed College",'rates, dates, etc'!$B$243="On"),'Co PI 2'!C36,0)+IF(AND('rates, dates, etc'!$B$348="Endowed College",'rates, dates, etc'!$B$349="On"),'Co PI 3'!C36,0)+IF(AND('rates, dates, etc'!$B$454="Endowed College",'rates, dates, etc'!$B$455="On"),'Co-PI Budget (4)'!C36,0)+IF(AND('rates, dates, etc'!$B$560="Endowed College",'rates, dates, etc'!$B$561="On"),'Co-PI Budget (5)'!C36,0)</f>
        <v>0</v>
      </c>
      <c r="D46" s="11">
        <f>IF(AND('rates, dates, etc'!$B$30="Endowed College",'rates, dates, etc'!$B$31="On"),'Lead Budget'!D36,0)+IF(AND('rates, dates, etc'!$B$136="Endowed College",'rates, dates, etc'!$B$137="On"),Stedman!D36,0)+IF(AND('rates, dates, etc'!$B$242="Endowed College",'rates, dates, etc'!$B$243="On"),'Co PI 2'!D36,0)+IF(AND('rates, dates, etc'!$B$348="Endowed College",'rates, dates, etc'!$B$349="On"),'Co PI 3'!D36,0)+IF(AND('rates, dates, etc'!$B$454="Endowed College",'rates, dates, etc'!$B$455="On"),'Co-PI Budget (4)'!D36,0)+IF(AND('rates, dates, etc'!$B$560="Endowed College",'rates, dates, etc'!$B$561="On"),'Co-PI Budget (5)'!D36,0)</f>
        <v>0</v>
      </c>
      <c r="E46" s="11">
        <f>IF(AND('rates, dates, etc'!$B$30="Endowed College",'rates, dates, etc'!$B$31="On"),'Lead Budget'!E36,0)+IF(AND('rates, dates, etc'!$B$136="Endowed College",'rates, dates, etc'!$B$137="On"),Stedman!E36,0)+IF(AND('rates, dates, etc'!$B$242="Endowed College",'rates, dates, etc'!$B$243="On"),'Co PI 2'!E36,0)+IF(AND('rates, dates, etc'!$B$348="Endowed College",'rates, dates, etc'!$B$349="On"),'Co PI 3'!E36,0)+IF(AND('rates, dates, etc'!$B$454="Endowed College",'rates, dates, etc'!$B$455="On"),'Co-PI Budget (4)'!E36,0)+IF(AND('rates, dates, etc'!$B$560="Endowed College",'rates, dates, etc'!$B$561="On"),'Co-PI Budget (5)'!E36,0)</f>
        <v>0</v>
      </c>
      <c r="F46" s="11">
        <f>IF(AND('rates, dates, etc'!$B$30="Endowed College",'rates, dates, etc'!$B$31="On"),'Lead Budget'!F36,0)+IF(AND('rates, dates, etc'!$B$136="Endowed College",'rates, dates, etc'!$B$137="On"),Stedman!F36,0)+IF(AND('rates, dates, etc'!$B$242="Endowed College",'rates, dates, etc'!$B$243="On"),'Co PI 2'!F36,0)+IF(AND('rates, dates, etc'!$B$348="Endowed College",'rates, dates, etc'!$B$349="On"),'Co PI 3'!F36,0)+IF(AND('rates, dates, etc'!$B$454="Endowed College",'rates, dates, etc'!$B$455="On"),'Co-PI Budget (4)'!F36,0)+IF(AND('rates, dates, etc'!$B$560="Endowed College",'rates, dates, etc'!$B$561="On"),'Co-PI Budget (5)'!F36,0)</f>
        <v>0</v>
      </c>
      <c r="G46" s="27">
        <f t="shared" si="25"/>
        <v>0</v>
      </c>
      <c r="I46" s="10" t="s">
        <v>264</v>
      </c>
      <c r="J46" s="11">
        <f>IF(AND('rates, dates, etc'!$B$30="Endowed College",'rates, dates, etc'!$B$31="Off"),'Lead Budget'!B36,0)+IF(AND('rates, dates, etc'!$B$136="Endowed College",'rates, dates, etc'!$B$137="Off"),Stedman!B36,0)+IF(AND('rates, dates, etc'!$B$242="Endowed College",'rates, dates, etc'!$B$243="Off"),'Co PI 2'!B36,0)+IF(AND('rates, dates, etc'!$B$348="Endowed College",'rates, dates, etc'!$B$349="Off"),'Co PI 3'!B36,0)+IF(AND('rates, dates, etc'!$B$454="Endowed College",'rates, dates, etc'!$B$455="Off"),'Co-PI Budget (4)'!B36,0)+IF(AND('rates, dates, etc'!$B$560="Endowed College",'rates, dates, etc'!$B$561="Off"),'Co-PI Budget (5)'!B36,0)</f>
        <v>0</v>
      </c>
      <c r="K46" s="11">
        <f>IF(AND('rates, dates, etc'!$B$30="Endowed College",'rates, dates, etc'!$B$31="Off"),'Lead Budget'!C36,0)+IF(AND('rates, dates, etc'!$B$136="Endowed College",'rates, dates, etc'!$B$137="Off"),Stedman!C36,0)+IF(AND('rates, dates, etc'!$B$242="Endowed College",'rates, dates, etc'!$B$243="Off"),'Co PI 2'!C36,0)+IF(AND('rates, dates, etc'!$B$348="Endowed College",'rates, dates, etc'!$B$349="Off"),'Co PI 3'!C36,0)+IF(AND('rates, dates, etc'!$B$454="Endowed College",'rates, dates, etc'!$B$455="Off"),'Co-PI Budget (4)'!C36,0)+IF(AND('rates, dates, etc'!$B$560="Endowed College",'rates, dates, etc'!$B$561="Off"),'Co-PI Budget (5)'!C36,0)</f>
        <v>0</v>
      </c>
      <c r="L46" s="11">
        <f>IF(AND('rates, dates, etc'!$B$30="Endowed College",'rates, dates, etc'!$B$31="Off"),'Lead Budget'!D36,0)+IF(AND('rates, dates, etc'!$B$136="Endowed College",'rates, dates, etc'!$B$137="Off"),Stedman!D36,0)+IF(AND('rates, dates, etc'!$B$242="Endowed College",'rates, dates, etc'!$B$243="Off"),'Co PI 2'!D36,0)+IF(AND('rates, dates, etc'!$B$348="Endowed College",'rates, dates, etc'!$B$349="Off"),'Co PI 3'!D36,0)+IF(AND('rates, dates, etc'!$B$454="Endowed College",'rates, dates, etc'!$B$455="Off"),'Co-PI Budget (4)'!D36,0)+IF(AND('rates, dates, etc'!$B$560="Endowed College",'rates, dates, etc'!$B$561="Off"),'Co-PI Budget (5)'!D36,0)</f>
        <v>0</v>
      </c>
      <c r="M46" s="11">
        <f>IF(AND('rates, dates, etc'!$B$30="Endowed College",'rates, dates, etc'!$B$31="Off"),'Lead Budget'!E36,0)+IF(AND('rates, dates, etc'!$B$136="Endowed College",'rates, dates, etc'!$B$137="Off"),Stedman!E36,0)+IF(AND('rates, dates, etc'!$B$242="Endowed College",'rates, dates, etc'!$B$243="Off"),'Co PI 2'!E36,0)+IF(AND('rates, dates, etc'!$B$348="Endowed College",'rates, dates, etc'!$B$349="Off"),'Co PI 3'!E36,0)+IF(AND('rates, dates, etc'!$B$454="Endowed College",'rates, dates, etc'!$B$455="Off"),'Co-PI Budget (4)'!E36,0)+IF(AND('rates, dates, etc'!$B$560="Endowed College",'rates, dates, etc'!$B$561="Off"),'Co-PI Budget (5)'!E36,0)</f>
        <v>0</v>
      </c>
      <c r="N46" s="11">
        <f>IF(AND('rates, dates, etc'!$B$30="Endowed College",'rates, dates, etc'!$B$31="Off"),'Lead Budget'!F36,0)+IF(AND('rates, dates, etc'!$B$136="Endowed College",'rates, dates, etc'!$B$137="Off"),Stedman!F36,0)+IF(AND('rates, dates, etc'!$B$242="Endowed College",'rates, dates, etc'!$B$243="Off"),'Co PI 2'!F36,0)+IF(AND('rates, dates, etc'!$B$348="Endowed College",'rates, dates, etc'!$B$349="Off"),'Co PI 3'!F36,0)+IF(AND('rates, dates, etc'!$B$454="Endowed College",'rates, dates, etc'!$B$455="Off"),'Co-PI Budget (4)'!F36,0)+IF(AND('rates, dates, etc'!$B$560="Endowed College",'rates, dates, etc'!$B$561="Off"),'Co-PI Budget (5)'!F36,0)</f>
        <v>0</v>
      </c>
      <c r="O46" s="27">
        <f t="shared" si="26"/>
        <v>0</v>
      </c>
    </row>
    <row r="47" spans="1:15" x14ac:dyDescent="0.25">
      <c r="A47" s="10" t="s">
        <v>265</v>
      </c>
      <c r="B47" s="11">
        <f>IF(AND('rates, dates, etc'!$B$30="Endowed College",'rates, dates, etc'!$B$31="On"),'Lead Budget'!B44,0)+IF(AND('rates, dates, etc'!$B$136="Endowed College",'rates, dates, etc'!$B$137="On"),Stedman!B44,0)+IF(AND('rates, dates, etc'!$B$242="Endowed College",'rates, dates, etc'!$B$243="On"),'Co PI 2'!B44,0)+IF(AND('rates, dates, etc'!$B$348="Endowed College",'rates, dates, etc'!$B$349="On"),'Co PI 3'!B44,0)+IF(AND('rates, dates, etc'!$B$454="Endowed College",'rates, dates, etc'!$B$455="On"),'Co-PI Budget (4)'!B44,0)+IF(AND('rates, dates, etc'!$B$560="Endowed College",'rates, dates, etc'!$B$561="On"),'Co-PI Budget (5)'!B44,0)</f>
        <v>0</v>
      </c>
      <c r="C47" s="11">
        <f>IF(AND('rates, dates, etc'!$B$30="Endowed College",'rates, dates, etc'!$B$31="On"),'Lead Budget'!C44,0)+IF(AND('rates, dates, etc'!$B$136="Endowed College",'rates, dates, etc'!$B$137="On"),Stedman!C44,0)+IF(AND('rates, dates, etc'!$B$242="Endowed College",'rates, dates, etc'!$B$243="On"),'Co PI 2'!C44,0)+IF(AND('rates, dates, etc'!$B$348="Endowed College",'rates, dates, etc'!$B$349="On"),'Co PI 3'!C44,0)+IF(AND('rates, dates, etc'!$B$454="Endowed College",'rates, dates, etc'!$B$455="On"),'Co-PI Budget (4)'!C44,0)+IF(AND('rates, dates, etc'!$B$560="Endowed College",'rates, dates, etc'!$B$561="On"),'Co-PI Budget (5)'!C44,0)</f>
        <v>0</v>
      </c>
      <c r="D47" s="11">
        <f>IF(AND('rates, dates, etc'!$B$30="Endowed College",'rates, dates, etc'!$B$31="On"),'Lead Budget'!D44,0)+IF(AND('rates, dates, etc'!$B$136="Endowed College",'rates, dates, etc'!$B$137="On"),Stedman!D44,0)+IF(AND('rates, dates, etc'!$B$242="Endowed College",'rates, dates, etc'!$B$243="On"),'Co PI 2'!D44,0)+IF(AND('rates, dates, etc'!$B$348="Endowed College",'rates, dates, etc'!$B$349="On"),'Co PI 3'!D44,0)+IF(AND('rates, dates, etc'!$B$454="Endowed College",'rates, dates, etc'!$B$455="On"),'Co-PI Budget (4)'!D44,0)+IF(AND('rates, dates, etc'!$B$560="Endowed College",'rates, dates, etc'!$B$561="On"),'Co-PI Budget (5)'!D44,0)</f>
        <v>0</v>
      </c>
      <c r="E47" s="11">
        <f>IF(AND('rates, dates, etc'!$B$30="Endowed College",'rates, dates, etc'!$B$31="On"),'Lead Budget'!E44,0)+IF(AND('rates, dates, etc'!$B$136="Endowed College",'rates, dates, etc'!$B$137="On"),Stedman!E44,0)+IF(AND('rates, dates, etc'!$B$242="Endowed College",'rates, dates, etc'!$B$243="On"),'Co PI 2'!E44,0)+IF(AND('rates, dates, etc'!$B$348="Endowed College",'rates, dates, etc'!$B$349="On"),'Co PI 3'!E44,0)+IF(AND('rates, dates, etc'!$B$454="Endowed College",'rates, dates, etc'!$B$455="On"),'Co-PI Budget (4)'!E44,0)+IF(AND('rates, dates, etc'!$B$560="Endowed College",'rates, dates, etc'!$B$561="On"),'Co-PI Budget (5)'!E44,0)</f>
        <v>0</v>
      </c>
      <c r="F47" s="11">
        <f>IF(AND('rates, dates, etc'!$B$30="Endowed College",'rates, dates, etc'!$B$31="On"),'Lead Budget'!F44,0)+IF(AND('rates, dates, etc'!$B$136="Endowed College",'rates, dates, etc'!$B$137="On"),Stedman!F44,0)+IF(AND('rates, dates, etc'!$B$242="Endowed College",'rates, dates, etc'!$B$243="On"),'Co PI 2'!F44,0)+IF(AND('rates, dates, etc'!$B$348="Endowed College",'rates, dates, etc'!$B$349="On"),'Co PI 3'!F44,0)+IF(AND('rates, dates, etc'!$B$454="Endowed College",'rates, dates, etc'!$B$455="On"),'Co-PI Budget (4)'!F44,0)+IF(AND('rates, dates, etc'!$B$560="Endowed College",'rates, dates, etc'!$B$561="On"),'Co-PI Budget (5)'!F44,0)</f>
        <v>0</v>
      </c>
      <c r="G47" s="27">
        <f t="shared" si="25"/>
        <v>0</v>
      </c>
      <c r="I47" s="10" t="s">
        <v>265</v>
      </c>
      <c r="J47" s="11">
        <f>IF(AND('rates, dates, etc'!$B$30="Endowed College",'rates, dates, etc'!$B$31="Off"),'Lead Budget'!B44,0)+IF(AND('rates, dates, etc'!$B$136="Endowed College",'rates, dates, etc'!$B$137="Off"),Stedman!B44,0)+IF(AND('rates, dates, etc'!$B$242="Endowed College",'rates, dates, etc'!$B$243="Off"),'Co PI 2'!B44,0)+IF(AND('rates, dates, etc'!$B$348="Endowed College",'rates, dates, etc'!$B$349="Off"),'Co PI 3'!B44,0)+IF(AND('rates, dates, etc'!$B$454="Endowed College",'rates, dates, etc'!$B$455="Off"),'Co-PI Budget (4)'!B44,0)+IF(AND('rates, dates, etc'!$B$560="Endowed College",'rates, dates, etc'!$B$561="Off"),'Co-PI Budget (5)'!B44,0)</f>
        <v>0</v>
      </c>
      <c r="K47" s="11">
        <f>IF(AND('rates, dates, etc'!$B$30="Endowed College",'rates, dates, etc'!$B$31="Off"),'Lead Budget'!C44,0)+IF(AND('rates, dates, etc'!$B$136="Endowed College",'rates, dates, etc'!$B$137="Off"),Stedman!C44,0)+IF(AND('rates, dates, etc'!$B$242="Endowed College",'rates, dates, etc'!$B$243="Off"),'Co PI 2'!C44,0)+IF(AND('rates, dates, etc'!$B$348="Endowed College",'rates, dates, etc'!$B$349="Off"),'Co PI 3'!C44,0)+IF(AND('rates, dates, etc'!$B$454="Endowed College",'rates, dates, etc'!$B$455="Off"),'Co-PI Budget (4)'!C44,0)+IF(AND('rates, dates, etc'!$B$560="Endowed College",'rates, dates, etc'!$B$561="Off"),'Co-PI Budget (5)'!C44,0)</f>
        <v>0</v>
      </c>
      <c r="L47" s="11">
        <f>IF(AND('rates, dates, etc'!$B$30="Endowed College",'rates, dates, etc'!$B$31="Off"),'Lead Budget'!D44,0)+IF(AND('rates, dates, etc'!$B$136="Endowed College",'rates, dates, etc'!$B$137="Off"),Stedman!D44,0)+IF(AND('rates, dates, etc'!$B$242="Endowed College",'rates, dates, etc'!$B$243="Off"),'Co PI 2'!D44,0)+IF(AND('rates, dates, etc'!$B$348="Endowed College",'rates, dates, etc'!$B$349="Off"),'Co PI 3'!D44,0)+IF(AND('rates, dates, etc'!$B$454="Endowed College",'rates, dates, etc'!$B$455="Off"),'Co-PI Budget (4)'!D44,0)+IF(AND('rates, dates, etc'!$B$560="Endowed College",'rates, dates, etc'!$B$561="Off"),'Co-PI Budget (5)'!D44,0)</f>
        <v>0</v>
      </c>
      <c r="M47" s="11">
        <f>IF(AND('rates, dates, etc'!$B$30="Endowed College",'rates, dates, etc'!$B$31="Off"),'Lead Budget'!E44,0)+IF(AND('rates, dates, etc'!$B$136="Endowed College",'rates, dates, etc'!$B$137="Off"),Stedman!E44,0)+IF(AND('rates, dates, etc'!$B$242="Endowed College",'rates, dates, etc'!$B$243="Off"),'Co PI 2'!E44,0)+IF(AND('rates, dates, etc'!$B$348="Endowed College",'rates, dates, etc'!$B$349="Off"),'Co PI 3'!E44,0)+IF(AND('rates, dates, etc'!$B$454="Endowed College",'rates, dates, etc'!$B$455="Off"),'Co-PI Budget (4)'!E44,0)+IF(AND('rates, dates, etc'!$B$560="Endowed College",'rates, dates, etc'!$B$561="Off"),'Co-PI Budget (5)'!E44,0)</f>
        <v>0</v>
      </c>
      <c r="N47" s="11">
        <f>IF(AND('rates, dates, etc'!$B$30="Endowed College",'rates, dates, etc'!$B$31="Off"),'Lead Budget'!F44,0)+IF(AND('rates, dates, etc'!$B$136="Endowed College",'rates, dates, etc'!$B$137="Off"),Stedman!F44,0)+IF(AND('rates, dates, etc'!$B$242="Endowed College",'rates, dates, etc'!$B$243="Off"),'Co PI 2'!F44,0)+IF(AND('rates, dates, etc'!$B$348="Endowed College",'rates, dates, etc'!$B$349="Off"),'Co PI 3'!F44,0)+IF(AND('rates, dates, etc'!$B$454="Endowed College",'rates, dates, etc'!$B$455="Off"),'Co-PI Budget (4)'!F44,0)+IF(AND('rates, dates, etc'!$B$560="Endowed College",'rates, dates, etc'!$B$561="Off"),'Co-PI Budget (5)'!F44,0)</f>
        <v>0</v>
      </c>
      <c r="O47" s="27">
        <f t="shared" si="26"/>
        <v>0</v>
      </c>
    </row>
    <row r="48" spans="1:15" x14ac:dyDescent="0.25">
      <c r="A48" s="10" t="s">
        <v>14</v>
      </c>
      <c r="B48" s="11">
        <f>IF(AND('rates, dates, etc'!$B$30="Endowed College",'rates, dates, etc'!$B$31="On"),'Lead Budget'!B46,0)+IF(AND('rates, dates, etc'!$B$136="Endowed College",'rates, dates, etc'!$B$137="On"),Stedman!B46,0)+IF(AND('rates, dates, etc'!$B$242="Endowed College",'rates, dates, etc'!$B$243="On"),'Co PI 2'!B46,0)+IF(AND('rates, dates, etc'!$B$348="Endowed College",'rates, dates, etc'!$B$349="On"),'Co PI 3'!B46,0)+IF(AND('rates, dates, etc'!$B$454="Endowed College",'rates, dates, etc'!$B$455="On"),'Co-PI Budget (4)'!B46,0)+IF(AND('rates, dates, etc'!$B$560="Endowed College",'rates, dates, etc'!$B$561="On"),'Co-PI Budget (5)'!B46,0)</f>
        <v>0</v>
      </c>
      <c r="C48" s="11">
        <f>IF(AND('rates, dates, etc'!$B$30="Endowed College",'rates, dates, etc'!$B$31="On"),'Lead Budget'!C46,0)+IF(AND('rates, dates, etc'!$B$136="Endowed College",'rates, dates, etc'!$B$137="On"),Stedman!C46,0)+IF(AND('rates, dates, etc'!$B$242="Endowed College",'rates, dates, etc'!$B$243="On"),'Co PI 2'!C46,0)+IF(AND('rates, dates, etc'!$B$348="Endowed College",'rates, dates, etc'!$B$349="On"),'Co PI 3'!C46,0)+IF(AND('rates, dates, etc'!$B$454="Endowed College",'rates, dates, etc'!$B$455="On"),'Co-PI Budget (4)'!C46,0)+IF(AND('rates, dates, etc'!$B$560="Endowed College",'rates, dates, etc'!$B$561="On"),'Co-PI Budget (5)'!C46,0)</f>
        <v>0</v>
      </c>
      <c r="D48" s="11">
        <f>IF(AND('rates, dates, etc'!$B$30="Endowed College",'rates, dates, etc'!$B$31="On"),'Lead Budget'!D46,0)+IF(AND('rates, dates, etc'!$B$136="Endowed College",'rates, dates, etc'!$B$137="On"),Stedman!D46,0)+IF(AND('rates, dates, etc'!$B$242="Endowed College",'rates, dates, etc'!$B$243="On"),'Co PI 2'!D46,0)+IF(AND('rates, dates, etc'!$B$348="Endowed College",'rates, dates, etc'!$B$349="On"),'Co PI 3'!D46,0)+IF(AND('rates, dates, etc'!$B$454="Endowed College",'rates, dates, etc'!$B$455="On"),'Co-PI Budget (4)'!D46,0)+IF(AND('rates, dates, etc'!$B$560="Endowed College",'rates, dates, etc'!$B$561="On"),'Co-PI Budget (5)'!D46,0)</f>
        <v>0</v>
      </c>
      <c r="E48" s="11">
        <f>IF(AND('rates, dates, etc'!$B$30="Endowed College",'rates, dates, etc'!$B$31="On"),'Lead Budget'!E46,0)+IF(AND('rates, dates, etc'!$B$136="Endowed College",'rates, dates, etc'!$B$137="On"),Stedman!E46,0)+IF(AND('rates, dates, etc'!$B$242="Endowed College",'rates, dates, etc'!$B$243="On"),'Co PI 2'!E46,0)+IF(AND('rates, dates, etc'!$B$348="Endowed College",'rates, dates, etc'!$B$349="On"),'Co PI 3'!E46,0)+IF(AND('rates, dates, etc'!$B$454="Endowed College",'rates, dates, etc'!$B$455="On"),'Co-PI Budget (4)'!E46,0)+IF(AND('rates, dates, etc'!$B$560="Endowed College",'rates, dates, etc'!$B$561="On"),'Co-PI Budget (5)'!E46,0)</f>
        <v>0</v>
      </c>
      <c r="F48" s="11">
        <f>IF(AND('rates, dates, etc'!$B$30="Endowed College",'rates, dates, etc'!$B$31="On"),'Lead Budget'!F46,0)+IF(AND('rates, dates, etc'!$B$136="Endowed College",'rates, dates, etc'!$B$137="On"),Stedman!F46,0)+IF(AND('rates, dates, etc'!$B$242="Endowed College",'rates, dates, etc'!$B$243="On"),'Co PI 2'!F46,0)+IF(AND('rates, dates, etc'!$B$348="Endowed College",'rates, dates, etc'!$B$349="On"),'Co PI 3'!F46,0)+IF(AND('rates, dates, etc'!$B$454="Endowed College",'rates, dates, etc'!$B$455="On"),'Co-PI Budget (4)'!F46,0)+IF(AND('rates, dates, etc'!$B$560="Endowed College",'rates, dates, etc'!$B$561="On"),'Co-PI Budget (5)'!F46,0)</f>
        <v>0</v>
      </c>
      <c r="G48" s="27">
        <f t="shared" si="25"/>
        <v>0</v>
      </c>
      <c r="I48" s="10" t="s">
        <v>14</v>
      </c>
      <c r="J48" s="11">
        <f>IF(AND('rates, dates, etc'!$B$30="Endowed College",'rates, dates, etc'!$B$31="Off"),'Lead Budget'!B46,0)+IF(AND('rates, dates, etc'!$B$136="Endowed College",'rates, dates, etc'!$B$137="Off"),Stedman!B46,0)+IF(AND('rates, dates, etc'!$B$242="Endowed College",'rates, dates, etc'!$B$243="Off"),'Co PI 2'!B46,0)+IF(AND('rates, dates, etc'!$B$348="Endowed College",'rates, dates, etc'!$B$349="Off"),'Co PI 3'!B46,0)+IF(AND('rates, dates, etc'!$B$454="Endowed College",'rates, dates, etc'!$B$455="Off"),'Co-PI Budget (4)'!B46,0)+IF(AND('rates, dates, etc'!$B$560="Endowed College",'rates, dates, etc'!$B$561="Off"),'Co-PI Budget (5)'!B46,0)</f>
        <v>0</v>
      </c>
      <c r="K48" s="11">
        <f>IF(AND('rates, dates, etc'!$B$30="Endowed College",'rates, dates, etc'!$B$31="Off"),'Lead Budget'!C46,0)+IF(AND('rates, dates, etc'!$B$136="Endowed College",'rates, dates, etc'!$B$137="Off"),Stedman!C46,0)+IF(AND('rates, dates, etc'!$B$242="Endowed College",'rates, dates, etc'!$B$243="Off"),'Co PI 2'!C46,0)+IF(AND('rates, dates, etc'!$B$348="Endowed College",'rates, dates, etc'!$B$349="Off"),'Co PI 3'!C46,0)+IF(AND('rates, dates, etc'!$B$454="Endowed College",'rates, dates, etc'!$B$455="Off"),'Co-PI Budget (4)'!C46,0)+IF(AND('rates, dates, etc'!$B$560="Endowed College",'rates, dates, etc'!$B$561="Off"),'Co-PI Budget (5)'!C46,0)</f>
        <v>0</v>
      </c>
      <c r="L48" s="11">
        <f>IF(AND('rates, dates, etc'!$B$30="Endowed College",'rates, dates, etc'!$B$31="Off"),'Lead Budget'!D46,0)+IF(AND('rates, dates, etc'!$B$136="Endowed College",'rates, dates, etc'!$B$137="Off"),Stedman!D46,0)+IF(AND('rates, dates, etc'!$B$242="Endowed College",'rates, dates, etc'!$B$243="Off"),'Co PI 2'!D46,0)+IF(AND('rates, dates, etc'!$B$348="Endowed College",'rates, dates, etc'!$B$349="Off"),'Co PI 3'!D46,0)+IF(AND('rates, dates, etc'!$B$454="Endowed College",'rates, dates, etc'!$B$455="Off"),'Co-PI Budget (4)'!D46,0)+IF(AND('rates, dates, etc'!$B$560="Endowed College",'rates, dates, etc'!$B$561="Off"),'Co-PI Budget (5)'!D46,0)</f>
        <v>0</v>
      </c>
      <c r="M48" s="11">
        <f>IF(AND('rates, dates, etc'!$B$30="Endowed College",'rates, dates, etc'!$B$31="Off"),'Lead Budget'!E46,0)+IF(AND('rates, dates, etc'!$B$136="Endowed College",'rates, dates, etc'!$B$137="Off"),Stedman!E46,0)+IF(AND('rates, dates, etc'!$B$242="Endowed College",'rates, dates, etc'!$B$243="Off"),'Co PI 2'!E46,0)+IF(AND('rates, dates, etc'!$B$348="Endowed College",'rates, dates, etc'!$B$349="Off"),'Co PI 3'!E46,0)+IF(AND('rates, dates, etc'!$B$454="Endowed College",'rates, dates, etc'!$B$455="Off"),'Co-PI Budget (4)'!E46,0)+IF(AND('rates, dates, etc'!$B$560="Endowed College",'rates, dates, etc'!$B$561="Off"),'Co-PI Budget (5)'!E46,0)</f>
        <v>0</v>
      </c>
      <c r="N48" s="11">
        <f>IF(AND('rates, dates, etc'!$B$30="Endowed College",'rates, dates, etc'!$B$31="Off"),'Lead Budget'!F46,0)+IF(AND('rates, dates, etc'!$B$136="Endowed College",'rates, dates, etc'!$B$137="Off"),Stedman!F46,0)+IF(AND('rates, dates, etc'!$B$242="Endowed College",'rates, dates, etc'!$B$243="Off"),'Co PI 2'!F46,0)+IF(AND('rates, dates, etc'!$B$348="Endowed College",'rates, dates, etc'!$B$349="Off"),'Co PI 3'!F46,0)+IF(AND('rates, dates, etc'!$B$454="Endowed College",'rates, dates, etc'!$B$455="Off"),'Co-PI Budget (4)'!F46,0)+IF(AND('rates, dates, etc'!$B$560="Endowed College",'rates, dates, etc'!$B$561="Off"),'Co-PI Budget (5)'!F46,0)</f>
        <v>0</v>
      </c>
      <c r="O48" s="27">
        <f t="shared" si="26"/>
        <v>0</v>
      </c>
    </row>
    <row r="49" spans="1:15" x14ac:dyDescent="0.25">
      <c r="A49" s="10" t="s">
        <v>92</v>
      </c>
      <c r="B49" s="11">
        <f>IF(AND('rates, dates, etc'!$B$30="Endowed College",'rates, dates, etc'!$B$31="On"),'Lead Budget'!B47,0)+IF(AND('rates, dates, etc'!$B$136="Endowed College",'rates, dates, etc'!$B$137="On"),Stedman!B47,0)+IF(AND('rates, dates, etc'!$B$242="Endowed College",'rates, dates, etc'!$B$243="On"),'Co PI 2'!B47,0)+IF(AND('rates, dates, etc'!$B$348="Endowed College",'rates, dates, etc'!$B$349="On"),'Co PI 3'!B47,0)+IF(AND('rates, dates, etc'!$B$454="Endowed College",'rates, dates, etc'!$B$455="On"),'Co-PI Budget (4)'!B47,0)+IF(AND('rates, dates, etc'!$B$560="Endowed College",'rates, dates, etc'!$B$561="On"),'Co-PI Budget (5)'!B47,0)</f>
        <v>0</v>
      </c>
      <c r="C49" s="11">
        <f>IF(AND('rates, dates, etc'!$B$30="Endowed College",'rates, dates, etc'!$B$31="On"),'Lead Budget'!C47,0)+IF(AND('rates, dates, etc'!$B$136="Endowed College",'rates, dates, etc'!$B$137="On"),Stedman!C47,0)+IF(AND('rates, dates, etc'!$B$242="Endowed College",'rates, dates, etc'!$B$243="On"),'Co PI 2'!C47,0)+IF(AND('rates, dates, etc'!$B$348="Endowed College",'rates, dates, etc'!$B$349="On"),'Co PI 3'!C47,0)+IF(AND('rates, dates, etc'!$B$454="Endowed College",'rates, dates, etc'!$B$455="On"),'Co-PI Budget (4)'!C47,0)+IF(AND('rates, dates, etc'!$B$560="Endowed College",'rates, dates, etc'!$B$561="On"),'Co-PI Budget (5)'!C47,0)</f>
        <v>0</v>
      </c>
      <c r="D49" s="11">
        <f>IF(AND('rates, dates, etc'!$B$30="Endowed College",'rates, dates, etc'!$B$31="On"),'Lead Budget'!D47,0)+IF(AND('rates, dates, etc'!$B$136="Endowed College",'rates, dates, etc'!$B$137="On"),Stedman!D47,0)+IF(AND('rates, dates, etc'!$B$242="Endowed College",'rates, dates, etc'!$B$243="On"),'Co PI 2'!D47,0)+IF(AND('rates, dates, etc'!$B$348="Endowed College",'rates, dates, etc'!$B$349="On"),'Co PI 3'!D47,0)+IF(AND('rates, dates, etc'!$B$454="Endowed College",'rates, dates, etc'!$B$455="On"),'Co-PI Budget (4)'!D47,0)+IF(AND('rates, dates, etc'!$B$560="Endowed College",'rates, dates, etc'!$B$561="On"),'Co-PI Budget (5)'!D47,0)</f>
        <v>0</v>
      </c>
      <c r="E49" s="11">
        <f>IF(AND('rates, dates, etc'!$B$30="Endowed College",'rates, dates, etc'!$B$31="On"),'Lead Budget'!E47,0)+IF(AND('rates, dates, etc'!$B$136="Endowed College",'rates, dates, etc'!$B$137="On"),Stedman!E47,0)+IF(AND('rates, dates, etc'!$B$242="Endowed College",'rates, dates, etc'!$B$243="On"),'Co PI 2'!E47,0)+IF(AND('rates, dates, etc'!$B$348="Endowed College",'rates, dates, etc'!$B$349="On"),'Co PI 3'!E47,0)+IF(AND('rates, dates, etc'!$B$454="Endowed College",'rates, dates, etc'!$B$455="On"),'Co-PI Budget (4)'!E47,0)+IF(AND('rates, dates, etc'!$B$560="Endowed College",'rates, dates, etc'!$B$561="On"),'Co-PI Budget (5)'!E47,0)</f>
        <v>0</v>
      </c>
      <c r="F49" s="11">
        <f>IF(AND('rates, dates, etc'!$B$30="Endowed College",'rates, dates, etc'!$B$31="On"),'Lead Budget'!F47,0)+IF(AND('rates, dates, etc'!$B$136="Endowed College",'rates, dates, etc'!$B$137="On"),Stedman!F47,0)+IF(AND('rates, dates, etc'!$B$242="Endowed College",'rates, dates, etc'!$B$243="On"),'Co PI 2'!F47,0)+IF(AND('rates, dates, etc'!$B$348="Endowed College",'rates, dates, etc'!$B$349="On"),'Co PI 3'!F47,0)+IF(AND('rates, dates, etc'!$B$454="Endowed College",'rates, dates, etc'!$B$455="On"),'Co-PI Budget (4)'!F47,0)+IF(AND('rates, dates, etc'!$B$560="Endowed College",'rates, dates, etc'!$B$561="On"),'Co-PI Budget (5)'!F47,0)</f>
        <v>0</v>
      </c>
      <c r="G49" s="27">
        <f t="shared" si="25"/>
        <v>0</v>
      </c>
      <c r="I49" s="10" t="s">
        <v>92</v>
      </c>
      <c r="J49" s="11">
        <f>IF(AND('rates, dates, etc'!$B$30="Endowed College",'rates, dates, etc'!$B$31="Off"),'Lead Budget'!B47,0)+IF(AND('rates, dates, etc'!$B$136="Endowed College",'rates, dates, etc'!$B$137="Off"),Stedman!B47,0)+IF(AND('rates, dates, etc'!$B$242="Endowed College",'rates, dates, etc'!$B$243="Off"),'Co PI 2'!B47,0)+IF(AND('rates, dates, etc'!$B$348="Endowed College",'rates, dates, etc'!$B$349="Off"),'Co PI 3'!B47,0)+IF(AND('rates, dates, etc'!$B$454="Endowed College",'rates, dates, etc'!$B$455="Off"),'Co-PI Budget (4)'!B47,0)+IF(AND('rates, dates, etc'!$B$560="Endowed College",'rates, dates, etc'!$B$561="Off"),'Co-PI Budget (5)'!B47,0)</f>
        <v>0</v>
      </c>
      <c r="K49" s="11">
        <f>IF(AND('rates, dates, etc'!$B$30="Endowed College",'rates, dates, etc'!$B$31="Off"),'Lead Budget'!C47,0)+IF(AND('rates, dates, etc'!$B$136="Endowed College",'rates, dates, etc'!$B$137="Off"),Stedman!C47,0)+IF(AND('rates, dates, etc'!$B$242="Endowed College",'rates, dates, etc'!$B$243="Off"),'Co PI 2'!C47,0)+IF(AND('rates, dates, etc'!$B$348="Endowed College",'rates, dates, etc'!$B$349="Off"),'Co PI 3'!C47,0)+IF(AND('rates, dates, etc'!$B$454="Endowed College",'rates, dates, etc'!$B$455="Off"),'Co-PI Budget (4)'!C47,0)+IF(AND('rates, dates, etc'!$B$560="Endowed College",'rates, dates, etc'!$B$561="Off"),'Co-PI Budget (5)'!C47,0)</f>
        <v>0</v>
      </c>
      <c r="L49" s="11">
        <f>IF(AND('rates, dates, etc'!$B$30="Endowed College",'rates, dates, etc'!$B$31="Off"),'Lead Budget'!D47,0)+IF(AND('rates, dates, etc'!$B$136="Endowed College",'rates, dates, etc'!$B$137="Off"),Stedman!D47,0)+IF(AND('rates, dates, etc'!$B$242="Endowed College",'rates, dates, etc'!$B$243="Off"),'Co PI 2'!D47,0)+IF(AND('rates, dates, etc'!$B$348="Endowed College",'rates, dates, etc'!$B$349="Off"),'Co PI 3'!D47,0)+IF(AND('rates, dates, etc'!$B$454="Endowed College",'rates, dates, etc'!$B$455="Off"),'Co-PI Budget (4)'!D47,0)+IF(AND('rates, dates, etc'!$B$560="Endowed College",'rates, dates, etc'!$B$561="Off"),'Co-PI Budget (5)'!D47,0)</f>
        <v>0</v>
      </c>
      <c r="M49" s="11">
        <f>IF(AND('rates, dates, etc'!$B$30="Endowed College",'rates, dates, etc'!$B$31="Off"),'Lead Budget'!E47,0)+IF(AND('rates, dates, etc'!$B$136="Endowed College",'rates, dates, etc'!$B$137="Off"),Stedman!E47,0)+IF(AND('rates, dates, etc'!$B$242="Endowed College",'rates, dates, etc'!$B$243="Off"),'Co PI 2'!E47,0)+IF(AND('rates, dates, etc'!$B$348="Endowed College",'rates, dates, etc'!$B$349="Off"),'Co PI 3'!E47,0)+IF(AND('rates, dates, etc'!$B$454="Endowed College",'rates, dates, etc'!$B$455="Off"),'Co-PI Budget (4)'!E47,0)+IF(AND('rates, dates, etc'!$B$560="Endowed College",'rates, dates, etc'!$B$561="Off"),'Co-PI Budget (5)'!E47,0)</f>
        <v>0</v>
      </c>
      <c r="N49" s="11">
        <f>IF(AND('rates, dates, etc'!$B$30="Endowed College",'rates, dates, etc'!$B$31="Off"),'Lead Budget'!F47,0)+IF(AND('rates, dates, etc'!$B$136="Endowed College",'rates, dates, etc'!$B$137="Off"),Stedman!F47,0)+IF(AND('rates, dates, etc'!$B$242="Endowed College",'rates, dates, etc'!$B$243="Off"),'Co PI 2'!F47,0)+IF(AND('rates, dates, etc'!$B$348="Endowed College",'rates, dates, etc'!$B$349="Off"),'Co PI 3'!F47,0)+IF(AND('rates, dates, etc'!$B$454="Endowed College",'rates, dates, etc'!$B$455="Off"),'Co-PI Budget (4)'!F47,0)+IF(AND('rates, dates, etc'!$B$560="Endowed College",'rates, dates, etc'!$B$561="Off"),'Co-PI Budget (5)'!F47,0)</f>
        <v>0</v>
      </c>
      <c r="O49" s="27">
        <f t="shared" si="26"/>
        <v>0</v>
      </c>
    </row>
    <row r="50" spans="1:15" x14ac:dyDescent="0.25">
      <c r="A50" s="10" t="s">
        <v>266</v>
      </c>
      <c r="B50" s="11">
        <f>IF(AND('rates, dates, etc'!$B$30="Endowed College",'rates, dates, etc'!$B$31="On"),SUM('Lead Budget'!B48:B49),0)+IF(AND('rates, dates, etc'!$B$136="Endowed College",'rates, dates, etc'!$B$137="On"),SUM(Stedman!B48:B49),0)+IF(AND('rates, dates, etc'!$B$242="Endowed College",'rates, dates, etc'!$B$243="On"),SUM('Co PI 2'!B48:B49),0)+IF(AND('rates, dates, etc'!$B$348="Endowed College",'rates, dates, etc'!$B$349="On"),SUM('Co PI 3'!B48:B49),0)+IF(AND('rates, dates, etc'!$B$454="Endowed College",'rates, dates, etc'!$B$455="On"),SUM('Co-PI Budget (4)'!B48:B49),0)+IF(AND('rates, dates, etc'!$B$560="Endowed College",'rates, dates, etc'!$B$561="On"),SUM('Co-PI Budget (5)'!B48:B49),0)</f>
        <v>0</v>
      </c>
      <c r="C50" s="11">
        <f>IF(AND('rates, dates, etc'!$B$30="Endowed College",'rates, dates, etc'!$B$31="On"),SUM('Lead Budget'!C48:C49),0)+IF(AND('rates, dates, etc'!$B$136="Endowed College",'rates, dates, etc'!$B$137="On"),SUM(Stedman!C48:C49),0)+IF(AND('rates, dates, etc'!$B$242="Endowed College",'rates, dates, etc'!$B$243="On"),SUM('Co PI 2'!C48:C49),0)+IF(AND('rates, dates, etc'!$B$348="Endowed College",'rates, dates, etc'!$B$349="On"),SUM('Co PI 3'!C48:C49),0)+IF(AND('rates, dates, etc'!$B$454="Endowed College",'rates, dates, etc'!$B$455="On"),SUM('Co-PI Budget (4)'!C48:C49),0)+IF(AND('rates, dates, etc'!$B$560="Endowed College",'rates, dates, etc'!$B$561="On"),SUM('Co-PI Budget (5)'!C48:C49),0)</f>
        <v>0</v>
      </c>
      <c r="D50" s="11">
        <f>IF(AND('rates, dates, etc'!$B$30="Endowed College",'rates, dates, etc'!$B$31="On"),SUM('Lead Budget'!D48:D49),0)+IF(AND('rates, dates, etc'!$B$136="Endowed College",'rates, dates, etc'!$B$137="On"),SUM(Stedman!D48:D49),0)+IF(AND('rates, dates, etc'!$B$242="Endowed College",'rates, dates, etc'!$B$243="On"),SUM('Co PI 2'!D48:D49),0)+IF(AND('rates, dates, etc'!$B$348="Endowed College",'rates, dates, etc'!$B$349="On"),SUM('Co PI 3'!D48:D49),0)+IF(AND('rates, dates, etc'!$B$454="Endowed College",'rates, dates, etc'!$B$455="On"),SUM('Co-PI Budget (4)'!D48:D49),0)+IF(AND('rates, dates, etc'!$B$560="Endowed College",'rates, dates, etc'!$B$561="On"),SUM('Co-PI Budget (5)'!D48:D49),0)</f>
        <v>0</v>
      </c>
      <c r="E50" s="11">
        <f>IF(AND('rates, dates, etc'!$B$30="Endowed College",'rates, dates, etc'!$B$31="On"),SUM('Lead Budget'!E48:E49),0)+IF(AND('rates, dates, etc'!$B$136="Endowed College",'rates, dates, etc'!$B$137="On"),SUM(Stedman!E48:E49),0)+IF(AND('rates, dates, etc'!$B$242="Endowed College",'rates, dates, etc'!$B$243="On"),SUM('Co PI 2'!E48:E49),0)+IF(AND('rates, dates, etc'!$B$348="Endowed College",'rates, dates, etc'!$B$349="On"),SUM('Co PI 3'!E48:E49),0)+IF(AND('rates, dates, etc'!$B$454="Endowed College",'rates, dates, etc'!$B$455="On"),SUM('Co-PI Budget (4)'!E48:E49),0)+IF(AND('rates, dates, etc'!$B$560="Endowed College",'rates, dates, etc'!$B$561="On"),SUM('Co-PI Budget (5)'!E48:E49),0)</f>
        <v>0</v>
      </c>
      <c r="F50" s="11">
        <f>IF(AND('rates, dates, etc'!$B$30="Endowed College",'rates, dates, etc'!$B$31="On"),SUM('Lead Budget'!F48:F49),0)+IF(AND('rates, dates, etc'!$B$136="Endowed College",'rates, dates, etc'!$B$137="On"),SUM(Stedman!F48:F49),0)+IF(AND('rates, dates, etc'!$B$242="Endowed College",'rates, dates, etc'!$B$243="On"),SUM('Co PI 2'!F48:F49),0)+IF(AND('rates, dates, etc'!$B$348="Endowed College",'rates, dates, etc'!$B$349="On"),SUM('Co PI 3'!F48:F49),0)+IF(AND('rates, dates, etc'!$B$454="Endowed College",'rates, dates, etc'!$B$455="On"),SUM('Co-PI Budget (4)'!F48:F49),0)+IF(AND('rates, dates, etc'!$B$560="Endowed College",'rates, dates, etc'!$B$561="On"),SUM('Co-PI Budget (5)'!F48:F49),0)</f>
        <v>0</v>
      </c>
      <c r="G50" s="27">
        <f t="shared" si="25"/>
        <v>0</v>
      </c>
      <c r="I50" s="10" t="s">
        <v>266</v>
      </c>
      <c r="J50" s="11">
        <f>IF(AND('rates, dates, etc'!$B$30="Endowed College",'rates, dates, etc'!$B$31="Off"),SUM('Lead Budget'!B48:B49),0)+IF(AND('rates, dates, etc'!$B$136="Endowed College",'rates, dates, etc'!$B$137="Off"),SUM(Stedman!B48:B49),0)+IF(AND('rates, dates, etc'!$B$242="Endowed College",'rates, dates, etc'!$B$243="Off"),SUM('Co PI 2'!B48:B49),0)+IF(AND('rates, dates, etc'!$B$348="Endowed College",'rates, dates, etc'!$B$349="Off"),SUM('Co PI 3'!B48:B49),0)+IF(AND('rates, dates, etc'!$B$454="Endowed College",'rates, dates, etc'!$B$455="Off"),SUM('Co-PI Budget (4)'!B48:B49),0)+IF(AND('rates, dates, etc'!$B$560="Endowed College",'rates, dates, etc'!$B$561="Off"),SUM('Co-PI Budget (5)'!B48:B49),0)</f>
        <v>0</v>
      </c>
      <c r="K50" s="11">
        <f>IF(AND('rates, dates, etc'!$B$30="Endowed College",'rates, dates, etc'!$B$31="Off"),SUM('Lead Budget'!C48:C49),0)+IF(AND('rates, dates, etc'!$B$136="Endowed College",'rates, dates, etc'!$B$137="Off"),SUM(Stedman!C48:C49),0)+IF(AND('rates, dates, etc'!$B$242="Endowed College",'rates, dates, etc'!$B$243="Off"),SUM('Co PI 2'!C48:C49),0)+IF(AND('rates, dates, etc'!$B$348="Endowed College",'rates, dates, etc'!$B$349="Off"),SUM('Co PI 3'!C48:C49),0)+IF(AND('rates, dates, etc'!$B$454="Endowed College",'rates, dates, etc'!$B$455="Off"),SUM('Co-PI Budget (4)'!C48:C49),0)+IF(AND('rates, dates, etc'!$B$560="Endowed College",'rates, dates, etc'!$B$561="Off"),SUM('Co-PI Budget (5)'!C48:C49),0)</f>
        <v>0</v>
      </c>
      <c r="L50" s="11">
        <f>IF(AND('rates, dates, etc'!$B$30="Endowed College",'rates, dates, etc'!$B$31="Off"),SUM('Lead Budget'!D48:D49),0)+IF(AND('rates, dates, etc'!$B$136="Endowed College",'rates, dates, etc'!$B$137="Off"),SUM(Stedman!D48:D49),0)+IF(AND('rates, dates, etc'!$B$242="Endowed College",'rates, dates, etc'!$B$243="Off"),SUM('Co PI 2'!D48:D49),0)+IF(AND('rates, dates, etc'!$B$348="Endowed College",'rates, dates, etc'!$B$349="Off"),SUM('Co PI 3'!D48:D49),0)+IF(AND('rates, dates, etc'!$B$454="Endowed College",'rates, dates, etc'!$B$455="Off"),SUM('Co-PI Budget (4)'!D48:D49),0)+IF(AND('rates, dates, etc'!$B$560="Endowed College",'rates, dates, etc'!$B$561="Off"),SUM('Co-PI Budget (5)'!D48:D49),0)</f>
        <v>0</v>
      </c>
      <c r="M50" s="11">
        <f>IF(AND('rates, dates, etc'!$B$30="Endowed College",'rates, dates, etc'!$B$31="Off"),SUM('Lead Budget'!E48:E49),0)+IF(AND('rates, dates, etc'!$B$136="Endowed College",'rates, dates, etc'!$B$137="Off"),SUM(Stedman!E48:E49),0)+IF(AND('rates, dates, etc'!$B$242="Endowed College",'rates, dates, etc'!$B$243="Off"),SUM('Co PI 2'!E48:E49),0)+IF(AND('rates, dates, etc'!$B$348="Endowed College",'rates, dates, etc'!$B$349="Off"),SUM('Co PI 3'!E48:E49),0)+IF(AND('rates, dates, etc'!$B$454="Endowed College",'rates, dates, etc'!$B$455="Off"),SUM('Co-PI Budget (4)'!E48:E49),0)+IF(AND('rates, dates, etc'!$B$560="Endowed College",'rates, dates, etc'!$B$561="Off"),SUM('Co-PI Budget (5)'!E48:E49),0)</f>
        <v>0</v>
      </c>
      <c r="N50" s="11">
        <f>IF(AND('rates, dates, etc'!$B$30="Endowed College",'rates, dates, etc'!$B$31="Off"),SUM('Lead Budget'!F48:F49),0)+IF(AND('rates, dates, etc'!$B$136="Endowed College",'rates, dates, etc'!$B$137="Off"),SUM(Stedman!F48:F49),0)+IF(AND('rates, dates, etc'!$B$242="Endowed College",'rates, dates, etc'!$B$243="Off"),SUM('Co PI 2'!F48:F49),0)+IF(AND('rates, dates, etc'!$B$348="Endowed College",'rates, dates, etc'!$B$349="Off"),SUM('Co PI 3'!F48:F49),0)+IF(AND('rates, dates, etc'!$B$454="Endowed College",'rates, dates, etc'!$B$455="Off"),SUM('Co-PI Budget (4)'!F48:F49),0)+IF(AND('rates, dates, etc'!$B$560="Endowed College",'rates, dates, etc'!$B$561="Off"),SUM('Co-PI Budget (5)'!F48:F49),0)</f>
        <v>0</v>
      </c>
      <c r="O50" s="27">
        <f t="shared" si="26"/>
        <v>0</v>
      </c>
    </row>
    <row r="51" spans="1:15" x14ac:dyDescent="0.25">
      <c r="A51" s="10" t="s">
        <v>268</v>
      </c>
      <c r="B51" s="11">
        <f>IF(AND('rates, dates, etc'!$B$30="Endowed College",'rates, dates, etc'!$B$31="On"),'Lead Budget'!B50,0)+IF(AND('rates, dates, etc'!$B$136="Endowed College",'rates, dates, etc'!$B$137="On"),Stedman!B50,0)+IF(AND('rates, dates, etc'!$B$242="Endowed College",'rates, dates, etc'!$B$243="On"),'Co PI 2'!B50,0)+IF(AND('rates, dates, etc'!$B$348="Endowed College",'rates, dates, etc'!$B$349="On"),'Co PI 3'!B50,0)+IF(AND('rates, dates, etc'!$B$454="Endowed College",'rates, dates, etc'!$B$455="On"),'Co-PI Budget (4)'!B50,0)+IF(AND('rates, dates, etc'!$B$560="Endowed College",'rates, dates, etc'!$B$561="On"),'Co-PI Budget (5)'!B50,0)</f>
        <v>0</v>
      </c>
      <c r="C51" s="11">
        <f>IF(AND('rates, dates, etc'!$B$30="Endowed College",'rates, dates, etc'!$B$31="On"),'Lead Budget'!C50,0)+IF(AND('rates, dates, etc'!$B$136="Endowed College",'rates, dates, etc'!$B$137="On"),Stedman!C50,0)+IF(AND('rates, dates, etc'!$B$242="Endowed College",'rates, dates, etc'!$B$243="On"),'Co PI 2'!C50,0)+IF(AND('rates, dates, etc'!$B$348="Endowed College",'rates, dates, etc'!$B$349="On"),'Co PI 3'!C50,0)+IF(AND('rates, dates, etc'!$B$454="Endowed College",'rates, dates, etc'!$B$455="On"),'Co-PI Budget (4)'!C50,0)+IF(AND('rates, dates, etc'!$B$560="Endowed College",'rates, dates, etc'!$B$561="On"),'Co-PI Budget (5)'!C50,0)</f>
        <v>0</v>
      </c>
      <c r="D51" s="11">
        <f>IF(AND('rates, dates, etc'!$B$30="Endowed College",'rates, dates, etc'!$B$31="On"),'Lead Budget'!D50,0)+IF(AND('rates, dates, etc'!$B$136="Endowed College",'rates, dates, etc'!$B$137="On"),Stedman!D50,0)+IF(AND('rates, dates, etc'!$B$242="Endowed College",'rates, dates, etc'!$B$243="On"),'Co PI 2'!D50,0)+IF(AND('rates, dates, etc'!$B$348="Endowed College",'rates, dates, etc'!$B$349="On"),'Co PI 3'!D50,0)+IF(AND('rates, dates, etc'!$B$454="Endowed College",'rates, dates, etc'!$B$455="On"),'Co-PI Budget (4)'!D50,0)+IF(AND('rates, dates, etc'!$B$560="Endowed College",'rates, dates, etc'!$B$561="On"),'Co-PI Budget (5)'!D50,0)</f>
        <v>0</v>
      </c>
      <c r="E51" s="11">
        <f>IF(AND('rates, dates, etc'!$B$30="Endowed College",'rates, dates, etc'!$B$31="On"),'Lead Budget'!E50,0)+IF(AND('rates, dates, etc'!$B$136="Endowed College",'rates, dates, etc'!$B$137="On"),Stedman!E50,0)+IF(AND('rates, dates, etc'!$B$242="Endowed College",'rates, dates, etc'!$B$243="On"),'Co PI 2'!E50,0)+IF(AND('rates, dates, etc'!$B$348="Endowed College",'rates, dates, etc'!$B$349="On"),'Co PI 3'!E50,0)+IF(AND('rates, dates, etc'!$B$454="Endowed College",'rates, dates, etc'!$B$455="On"),'Co-PI Budget (4)'!E50,0)+IF(AND('rates, dates, etc'!$B$560="Endowed College",'rates, dates, etc'!$B$561="On"),'Co-PI Budget (5)'!E50,0)</f>
        <v>0</v>
      </c>
      <c r="F51" s="11">
        <f>IF(AND('rates, dates, etc'!$B$30="Endowed College",'rates, dates, etc'!$B$31="On"),'Lead Budget'!F50,0)+IF(AND('rates, dates, etc'!$B$136="Endowed College",'rates, dates, etc'!$B$137="On"),Stedman!F50,0)+IF(AND('rates, dates, etc'!$B$242="Endowed College",'rates, dates, etc'!$B$243="On"),'Co PI 2'!F50,0)+IF(AND('rates, dates, etc'!$B$348="Endowed College",'rates, dates, etc'!$B$349="On"),'Co PI 3'!F50,0)+IF(AND('rates, dates, etc'!$B$454="Endowed College",'rates, dates, etc'!$B$455="On"),'Co-PI Budget (4)'!F50,0)+IF(AND('rates, dates, etc'!$B$560="Endowed College",'rates, dates, etc'!$B$561="On"),'Co-PI Budget (5)'!F50,0)</f>
        <v>0</v>
      </c>
      <c r="G51" s="27">
        <f t="shared" si="25"/>
        <v>0</v>
      </c>
      <c r="I51" s="10" t="s">
        <v>268</v>
      </c>
      <c r="J51" s="11">
        <f>IF(AND('rates, dates, etc'!$B$30="Endowed College",'rates, dates, etc'!$B$31="Off"),'Lead Budget'!B50,0)+IF(AND('rates, dates, etc'!$B$136="Endowed College",'rates, dates, etc'!$B$137="Off"),Stedman!B50,0)+IF(AND('rates, dates, etc'!$B$242="Endowed College",'rates, dates, etc'!$B$243="Off"),'Co PI 2'!B50,0)+IF(AND('rates, dates, etc'!$B$348="Endowed College",'rates, dates, etc'!$B$349="Off"),'Co PI 3'!B50,0)+IF(AND('rates, dates, etc'!$B$454="Endowed College",'rates, dates, etc'!$B$455="Off"),'Co-PI Budget (4)'!B50,0)+IF(AND('rates, dates, etc'!$B$560="Endowed College",'rates, dates, etc'!$B$561="Off"),'Co-PI Budget (5)'!B50,0)</f>
        <v>0</v>
      </c>
      <c r="K51" s="11">
        <f>IF(AND('rates, dates, etc'!$B$30="Endowed College",'rates, dates, etc'!$B$31="Off"),'Lead Budget'!C50,0)+IF(AND('rates, dates, etc'!$B$136="Endowed College",'rates, dates, etc'!$B$137="Off"),Stedman!C50,0)+IF(AND('rates, dates, etc'!$B$242="Endowed College",'rates, dates, etc'!$B$243="Off"),'Co PI 2'!C50,0)+IF(AND('rates, dates, etc'!$B$348="Endowed College",'rates, dates, etc'!$B$349="Off"),'Co PI 3'!C50,0)+IF(AND('rates, dates, etc'!$B$454="Endowed College",'rates, dates, etc'!$B$455="Off"),'Co-PI Budget (4)'!C50,0)+IF(AND('rates, dates, etc'!$B$560="Endowed College",'rates, dates, etc'!$B$561="Off"),'Co-PI Budget (5)'!C50,0)</f>
        <v>0</v>
      </c>
      <c r="L51" s="11">
        <f>IF(AND('rates, dates, etc'!$B$30="Endowed College",'rates, dates, etc'!$B$31="Off"),'Lead Budget'!D50,0)+IF(AND('rates, dates, etc'!$B$136="Endowed College",'rates, dates, etc'!$B$137="Off"),Stedman!D50,0)+IF(AND('rates, dates, etc'!$B$242="Endowed College",'rates, dates, etc'!$B$243="Off"),'Co PI 2'!D50,0)+IF(AND('rates, dates, etc'!$B$348="Endowed College",'rates, dates, etc'!$B$349="Off"),'Co PI 3'!D50,0)+IF(AND('rates, dates, etc'!$B$454="Endowed College",'rates, dates, etc'!$B$455="Off"),'Co-PI Budget (4)'!D50,0)+IF(AND('rates, dates, etc'!$B$560="Endowed College",'rates, dates, etc'!$B$561="Off"),'Co-PI Budget (5)'!D50,0)</f>
        <v>0</v>
      </c>
      <c r="M51" s="11">
        <f>IF(AND('rates, dates, etc'!$B$30="Endowed College",'rates, dates, etc'!$B$31="Off"),'Lead Budget'!E50,0)+IF(AND('rates, dates, etc'!$B$136="Endowed College",'rates, dates, etc'!$B$137="Off"),Stedman!E50,0)+IF(AND('rates, dates, etc'!$B$242="Endowed College",'rates, dates, etc'!$B$243="Off"),'Co PI 2'!E50,0)+IF(AND('rates, dates, etc'!$B$348="Endowed College",'rates, dates, etc'!$B$349="Off"),'Co PI 3'!E50,0)+IF(AND('rates, dates, etc'!$B$454="Endowed College",'rates, dates, etc'!$B$455="Off"),'Co-PI Budget (4)'!E50,0)+IF(AND('rates, dates, etc'!$B$560="Endowed College",'rates, dates, etc'!$B$561="Off"),'Co-PI Budget (5)'!E50,0)</f>
        <v>0</v>
      </c>
      <c r="N51" s="11">
        <f>IF(AND('rates, dates, etc'!$B$30="Endowed College",'rates, dates, etc'!$B$31="Off"),'Lead Budget'!F50,0)+IF(AND('rates, dates, etc'!$B$136="Endowed College",'rates, dates, etc'!$B$137="Off"),Stedman!F50,0)+IF(AND('rates, dates, etc'!$B$242="Endowed College",'rates, dates, etc'!$B$243="Off"),'Co PI 2'!F50,0)+IF(AND('rates, dates, etc'!$B$348="Endowed College",'rates, dates, etc'!$B$349="Off"),'Co PI 3'!F50,0)+IF(AND('rates, dates, etc'!$B$454="Endowed College",'rates, dates, etc'!$B$455="Off"),'Co-PI Budget (4)'!F50,0)+IF(AND('rates, dates, etc'!$B$560="Endowed College",'rates, dates, etc'!$B$561="Off"),'Co-PI Budget (5)'!F50,0)</f>
        <v>0</v>
      </c>
      <c r="O51" s="27">
        <f t="shared" si="26"/>
        <v>0</v>
      </c>
    </row>
    <row r="52" spans="1:15" x14ac:dyDescent="0.25">
      <c r="A52" s="10" t="s">
        <v>275</v>
      </c>
      <c r="B52" s="11">
        <f>IF(AND('rates, dates, etc'!$B$30="Endowed College",'rates, dates, etc'!$B$31="On"),SUM('Lead Budget'!B52:B53),0)+IF(AND('rates, dates, etc'!$B$136="Endowed College",'rates, dates, etc'!$B$137="On"),SUM(Stedman!B52:B53),0)+IF(AND('rates, dates, etc'!$B$242="Endowed College",'rates, dates, etc'!$B$243="On"),SUM('Co PI 2'!B52:B53),0)+IF(AND('rates, dates, etc'!$B$348="Endowed College",'rates, dates, etc'!$B$349="On"),SUM('Co PI 3'!B52:B53),0)+IF(AND('rates, dates, etc'!$B$454="Endowed College",'rates, dates, etc'!$B$455="On"),SUM('Co-PI Budget (4)'!B52:B53),0)+IF(AND('rates, dates, etc'!$B$560="Endowed College",'rates, dates, etc'!$B$561="On"),SUM('Co-PI Budget (5)'!B52:B53),0)</f>
        <v>0</v>
      </c>
      <c r="C52" s="11">
        <f>IF(AND('rates, dates, etc'!$B$30="Endowed College",'rates, dates, etc'!$B$31="On"),SUM('Lead Budget'!C52:C53),0)+IF(AND('rates, dates, etc'!$B$136="Endowed College",'rates, dates, etc'!$B$137="On"),SUM(Stedman!C52:C53),0)+IF(AND('rates, dates, etc'!$B$242="Endowed College",'rates, dates, etc'!$B$243="On"),SUM('Co PI 2'!C52:C53),0)+IF(AND('rates, dates, etc'!$B$348="Endowed College",'rates, dates, etc'!$B$349="On"),SUM('Co PI 3'!C52:C53),0)+IF(AND('rates, dates, etc'!$B$454="Endowed College",'rates, dates, etc'!$B$455="On"),SUM('Co-PI Budget (4)'!C52:C53),0)+IF(AND('rates, dates, etc'!$B$560="Endowed College",'rates, dates, etc'!$B$561="On"),SUM('Co-PI Budget (5)'!C52:C53),0)</f>
        <v>0</v>
      </c>
      <c r="D52" s="11">
        <f>IF(AND('rates, dates, etc'!$B$30="Endowed College",'rates, dates, etc'!$B$31="On"),SUM('Lead Budget'!D52:D53),0)+IF(AND('rates, dates, etc'!$B$136="Endowed College",'rates, dates, etc'!$B$137="On"),SUM(Stedman!D52:D53),0)+IF(AND('rates, dates, etc'!$B$242="Endowed College",'rates, dates, etc'!$B$243="On"),SUM('Co PI 2'!D52:D53),0)+IF(AND('rates, dates, etc'!$B$348="Endowed College",'rates, dates, etc'!$B$349="On"),SUM('Co PI 3'!D52:D53),0)+IF(AND('rates, dates, etc'!$B$454="Endowed College",'rates, dates, etc'!$B$455="On"),SUM('Co-PI Budget (4)'!D52:D53),0)+IF(AND('rates, dates, etc'!$B$560="Endowed College",'rates, dates, etc'!$B$561="On"),SUM('Co-PI Budget (5)'!D52:D53),0)</f>
        <v>0</v>
      </c>
      <c r="E52" s="11">
        <f>IF(AND('rates, dates, etc'!$B$30="Endowed College",'rates, dates, etc'!$B$31="On"),SUM('Lead Budget'!E52:E53),0)+IF(AND('rates, dates, etc'!$B$136="Endowed College",'rates, dates, etc'!$B$137="On"),SUM(Stedman!E52:E53),0)+IF(AND('rates, dates, etc'!$B$242="Endowed College",'rates, dates, etc'!$B$243="On"),SUM('Co PI 2'!E52:E53),0)+IF(AND('rates, dates, etc'!$B$348="Endowed College",'rates, dates, etc'!$B$349="On"),SUM('Co PI 3'!E52:E53),0)+IF(AND('rates, dates, etc'!$B$454="Endowed College",'rates, dates, etc'!$B$455="On"),SUM('Co-PI Budget (4)'!E52:E53),0)+IF(AND('rates, dates, etc'!$B$560="Endowed College",'rates, dates, etc'!$B$561="On"),SUM('Co-PI Budget (5)'!E52:E53),0)</f>
        <v>0</v>
      </c>
      <c r="F52" s="11">
        <f>IF(AND('rates, dates, etc'!$B$30="Endowed College",'rates, dates, etc'!$B$31="On"),SUM('Lead Budget'!F52:F53),0)+IF(AND('rates, dates, etc'!$B$136="Endowed College",'rates, dates, etc'!$B$137="On"),SUM(Stedman!F52:F53),0)+IF(AND('rates, dates, etc'!$B$242="Endowed College",'rates, dates, etc'!$B$243="On"),SUM('Co PI 2'!F52:F53),0)+IF(AND('rates, dates, etc'!$B$348="Endowed College",'rates, dates, etc'!$B$349="On"),SUM('Co PI 3'!F52:F53),0)+IF(AND('rates, dates, etc'!$B$454="Endowed College",'rates, dates, etc'!$B$455="On"),SUM('Co-PI Budget (4)'!F52:F53),0)+IF(AND('rates, dates, etc'!$B$560="Endowed College",'rates, dates, etc'!$B$561="On"),SUM('Co-PI Budget (5)'!F52:F53),0)</f>
        <v>0</v>
      </c>
      <c r="G52" s="27">
        <f t="shared" si="25"/>
        <v>0</v>
      </c>
      <c r="I52" s="10" t="s">
        <v>275</v>
      </c>
      <c r="J52" s="11">
        <f>IF(AND('rates, dates, etc'!$B$30="Endowed College",'rates, dates, etc'!$B$31="Off"),SUM('Lead Budget'!B52:B53),0)+IF(AND('rates, dates, etc'!$B$136="Endowed College",'rates, dates, etc'!$B$137="Off"),SUM(Stedman!B52:B53),0)+IF(AND('rates, dates, etc'!$B$242="Endowed College",'rates, dates, etc'!$B$243="Off"),SUM('Co PI 2'!B52:B53),0)+IF(AND('rates, dates, etc'!$B$348="Endowed College",'rates, dates, etc'!$B$349="Off"),SUM('Co PI 3'!B52:B53),0)+IF(AND('rates, dates, etc'!$B$454="Endowed College",'rates, dates, etc'!$B$455="Off"),SUM('Co-PI Budget (4)'!B52:B53),0)+IF(AND('rates, dates, etc'!$B$560="Endowed College",'rates, dates, etc'!$B$561="Off"),SUM('Co-PI Budget (5)'!B52:B53),0)</f>
        <v>0</v>
      </c>
      <c r="K52" s="11">
        <f>IF(AND('rates, dates, etc'!$B$30="Endowed College",'rates, dates, etc'!$B$31="Off"),SUM('Lead Budget'!C52:C53),0)+IF(AND('rates, dates, etc'!$B$136="Endowed College",'rates, dates, etc'!$B$137="Off"),SUM(Stedman!C52:C53),0)+IF(AND('rates, dates, etc'!$B$242="Endowed College",'rates, dates, etc'!$B$243="Off"),SUM('Co PI 2'!C52:C53),0)+IF(AND('rates, dates, etc'!$B$348="Endowed College",'rates, dates, etc'!$B$349="Off"),SUM('Co PI 3'!C52:C53),0)+IF(AND('rates, dates, etc'!$B$454="Endowed College",'rates, dates, etc'!$B$455="Off"),SUM('Co-PI Budget (4)'!C52:C53),0)+IF(AND('rates, dates, etc'!$B$560="Endowed College",'rates, dates, etc'!$B$561="Off"),SUM('Co-PI Budget (5)'!C52:C53),0)</f>
        <v>0</v>
      </c>
      <c r="L52" s="11">
        <f>IF(AND('rates, dates, etc'!$B$30="Endowed College",'rates, dates, etc'!$B$31="Off"),SUM('Lead Budget'!D52:D53),0)+IF(AND('rates, dates, etc'!$B$136="Endowed College",'rates, dates, etc'!$B$137="Off"),SUM(Stedman!D52:D53),0)+IF(AND('rates, dates, etc'!$B$242="Endowed College",'rates, dates, etc'!$B$243="Off"),SUM('Co PI 2'!D52:D53),0)+IF(AND('rates, dates, etc'!$B$348="Endowed College",'rates, dates, etc'!$B$349="Off"),SUM('Co PI 3'!D52:D53),0)+IF(AND('rates, dates, etc'!$B$454="Endowed College",'rates, dates, etc'!$B$455="Off"),SUM('Co-PI Budget (4)'!D52:D53),0)+IF(AND('rates, dates, etc'!$B$560="Endowed College",'rates, dates, etc'!$B$561="Off"),SUM('Co-PI Budget (5)'!D52:D53),0)</f>
        <v>0</v>
      </c>
      <c r="M52" s="11">
        <f>IF(AND('rates, dates, etc'!$B$30="Endowed College",'rates, dates, etc'!$B$31="Off"),SUM('Lead Budget'!E52:E53),0)+IF(AND('rates, dates, etc'!$B$136="Endowed College",'rates, dates, etc'!$B$137="Off"),SUM(Stedman!E52:E53),0)+IF(AND('rates, dates, etc'!$B$242="Endowed College",'rates, dates, etc'!$B$243="Off"),SUM('Co PI 2'!E52:E53),0)+IF(AND('rates, dates, etc'!$B$348="Endowed College",'rates, dates, etc'!$B$349="Off"),SUM('Co PI 3'!E52:E53),0)+IF(AND('rates, dates, etc'!$B$454="Endowed College",'rates, dates, etc'!$B$455="Off"),SUM('Co-PI Budget (4)'!E52:E53),0)+IF(AND('rates, dates, etc'!$B$560="Endowed College",'rates, dates, etc'!$B$561="Off"),SUM('Co-PI Budget (5)'!E52:E53),0)</f>
        <v>0</v>
      </c>
      <c r="N52" s="11">
        <f>IF(AND('rates, dates, etc'!$B$30="Endowed College",'rates, dates, etc'!$B$31="Off"),SUM('Lead Budget'!F52:F53),0)+IF(AND('rates, dates, etc'!$B$136="Endowed College",'rates, dates, etc'!$B$137="Off"),SUM(Stedman!F52:F53),0)+IF(AND('rates, dates, etc'!$B$242="Endowed College",'rates, dates, etc'!$B$243="Off"),SUM('Co PI 2'!F52:F53),0)+IF(AND('rates, dates, etc'!$B$348="Endowed College",'rates, dates, etc'!$B$349="Off"),SUM('Co PI 3'!F52:F53),0)+IF(AND('rates, dates, etc'!$B$454="Endowed College",'rates, dates, etc'!$B$455="Off"),SUM('Co-PI Budget (4)'!F52:F53),0)+IF(AND('rates, dates, etc'!$B$560="Endowed College",'rates, dates, etc'!$B$561="Off"),SUM('Co-PI Budget (5)'!F52:F53),0)</f>
        <v>0</v>
      </c>
      <c r="O52" s="27">
        <f t="shared" si="26"/>
        <v>0</v>
      </c>
    </row>
    <row r="53" spans="1:15" x14ac:dyDescent="0.25">
      <c r="A53" s="10" t="s">
        <v>267</v>
      </c>
      <c r="B53" s="11">
        <f>IF(AND('rates, dates, etc'!$B$30="Endowed College",'rates, dates, etc'!$B$31="On"),SUM('Lead Budget'!B51:B54),0)+IF(AND('rates, dates, etc'!$B$136="Endowed College",'rates, dates, etc'!$B$137="On"),SUM(Stedman!B51:B54),0)+IF(AND('rates, dates, etc'!$B$242="Endowed College",'rates, dates, etc'!$B$243="On"),SUM('Co PI 2'!B51:B54),0)+IF(AND('rates, dates, etc'!$B$348="Endowed College",'rates, dates, etc'!$B$349="On"),SUM('Co PI 3'!B51:B54),0)+IF(AND('rates, dates, etc'!$B$454="Endowed College",'rates, dates, etc'!$B$455="On"),SUM('Co-PI Budget (4)'!B51:B54),0)+IF(AND('rates, dates, etc'!$B$560="Endowed College",'rates, dates, etc'!$B$561="On"),SUM('Co-PI Budget (5)'!B51:B54),0)-B52</f>
        <v>0</v>
      </c>
      <c r="C53" s="11">
        <f>IF(AND('rates, dates, etc'!$B$30="Endowed College",'rates, dates, etc'!$B$31="On"),SUM('Lead Budget'!C51:C54),0)+IF(AND('rates, dates, etc'!$B$136="Endowed College",'rates, dates, etc'!$B$137="On"),SUM(Stedman!C51:C54),0)+IF(AND('rates, dates, etc'!$B$242="Endowed College",'rates, dates, etc'!$B$243="On"),SUM('Co PI 2'!C51:C54),0)+IF(AND('rates, dates, etc'!$B$348="Endowed College",'rates, dates, etc'!$B$349="On"),SUM('Co PI 3'!C51:C54),0)+IF(AND('rates, dates, etc'!$B$454="Endowed College",'rates, dates, etc'!$B$455="On"),SUM('Co-PI Budget (4)'!C51:C54),0)+IF(AND('rates, dates, etc'!$B$560="Endowed College",'rates, dates, etc'!$B$561="On"),SUM('Co-PI Budget (5)'!C51:C54),0)-C52</f>
        <v>0</v>
      </c>
      <c r="D53" s="11">
        <f>IF(AND('rates, dates, etc'!$B$30="Endowed College",'rates, dates, etc'!$B$31="On"),SUM('Lead Budget'!D51:D54),0)+IF(AND('rates, dates, etc'!$B$136="Endowed College",'rates, dates, etc'!$B$137="On"),SUM(Stedman!D51:D54),0)+IF(AND('rates, dates, etc'!$B$242="Endowed College",'rates, dates, etc'!$B$243="On"),SUM('Co PI 2'!D51:D54),0)+IF(AND('rates, dates, etc'!$B$348="Endowed College",'rates, dates, etc'!$B$349="On"),SUM('Co PI 3'!D51:D54),0)+IF(AND('rates, dates, etc'!$B$454="Endowed College",'rates, dates, etc'!$B$455="On"),SUM('Co-PI Budget (4)'!D51:D54),0)+IF(AND('rates, dates, etc'!$B$560="Endowed College",'rates, dates, etc'!$B$561="On"),SUM('Co-PI Budget (5)'!D51:D54),0)-D52</f>
        <v>0</v>
      </c>
      <c r="E53" s="11">
        <f>IF(AND('rates, dates, etc'!$B$30="Endowed College",'rates, dates, etc'!$B$31="On"),SUM('Lead Budget'!E51:E54),0)+IF(AND('rates, dates, etc'!$B$136="Endowed College",'rates, dates, etc'!$B$137="On"),SUM(Stedman!E51:E54),0)+IF(AND('rates, dates, etc'!$B$242="Endowed College",'rates, dates, etc'!$B$243="On"),SUM('Co PI 2'!E51:E54),0)+IF(AND('rates, dates, etc'!$B$348="Endowed College",'rates, dates, etc'!$B$349="On"),SUM('Co PI 3'!E51:E54),0)+IF(AND('rates, dates, etc'!$B$454="Endowed College",'rates, dates, etc'!$B$455="On"),SUM('Co-PI Budget (4)'!E51:E54),0)+IF(AND('rates, dates, etc'!$B$560="Endowed College",'rates, dates, etc'!$B$561="On"),SUM('Co-PI Budget (5)'!E51:E54),0)-E52</f>
        <v>0</v>
      </c>
      <c r="F53" s="11">
        <f>IF(AND('rates, dates, etc'!$B$30="Endowed College",'rates, dates, etc'!$B$31="On"),SUM('Lead Budget'!F51:F54),0)+IF(AND('rates, dates, etc'!$B$136="Endowed College",'rates, dates, etc'!$B$137="On"),SUM(Stedman!F51:F54),0)+IF(AND('rates, dates, etc'!$B$242="Endowed College",'rates, dates, etc'!$B$243="On"),SUM('Co PI 2'!F51:F54),0)+IF(AND('rates, dates, etc'!$B$348="Endowed College",'rates, dates, etc'!$B$349="On"),SUM('Co PI 3'!F51:F54),0)+IF(AND('rates, dates, etc'!$B$454="Endowed College",'rates, dates, etc'!$B$455="On"),SUM('Co-PI Budget (4)'!F51:F54),0)+IF(AND('rates, dates, etc'!$B$560="Endowed College",'rates, dates, etc'!$B$561="On"),SUM('Co-PI Budget (5)'!F51:F54),0)-F52</f>
        <v>0</v>
      </c>
      <c r="G53" s="27">
        <f t="shared" si="25"/>
        <v>0</v>
      </c>
      <c r="I53" s="10" t="s">
        <v>267</v>
      </c>
      <c r="J53" s="11">
        <f>IF(AND('rates, dates, etc'!$B$30="Endowed College",'rates, dates, etc'!$B$31="Off"),SUM('Lead Budget'!B51:B54),0)+IF(AND('rates, dates, etc'!$B$136="Endowed College",'rates, dates, etc'!$B$137="Off"),SUM(Stedman!B51:B54),0)+IF(AND('rates, dates, etc'!$B$242="Endowed College",'rates, dates, etc'!$B$243="Off"),SUM('Co PI 2'!B51:B54),0)+IF(AND('rates, dates, etc'!$B$348="Endowed College",'rates, dates, etc'!$B$349="Off"),SUM('Co PI 3'!B51:B54),0)+IF(AND('rates, dates, etc'!$B$454="Endowed College",'rates, dates, etc'!$B$455="Off"),SUM('Co-PI Budget (4)'!B51:B54),0)+IF(AND('rates, dates, etc'!$B$560="Endowed College",'rates, dates, etc'!$B$561="Off"),SUM('Co-PI Budget (5)'!B51:B54),0)-J52</f>
        <v>0</v>
      </c>
      <c r="K53" s="11">
        <f>IF(AND('rates, dates, etc'!$B$30="Endowed College",'rates, dates, etc'!$B$31="Off"),SUM('Lead Budget'!C51:C54),0)+IF(AND('rates, dates, etc'!$B$136="Endowed College",'rates, dates, etc'!$B$137="Off"),SUM(Stedman!C51:C54),0)+IF(AND('rates, dates, etc'!$B$242="Endowed College",'rates, dates, etc'!$B$243="Off"),SUM('Co PI 2'!C51:C54),0)+IF(AND('rates, dates, etc'!$B$348="Endowed College",'rates, dates, etc'!$B$349="Off"),SUM('Co PI 3'!C51:C54),0)+IF(AND('rates, dates, etc'!$B$454="Endowed College",'rates, dates, etc'!$B$455="Off"),SUM('Co-PI Budget (4)'!C51:C54),0)+IF(AND('rates, dates, etc'!$B$560="Endowed College",'rates, dates, etc'!$B$561="Off"),SUM('Co-PI Budget (5)'!C51:C54),0)-K52</f>
        <v>0</v>
      </c>
      <c r="L53" s="11">
        <f>IF(AND('rates, dates, etc'!$B$30="Endowed College",'rates, dates, etc'!$B$31="Off"),SUM('Lead Budget'!D51:D54),0)+IF(AND('rates, dates, etc'!$B$136="Endowed College",'rates, dates, etc'!$B$137="Off"),SUM(Stedman!D51:D54),0)+IF(AND('rates, dates, etc'!$B$242="Endowed College",'rates, dates, etc'!$B$243="Off"),SUM('Co PI 2'!D51:D54),0)+IF(AND('rates, dates, etc'!$B$348="Endowed College",'rates, dates, etc'!$B$349="Off"),SUM('Co PI 3'!D51:D54),0)+IF(AND('rates, dates, etc'!$B$454="Endowed College",'rates, dates, etc'!$B$455="Off"),SUM('Co-PI Budget (4)'!D51:D54),0)+IF(AND('rates, dates, etc'!$B$560="Endowed College",'rates, dates, etc'!$B$561="Off"),SUM('Co-PI Budget (5)'!D51:D54),0)-L52</f>
        <v>0</v>
      </c>
      <c r="M53" s="11">
        <f>IF(AND('rates, dates, etc'!$B$30="Endowed College",'rates, dates, etc'!$B$31="Off"),SUM('Lead Budget'!E51:E54),0)+IF(AND('rates, dates, etc'!$B$136="Endowed College",'rates, dates, etc'!$B$137="Off"),SUM(Stedman!E51:E54),0)+IF(AND('rates, dates, etc'!$B$242="Endowed College",'rates, dates, etc'!$B$243="Off"),SUM('Co PI 2'!E51:E54),0)+IF(AND('rates, dates, etc'!$B$348="Endowed College",'rates, dates, etc'!$B$349="Off"),SUM('Co PI 3'!E51:E54),0)+IF(AND('rates, dates, etc'!$B$454="Endowed College",'rates, dates, etc'!$B$455="Off"),SUM('Co-PI Budget (4)'!E51:E54),0)+IF(AND('rates, dates, etc'!$B$560="Endowed College",'rates, dates, etc'!$B$561="Off"),SUM('Co-PI Budget (5)'!E51:E54),0)-M52</f>
        <v>0</v>
      </c>
      <c r="N53" s="11">
        <f>IF(AND('rates, dates, etc'!$B$30="Endowed College",'rates, dates, etc'!$B$31="Off"),SUM('Lead Budget'!F51:F54),0)+IF(AND('rates, dates, etc'!$B$136="Endowed College",'rates, dates, etc'!$B$137="Off"),SUM(Stedman!F51:F54),0)+IF(AND('rates, dates, etc'!$B$242="Endowed College",'rates, dates, etc'!$B$243="Off"),SUM('Co PI 2'!F51:F54),0)+IF(AND('rates, dates, etc'!$B$348="Endowed College",'rates, dates, etc'!$B$349="Off"),SUM('Co PI 3'!F51:F54),0)+IF(AND('rates, dates, etc'!$B$454="Endowed College",'rates, dates, etc'!$B$455="Off"),SUM('Co-PI Budget (4)'!F51:F54),0)+IF(AND('rates, dates, etc'!$B$560="Endowed College",'rates, dates, etc'!$B$561="Off"),SUM('Co-PI Budget (5)'!F51:F54),0)-N52</f>
        <v>0</v>
      </c>
      <c r="O53" s="27">
        <f t="shared" si="26"/>
        <v>0</v>
      </c>
    </row>
    <row r="54" spans="1:15" ht="15.75" thickBot="1" x14ac:dyDescent="0.3">
      <c r="A54" s="375" t="s">
        <v>269</v>
      </c>
      <c r="B54" s="376">
        <f>SUM(B43:B53)</f>
        <v>0</v>
      </c>
      <c r="C54" s="376">
        <f>SUM(C43:C53)</f>
        <v>0</v>
      </c>
      <c r="D54" s="376">
        <f>SUM(D43:D53)</f>
        <v>0</v>
      </c>
      <c r="E54" s="376">
        <f>SUM(E43:E53)</f>
        <v>0</v>
      </c>
      <c r="F54" s="376">
        <f>SUM(F43:F53)</f>
        <v>0</v>
      </c>
      <c r="G54" s="377">
        <f>SUM(B54:F54)</f>
        <v>0</v>
      </c>
      <c r="I54" s="375" t="s">
        <v>269</v>
      </c>
      <c r="J54" s="376">
        <f>SUM(J43:J53)</f>
        <v>0</v>
      </c>
      <c r="K54" s="376">
        <f>SUM(K43:K53)</f>
        <v>0</v>
      </c>
      <c r="L54" s="376">
        <f>SUM(L43:L53)</f>
        <v>0</v>
      </c>
      <c r="M54" s="376">
        <f>SUM(M43:M53)</f>
        <v>0</v>
      </c>
      <c r="N54" s="376">
        <f>SUM(N43:N53)</f>
        <v>0</v>
      </c>
      <c r="O54" s="377">
        <f>SUM(J54:N54)</f>
        <v>0</v>
      </c>
    </row>
    <row r="57" spans="1:15" x14ac:dyDescent="0.25">
      <c r="A57" s="2" t="str">
        <f>+'Budget Summary'!I105</f>
        <v>IDC Rate - Contract:</v>
      </c>
      <c r="B57" s="2">
        <f>+'Budget Summary'!J105</f>
        <v>0.56999999999999995</v>
      </c>
      <c r="C57" s="2">
        <f>+'Budget Summary'!K105</f>
        <v>0.56999999999999995</v>
      </c>
      <c r="D57" s="2">
        <f>+'Budget Summary'!L105</f>
        <v>0.56999999999999995</v>
      </c>
      <c r="E57" s="2">
        <f>+'Budget Summary'!M105</f>
        <v>0.56999999999999995</v>
      </c>
      <c r="F57" s="2">
        <f>+'Budget Summary'!N105</f>
        <v>0.56999999999999995</v>
      </c>
      <c r="G57" s="2">
        <f>+'Budget Summary'!O105</f>
        <v>0.56999999999999995</v>
      </c>
    </row>
    <row r="58" spans="1:15" x14ac:dyDescent="0.25">
      <c r="A58" s="2" t="str">
        <f>+'Budget Summary'!I106</f>
        <v>IDC Rate - Endowed:</v>
      </c>
      <c r="B58" s="2">
        <f>+'Budget Summary'!J106</f>
        <v>0.64</v>
      </c>
      <c r="C58" s="2">
        <f>+'Budget Summary'!K106</f>
        <v>0.64</v>
      </c>
      <c r="D58" s="2">
        <f>+'Budget Summary'!L106</f>
        <v>0.64</v>
      </c>
      <c r="E58" s="2">
        <f>+'Budget Summary'!M106</f>
        <v>0.64</v>
      </c>
      <c r="F58" s="2">
        <f>+'Budget Summary'!N106</f>
        <v>0.64</v>
      </c>
      <c r="G58" s="2">
        <f>+'Budget Summary'!O106</f>
        <v>0.64</v>
      </c>
    </row>
    <row r="59" spans="1:15" x14ac:dyDescent="0.25">
      <c r="A59" s="3" t="str">
        <f>+'Budget Summary'!I107</f>
        <v>Rate Allowed by Sponsor:</v>
      </c>
      <c r="B59" s="2">
        <f>+'Budget Summary'!J107</f>
        <v>0.2</v>
      </c>
      <c r="C59" s="2">
        <f>+'Budget Summary'!K107</f>
        <v>0.2</v>
      </c>
      <c r="D59" s="2">
        <f>+'Budget Summary'!L107</f>
        <v>0.2</v>
      </c>
      <c r="E59" s="2">
        <f>+'Budget Summary'!M107</f>
        <v>0.2</v>
      </c>
      <c r="F59" s="2">
        <f>+'Budget Summary'!N107</f>
        <v>0.2</v>
      </c>
      <c r="G59" s="2">
        <f>+'Budget Summary'!O107</f>
        <v>0.2</v>
      </c>
    </row>
    <row r="60" spans="1:15" x14ac:dyDescent="0.25">
      <c r="A60" s="2">
        <f>+'Budget Summary'!I108</f>
        <v>0</v>
      </c>
      <c r="B60" s="2">
        <f>+'Budget Summary'!J108</f>
        <v>0</v>
      </c>
      <c r="C60" s="2">
        <f>+'Budget Summary'!K108</f>
        <v>0</v>
      </c>
      <c r="D60" s="2">
        <f>+'Budget Summary'!L108</f>
        <v>0</v>
      </c>
      <c r="E60" s="2">
        <f>+'Budget Summary'!M108</f>
        <v>0</v>
      </c>
      <c r="F60" s="2">
        <f>+'Budget Summary'!N108</f>
        <v>0</v>
      </c>
      <c r="G60" s="2">
        <f>+'Budget Summary'!O108</f>
        <v>0</v>
      </c>
    </row>
    <row r="61" spans="1:15" x14ac:dyDescent="0.25">
      <c r="A61" s="3"/>
      <c r="B61" s="3"/>
      <c r="C61" s="3"/>
      <c r="D61" s="2"/>
      <c r="E61" s="2"/>
      <c r="F61" s="13"/>
      <c r="G61" s="13"/>
    </row>
    <row r="62" spans="1:15" x14ac:dyDescent="0.25">
      <c r="A62" s="71" t="str">
        <f>+'Budget Summary'!I110</f>
        <v>Pro-rating for non-senior personnel:</v>
      </c>
      <c r="B62" s="31" t="str">
        <f>+'Budget Summary'!J110</f>
        <v>Months</v>
      </c>
      <c r="C62" s="31" t="str">
        <f>+'Budget Summary'!K110</f>
        <v>%</v>
      </c>
      <c r="D62" s="2"/>
    </row>
    <row r="63" spans="1:15" x14ac:dyDescent="0.25">
      <c r="A63" s="72" t="str">
        <f>+'Budget Summary'!I111</f>
        <v># of month to FY end</v>
      </c>
      <c r="B63" s="68">
        <f>+'Budget Summary'!J111</f>
        <v>6</v>
      </c>
      <c r="C63" s="68">
        <f>+'Budget Summary'!K111</f>
        <v>0.5</v>
      </c>
      <c r="D63" s="2"/>
    </row>
    <row r="64" spans="1:15" x14ac:dyDescent="0.25">
      <c r="A64" s="72" t="str">
        <f>+'Budget Summary'!I112</f>
        <v># of remaining months to proj yr end</v>
      </c>
      <c r="B64" s="68">
        <f>+'Budget Summary'!J112</f>
        <v>6</v>
      </c>
      <c r="C64" s="68">
        <f>+'Budget Summary'!K112</f>
        <v>0.5</v>
      </c>
      <c r="D64" s="2"/>
    </row>
    <row r="65" spans="1:15" x14ac:dyDescent="0.25">
      <c r="A65" s="72"/>
      <c r="B65" s="73">
        <f>+'Budget Summary'!J113</f>
        <v>12</v>
      </c>
      <c r="C65" s="2" t="str">
        <f>+'Budget Summary'!K113</f>
        <v>*** This number must equal 12</v>
      </c>
      <c r="D65" s="2"/>
    </row>
    <row r="66" spans="1:15" x14ac:dyDescent="0.25">
      <c r="A66" s="129"/>
    </row>
    <row r="67" spans="1:15" x14ac:dyDescent="0.25">
      <c r="A67" s="129"/>
    </row>
    <row r="68" spans="1:15" x14ac:dyDescent="0.25">
      <c r="A68" s="129"/>
    </row>
    <row r="69" spans="1:15" ht="15.75" thickBot="1" x14ac:dyDescent="0.3">
      <c r="J69" s="613"/>
    </row>
    <row r="70" spans="1:15" x14ac:dyDescent="0.25">
      <c r="A70" s="4"/>
      <c r="B70" s="5" t="s">
        <v>1</v>
      </c>
      <c r="C70" s="5" t="s">
        <v>2</v>
      </c>
      <c r="D70" s="5" t="s">
        <v>3</v>
      </c>
      <c r="E70" s="5" t="s">
        <v>44</v>
      </c>
      <c r="F70" s="5" t="s">
        <v>50</v>
      </c>
      <c r="G70" s="23"/>
      <c r="I70" s="4"/>
      <c r="J70" s="5" t="s">
        <v>1</v>
      </c>
      <c r="K70" s="5" t="s">
        <v>2</v>
      </c>
      <c r="L70" s="5" t="s">
        <v>3</v>
      </c>
      <c r="M70" s="5" t="s">
        <v>44</v>
      </c>
      <c r="N70" s="5" t="s">
        <v>50</v>
      </c>
      <c r="O70" s="23"/>
    </row>
    <row r="71" spans="1:15" ht="15.75" thickBot="1" x14ac:dyDescent="0.3">
      <c r="A71" s="4" t="s">
        <v>271</v>
      </c>
      <c r="B71" s="6">
        <f>+B5</f>
        <v>44927</v>
      </c>
      <c r="C71" s="6">
        <f>+B72+1</f>
        <v>45292</v>
      </c>
      <c r="D71" s="6">
        <f t="shared" ref="D71" si="27">+C72+1</f>
        <v>45658</v>
      </c>
      <c r="E71" s="6">
        <f t="shared" ref="E71" si="28">+D72+1</f>
        <v>46023</v>
      </c>
      <c r="F71" s="6">
        <f t="shared" ref="F71" si="29">+E72+1</f>
        <v>46388</v>
      </c>
      <c r="G71" s="24"/>
      <c r="I71" s="4" t="s">
        <v>273</v>
      </c>
      <c r="J71" s="6">
        <f>+B5</f>
        <v>44927</v>
      </c>
      <c r="K71" s="6">
        <f>+J72+1</f>
        <v>45292</v>
      </c>
      <c r="L71" s="6">
        <f t="shared" ref="L71" si="30">+K72+1</f>
        <v>45658</v>
      </c>
      <c r="M71" s="6">
        <f t="shared" ref="M71" si="31">+L72+1</f>
        <v>46023</v>
      </c>
      <c r="N71" s="6">
        <f t="shared" ref="N71" si="32">+M72+1</f>
        <v>46388</v>
      </c>
      <c r="O71" s="24"/>
    </row>
    <row r="72" spans="1:15" ht="15.75" thickBot="1" x14ac:dyDescent="0.3">
      <c r="A72" s="7" t="s">
        <v>4</v>
      </c>
      <c r="B72" s="8">
        <f>DATE(YEAR(B71), MONTH(B71) + 12, DAY(B71))-1</f>
        <v>45291</v>
      </c>
      <c r="C72" s="8">
        <f t="shared" ref="C72:F72" si="33">DATE(YEAR(C71), MONTH(C71) + 12, DAY(C71))-1</f>
        <v>45657</v>
      </c>
      <c r="D72" s="8">
        <f t="shared" si="33"/>
        <v>46022</v>
      </c>
      <c r="E72" s="8">
        <f t="shared" si="33"/>
        <v>46387</v>
      </c>
      <c r="F72" s="8">
        <f t="shared" si="33"/>
        <v>46752</v>
      </c>
      <c r="G72" s="25" t="s">
        <v>5</v>
      </c>
      <c r="I72" s="7" t="s">
        <v>4</v>
      </c>
      <c r="J72" s="8">
        <f>DATE(YEAR(J71), MONTH(J71) + 12, DAY(J71))-1</f>
        <v>45291</v>
      </c>
      <c r="K72" s="8">
        <f t="shared" ref="K72:N72" si="34">DATE(YEAR(K71), MONTH(K71) + 12, DAY(K71))-1</f>
        <v>45657</v>
      </c>
      <c r="L72" s="8">
        <f t="shared" si="34"/>
        <v>46022</v>
      </c>
      <c r="M72" s="8">
        <f t="shared" si="34"/>
        <v>46387</v>
      </c>
      <c r="N72" s="8">
        <f t="shared" si="34"/>
        <v>46752</v>
      </c>
      <c r="O72" s="25" t="s">
        <v>5</v>
      </c>
    </row>
    <row r="73" spans="1:15" x14ac:dyDescent="0.25">
      <c r="A73" s="10" t="s">
        <v>261</v>
      </c>
      <c r="B73" s="586">
        <f>IF(AND('rates, dates, etc'!$B$11="no",'Budget Summary'!$G$102&lt;'Budget Summary'!$G$103),ROUNDDOWN((B26*B$59*$C$63)+(B26*C$59*$C$64),0),ROUNDDOWN((B26*B$57*$C$63)+(B26*C$57*$C$64),0))</f>
        <v>20085</v>
      </c>
      <c r="C73" s="586">
        <f>IF(AND('rates, dates, etc'!$B$11="no",'Budget Summary'!$G$102&lt;'Budget Summary'!$G$103),ROUNDDOWN((C26*C$59*$C$63)+(C26*D$59*$C$64),0),ROUNDDOWN((C26*C$57*$C$63)+(C26*D$57*$C$64),0))</f>
        <v>19749</v>
      </c>
      <c r="D73" s="586">
        <f>IF(AND('rates, dates, etc'!$B$11="no",'Budget Summary'!$G$102&lt;'Budget Summary'!$G$103),ROUNDDOWN((D26*D$59*$C$63)+(D26*E$59*$C$64),0),ROUNDDOWN((D26*D$57*$C$63)+(D26*E$57*$C$64),0))</f>
        <v>0</v>
      </c>
      <c r="E73" s="586">
        <f>IF(AND('rates, dates, etc'!$B$11="no",'Budget Summary'!$G$102&lt;'Budget Summary'!$G$103),ROUNDDOWN((E26*E$59*$C$63)+(E26*F$59*$C$64),0),ROUNDDOWN((E26*E$57*$C$63)+(E26*F$57*$C$64),0))</f>
        <v>0</v>
      </c>
      <c r="F73" s="586">
        <f>IF(AND('rates, dates, etc'!$B$11="no",'Budget Summary'!$G$102&lt;'Budget Summary'!$G$103),ROUNDDOWN((F26*F$59*$C$63)+(F26*G$59*$C$64),0),ROUNDDOWN((F26*F$57*$C$63)+(F26*G$57*$C$64),0))</f>
        <v>0</v>
      </c>
      <c r="G73" s="27">
        <f t="shared" ref="G73:G76" si="35">SUM(B73:F73)</f>
        <v>39834</v>
      </c>
      <c r="I73" s="10" t="s">
        <v>261</v>
      </c>
      <c r="J73" s="11">
        <f>IF(AND('rates, dates, etc'!$B$11="no",'Budget Summary'!$G$102&lt;'Budget Summary'!$G$103),ROUNDDOWN((J26*B$59*$C$63)+(J26*C$59*$C$64),0),ROUNDDOWN((J26*B$60*$C$63)+(J26*C$60*$C$64),0))</f>
        <v>0</v>
      </c>
      <c r="K73" s="11">
        <f>IF(AND('rates, dates, etc'!$B$11="no",'Budget Summary'!$G$102&lt;'Budget Summary'!$G$103),ROUNDDOWN((K26*C$59*$C$63)+(K26*D$59*$C$64),0),ROUNDDOWN((K26*C$60*$C$63)+(K26*D$60*$C$64),0))</f>
        <v>0</v>
      </c>
      <c r="L73" s="11">
        <f>IF(AND('rates, dates, etc'!$B$11="no",'Budget Summary'!$G$102&lt;'Budget Summary'!$G$103),ROUNDDOWN((L26*D$59*$C$63)+(L26*E$59*$C$64),0),ROUNDDOWN((L26*D$60*$C$63)+(L26*E$60*$C$64),0))</f>
        <v>0</v>
      </c>
      <c r="M73" s="11">
        <f>IF(AND('rates, dates, etc'!$B$11="no",'Budget Summary'!$G$102&lt;'Budget Summary'!$G$103),ROUNDDOWN((M26*E$59*$C$63)+(M26*F$59*$C$64),0),ROUNDDOWN((M26*E$60*$C$63)+(M26*F$60*$C$64),0))</f>
        <v>0</v>
      </c>
      <c r="N73" s="11">
        <f>IF(AND('rates, dates, etc'!$B$11="no",'Budget Summary'!$G$102&lt;'Budget Summary'!$G$103),ROUNDDOWN((N26*F$59*$C$63)+(N26*G$59*$C$64),0),ROUNDDOWN((N26*F$60*$C$63)+(N26*G$60*$C$64),0))</f>
        <v>0</v>
      </c>
      <c r="O73" s="27">
        <f t="shared" ref="O73:O83" si="36">SUM(J73:N73)</f>
        <v>0</v>
      </c>
    </row>
    <row r="74" spans="1:15" x14ac:dyDescent="0.25">
      <c r="A74" s="10" t="s">
        <v>262</v>
      </c>
      <c r="B74" s="586">
        <f>IF(AND('rates, dates, etc'!$B$11="no",'Budget Summary'!$G$102&lt;'Budget Summary'!$G$103),ROUNDDOWN((B27*B$59*$C$63)+(B27*C$59*$C$64),0),0)</f>
        <v>0</v>
      </c>
      <c r="C74" s="586">
        <f>IF(AND('rates, dates, etc'!$B$11="no",'Budget Summary'!$G$102&lt;'Budget Summary'!$G$103),ROUNDDOWN((C27*C$59*$C$63)+(C27*D$59*$C$64),0),0)</f>
        <v>0</v>
      </c>
      <c r="D74" s="586">
        <f>IF(AND('rates, dates, etc'!$B$11="no",'Budget Summary'!$G$102&lt;'Budget Summary'!$G$103),ROUNDDOWN((D27*D$59*$C$63)+(D27*E$59*$C$64),0),0)</f>
        <v>0</v>
      </c>
      <c r="E74" s="586">
        <f>IF(AND('rates, dates, etc'!$B$11="no",'Budget Summary'!$G$102&lt;'Budget Summary'!$G$103),ROUNDDOWN((E27*E$59*$C$63)+(E27*F$59*$C$64),0),0)</f>
        <v>0</v>
      </c>
      <c r="F74" s="586">
        <f>IF(AND('rates, dates, etc'!$B$11="no",'Budget Summary'!$G$102&lt;'Budget Summary'!$G$103),ROUNDDOWN((F27*F$59*$C$63)+(F27*G$59*$C$64),0),0)</f>
        <v>0</v>
      </c>
      <c r="G74" s="27">
        <f t="shared" si="35"/>
        <v>0</v>
      </c>
      <c r="I74" s="10" t="s">
        <v>262</v>
      </c>
      <c r="J74" s="11">
        <f>IF(AND('rates, dates, etc'!$B$11="no",'Budget Summary'!$G$102&lt;'Budget Summary'!$G$103),ROUNDDOWN((J27*B$59*$C$63)+(J27*C$59*$C$64),0),0)</f>
        <v>0</v>
      </c>
      <c r="K74" s="11">
        <f>IF(AND('rates, dates, etc'!$B$11="no",'Budget Summary'!$G$102&lt;'Budget Summary'!$G$103),ROUNDDOWN((K27*C$59*$C$63)+(K27*D$59*$C$64),0),0)</f>
        <v>0</v>
      </c>
      <c r="L74" s="11">
        <f>IF(AND('rates, dates, etc'!$B$11="no",'Budget Summary'!$G$102&lt;'Budget Summary'!$G$103),ROUNDDOWN((L27*D$59*$C$63)+(L27*E$59*$C$64),0),0)</f>
        <v>0</v>
      </c>
      <c r="M74" s="11">
        <f>IF(AND('rates, dates, etc'!$B$11="no",'Budget Summary'!$G$102&lt;'Budget Summary'!$G$103),ROUNDDOWN((M27*E$59*$C$63)+(M27*F$59*$C$64),0),0)</f>
        <v>0</v>
      </c>
      <c r="N74" s="11">
        <f>IF(AND('rates, dates, etc'!$B$11="no",'Budget Summary'!$G$102&lt;'Budget Summary'!$G$103),ROUNDDOWN((N27*F$59*$C$63)+(N27*G$59*$C$64),0),0)</f>
        <v>0</v>
      </c>
      <c r="O74" s="27">
        <f t="shared" si="36"/>
        <v>0</v>
      </c>
    </row>
    <row r="75" spans="1:15" x14ac:dyDescent="0.25">
      <c r="A75" s="10" t="s">
        <v>263</v>
      </c>
      <c r="B75" s="586">
        <f>IF(AND('rates, dates, etc'!$B$11="no",'Budget Summary'!$G$102&lt;'Budget Summary'!$G$103),ROUNDDOWN((B28*B$59*$C$63)+(B28*C$59*$C$64),0),ROUNDDOWN((B28*B$57*$C$63)+(B28*C$57*$C$64),0))</f>
        <v>0</v>
      </c>
      <c r="C75" s="586">
        <f>IF(AND('rates, dates, etc'!$B$11="no",'Budget Summary'!$G$102&lt;'Budget Summary'!$G$103),ROUNDDOWN((C28*C$59*$C$63)+(C28*D$59*$C$64),0),ROUNDDOWN((C28*C$57*$C$63)+(C28*D$57*$C$64),0))</f>
        <v>104</v>
      </c>
      <c r="D75" s="586">
        <f>IF(AND('rates, dates, etc'!$B$11="no",'Budget Summary'!$G$102&lt;'Budget Summary'!$G$103),ROUNDDOWN((D28*D$59*$C$63)+(D28*E$59*$C$64),0),ROUNDDOWN((D28*D$57*$C$63)+(D28*E$57*$C$64),0))</f>
        <v>0</v>
      </c>
      <c r="E75" s="586">
        <f>IF(AND('rates, dates, etc'!$B$11="no",'Budget Summary'!$G$102&lt;'Budget Summary'!$G$103),ROUNDDOWN((E28*E$59*$C$63)+(E28*F$59*$C$64),0),ROUNDDOWN((E28*E$57*$C$63)+(E28*F$57*$C$64),0))</f>
        <v>0</v>
      </c>
      <c r="F75" s="586">
        <f>IF(AND('rates, dates, etc'!$B$11="no",'Budget Summary'!$G$102&lt;'Budget Summary'!$G$103),ROUNDDOWN((F28*F$59*$C$63)+(F28*G$59*$C$64),0),ROUNDDOWN((F28*F$57*$C$63)+(F28*G$57*$C$64),0))</f>
        <v>0</v>
      </c>
      <c r="G75" s="27">
        <f t="shared" si="35"/>
        <v>104</v>
      </c>
      <c r="I75" s="10" t="s">
        <v>263</v>
      </c>
      <c r="J75" s="11">
        <f>IF(AND('rates, dates, etc'!$B$11="no",'Budget Summary'!$G$102&lt;'Budget Summary'!$G$103),ROUNDDOWN((J28*B$59*$C$63)+(J28*C$59*$C$64),0),ROUNDDOWN((J28*B$60*$C$63)+(J28*C$60*$C$64),0))</f>
        <v>0</v>
      </c>
      <c r="K75" s="11">
        <f>IF(AND('rates, dates, etc'!$B$11="no",'Budget Summary'!$G$102&lt;'Budget Summary'!$G$103),ROUNDDOWN((K28*C$59*$C$63)+(K28*D$59*$C$64),0),ROUNDDOWN((K28*C$60*$C$63)+(K28*D$60*$C$64),0))</f>
        <v>0</v>
      </c>
      <c r="L75" s="11">
        <f>IF(AND('rates, dates, etc'!$B$11="no",'Budget Summary'!$G$102&lt;'Budget Summary'!$G$103),ROUNDDOWN((L28*D$59*$C$63)+(L28*E$59*$C$64),0),ROUNDDOWN((L28*D$60*$C$63)+(L28*E$60*$C$64),0))</f>
        <v>0</v>
      </c>
      <c r="M75" s="11">
        <f>IF(AND('rates, dates, etc'!$B$11="no",'Budget Summary'!$G$102&lt;'Budget Summary'!$G$103),ROUNDDOWN((M28*E$59*$C$63)+(M28*F$59*$C$64),0),ROUNDDOWN((M28*E$60*$C$63)+(M28*F$60*$C$64),0))</f>
        <v>0</v>
      </c>
      <c r="N75" s="11">
        <f>IF(AND('rates, dates, etc'!$B$11="no",'Budget Summary'!$G$102&lt;'Budget Summary'!$G$103),ROUNDDOWN((N28*F$59*$C$63)+(N28*G$59*$C$64),0),ROUNDDOWN((N28*F$60*$C$63)+(N28*G$60*$C$64),0))</f>
        <v>0</v>
      </c>
      <c r="O75" s="27">
        <f t="shared" si="36"/>
        <v>0</v>
      </c>
    </row>
    <row r="76" spans="1:15" x14ac:dyDescent="0.25">
      <c r="A76" s="10" t="s">
        <v>264</v>
      </c>
      <c r="B76" s="586">
        <f>IF(AND('rates, dates, etc'!$B$11="no",'Budget Summary'!$G$102&lt;'Budget Summary'!$G$103),ROUNDDOWN((B29*B$59*$C$63)+(B29*C$59*$C$64),0),ROUNDDOWN((B29*B$57*$C$63)+(B29*C$57*$C$64),0))</f>
        <v>0</v>
      </c>
      <c r="C76" s="586">
        <f>IF(AND('rates, dates, etc'!$B$11="no",'Budget Summary'!$G$102&lt;'Budget Summary'!$G$103),ROUNDDOWN((C29*C$59*$C$63)+(C29*D$59*$C$64),0),ROUNDDOWN((C29*C$57*$C$63)+(C29*D$57*$C$64),0))</f>
        <v>0</v>
      </c>
      <c r="D76" s="586">
        <f>IF(AND('rates, dates, etc'!$B$11="no",'Budget Summary'!$G$102&lt;'Budget Summary'!$G$103),ROUNDDOWN((D29*D$59*$C$63)+(D29*E$59*$C$64),0),ROUNDDOWN((D29*D$57*$C$63)+(D29*E$57*$C$64),0))</f>
        <v>0</v>
      </c>
      <c r="E76" s="586">
        <f>IF(AND('rates, dates, etc'!$B$11="no",'Budget Summary'!$G$102&lt;'Budget Summary'!$G$103),ROUNDDOWN((E29*E$59*$C$63)+(E29*F$59*$C$64),0),ROUNDDOWN((E29*E$57*$C$63)+(E29*F$57*$C$64),0))</f>
        <v>0</v>
      </c>
      <c r="F76" s="586">
        <f>IF(AND('rates, dates, etc'!$B$11="no",'Budget Summary'!$G$102&lt;'Budget Summary'!$G$103),ROUNDDOWN((F29*F$59*$C$63)+(F29*G$59*$C$64),0),ROUNDDOWN((F29*F$57*$C$63)+(F29*G$57*$C$64),0))</f>
        <v>0</v>
      </c>
      <c r="G76" s="27">
        <f t="shared" si="35"/>
        <v>0</v>
      </c>
      <c r="I76" s="10" t="s">
        <v>264</v>
      </c>
      <c r="J76" s="11">
        <f>IF(AND('rates, dates, etc'!$B$11="no",'Budget Summary'!$G$102&lt;'Budget Summary'!$G$103),ROUNDDOWN((J29*B$59*$C$63)+(J29*C$59*$C$64),0),ROUNDDOWN((J29*B$60*$C$63)+(J29*C$60*$C$64),0))</f>
        <v>0</v>
      </c>
      <c r="K76" s="11">
        <f>IF(AND('rates, dates, etc'!$B$11="no",'Budget Summary'!$G$102&lt;'Budget Summary'!$G$103),ROUNDDOWN((K29*C$59*$C$63)+(K29*D$59*$C$64),0),ROUNDDOWN((K29*C$60*$C$63)+(K29*D$60*$C$64),0))</f>
        <v>0</v>
      </c>
      <c r="L76" s="11">
        <f>IF(AND('rates, dates, etc'!$B$11="no",'Budget Summary'!$G$102&lt;'Budget Summary'!$G$103),ROUNDDOWN((L29*D$59*$C$63)+(L29*E$59*$C$64),0),ROUNDDOWN((L29*D$60*$C$63)+(L29*E$60*$C$64),0))</f>
        <v>0</v>
      </c>
      <c r="M76" s="11">
        <f>IF(AND('rates, dates, etc'!$B$11="no",'Budget Summary'!$G$102&lt;'Budget Summary'!$G$103),ROUNDDOWN((M29*E$59*$C$63)+(M29*F$59*$C$64),0),ROUNDDOWN((M29*E$60*$C$63)+(M29*F$60*$C$64),0))</f>
        <v>0</v>
      </c>
      <c r="N76" s="11">
        <f>IF(AND('rates, dates, etc'!$B$11="no",'Budget Summary'!$G$102&lt;'Budget Summary'!$G$103),ROUNDDOWN((N29*F$59*$C$63)+(N29*G$59*$C$64),0),ROUNDDOWN((N29*F$60*$C$63)+(N29*G$60*$C$64),0))</f>
        <v>0</v>
      </c>
      <c r="O76" s="27">
        <f t="shared" si="36"/>
        <v>0</v>
      </c>
    </row>
    <row r="77" spans="1:15" x14ac:dyDescent="0.25">
      <c r="A77" s="10" t="s">
        <v>265</v>
      </c>
      <c r="B77" s="586">
        <f>IF(AND('rates, dates, etc'!$B$11="no",'Budget Summary'!$G$102&lt;'Budget Summary'!$G$103),ROUNDDOWN((B30*B$59*$C$63)+(B30*C$59*$C$64),0),0)</f>
        <v>0</v>
      </c>
      <c r="C77" s="586">
        <f>IF(AND('rates, dates, etc'!$B$11="no",'Budget Summary'!$G$102&lt;'Budget Summary'!$G$103),ROUNDDOWN((C30*C$59*$C$63)+(C30*D$59*$C$64),0),0)</f>
        <v>0</v>
      </c>
      <c r="D77" s="586">
        <f>IF(AND('rates, dates, etc'!$B$11="no",'Budget Summary'!$G$102&lt;'Budget Summary'!$G$103),ROUNDDOWN((D30*D$59*$C$63)+(D30*E$59*$C$64),0),0)</f>
        <v>0</v>
      </c>
      <c r="E77" s="586">
        <f>IF(AND('rates, dates, etc'!$B$11="no",'Budget Summary'!$G$102&lt;'Budget Summary'!$G$103),ROUNDDOWN((E30*E$59*$C$63)+(E30*F$59*$C$64),0),0)</f>
        <v>0</v>
      </c>
      <c r="F77" s="586">
        <f>IF(AND('rates, dates, etc'!$B$11="no",'Budget Summary'!$G$102&lt;'Budget Summary'!$G$103),ROUNDDOWN((F30*F$59*$C$63)+(F30*G$59*$C$64),0),0)</f>
        <v>0</v>
      </c>
      <c r="G77" s="27">
        <f>SUM(B77:F77)</f>
        <v>0</v>
      </c>
      <c r="I77" s="10" t="s">
        <v>265</v>
      </c>
      <c r="J77" s="11">
        <f>IF(AND('rates, dates, etc'!$B$11="no",'Budget Summary'!$G$102&lt;'Budget Summary'!$G$103),ROUNDDOWN((J30*B$59*$C$63)+(J30*C$59*$C$64),0),0)</f>
        <v>0</v>
      </c>
      <c r="K77" s="11">
        <f>IF(AND('rates, dates, etc'!$B$11="no",'Budget Summary'!$G$102&lt;'Budget Summary'!$G$103),ROUNDDOWN((K30*C$59*$C$63)+(K30*D$59*$C$64),0),0)</f>
        <v>0</v>
      </c>
      <c r="L77" s="11">
        <f>IF(AND('rates, dates, etc'!$B$11="no",'Budget Summary'!$G$102&lt;'Budget Summary'!$G$103),ROUNDDOWN((L30*D$59*$C$63)+(L30*E$59*$C$64),0),0)</f>
        <v>0</v>
      </c>
      <c r="M77" s="11">
        <f>IF(AND('rates, dates, etc'!$B$11="no",'Budget Summary'!$G$102&lt;'Budget Summary'!$G$103),ROUNDDOWN((M30*E$59*$C$63)+(M30*F$59*$C$64),0),0)</f>
        <v>0</v>
      </c>
      <c r="N77" s="11">
        <f>IF(AND('rates, dates, etc'!$B$11="no",'Budget Summary'!$G$102&lt;'Budget Summary'!$G$103),ROUNDDOWN((N30*F$59*$C$63)+(N30*G$59*$C$64),0),0)</f>
        <v>0</v>
      </c>
      <c r="O77" s="27">
        <f t="shared" si="36"/>
        <v>0</v>
      </c>
    </row>
    <row r="78" spans="1:15" x14ac:dyDescent="0.25">
      <c r="A78" s="10" t="s">
        <v>14</v>
      </c>
      <c r="B78" s="586">
        <f>IF(AND('rates, dates, etc'!$B$11="no",'Budget Summary'!$G$102&lt;'Budget Summary'!$G$103),ROUNDDOWN((B31*B$59*$C$63)+(B31*C$59*$C$64),0),ROUNDDOWN((B31*B$57*$C$63)+(B31*C$57*$C$64),0))</f>
        <v>70</v>
      </c>
      <c r="C78" s="586">
        <f>IF(AND('rates, dates, etc'!$B$11="no",'Budget Summary'!$G$102&lt;'Budget Summary'!$G$103),ROUNDDOWN((C31*C$59*$C$63)+(C31*D$59*$C$64),0),ROUNDDOWN((C31*C$57*$C$63)+(C31*D$57*$C$64),0))</f>
        <v>0</v>
      </c>
      <c r="D78" s="586">
        <f>IF(AND('rates, dates, etc'!$B$11="no",'Budget Summary'!$G$102&lt;'Budget Summary'!$G$103),ROUNDDOWN((D31*D$59*$C$63)+(D31*E$59*$C$64),0),ROUNDDOWN((D31*D$57*$C$63)+(D31*E$57*$C$64),0))</f>
        <v>0</v>
      </c>
      <c r="E78" s="586">
        <f>IF(AND('rates, dates, etc'!$B$11="no",'Budget Summary'!$G$102&lt;'Budget Summary'!$G$103),ROUNDDOWN((E31*E$59*$C$63)+(E31*F$59*$C$64),0),ROUNDDOWN((E31*E$57*$C$63)+(E31*F$57*$C$64),0))</f>
        <v>0</v>
      </c>
      <c r="F78" s="586">
        <f>IF(AND('rates, dates, etc'!$B$11="no",'Budget Summary'!$G$102&lt;'Budget Summary'!$G$103),ROUNDDOWN((F31*F$59*$C$63)+(F31*G$59*$C$64),0),ROUNDDOWN((F31*F$57*$C$63)+(F31*G$57*$C$64),0))</f>
        <v>0</v>
      </c>
      <c r="G78" s="27">
        <f>SUM(B78:F78)</f>
        <v>70</v>
      </c>
      <c r="I78" s="10" t="s">
        <v>14</v>
      </c>
      <c r="J78" s="11">
        <f>IF(AND('rates, dates, etc'!$B$11="no",'Budget Summary'!$G$102&lt;'Budget Summary'!$G$103),ROUNDDOWN((J31*B$59*$C$63)+(J31*C$59*$C$64),0),ROUNDDOWN((J31*B$60*$C$63)+(J31*C$60*$C$64),0))</f>
        <v>0</v>
      </c>
      <c r="K78" s="11">
        <f>IF(AND('rates, dates, etc'!$B$11="no",'Budget Summary'!$G$102&lt;'Budget Summary'!$G$103),ROUNDDOWN((K31*C$59*$C$63)+(K31*D$59*$C$64),0),ROUNDDOWN((K31*C$60*$C$63)+(K31*D$60*$C$64),0))</f>
        <v>0</v>
      </c>
      <c r="L78" s="11">
        <f>IF(AND('rates, dates, etc'!$B$11="no",'Budget Summary'!$G$102&lt;'Budget Summary'!$G$103),ROUNDDOWN((L31*D$59*$C$63)+(L31*E$59*$C$64),0),ROUNDDOWN((L31*D$60*$C$63)+(L31*E$60*$C$64),0))</f>
        <v>0</v>
      </c>
      <c r="M78" s="11">
        <f>IF(AND('rates, dates, etc'!$B$11="no",'Budget Summary'!$G$102&lt;'Budget Summary'!$G$103),ROUNDDOWN((M31*E$59*$C$63)+(M31*F$59*$C$64),0),ROUNDDOWN((M31*E$60*$C$63)+(M31*F$60*$C$64),0))</f>
        <v>0</v>
      </c>
      <c r="N78" s="11">
        <f>IF(AND('rates, dates, etc'!$B$11="no",'Budget Summary'!$G$102&lt;'Budget Summary'!$G$103),ROUNDDOWN((N31*F$59*$C$63)+(N31*G$59*$C$64),0),ROUNDDOWN((N31*F$60*$C$63)+(N31*G$60*$C$64),0))</f>
        <v>0</v>
      </c>
      <c r="O78" s="27">
        <f t="shared" si="36"/>
        <v>0</v>
      </c>
    </row>
    <row r="79" spans="1:15" x14ac:dyDescent="0.25">
      <c r="A79" s="10" t="s">
        <v>92</v>
      </c>
      <c r="B79" s="586">
        <f>IF(AND('rates, dates, etc'!$B$11="no",'Budget Summary'!$G$102&lt;'Budget Summary'!$G$103),ROUNDDOWN((B32*B$59*$C$63)+(B32*C$59*$C$64),0),ROUNDDOWN((B32*B$57*$C$63)+(B32*C$57*$C$64),0))</f>
        <v>0</v>
      </c>
      <c r="C79" s="586">
        <f>IF(AND('rates, dates, etc'!$B$11="no",'Budget Summary'!$G$102&lt;'Budget Summary'!$G$103),ROUNDDOWN((C32*C$59*$C$63)+(C32*D$59*$C$64),0),ROUNDDOWN((C32*C$57*$C$63)+(C32*D$57*$C$64),0))</f>
        <v>0</v>
      </c>
      <c r="D79" s="586">
        <f>IF(AND('rates, dates, etc'!$B$11="no",'Budget Summary'!$G$102&lt;'Budget Summary'!$G$103),ROUNDDOWN((D32*D$59*$C$63)+(D32*E$59*$C$64),0),ROUNDDOWN((D32*D$57*$C$63)+(D32*E$57*$C$64),0))</f>
        <v>0</v>
      </c>
      <c r="E79" s="586">
        <f>IF(AND('rates, dates, etc'!$B$11="no",'Budget Summary'!$G$102&lt;'Budget Summary'!$G$103),ROUNDDOWN((E32*E$59*$C$63)+(E32*F$59*$C$64),0),ROUNDDOWN((E32*E$57*$C$63)+(E32*F$57*$C$64),0))</f>
        <v>0</v>
      </c>
      <c r="F79" s="586">
        <f>IF(AND('rates, dates, etc'!$B$11="no",'Budget Summary'!$G$102&lt;'Budget Summary'!$G$103),ROUNDDOWN((F32*F$59*$C$63)+(F32*G$59*$C$64),0),ROUNDDOWN((F32*F$57*$C$63)+(F32*G$57*$C$64),0))</f>
        <v>0</v>
      </c>
      <c r="G79" s="27">
        <f t="shared" ref="G79:G83" si="37">SUM(B79:F79)</f>
        <v>0</v>
      </c>
      <c r="I79" s="10" t="s">
        <v>92</v>
      </c>
      <c r="J79" s="11">
        <f>IF(AND('rates, dates, etc'!$B$11="no",'Budget Summary'!$G$102&lt;'Budget Summary'!$G$103),ROUNDDOWN((J32*B$59*$C$63)+(J32*C$59*$C$64),0),ROUNDDOWN((J32*B$60*$C$63)+(J32*C$60*$C$64),0))</f>
        <v>0</v>
      </c>
      <c r="K79" s="11">
        <f>IF(AND('rates, dates, etc'!$B$11="no",'Budget Summary'!$G$102&lt;'Budget Summary'!$G$103),ROUNDDOWN((K32*C$59*$C$63)+(K32*D$59*$C$64),0),ROUNDDOWN((K32*C$60*$C$63)+(K32*D$60*$C$64),0))</f>
        <v>0</v>
      </c>
      <c r="L79" s="11">
        <f>IF(AND('rates, dates, etc'!$B$11="no",'Budget Summary'!$G$102&lt;'Budget Summary'!$G$103),ROUNDDOWN((L32*D$59*$C$63)+(L32*E$59*$C$64),0),ROUNDDOWN((L32*D$60*$C$63)+(L32*E$60*$C$64),0))</f>
        <v>0</v>
      </c>
      <c r="M79" s="11">
        <f>IF(AND('rates, dates, etc'!$B$11="no",'Budget Summary'!$G$102&lt;'Budget Summary'!$G$103),ROUNDDOWN((M32*E$59*$C$63)+(M32*F$59*$C$64),0),ROUNDDOWN((M32*E$60*$C$63)+(M32*F$60*$C$64),0))</f>
        <v>0</v>
      </c>
      <c r="N79" s="11">
        <f>IF(AND('rates, dates, etc'!$B$11="no",'Budget Summary'!$G$102&lt;'Budget Summary'!$G$103),ROUNDDOWN((N32*F$59*$C$63)+(N32*G$59*$C$64),0),ROUNDDOWN((N32*F$60*$C$63)+(N32*G$60*$C$64),0))</f>
        <v>0</v>
      </c>
      <c r="O79" s="27">
        <f t="shared" si="36"/>
        <v>0</v>
      </c>
    </row>
    <row r="80" spans="1:15" x14ac:dyDescent="0.25">
      <c r="A80" s="10" t="s">
        <v>266</v>
      </c>
      <c r="B80" s="586">
        <f>IF(AND('rates, dates, etc'!$B$11="no",'Budget Summary'!$G$102&lt;'Budget Summary'!$G$103),ROUNDDOWN((B33*B$59*$C$63)+(B33*C$59*$C$64),0),ROUNDDOWN((B33*B$57*$C$63)+(B33*C$57*$C$64),0))</f>
        <v>0</v>
      </c>
      <c r="C80" s="586">
        <f>IF(AND('rates, dates, etc'!$B$11="no",'Budget Summary'!$G$102&lt;'Budget Summary'!$G$103),ROUNDDOWN((C33*C$59*$C$63)+(C33*D$59*$C$64),0),ROUNDDOWN((C33*C$57*$C$63)+(C33*D$57*$C$64),0))</f>
        <v>0</v>
      </c>
      <c r="D80" s="586">
        <f>IF(AND('rates, dates, etc'!$B$11="no",'Budget Summary'!$G$102&lt;'Budget Summary'!$G$103),ROUNDDOWN((D33*D$59*$C$63)+(D33*E$59*$C$64),0),ROUNDDOWN((D33*D$57*$C$63)+(D33*E$57*$C$64),0))</f>
        <v>0</v>
      </c>
      <c r="E80" s="586">
        <f>IF(AND('rates, dates, etc'!$B$11="no",'Budget Summary'!$G$102&lt;'Budget Summary'!$G$103),ROUNDDOWN((E33*E$59*$C$63)+(E33*F$59*$C$64),0),ROUNDDOWN((E33*E$57*$C$63)+(E33*F$57*$C$64),0))</f>
        <v>0</v>
      </c>
      <c r="F80" s="586">
        <f>IF(AND('rates, dates, etc'!$B$11="no",'Budget Summary'!$G$102&lt;'Budget Summary'!$G$103),ROUNDDOWN((F33*F$59*$C$63)+(F33*G$59*$C$64),0),ROUNDDOWN((F33*F$57*$C$63)+(F33*G$57*$C$64),0))</f>
        <v>0</v>
      </c>
      <c r="G80" s="27">
        <f t="shared" si="37"/>
        <v>0</v>
      </c>
      <c r="I80" s="10" t="s">
        <v>266</v>
      </c>
      <c r="J80" s="11">
        <f>IF(AND('rates, dates, etc'!$B$11="no",'Budget Summary'!$G$102&lt;'Budget Summary'!$G$103),ROUNDDOWN((J33*B$59*$C$63)+(J33*C$59*$C$64),0),ROUNDDOWN((J33*B$60*$C$63)+(J33*C$60*$C$64),0))</f>
        <v>0</v>
      </c>
      <c r="K80" s="11">
        <f>IF(AND('rates, dates, etc'!$B$11="no",'Budget Summary'!$G$102&lt;'Budget Summary'!$G$103),ROUNDDOWN((K33*C$59*$C$63)+(K33*D$59*$C$64),0),ROUNDDOWN((K33*C$60*$C$63)+(K33*D$60*$C$64),0))</f>
        <v>0</v>
      </c>
      <c r="L80" s="11">
        <f>IF(AND('rates, dates, etc'!$B$11="no",'Budget Summary'!$G$102&lt;'Budget Summary'!$G$103),ROUNDDOWN((L33*D$59*$C$63)+(L33*E$59*$C$64),0),ROUNDDOWN((L33*D$60*$C$63)+(L33*E$60*$C$64),0))</f>
        <v>0</v>
      </c>
      <c r="M80" s="11">
        <f>IF(AND('rates, dates, etc'!$B$11="no",'Budget Summary'!$G$102&lt;'Budget Summary'!$G$103),ROUNDDOWN((M33*E$59*$C$63)+(M33*F$59*$C$64),0),ROUNDDOWN((M33*E$60*$C$63)+(M33*F$60*$C$64),0))</f>
        <v>0</v>
      </c>
      <c r="N80" s="11">
        <f>IF(AND('rates, dates, etc'!$B$11="no",'Budget Summary'!$G$102&lt;'Budget Summary'!$G$103),ROUNDDOWN((N33*F$59*$C$63)+(N33*G$59*$C$64),0),ROUNDDOWN((N33*F$60*$C$63)+(N33*G$60*$C$64),0))</f>
        <v>0</v>
      </c>
      <c r="O80" s="27">
        <f t="shared" si="36"/>
        <v>0</v>
      </c>
    </row>
    <row r="81" spans="1:15" x14ac:dyDescent="0.25">
      <c r="A81" s="10" t="s">
        <v>268</v>
      </c>
      <c r="B81" s="586">
        <f>IF(AND('rates, dates, etc'!$B$11="no",'Budget Summary'!$G$102&lt;'Budget Summary'!$G$103),ROUNDDOWN((B34*B$59*$C$63)+(B34*C$59*$C$64),0),IF(B34=0,0,ROUNDDOWN(((B34-('Consortium 1'!B64+'Consortium 2'!B64+'Consortium 3'!B64+'Consortium 4'!B64+'Consortium 5'!B64))*B$57*$C$63)+((B34-('Consortium 1'!B64+'Consortium 2'!B64+'Consortium 3'!B64+'Consortium 4'!B64+'Consortium 5'!B64))*C$57*$C$64),0)))</f>
        <v>0</v>
      </c>
      <c r="C81" s="586">
        <f>IF(AND('rates, dates, etc'!$B$11="no",'Budget Summary'!$G$102&lt;'Budget Summary'!$G$103),ROUNDDOWN((C34*C$59*$C$63)+(C34*D$59*$C$64),0),IF(C34=0,0,ROUNDDOWN(((C34-('Consortium 1'!C64+'Consortium 2'!C64+'Consortium 3'!C64+'Consortium 4'!C64+'Consortium 5'!C64))*C$57*$C$63)+((C34-('Consortium 1'!C64+'Consortium 2'!C64+'Consortium 3'!C64+'Consortium 4'!C64+'Consortium 5'!C64))*D$57*$C$64),0)))</f>
        <v>0</v>
      </c>
      <c r="D81" s="586">
        <f>IF(AND('rates, dates, etc'!$B$11="no",'Budget Summary'!$G$102&lt;'Budget Summary'!$G$103),ROUNDDOWN((D34*D$59*$C$63)+(D34*E$59*$C$64),0),IF(D34=0,0,ROUNDDOWN(((D34-('Consortium 1'!D64+'Consortium 2'!D64+'Consortium 3'!D64+'Consortium 4'!D64+'Consortium 5'!D64))*D$57*$C$63)+((D34-('Consortium 1'!D64+'Consortium 2'!D64+'Consortium 3'!D64+'Consortium 4'!D64+'Consortium 5'!D64))*E$57*$C$64),0)))</f>
        <v>0</v>
      </c>
      <c r="E81" s="586">
        <f>IF(AND('rates, dates, etc'!$B$11="no",'Budget Summary'!$G$102&lt;'Budget Summary'!$G$103),ROUNDDOWN((E34*E$59*$C$63)+(E34*F$59*$C$64),0),IF(E34=0,0,ROUNDDOWN(((E34-('Consortium 1'!E64+'Consortium 2'!E64+'Consortium 3'!E64+'Consortium 4'!E64+'Consortium 5'!E64))*E$57*$C$63)+((E34-('Consortium 1'!E64+'Consortium 2'!E64+'Consortium 3'!E64+'Consortium 4'!E64+'Consortium 5'!E64))*F$57*$C$64),0)))</f>
        <v>0</v>
      </c>
      <c r="F81" s="586">
        <f>IF(AND('rates, dates, etc'!$B$11="no",'Budget Summary'!$G$102&lt;'Budget Summary'!$G$103),ROUNDDOWN((F34*F$59*$C$63)+(F34*G$59*$C$64),0),IF(F34=0,0,ROUNDDOWN(((F34-('Consortium 1'!F64+'Consortium 2'!F64+'Consortium 3'!F64+'Consortium 4'!F64+'Consortium 5'!F64))*F$57*$C$63)+((F34-('Consortium 1'!F64+'Consortium 2'!F64+'Consortium 3'!F64+'Consortium 4'!F64+'Consortium 5'!F64))*G$57*$C$64),0)))</f>
        <v>0</v>
      </c>
      <c r="G81" s="27">
        <f t="shared" si="37"/>
        <v>0</v>
      </c>
      <c r="I81" s="10" t="s">
        <v>268</v>
      </c>
      <c r="J81" s="11">
        <f>IF(AND('rates, dates, etc'!$B$11="no",'Budget Summary'!$G$102&lt;'Budget Summary'!$G$103),ROUNDDOWN((J34*B$59*$C$63)+(J34*C$59*$C$64),0),IF(J34=0,0,ROUNDDOWN(((J34-('Consortium 1'!B64+'Consortium 2'!B64+'Consortium 3'!B64+'Consortium 4'!B64+'Consortium 5'!B64))*B$60*$C$63)+((J34-('Consortium 1'!B64+'Consortium 2'!B64+'Consortium 3'!B64+'Consortium 4'!B64+'Consortium 5'!B64))*C$60*$C$64),0)))</f>
        <v>0</v>
      </c>
      <c r="K81" s="11">
        <f>IF(AND('rates, dates, etc'!$B$11="no",'Budget Summary'!$G$102&lt;'Budget Summary'!$G$103),ROUNDDOWN((K34*C$59*$C$63)+(K34*D$59*$C$64),0),IF(K34=0,0,ROUNDDOWN(((K34-('Consortium 1'!C64+'Consortium 2'!C64+'Consortium 3'!C64+'Consortium 4'!C64+'Consortium 5'!C64))*C$60*$C$63)+((K34-('Consortium 1'!C64+'Consortium 2'!C64+'Consortium 3'!C64+'Consortium 4'!C64+'Consortium 5'!C64))*D$60*$C$64),0)))</f>
        <v>0</v>
      </c>
      <c r="L81" s="11">
        <f>IF(AND('rates, dates, etc'!$B$11="no",'Budget Summary'!$G$102&lt;'Budget Summary'!$G$103),ROUNDDOWN((L34*D$59*$C$63)+(L34*E$59*$C$64),0),IF(L34=0,0,ROUNDDOWN(((L34-('Consortium 1'!D64+'Consortium 2'!D64+'Consortium 3'!D64+'Consortium 4'!D64+'Consortium 5'!D64))*D$60*$C$63)+((L34-('Consortium 1'!D64+'Consortium 2'!D64+'Consortium 3'!D64+'Consortium 4'!D64+'Consortium 5'!D64))*E$60*$C$64),0)))</f>
        <v>0</v>
      </c>
      <c r="M81" s="11">
        <f>IF(AND('rates, dates, etc'!$B$11="no",'Budget Summary'!$G$102&lt;'Budget Summary'!$G$103),ROUNDDOWN((M34*E$59*$C$63)+(M34*F$59*$C$64),0),IF(M34=0,0,ROUNDDOWN(((M34-('Consortium 1'!E64+'Consortium 2'!E64+'Consortium 3'!E64+'Consortium 4'!E64+'Consortium 5'!E64))*E$60*$C$63)+((M34-('Consortium 1'!E64+'Consortium 2'!E64+'Consortium 3'!E64+'Consortium 4'!E64+'Consortium 5'!E64))*F$60*$C$64),0)))</f>
        <v>0</v>
      </c>
      <c r="N81" s="11">
        <f>IF(AND('rates, dates, etc'!$B$11="no",'Budget Summary'!$G$102&lt;'Budget Summary'!$G$103),ROUNDDOWN((N34*F$59*$C$63)+(N34*G$59*$C$64),0),IF(N34=0,0,ROUNDDOWN(((N34-('Consortium 1'!F64+'Consortium 2'!F64+'Consortium 3'!F64+'Consortium 4'!F64+'Consortium 5'!F64))*F$60*$C$63)+((N34-('Consortium 1'!F64+'Consortium 2'!F64+'Consortium 3'!F64+'Consortium 4'!F64+'Consortium 5'!F64))*G$60*$C$64),0)))</f>
        <v>0</v>
      </c>
      <c r="O81" s="27">
        <f t="shared" si="36"/>
        <v>0</v>
      </c>
    </row>
    <row r="82" spans="1:15" x14ac:dyDescent="0.25">
      <c r="A82" s="10" t="s">
        <v>275</v>
      </c>
      <c r="B82" s="586">
        <f>IF(AND('rates, dates, etc'!$B$11="no",'Budget Summary'!$G$102&lt;'Budget Summary'!$G$103),ROUNDDOWN((B35*B$59*$C$63)+(B35*C$59*$C$64),0),0)</f>
        <v>0</v>
      </c>
      <c r="C82" s="586">
        <f>IF(AND('rates, dates, etc'!$B$11="no",'Budget Summary'!$G$102&lt;'Budget Summary'!$G$103),ROUNDDOWN((C35*C$59*$C$63)+(C35*D$59*$C$64),0),0)</f>
        <v>0</v>
      </c>
      <c r="D82" s="586">
        <f>IF(AND('rates, dates, etc'!$B$11="no",'Budget Summary'!$G$102&lt;'Budget Summary'!$G$103),ROUNDDOWN((D35*D$59*$C$63)+(D35*E$59*$C$64),0),0)</f>
        <v>0</v>
      </c>
      <c r="E82" s="586">
        <f>IF(AND('rates, dates, etc'!$B$11="no",'Budget Summary'!$G$102&lt;'Budget Summary'!$G$103),ROUNDDOWN((E35*E$59*$C$63)+(E35*F$59*$C$64),0),0)</f>
        <v>0</v>
      </c>
      <c r="F82" s="586">
        <f>IF(AND('rates, dates, etc'!$B$11="no",'Budget Summary'!$G$102&lt;'Budget Summary'!$G$103),ROUNDDOWN((F35*F$59*$C$63)+(F35*G$59*$C$64),0),0)</f>
        <v>0</v>
      </c>
      <c r="G82" s="27">
        <f t="shared" si="37"/>
        <v>0</v>
      </c>
      <c r="I82" s="10" t="s">
        <v>275</v>
      </c>
      <c r="J82" s="11">
        <f>IF(AND('rates, dates, etc'!$B$11="no",'Budget Summary'!$G$102&lt;'Budget Summary'!$G$103),ROUNDDOWN((J35*B$59*$C$63)+(J35*C$59*$C$64),0),0)</f>
        <v>0</v>
      </c>
      <c r="K82" s="11">
        <f>IF(AND('rates, dates, etc'!$B$11="no",'Budget Summary'!$G$102&lt;'Budget Summary'!$G$103),ROUNDDOWN((K35*C$59*$C$63)+(K35*D$59*$C$64),0),0)</f>
        <v>0</v>
      </c>
      <c r="L82" s="11">
        <f>IF(AND('rates, dates, etc'!$B$11="no",'Budget Summary'!$G$102&lt;'Budget Summary'!$G$103),ROUNDDOWN((L35*D$59*$C$63)+(L35*E$59*$C$64),0),0)</f>
        <v>0</v>
      </c>
      <c r="M82" s="11">
        <f>IF(AND('rates, dates, etc'!$B$11="no",'Budget Summary'!$G$102&lt;'Budget Summary'!$G$103),ROUNDDOWN((M35*E$59*$C$63)+(M35*F$59*$C$64),0),0)</f>
        <v>0</v>
      </c>
      <c r="N82" s="11">
        <f>IF(AND('rates, dates, etc'!$B$11="no",'Budget Summary'!$G$102&lt;'Budget Summary'!$G$103),ROUNDDOWN((N35*F$59*$C$63)+(N35*G$59*$C$64),0),0)</f>
        <v>0</v>
      </c>
      <c r="O82" s="27">
        <f t="shared" si="36"/>
        <v>0</v>
      </c>
    </row>
    <row r="83" spans="1:15" x14ac:dyDescent="0.25">
      <c r="A83" s="10" t="s">
        <v>267</v>
      </c>
      <c r="B83" s="586">
        <f>IF(AND('rates, dates, etc'!$B$11="no",'Budget Summary'!$G$102&lt;'Budget Summary'!$G$103),ROUNDDOWN((B36*B$59*$C$63)+(B36*C$59*$C$64),0),ROUNDDOWN((B36*B$57*$C$63)+(B36*C$57*$C$64),0))</f>
        <v>1206</v>
      </c>
      <c r="C83" s="586">
        <f>IF(AND('rates, dates, etc'!$B$11="no",'Budget Summary'!$G$102&lt;'Budget Summary'!$G$103),ROUNDDOWN((C36*C$59*$C$63)+(C36*D$59*$C$64),0),ROUNDDOWN((C36*C$57*$C$63)+(C36*D$57*$C$64),0))</f>
        <v>177</v>
      </c>
      <c r="D83" s="586">
        <f>IF(AND('rates, dates, etc'!$B$11="no",'Budget Summary'!$G$102&lt;'Budget Summary'!$G$103),ROUNDDOWN((D36*D$59*$C$63)+(D36*E$59*$C$64),0),ROUNDDOWN((D36*D$57*$C$63)+(D36*E$57*$C$64),0))</f>
        <v>0</v>
      </c>
      <c r="E83" s="586">
        <f>IF(AND('rates, dates, etc'!$B$11="no",'Budget Summary'!$G$102&lt;'Budget Summary'!$G$103),ROUNDDOWN((E36*E$59*$C$63)+(E36*F$59*$C$64),0),ROUNDDOWN((E36*E$57*$C$63)+(E36*F$57*$C$64),0))</f>
        <v>0</v>
      </c>
      <c r="F83" s="586">
        <f>IF(AND('rates, dates, etc'!$B$11="no",'Budget Summary'!$G$102&lt;'Budget Summary'!$G$103),ROUNDDOWN((F36*F$59*$C$63)+(F36*G$59*$C$64),0),ROUNDDOWN((F36*F$57*$C$63)+(F36*G$57*$C$64),0))</f>
        <v>0</v>
      </c>
      <c r="G83" s="27">
        <f t="shared" si="37"/>
        <v>1383</v>
      </c>
      <c r="I83" s="10" t="s">
        <v>267</v>
      </c>
      <c r="J83" s="11">
        <f>IF(AND('rates, dates, etc'!$B$11="no",'Budget Summary'!$G$102&lt;'Budget Summary'!$G$103),ROUNDDOWN((J36*B$59*$C$63)+(J36*C$59*$C$64),0),ROUNDDOWN((J36*B$60*$C$63)+(J36*C$60*$C$64),0))</f>
        <v>0</v>
      </c>
      <c r="K83" s="11">
        <f>IF(AND('rates, dates, etc'!$B$11="no",'Budget Summary'!$G$102&lt;'Budget Summary'!$G$103),ROUNDDOWN((K36*C$59*$C$63)+(K36*D$59*$C$64),0),ROUNDDOWN((K36*C$60*$C$63)+(K36*D$60*$C$64),0))</f>
        <v>0</v>
      </c>
      <c r="L83" s="11">
        <f>IF(AND('rates, dates, etc'!$B$11="no",'Budget Summary'!$G$102&lt;'Budget Summary'!$G$103),ROUNDDOWN((L36*D$59*$C$63)+(L36*E$59*$C$64),0),ROUNDDOWN((L36*D$60*$C$63)+(L36*E$60*$C$64),0))</f>
        <v>0</v>
      </c>
      <c r="M83" s="11">
        <f>IF(AND('rates, dates, etc'!$B$11="no",'Budget Summary'!$G$102&lt;'Budget Summary'!$G$103),ROUNDDOWN((M36*E$59*$C$63)+(M36*F$59*$C$64),0),ROUNDDOWN((M36*E$60*$C$63)+(M36*F$60*$C$64),0))</f>
        <v>0</v>
      </c>
      <c r="N83" s="11">
        <f>IF(AND('rates, dates, etc'!$B$11="no",'Budget Summary'!$G$102&lt;'Budget Summary'!$G$103),ROUNDDOWN((N36*F$59*$C$63)+(N36*G$59*$C$64),0),ROUNDDOWN((N36*F$60*$C$63)+(N36*G$60*$C$64),0))</f>
        <v>0</v>
      </c>
      <c r="O83" s="27">
        <f t="shared" si="36"/>
        <v>0</v>
      </c>
    </row>
    <row r="84" spans="1:15" ht="15.75" thickBot="1" x14ac:dyDescent="0.3">
      <c r="A84" s="375" t="s">
        <v>269</v>
      </c>
      <c r="B84" s="376">
        <f>SUM(B73:B83)</f>
        <v>21361</v>
      </c>
      <c r="C84" s="376">
        <f>SUM(C73:C83)</f>
        <v>20030</v>
      </c>
      <c r="D84" s="376">
        <f>SUM(D73:D83)</f>
        <v>0</v>
      </c>
      <c r="E84" s="376">
        <f>SUM(E73:E83)</f>
        <v>0</v>
      </c>
      <c r="F84" s="376">
        <f>SUM(F73:F83)</f>
        <v>0</v>
      </c>
      <c r="G84" s="377">
        <f>SUM(B84:F84)</f>
        <v>41391</v>
      </c>
      <c r="I84" s="375" t="s">
        <v>269</v>
      </c>
      <c r="J84" s="376">
        <f>SUM(J73:J83)</f>
        <v>0</v>
      </c>
      <c r="K84" s="376">
        <f>SUM(K73:K83)</f>
        <v>0</v>
      </c>
      <c r="L84" s="376">
        <f>SUM(L73:L83)</f>
        <v>0</v>
      </c>
      <c r="M84" s="376">
        <f>SUM(M73:M83)</f>
        <v>0</v>
      </c>
      <c r="N84" s="376">
        <f>SUM(N73:N83)</f>
        <v>0</v>
      </c>
      <c r="O84" s="377">
        <f>SUM(J84:N84)</f>
        <v>0</v>
      </c>
    </row>
    <row r="86" spans="1:15" ht="15.75" thickBot="1" x14ac:dyDescent="0.3"/>
    <row r="87" spans="1:15" x14ac:dyDescent="0.25">
      <c r="A87" s="4"/>
      <c r="B87" s="5" t="s">
        <v>1</v>
      </c>
      <c r="C87" s="5" t="s">
        <v>2</v>
      </c>
      <c r="D87" s="5" t="s">
        <v>3</v>
      </c>
      <c r="E87" s="5" t="s">
        <v>44</v>
      </c>
      <c r="F87" s="5" t="s">
        <v>50</v>
      </c>
      <c r="G87" s="23"/>
      <c r="I87" s="4"/>
      <c r="J87" s="5" t="s">
        <v>1</v>
      </c>
      <c r="K87" s="5" t="s">
        <v>2</v>
      </c>
      <c r="L87" s="5" t="s">
        <v>3</v>
      </c>
      <c r="M87" s="5" t="s">
        <v>44</v>
      </c>
      <c r="N87" s="5" t="s">
        <v>50</v>
      </c>
      <c r="O87" s="23"/>
    </row>
    <row r="88" spans="1:15" ht="15.75" thickBot="1" x14ac:dyDescent="0.3">
      <c r="A88" s="4" t="s">
        <v>272</v>
      </c>
      <c r="B88" s="6">
        <f>+B5</f>
        <v>44927</v>
      </c>
      <c r="C88" s="6">
        <f>+B89+1</f>
        <v>45292</v>
      </c>
      <c r="D88" s="6">
        <f t="shared" ref="D88" si="38">+C89+1</f>
        <v>45658</v>
      </c>
      <c r="E88" s="6">
        <f t="shared" ref="E88" si="39">+D89+1</f>
        <v>46023</v>
      </c>
      <c r="F88" s="6">
        <f t="shared" ref="F88" si="40">+E89+1</f>
        <v>46388</v>
      </c>
      <c r="G88" s="24"/>
      <c r="I88" s="4" t="s">
        <v>274</v>
      </c>
      <c r="J88" s="6">
        <f>+B5</f>
        <v>44927</v>
      </c>
      <c r="K88" s="6">
        <f>+J89+1</f>
        <v>45292</v>
      </c>
      <c r="L88" s="6">
        <f t="shared" ref="L88" si="41">+K89+1</f>
        <v>45658</v>
      </c>
      <c r="M88" s="6">
        <f t="shared" ref="M88" si="42">+L89+1</f>
        <v>46023</v>
      </c>
      <c r="N88" s="6">
        <f t="shared" ref="N88" si="43">+M89+1</f>
        <v>46388</v>
      </c>
      <c r="O88" s="24"/>
    </row>
    <row r="89" spans="1:15" ht="15.75" thickBot="1" x14ac:dyDescent="0.3">
      <c r="A89" s="7" t="s">
        <v>4</v>
      </c>
      <c r="B89" s="8">
        <f>DATE(YEAR(B88), MONTH(B88) + 12, DAY(B88))-1</f>
        <v>45291</v>
      </c>
      <c r="C89" s="8">
        <f t="shared" ref="C89:F89" si="44">DATE(YEAR(C88), MONTH(C88) + 12, DAY(C88))-1</f>
        <v>45657</v>
      </c>
      <c r="D89" s="8">
        <f t="shared" si="44"/>
        <v>46022</v>
      </c>
      <c r="E89" s="8">
        <f t="shared" si="44"/>
        <v>46387</v>
      </c>
      <c r="F89" s="8">
        <f t="shared" si="44"/>
        <v>46752</v>
      </c>
      <c r="G89" s="25" t="s">
        <v>5</v>
      </c>
      <c r="I89" s="7" t="s">
        <v>4</v>
      </c>
      <c r="J89" s="8">
        <f>DATE(YEAR(J88), MONTH(J88) + 12, DAY(J88))-1</f>
        <v>45291</v>
      </c>
      <c r="K89" s="8">
        <f t="shared" ref="K89:N89" si="45">DATE(YEAR(K88), MONTH(K88) + 12, DAY(K88))-1</f>
        <v>45657</v>
      </c>
      <c r="L89" s="8">
        <f t="shared" si="45"/>
        <v>46022</v>
      </c>
      <c r="M89" s="8">
        <f t="shared" si="45"/>
        <v>46387</v>
      </c>
      <c r="N89" s="8">
        <f t="shared" si="45"/>
        <v>46752</v>
      </c>
      <c r="O89" s="25" t="s">
        <v>5</v>
      </c>
    </row>
    <row r="90" spans="1:15" x14ac:dyDescent="0.25">
      <c r="A90" s="10" t="s">
        <v>261</v>
      </c>
      <c r="B90" s="11">
        <f>IF(AND('rates, dates, etc'!$B$11="no",'Budget Summary'!$G$102&lt;'Budget Summary'!$G$103),ROUNDDOWN((B43*B$59*$C$63)+(B43*C$59*$C$64),0),ROUNDDOWN((B43*B$58*$C$63)+(B43*C$58*$C$64),0))</f>
        <v>0</v>
      </c>
      <c r="C90" s="11">
        <f>IF(AND('rates, dates, etc'!$B$11="no",'Budget Summary'!$G$102&lt;'Budget Summary'!$G$103),ROUNDDOWN((C43*C$59*$C$63)+(C43*D$59*$C$64),0),ROUNDDOWN((C43*C$58*$C$63)+(C43*D$58*$C$64),0))</f>
        <v>0</v>
      </c>
      <c r="D90" s="11">
        <f>IF(AND('rates, dates, etc'!$B$11="no",'Budget Summary'!$G$102&lt;'Budget Summary'!$G$103),ROUNDDOWN((D43*D$59*$C$63)+(D43*E$59*$C$64),0),ROUNDDOWN((D43*D$58*$C$63)+(D43*E$58*$C$64),0))</f>
        <v>0</v>
      </c>
      <c r="E90" s="11">
        <f>IF(AND('rates, dates, etc'!$B$11="no",'Budget Summary'!$G$102&lt;'Budget Summary'!$G$103),ROUNDDOWN((E43*E$59*$C$63)+(E43*F$59*$C$64),0),ROUNDDOWN((E43*E$58*$C$63)+(E43*F$58*$C$64),0))</f>
        <v>0</v>
      </c>
      <c r="F90" s="11">
        <f>IF(AND('rates, dates, etc'!$B$11="no",'Budget Summary'!$G$102&lt;'Budget Summary'!$G$103),ROUNDDOWN((F43*F$59*$C$63)+(F43*G$59*$C$64),0),ROUNDDOWN((F43*F$58*$C$63)+(F43*G$58*$C$64),0))</f>
        <v>0</v>
      </c>
      <c r="G90" s="27">
        <f>SUM(B90:F90)</f>
        <v>0</v>
      </c>
      <c r="I90" s="10" t="s">
        <v>261</v>
      </c>
      <c r="J90" s="11">
        <f>IF(AND('rates, dates, etc'!$B$11="no",'Budget Summary'!$G$102&lt;'Budget Summary'!$G$103),ROUNDDOWN((J43*B$59*$C$63)+(J43*C$59*$C$64),0),ROUNDDOWN((J43*B$60*$C$63)+(J43*C$60*$C$64),0))</f>
        <v>0</v>
      </c>
      <c r="K90" s="11">
        <f>IF(AND('rates, dates, etc'!$B$11="no",'Budget Summary'!$G$102&lt;'Budget Summary'!$G$103),ROUNDDOWN((K43*C$59*$C$63)+(K43*D$59*$C$64),0),ROUNDDOWN((K43*C$60*$C$63)+(K43*D$60*$C$64),0))</f>
        <v>0</v>
      </c>
      <c r="L90" s="11">
        <f>IF(AND('rates, dates, etc'!$B$11="no",'Budget Summary'!$G$102&lt;'Budget Summary'!$G$103),ROUNDDOWN((L43*D$59*$C$63)+(L43*E$59*$C$64),0),ROUNDDOWN((L43*D$60*$C$63)+(L43*E$60*$C$64),0))</f>
        <v>0</v>
      </c>
      <c r="M90" s="11">
        <f>IF(AND('rates, dates, etc'!$B$11="no",'Budget Summary'!$G$102&lt;'Budget Summary'!$G$103),ROUNDDOWN((M43*E$59*$C$63)+(M43*F$59*$C$64),0),ROUNDDOWN((M43*E$60*$C$63)+(M43*F$60*$C$64),0))</f>
        <v>0</v>
      </c>
      <c r="N90" s="11">
        <f>IF(AND('rates, dates, etc'!$B$11="no",'Budget Summary'!$G$102&lt;'Budget Summary'!$G$103),ROUNDDOWN((N43*F$59*$C$63)+(N43*G$59*$C$64),0),ROUNDDOWN((N43*F$60*$C$63)+(N43*G$60*$C$64),0))</f>
        <v>0</v>
      </c>
      <c r="O90" s="27">
        <f t="shared" ref="O90:O100" si="46">SUM(J90:N90)</f>
        <v>0</v>
      </c>
    </row>
    <row r="91" spans="1:15" x14ac:dyDescent="0.25">
      <c r="A91" s="10" t="s">
        <v>262</v>
      </c>
      <c r="B91" s="11">
        <f>IF(AND('rates, dates, etc'!$B$11="no",'Budget Summary'!$G$102&lt;'Budget Summary'!$G$103),ROUNDDOWN((B44*B$59*$C$63)+(B44*C$59*$C$64),0),0)</f>
        <v>0</v>
      </c>
      <c r="C91" s="11">
        <f>IF(AND('rates, dates, etc'!$B$11="no",'Budget Summary'!$G$102&lt;'Budget Summary'!$G$103),ROUNDDOWN((C44*C$59*$C$63)+(C44*D$59*$C$64),0),0)</f>
        <v>0</v>
      </c>
      <c r="D91" s="11">
        <f>IF(AND('rates, dates, etc'!$B$11="no",'Budget Summary'!$G$102&lt;'Budget Summary'!$G$103),ROUNDDOWN((D44*D$59*$C$63)+(D44*E$59*$C$64),0),0)</f>
        <v>0</v>
      </c>
      <c r="E91" s="11">
        <f>IF(AND('rates, dates, etc'!$B$11="no",'Budget Summary'!$G$102&lt;'Budget Summary'!$G$103),ROUNDDOWN((E44*E$59*$C$63)+(E44*F$59*$C$64),0),0)</f>
        <v>0</v>
      </c>
      <c r="F91" s="11">
        <f>IF(AND('rates, dates, etc'!$B$11="no",'Budget Summary'!$G$102&lt;'Budget Summary'!$G$103),ROUNDDOWN((F44*F$59*$C$63)+(F44*G$59*$C$64),0),0)</f>
        <v>0</v>
      </c>
      <c r="G91" s="27">
        <f t="shared" ref="G91:G100" si="47">SUM(B91:F91)</f>
        <v>0</v>
      </c>
      <c r="I91" s="10" t="s">
        <v>262</v>
      </c>
      <c r="J91" s="11">
        <f>IF(AND('rates, dates, etc'!$B$11="no",'Budget Summary'!$G$102&lt;'Budget Summary'!$G$103),ROUNDDOWN((J44*B$59*$C$63)+(J44*C$59*$C$64),0),0)</f>
        <v>0</v>
      </c>
      <c r="K91" s="11">
        <f>IF(AND('rates, dates, etc'!$B$11="no",'Budget Summary'!$G$102&lt;'Budget Summary'!$G$103),ROUNDDOWN((K44*C$59*$C$63)+(K44*D$59*$C$64),0),0)</f>
        <v>0</v>
      </c>
      <c r="L91" s="11">
        <f>IF(AND('rates, dates, etc'!$B$11="no",'Budget Summary'!$G$102&lt;'Budget Summary'!$G$103),ROUNDDOWN((L44*D$59*$C$63)+(L44*E$59*$C$64),0),0)</f>
        <v>0</v>
      </c>
      <c r="M91" s="11">
        <f>IF(AND('rates, dates, etc'!$B$11="no",'Budget Summary'!$G$102&lt;'Budget Summary'!$G$103),ROUNDDOWN((M44*E$59*$C$63)+(M44*F$59*$C$64),0),0)</f>
        <v>0</v>
      </c>
      <c r="N91" s="11">
        <f>IF(AND('rates, dates, etc'!$B$11="no",'Budget Summary'!$G$102&lt;'Budget Summary'!$G$103),ROUNDDOWN((N44*F$59*$C$63)+(N44*G$59*$C$64),0),0)</f>
        <v>0</v>
      </c>
      <c r="O91" s="27">
        <f t="shared" si="46"/>
        <v>0</v>
      </c>
    </row>
    <row r="92" spans="1:15" x14ac:dyDescent="0.25">
      <c r="A92" s="10" t="s">
        <v>263</v>
      </c>
      <c r="B92" s="11">
        <f>IF(AND('rates, dates, etc'!$B$11="no",'Budget Summary'!$G$102&lt;'Budget Summary'!$G$103),ROUNDDOWN((B45*B$59*$C$63)+(B45*C$59*$C$64),0),ROUNDDOWN((B45*B$58*$C$63)+(B45*C$58*$C$64),0))</f>
        <v>0</v>
      </c>
      <c r="C92" s="11">
        <f>IF(AND('rates, dates, etc'!$B$11="no",'Budget Summary'!$G$102&lt;'Budget Summary'!$G$103),ROUNDDOWN((C45*C$59*$C$63)+(C45*D$59*$C$64),0),ROUNDDOWN((C45*C$58*$C$63)+(C45*D$58*$C$64),0))</f>
        <v>0</v>
      </c>
      <c r="D92" s="11">
        <f>IF(AND('rates, dates, etc'!$B$11="no",'Budget Summary'!$G$102&lt;'Budget Summary'!$G$103),ROUNDDOWN((D45*D$59*$C$63)+(D45*E$59*$C$64),0),ROUNDDOWN((D45*D$58*$C$63)+(D45*E$58*$C$64),0))</f>
        <v>0</v>
      </c>
      <c r="E92" s="11">
        <f>IF(AND('rates, dates, etc'!$B$11="no",'Budget Summary'!$G$102&lt;'Budget Summary'!$G$103),ROUNDDOWN((E45*E$59*$C$63)+(E45*F$59*$C$64),0),ROUNDDOWN((E45*E$58*$C$63)+(E45*F$58*$C$64),0))</f>
        <v>0</v>
      </c>
      <c r="F92" s="11">
        <f>IF(AND('rates, dates, etc'!$B$11="no",'Budget Summary'!$G$102&lt;'Budget Summary'!$G$103),ROUNDDOWN((F45*F$59*$C$63)+(F45*G$59*$C$64),0),ROUNDDOWN((F45*F$58*$C$63)+(F45*G$58*$C$64),0))</f>
        <v>0</v>
      </c>
      <c r="G92" s="27">
        <f t="shared" si="47"/>
        <v>0</v>
      </c>
      <c r="I92" s="10" t="s">
        <v>263</v>
      </c>
      <c r="J92" s="11">
        <f>IF(AND('rates, dates, etc'!$B$11="no",'Budget Summary'!$G$102&lt;'Budget Summary'!$G$103),ROUNDDOWN((J45*B$59*$C$63)+(J45*C$59*$C$64),0),ROUNDDOWN((J45*B$60*$C$63)+(J45*C$60*$C$64),0))</f>
        <v>0</v>
      </c>
      <c r="K92" s="11">
        <f>IF(AND('rates, dates, etc'!$B$11="no",'Budget Summary'!$G$102&lt;'Budget Summary'!$G$103),ROUNDDOWN((K45*C$59*$C$63)+(K45*D$59*$C$64),0),ROUNDDOWN((K45*C$60*$C$63)+(K45*D$60*$C$64),0))</f>
        <v>0</v>
      </c>
      <c r="L92" s="11">
        <f>IF(AND('rates, dates, etc'!$B$11="no",'Budget Summary'!$G$102&lt;'Budget Summary'!$G$103),ROUNDDOWN((L45*D$59*$C$63)+(L45*E$59*$C$64),0),ROUNDDOWN((L45*D$60*$C$63)+(L45*E$60*$C$64),0))</f>
        <v>0</v>
      </c>
      <c r="M92" s="11">
        <f>IF(AND('rates, dates, etc'!$B$11="no",'Budget Summary'!$G$102&lt;'Budget Summary'!$G$103),ROUNDDOWN((M45*E$59*$C$63)+(M45*F$59*$C$64),0),ROUNDDOWN((M45*E$60*$C$63)+(M45*F$60*$C$64),0))</f>
        <v>0</v>
      </c>
      <c r="N92" s="11">
        <f>IF(AND('rates, dates, etc'!$B$11="no",'Budget Summary'!$G$102&lt;'Budget Summary'!$G$103),ROUNDDOWN((N45*F$59*$C$63)+(N45*G$59*$C$64),0),ROUNDDOWN((N45*F$60*$C$63)+(N45*G$60*$C$64),0))</f>
        <v>0</v>
      </c>
      <c r="O92" s="27">
        <f t="shared" si="46"/>
        <v>0</v>
      </c>
    </row>
    <row r="93" spans="1:15" x14ac:dyDescent="0.25">
      <c r="A93" s="10" t="s">
        <v>264</v>
      </c>
      <c r="B93" s="11">
        <f>IF(AND('rates, dates, etc'!$B$11="no",'Budget Summary'!$G$102&lt;'Budget Summary'!$G$103),ROUNDDOWN((B46*B$59*$C$63)+(B46*C$59*$C$64),0),ROUNDDOWN((B46*B$58*$C$63)+(B46*C$58*$C$64),0))</f>
        <v>0</v>
      </c>
      <c r="C93" s="11">
        <f>IF(AND('rates, dates, etc'!$B$11="no",'Budget Summary'!$G$102&lt;'Budget Summary'!$G$103),ROUNDDOWN((C46*C$59*$C$63)+(C46*D$59*$C$64),0),ROUNDDOWN((C46*C$58*$C$63)+(C46*D$58*$C$64),0))</f>
        <v>0</v>
      </c>
      <c r="D93" s="11">
        <f>IF(AND('rates, dates, etc'!$B$11="no",'Budget Summary'!$G$102&lt;'Budget Summary'!$G$103),ROUNDDOWN((D46*D$59*$C$63)+(D46*E$59*$C$64),0),ROUNDDOWN((D46*D$58*$C$63)+(D46*E$58*$C$64),0))</f>
        <v>0</v>
      </c>
      <c r="E93" s="11">
        <f>IF(AND('rates, dates, etc'!$B$11="no",'Budget Summary'!$G$102&lt;'Budget Summary'!$G$103),ROUNDDOWN((E46*E$59*$C$63)+(E46*F$59*$C$64),0),ROUNDDOWN((E46*E$58*$C$63)+(E46*F$58*$C$64),0))</f>
        <v>0</v>
      </c>
      <c r="F93" s="11">
        <f>IF(AND('rates, dates, etc'!$B$11="no",'Budget Summary'!$G$102&lt;'Budget Summary'!$G$103),ROUNDDOWN((F46*F$59*$C$63)+(F46*G$59*$C$64),0),ROUNDDOWN((F46*F$58*$C$63)+(F46*G$58*$C$64),0))</f>
        <v>0</v>
      </c>
      <c r="G93" s="27">
        <f t="shared" si="47"/>
        <v>0</v>
      </c>
      <c r="I93" s="10" t="s">
        <v>264</v>
      </c>
      <c r="J93" s="11">
        <f>IF(AND('rates, dates, etc'!$B$11="no",'Budget Summary'!$G$102&lt;'Budget Summary'!$G$103),ROUNDDOWN((J46*B$59*$C$63)+(J46*C$59*$C$64),0),ROUNDDOWN((J46*B$60*$C$63)+(J46*C$60*$C$64),0))</f>
        <v>0</v>
      </c>
      <c r="K93" s="11">
        <f>IF(AND('rates, dates, etc'!$B$11="no",'Budget Summary'!$G$102&lt;'Budget Summary'!$G$103),ROUNDDOWN((K46*C$59*$C$63)+(K46*D$59*$C$64),0),ROUNDDOWN((K46*C$60*$C$63)+(K46*D$60*$C$64),0))</f>
        <v>0</v>
      </c>
      <c r="L93" s="11">
        <f>IF(AND('rates, dates, etc'!$B$11="no",'Budget Summary'!$G$102&lt;'Budget Summary'!$G$103),ROUNDDOWN((L46*D$59*$C$63)+(L46*E$59*$C$64),0),ROUNDDOWN((L46*D$60*$C$63)+(L46*E$60*$C$64),0))</f>
        <v>0</v>
      </c>
      <c r="M93" s="11">
        <f>IF(AND('rates, dates, etc'!$B$11="no",'Budget Summary'!$G$102&lt;'Budget Summary'!$G$103),ROUNDDOWN((M46*E$59*$C$63)+(M46*F$59*$C$64),0),ROUNDDOWN((M46*E$60*$C$63)+(M46*F$60*$C$64),0))</f>
        <v>0</v>
      </c>
      <c r="N93" s="11">
        <f>IF(AND('rates, dates, etc'!$B$11="no",'Budget Summary'!$G$102&lt;'Budget Summary'!$G$103),ROUNDDOWN((N46*F$59*$C$63)+(N46*G$59*$C$64),0),ROUNDDOWN((N46*F$60*$C$63)+(N46*G$60*$C$64),0))</f>
        <v>0</v>
      </c>
      <c r="O93" s="27">
        <f t="shared" si="46"/>
        <v>0</v>
      </c>
    </row>
    <row r="94" spans="1:15" x14ac:dyDescent="0.25">
      <c r="A94" s="10" t="s">
        <v>265</v>
      </c>
      <c r="B94" s="11">
        <f>IF(AND('rates, dates, etc'!$B$11="no",'Budget Summary'!$G$102&lt;'Budget Summary'!$G$103),ROUNDDOWN((B47*B$59*$C$63)+(B47*C$59*$C$64),0),0)</f>
        <v>0</v>
      </c>
      <c r="C94" s="11">
        <f>IF(AND('rates, dates, etc'!$B$11="no",'Budget Summary'!$G$102&lt;'Budget Summary'!$G$103),ROUNDDOWN((C47*C$59*$C$63)+(C47*D$59*$C$64),0),0)</f>
        <v>0</v>
      </c>
      <c r="D94" s="11">
        <f>IF(AND('rates, dates, etc'!$B$11="no",'Budget Summary'!$G$102&lt;'Budget Summary'!$G$103),ROUNDDOWN((D47*D$59*$C$63)+(D47*E$59*$C$64),0),0)</f>
        <v>0</v>
      </c>
      <c r="E94" s="11">
        <f>IF(AND('rates, dates, etc'!$B$11="no",'Budget Summary'!$G$102&lt;'Budget Summary'!$G$103),ROUNDDOWN((E47*E$59*$C$63)+(E47*F$59*$C$64),0),0)</f>
        <v>0</v>
      </c>
      <c r="F94" s="11">
        <f>IF(AND('rates, dates, etc'!$B$11="no",'Budget Summary'!$G$102&lt;'Budget Summary'!$G$103),ROUNDDOWN((F47*F$59*$C$63)+(F47*G$59*$C$64),0),0)</f>
        <v>0</v>
      </c>
      <c r="G94" s="27">
        <f t="shared" si="47"/>
        <v>0</v>
      </c>
      <c r="I94" s="10" t="s">
        <v>265</v>
      </c>
      <c r="J94" s="11">
        <f>IF(AND('rates, dates, etc'!$B$11="no",'Budget Summary'!$G$102&lt;'Budget Summary'!$G$103),ROUNDDOWN((J47*B$59*$C$63)+(J47*C$59*$C$64),0),0)</f>
        <v>0</v>
      </c>
      <c r="K94" s="11">
        <f>IF(AND('rates, dates, etc'!$B$11="no",'Budget Summary'!$G$102&lt;'Budget Summary'!$G$103),ROUNDDOWN((K47*C$59*$C$63)+(K47*D$59*$C$64),0),0)</f>
        <v>0</v>
      </c>
      <c r="L94" s="11">
        <f>IF(AND('rates, dates, etc'!$B$11="no",'Budget Summary'!$G$102&lt;'Budget Summary'!$G$103),ROUNDDOWN((L47*D$59*$C$63)+(L47*E$59*$C$64),0),0)</f>
        <v>0</v>
      </c>
      <c r="M94" s="11">
        <f>IF(AND('rates, dates, etc'!$B$11="no",'Budget Summary'!$G$102&lt;'Budget Summary'!$G$103),ROUNDDOWN((M47*E$59*$C$63)+(M47*F$59*$C$64),0),0)</f>
        <v>0</v>
      </c>
      <c r="N94" s="11">
        <f>IF(AND('rates, dates, etc'!$B$11="no",'Budget Summary'!$G$102&lt;'Budget Summary'!$G$103),ROUNDDOWN((N47*F$59*$C$63)+(N47*G$59*$C$64),0),0)</f>
        <v>0</v>
      </c>
      <c r="O94" s="27">
        <f t="shared" si="46"/>
        <v>0</v>
      </c>
    </row>
    <row r="95" spans="1:15" x14ac:dyDescent="0.25">
      <c r="A95" s="10" t="s">
        <v>14</v>
      </c>
      <c r="B95" s="11">
        <f>IF(AND('rates, dates, etc'!$B$11="no",'Budget Summary'!$G$102&lt;'Budget Summary'!$G$103),ROUNDDOWN((B48*B$59*$C$63)+(B48*C$59*$C$64),0),ROUNDDOWN((B48*B$58*$C$63)+(B48*C$58*$C$64),0))</f>
        <v>0</v>
      </c>
      <c r="C95" s="11">
        <f>IF(AND('rates, dates, etc'!$B$11="no",'Budget Summary'!$G$102&lt;'Budget Summary'!$G$103),ROUNDDOWN((C48*C$59*$C$63)+(C48*D$59*$C$64),0),ROUNDDOWN((C48*C$58*$C$63)+(C48*D$58*$C$64),0))</f>
        <v>0</v>
      </c>
      <c r="D95" s="11">
        <f>IF(AND('rates, dates, etc'!$B$11="no",'Budget Summary'!$G$102&lt;'Budget Summary'!$G$103),ROUNDDOWN((D48*D$59*$C$63)+(D48*E$59*$C$64),0),ROUNDDOWN((D48*D$58*$C$63)+(D48*E$58*$C$64),0))</f>
        <v>0</v>
      </c>
      <c r="E95" s="11">
        <f>IF(AND('rates, dates, etc'!$B$11="no",'Budget Summary'!$G$102&lt;'Budget Summary'!$G$103),ROUNDDOWN((E48*E$59*$C$63)+(E48*F$59*$C$64),0),ROUNDDOWN((E48*E$58*$C$63)+(E48*F$58*$C$64),0))</f>
        <v>0</v>
      </c>
      <c r="F95" s="11">
        <f>IF(AND('rates, dates, etc'!$B$11="no",'Budget Summary'!$G$102&lt;'Budget Summary'!$G$103),ROUNDDOWN((F48*F$59*$C$63)+(F48*G$59*$C$64),0),ROUNDDOWN((F48*F$58*$C$63)+(F48*G$58*$C$64),0))</f>
        <v>0</v>
      </c>
      <c r="G95" s="27">
        <f t="shared" si="47"/>
        <v>0</v>
      </c>
      <c r="I95" s="10" t="s">
        <v>14</v>
      </c>
      <c r="J95" s="11">
        <f>IF(AND('rates, dates, etc'!$B$11="no",'Budget Summary'!$G$102&lt;'Budget Summary'!$G$103),ROUNDDOWN((J48*B$59*$C$63)+(J48*C$59*$C$64),0),ROUNDDOWN((J48*B$60*$C$63)+(J48*C$60*$C$64),0))</f>
        <v>0</v>
      </c>
      <c r="K95" s="11">
        <f>IF(AND('rates, dates, etc'!$B$11="no",'Budget Summary'!$G$102&lt;'Budget Summary'!$G$103),ROUNDDOWN((K48*C$59*$C$63)+(K48*D$59*$C$64),0),ROUNDDOWN((K48*C$60*$C$63)+(K48*D$60*$C$64),0))</f>
        <v>0</v>
      </c>
      <c r="L95" s="11">
        <f>IF(AND('rates, dates, etc'!$B$11="no",'Budget Summary'!$G$102&lt;'Budget Summary'!$G$103),ROUNDDOWN((L48*D$59*$C$63)+(L48*E$59*$C$64),0),ROUNDDOWN((L48*D$60*$C$63)+(L48*E$60*$C$64),0))</f>
        <v>0</v>
      </c>
      <c r="M95" s="11">
        <f>IF(AND('rates, dates, etc'!$B$11="no",'Budget Summary'!$G$102&lt;'Budget Summary'!$G$103),ROUNDDOWN((M48*E$59*$C$63)+(M48*F$59*$C$64),0),ROUNDDOWN((M48*E$60*$C$63)+(M48*F$60*$C$64),0))</f>
        <v>0</v>
      </c>
      <c r="N95" s="11">
        <f>IF(AND('rates, dates, etc'!$B$11="no",'Budget Summary'!$G$102&lt;'Budget Summary'!$G$103),ROUNDDOWN((N48*F$59*$C$63)+(N48*G$59*$C$64),0),ROUNDDOWN((N48*F$60*$C$63)+(N48*G$60*$C$64),0))</f>
        <v>0</v>
      </c>
      <c r="O95" s="27">
        <f t="shared" si="46"/>
        <v>0</v>
      </c>
    </row>
    <row r="96" spans="1:15" x14ac:dyDescent="0.25">
      <c r="A96" s="10" t="s">
        <v>92</v>
      </c>
      <c r="B96" s="11">
        <f>IF(AND('rates, dates, etc'!$B$11="no",'Budget Summary'!$G$102&lt;'Budget Summary'!$G$103),ROUNDDOWN((B49*B$59*$C$63)+(B49*C$59*$C$64),0),ROUNDDOWN((B49*B$58*$C$63)+(B49*C$58*$C$64),0))</f>
        <v>0</v>
      </c>
      <c r="C96" s="11">
        <f>IF(AND('rates, dates, etc'!$B$11="no",'Budget Summary'!$G$102&lt;'Budget Summary'!$G$103),ROUNDDOWN((C49*C$59*$C$63)+(C49*D$59*$C$64),0),ROUNDDOWN((C49*C$58*$C$63)+(C49*D$58*$C$64),0))</f>
        <v>0</v>
      </c>
      <c r="D96" s="11">
        <f>IF(AND('rates, dates, etc'!$B$11="no",'Budget Summary'!$G$102&lt;'Budget Summary'!$G$103),ROUNDDOWN((D49*D$59*$C$63)+(D49*E$59*$C$64),0),ROUNDDOWN((D49*D$58*$C$63)+(D49*E$58*$C$64),0))</f>
        <v>0</v>
      </c>
      <c r="E96" s="11">
        <f>IF(AND('rates, dates, etc'!$B$11="no",'Budget Summary'!$G$102&lt;'Budget Summary'!$G$103),ROUNDDOWN((E49*E$59*$C$63)+(E49*F$59*$C$64),0),ROUNDDOWN((E49*E$58*$C$63)+(E49*F$58*$C$64),0))</f>
        <v>0</v>
      </c>
      <c r="F96" s="11">
        <f>IF(AND('rates, dates, etc'!$B$11="no",'Budget Summary'!$G$102&lt;'Budget Summary'!$G$103),ROUNDDOWN((F49*F$59*$C$63)+(F49*G$59*$C$64),0),ROUNDDOWN((F49*F$58*$C$63)+(F49*G$58*$C$64),0))</f>
        <v>0</v>
      </c>
      <c r="G96" s="27">
        <f t="shared" si="47"/>
        <v>0</v>
      </c>
      <c r="I96" s="10" t="s">
        <v>92</v>
      </c>
      <c r="J96" s="11">
        <f>IF(AND('rates, dates, etc'!$B$11="no",'Budget Summary'!$G$102&lt;'Budget Summary'!$G$103),ROUNDDOWN((J49*B$59*$C$63)+(J49*C$59*$C$64),0),ROUNDDOWN((J49*B$60*$C$63)+(J49*C$60*$C$64),0))</f>
        <v>0</v>
      </c>
      <c r="K96" s="11">
        <f>IF(AND('rates, dates, etc'!$B$11="no",'Budget Summary'!$G$102&lt;'Budget Summary'!$G$103),ROUNDDOWN((K49*C$59*$C$63)+(K49*D$59*$C$64),0),ROUNDDOWN((K49*C$60*$C$63)+(K49*D$60*$C$64),0))</f>
        <v>0</v>
      </c>
      <c r="L96" s="11">
        <f>IF(AND('rates, dates, etc'!$B$11="no",'Budget Summary'!$G$102&lt;'Budget Summary'!$G$103),ROUNDDOWN((L49*D$59*$C$63)+(L49*E$59*$C$64),0),ROUNDDOWN((L49*D$60*$C$63)+(L49*E$60*$C$64),0))</f>
        <v>0</v>
      </c>
      <c r="M96" s="11">
        <f>IF(AND('rates, dates, etc'!$B$11="no",'Budget Summary'!$G$102&lt;'Budget Summary'!$G$103),ROUNDDOWN((M49*E$59*$C$63)+(M49*F$59*$C$64),0),ROUNDDOWN((M49*E$60*$C$63)+(M49*F$60*$C$64),0))</f>
        <v>0</v>
      </c>
      <c r="N96" s="11">
        <f>IF(AND('rates, dates, etc'!$B$11="no",'Budget Summary'!$G$102&lt;'Budget Summary'!$G$103),ROUNDDOWN((N49*F$59*$C$63)+(N49*G$59*$C$64),0),ROUNDDOWN((N49*F$60*$C$63)+(N49*G$60*$C$64),0))</f>
        <v>0</v>
      </c>
      <c r="O96" s="27">
        <f t="shared" si="46"/>
        <v>0</v>
      </c>
    </row>
    <row r="97" spans="1:15" x14ac:dyDescent="0.25">
      <c r="A97" s="10" t="s">
        <v>266</v>
      </c>
      <c r="B97" s="11">
        <f>IF(AND('rates, dates, etc'!$B$11="no",'Budget Summary'!$G$102&lt;'Budget Summary'!$G$103),ROUNDDOWN((B50*B$59*$C$63)+(B50*C$59*$C$64),0),ROUNDDOWN((B50*B$58*$C$63)+(B50*C$58*$C$64),0))</f>
        <v>0</v>
      </c>
      <c r="C97" s="11">
        <f>IF(AND('rates, dates, etc'!$B$11="no",'Budget Summary'!$G$102&lt;'Budget Summary'!$G$103),ROUNDDOWN((C50*C$59*$C$63)+(C50*D$59*$C$64),0),ROUNDDOWN((C50*C$58*$C$63)+(C50*D$58*$C$64),0))</f>
        <v>0</v>
      </c>
      <c r="D97" s="11">
        <f>IF(AND('rates, dates, etc'!$B$11="no",'Budget Summary'!$G$102&lt;'Budget Summary'!$G$103),ROUNDDOWN((D50*D$59*$C$63)+(D50*E$59*$C$64),0),ROUNDDOWN((D50*D$58*$C$63)+(D50*E$58*$C$64),0))</f>
        <v>0</v>
      </c>
      <c r="E97" s="11">
        <f>IF(AND('rates, dates, etc'!$B$11="no",'Budget Summary'!$G$102&lt;'Budget Summary'!$G$103),ROUNDDOWN((E50*E$59*$C$63)+(E50*F$59*$C$64),0),ROUNDDOWN((E50*E$58*$C$63)+(E50*F$58*$C$64),0))</f>
        <v>0</v>
      </c>
      <c r="F97" s="11">
        <f>IF(AND('rates, dates, etc'!$B$11="no",'Budget Summary'!$G$102&lt;'Budget Summary'!$G$103),ROUNDDOWN((F50*F$59*$C$63)+(F50*G$59*$C$64),0),ROUNDDOWN((F50*F$58*$C$63)+(F50*G$58*$C$64),0))</f>
        <v>0</v>
      </c>
      <c r="G97" s="27">
        <f t="shared" si="47"/>
        <v>0</v>
      </c>
      <c r="I97" s="10" t="s">
        <v>266</v>
      </c>
      <c r="J97" s="11">
        <f>IF(AND('rates, dates, etc'!$B$11="no",'Budget Summary'!$G$102&lt;'Budget Summary'!$G$103),ROUNDDOWN((J50*B$59*$C$63)+(J50*C$59*$C$64),0),ROUNDDOWN((J50*B$60*$C$63)+(J50*C$60*$C$64),0))</f>
        <v>0</v>
      </c>
      <c r="K97" s="11">
        <f>IF(AND('rates, dates, etc'!$B$11="no",'Budget Summary'!$G$102&lt;'Budget Summary'!$G$103),ROUNDDOWN((K50*C$59*$C$63)+(K50*D$59*$C$64),0),ROUNDDOWN((K50*C$60*$C$63)+(K50*D$60*$C$64),0))</f>
        <v>0</v>
      </c>
      <c r="L97" s="11">
        <f>IF(AND('rates, dates, etc'!$B$11="no",'Budget Summary'!$G$102&lt;'Budget Summary'!$G$103),ROUNDDOWN((L50*D$59*$C$63)+(L50*E$59*$C$64),0),ROUNDDOWN((L50*D$60*$C$63)+(L50*E$60*$C$64),0))</f>
        <v>0</v>
      </c>
      <c r="M97" s="11">
        <f>IF(AND('rates, dates, etc'!$B$11="no",'Budget Summary'!$G$102&lt;'Budget Summary'!$G$103),ROUNDDOWN((M50*E$59*$C$63)+(M50*F$59*$C$64),0),ROUNDDOWN((M50*E$60*$C$63)+(M50*F$60*$C$64),0))</f>
        <v>0</v>
      </c>
      <c r="N97" s="11">
        <f>IF(AND('rates, dates, etc'!$B$11="no",'Budget Summary'!$G$102&lt;'Budget Summary'!$G$103),ROUNDDOWN((N50*F$59*$C$63)+(N50*G$59*$C$64),0),ROUNDDOWN((N50*F$60*$C$63)+(N50*G$60*$C$64),0))</f>
        <v>0</v>
      </c>
      <c r="O97" s="27">
        <f t="shared" si="46"/>
        <v>0</v>
      </c>
    </row>
    <row r="98" spans="1:15" x14ac:dyDescent="0.25">
      <c r="A98" s="10" t="s">
        <v>268</v>
      </c>
      <c r="B98" s="11">
        <f>IF(AND('rates, dates, etc'!$B$11="no",'Budget Summary'!$G$102&lt;'Budget Summary'!$G$103),ROUNDDOWN((B51*B$59*$C$63)+(B51*C$59*$C$64),0),IF(B51=0,0,ROUNDDOWN(((B51-('Consortium 1'!B64+'Consortium 2'!B64+'Consortium 3'!B64+'Consortium 4'!B64+'Consortium 5'!B64))*B$58*$C$63)+((B51-('Consortium 1'!B64+'Consortium 2'!B64+'Consortium 3'!B64+'Consortium 4'!B64+'Consortium 5'!B64))*C$58*$C$64),0)))</f>
        <v>0</v>
      </c>
      <c r="C98" s="11">
        <f>IF(AND('rates, dates, etc'!$B$11="no",'Budget Summary'!$G$102&lt;'Budget Summary'!$G$103),ROUNDDOWN((C51*C$59*$C$63)+(C51*D$59*$C$64),0),IF(C51=0,0,ROUNDDOWN(((C51-('Consortium 1'!C64+'Consortium 2'!C64+'Consortium 3'!C64+'Consortium 4'!C64+'Consortium 5'!C64))*C$58*$C$63)+((C51-('Consortium 1'!C64+'Consortium 2'!C64+'Consortium 3'!C64+'Consortium 4'!C64+'Consortium 5'!C64))*D$58*$C$64),0)))</f>
        <v>0</v>
      </c>
      <c r="D98" s="11">
        <f>IF(AND('rates, dates, etc'!$B$11="no",'Budget Summary'!$G$102&lt;'Budget Summary'!$G$103),ROUNDDOWN((D51*D$59*$C$63)+(D51*E$59*$C$64),0),IF(D51=0,0,ROUNDDOWN(((D51-('Consortium 1'!D64+'Consortium 2'!D64+'Consortium 3'!D64+'Consortium 4'!D64+'Consortium 5'!D64))*D$58*$C$63)+((D51-('Consortium 1'!D64+'Consortium 2'!D64+'Consortium 3'!D64+'Consortium 4'!D64+'Consortium 5'!D64))*E$58*$C$64),0)))</f>
        <v>0</v>
      </c>
      <c r="E98" s="11">
        <f>IF(AND('rates, dates, etc'!$B$11="no",'Budget Summary'!$G$102&lt;'Budget Summary'!$G$103),ROUNDDOWN((E51*E$59*$C$63)+(E51*F$59*$C$64),0),IF(E51=0,0,ROUNDDOWN(((E51-('Consortium 1'!E64+'Consortium 2'!E64+'Consortium 3'!E64+'Consortium 4'!E64+'Consortium 5'!E64))*E$58*$C$63)+((E51-('Consortium 1'!E64+'Consortium 2'!E64+'Consortium 3'!E64+'Consortium 4'!E64+'Consortium 5'!E64))*F$58*$C$64),0)))</f>
        <v>0</v>
      </c>
      <c r="F98" s="11">
        <f>IF(AND('rates, dates, etc'!$B$11="no",'Budget Summary'!$G$102&lt;'Budget Summary'!$G$103),ROUNDDOWN((F51*F$59*$C$63)+(F51*G$59*$C$64),0),IF(F51=0,0,ROUNDDOWN(((F51-('Consortium 1'!F64+'Consortium 2'!F64+'Consortium 3'!F64+'Consortium 4'!F64+'Consortium 5'!F64))*F$58*$C$63)+((F51-('Consortium 1'!F64+'Consortium 2'!F64+'Consortium 3'!F64+'Consortium 4'!F64+'Consortium 5'!F64))*G$58*$C$64),0)))</f>
        <v>0</v>
      </c>
      <c r="G98" s="27">
        <f t="shared" si="47"/>
        <v>0</v>
      </c>
      <c r="I98" s="10" t="s">
        <v>268</v>
      </c>
      <c r="J98" s="11">
        <f>IF(AND('rates, dates, etc'!$B$11="no",'Budget Summary'!$G$102&lt;'Budget Summary'!$G$103),ROUNDDOWN((J51*B$59*$C$63)+(J51*C$59*$C$64),0),IF(J51=0,0,ROUNDDOWN(((J51-('Consortium 1'!B64+'Consortium 2'!B64+'Consortium 3'!B64+'Consortium 4'!B64+'Consortium 5'!B64))*B$60*$C$63)+((J51-('Consortium 1'!B64+'Consortium 2'!B64+'Consortium 3'!B64+'Consortium 4'!B64+'Consortium 5'!B64))*C$60*$C$64),0)))</f>
        <v>0</v>
      </c>
      <c r="K98" s="11">
        <f>IF(AND('rates, dates, etc'!$B$11="no",'Budget Summary'!$G$102&lt;'Budget Summary'!$G$103),ROUNDDOWN((K51*C$59*$C$63)+(K51*D$59*$C$64),0),IF(K51=0,0,ROUNDDOWN(((K51-('Consortium 1'!C64+'Consortium 2'!C64+'Consortium 3'!C64+'Consortium 4'!C64+'Consortium 5'!C64))*C$60*$C$63)+((K51-('Consortium 1'!C64+'Consortium 2'!C64+'Consortium 3'!C64+'Consortium 4'!C64+'Consortium 5'!C64))*D$60*$C$64),0)))</f>
        <v>0</v>
      </c>
      <c r="L98" s="11">
        <f>IF(AND('rates, dates, etc'!$B$11="no",'Budget Summary'!$G$102&lt;'Budget Summary'!$G$103),ROUNDDOWN((L51*D$59*$C$63)+(L51*E$59*$C$64),0),IF(L51=0,0,ROUNDDOWN(((L51-('Consortium 1'!D64+'Consortium 2'!D64+'Consortium 3'!D64+'Consortium 4'!D64+'Consortium 5'!D64))*D$60*$C$63)+((L51-('Consortium 1'!D64+'Consortium 2'!D64+'Consortium 3'!D64+'Consortium 4'!D64+'Consortium 5'!D64))*E$60*$C$64),0)))</f>
        <v>0</v>
      </c>
      <c r="M98" s="11">
        <f>IF(AND('rates, dates, etc'!$B$11="no",'Budget Summary'!$G$102&lt;'Budget Summary'!$G$103),ROUNDDOWN((M51*E$59*$C$63)+(M51*F$59*$C$64),0),IF(M51=0,0,ROUNDDOWN(((M51-('Consortium 1'!E64+'Consortium 2'!E64+'Consortium 3'!E64+'Consortium 4'!E64+'Consortium 5'!E64))*E$60*$C$63)+((M51-('Consortium 1'!E64+'Consortium 2'!E64+'Consortium 3'!E64+'Consortium 4'!E64+'Consortium 5'!E64))*F$60*$C$64),0)))</f>
        <v>0</v>
      </c>
      <c r="N98" s="11">
        <f>IF(AND('rates, dates, etc'!$B$11="no",'Budget Summary'!$G$102&lt;'Budget Summary'!$G$103),ROUNDDOWN((N51*F$59*$C$63)+(N51*G$59*$C$64),0),IF(N51=0,0,ROUNDDOWN(((N51-('Consortium 1'!F64+'Consortium 2'!F64+'Consortium 3'!F64+'Consortium 4'!F64+'Consortium 5'!F64))*F$60*$C$63)+((N51-('Consortium 1'!F64+'Consortium 2'!F64+'Consortium 3'!F64+'Consortium 4'!F64+'Consortium 5'!F64))*G$60*$C$64),0)))</f>
        <v>0</v>
      </c>
      <c r="O98" s="27">
        <f t="shared" si="46"/>
        <v>0</v>
      </c>
    </row>
    <row r="99" spans="1:15" x14ac:dyDescent="0.25">
      <c r="A99" s="10" t="s">
        <v>275</v>
      </c>
      <c r="B99" s="11">
        <f>IF(AND('rates, dates, etc'!$B$11="no",'Budget Summary'!$G$102&lt;'Budget Summary'!$G$103),ROUNDDOWN((B52*B$59*$C$63)+(B52*C$59*$C$64),0),0)</f>
        <v>0</v>
      </c>
      <c r="C99" s="11">
        <f>IF(AND('rates, dates, etc'!$B$11="no",'Budget Summary'!$G$102&lt;'Budget Summary'!$G$103),ROUNDDOWN((C52*C$59*$C$63)+(C52*D$59*$C$64),0),0)</f>
        <v>0</v>
      </c>
      <c r="D99" s="11">
        <f>IF(AND('rates, dates, etc'!$B$11="no",'Budget Summary'!$G$102&lt;'Budget Summary'!$G$103),ROUNDDOWN((D52*D$59*$C$63)+(D52*E$59*$C$64),0),0)</f>
        <v>0</v>
      </c>
      <c r="E99" s="11">
        <f>IF(AND('rates, dates, etc'!$B$11="no",'Budget Summary'!$G$102&lt;'Budget Summary'!$G$103),ROUNDDOWN((E52*E$59*$C$63)+(E52*F$59*$C$64),0),0)</f>
        <v>0</v>
      </c>
      <c r="F99" s="11">
        <f>IF(AND('rates, dates, etc'!$B$11="no",'Budget Summary'!$G$102&lt;'Budget Summary'!$G$103),ROUNDDOWN((F52*F$59*$C$63)+(F52*G$59*$C$64),0),0)</f>
        <v>0</v>
      </c>
      <c r="G99" s="27">
        <f t="shared" si="47"/>
        <v>0</v>
      </c>
      <c r="I99" s="10" t="s">
        <v>275</v>
      </c>
      <c r="J99" s="11">
        <f>IF(AND('rates, dates, etc'!$B$11="no",'Budget Summary'!$G$102&lt;'Budget Summary'!$G$103),ROUNDDOWN((J52*B$59*$C$63)+(J52*C$59*$C$64),0),0)</f>
        <v>0</v>
      </c>
      <c r="K99" s="11">
        <f>IF(AND('rates, dates, etc'!$B$11="no",'Budget Summary'!$G$102&lt;'Budget Summary'!$G$103),ROUNDDOWN((K52*C$59*$C$63)+(K52*D$59*$C$64),0),0)</f>
        <v>0</v>
      </c>
      <c r="L99" s="11">
        <f>IF(AND('rates, dates, etc'!$B$11="no",'Budget Summary'!$G$102&lt;'Budget Summary'!$G$103),ROUNDDOWN((L52*D$59*$C$63)+(L52*E$59*$C$64),0),0)</f>
        <v>0</v>
      </c>
      <c r="M99" s="11">
        <f>IF(AND('rates, dates, etc'!$B$11="no",'Budget Summary'!$G$102&lt;'Budget Summary'!$G$103),ROUNDDOWN((M52*E$59*$C$63)+(M52*F$59*$C$64),0),0)</f>
        <v>0</v>
      </c>
      <c r="N99" s="11">
        <f>IF(AND('rates, dates, etc'!$B$11="no",'Budget Summary'!$G$102&lt;'Budget Summary'!$G$103),ROUNDDOWN((N52*F$59*$C$63)+(N52*G$59*$C$64),0),0)</f>
        <v>0</v>
      </c>
      <c r="O99" s="27">
        <f t="shared" si="46"/>
        <v>0</v>
      </c>
    </row>
    <row r="100" spans="1:15" x14ac:dyDescent="0.25">
      <c r="A100" s="10" t="s">
        <v>267</v>
      </c>
      <c r="B100" s="11">
        <f>IF(AND('rates, dates, etc'!$B$11="no",'Budget Summary'!$G$102&lt;'Budget Summary'!$G$103),ROUNDDOWN((B53*B$59*$C$63)+(B53*C$59*$C$64),0),ROUNDDOWN((B53*B$58*$C$63)+(B53*C$58*$C$64),0))</f>
        <v>0</v>
      </c>
      <c r="C100" s="11">
        <f>IF(AND('rates, dates, etc'!$B$11="no",'Budget Summary'!$G$102&lt;'Budget Summary'!$G$103),ROUNDDOWN((C53*C$59*$C$63)+(C53*D$59*$C$64),0),ROUNDDOWN((C53*C$58*$C$63)+(C53*D$58*$C$64),0))</f>
        <v>0</v>
      </c>
      <c r="D100" s="11">
        <f>IF(AND('rates, dates, etc'!$B$11="no",'Budget Summary'!$G$102&lt;'Budget Summary'!$G$103),ROUNDDOWN((D53*D$59*$C$63)+(D53*E$59*$C$64),0),ROUNDDOWN((D53*D$58*$C$63)+(D53*E$58*$C$64),0))</f>
        <v>0</v>
      </c>
      <c r="E100" s="11">
        <f>IF(AND('rates, dates, etc'!$B$11="no",'Budget Summary'!$G$102&lt;'Budget Summary'!$G$103),ROUNDDOWN((E53*E$59*$C$63)+(E53*F$59*$C$64),0),ROUNDDOWN((E53*E$58*$C$63)+(E53*F$58*$C$64),0))</f>
        <v>0</v>
      </c>
      <c r="F100" s="11">
        <f>IF(AND('rates, dates, etc'!$B$11="no",'Budget Summary'!$G$102&lt;'Budget Summary'!$G$103),ROUNDDOWN((F53*F$59*$C$63)+(F53*G$59*$C$64),0),ROUNDDOWN((F53*F$58*$C$63)+(F53*G$58*$C$64),0))</f>
        <v>0</v>
      </c>
      <c r="G100" s="27">
        <f t="shared" si="47"/>
        <v>0</v>
      </c>
      <c r="I100" s="10" t="s">
        <v>267</v>
      </c>
      <c r="J100" s="11">
        <f>IF(AND('rates, dates, etc'!$B$11="no",'Budget Summary'!$G$102&lt;'Budget Summary'!$G$103),ROUNDDOWN((J53*B$59*$C$63)+(J53*C$59*$C$64),0),ROUNDDOWN((J53*B$60*$C$63)+(J53*C$60*$C$64),0))</f>
        <v>0</v>
      </c>
      <c r="K100" s="11">
        <f>IF(AND('rates, dates, etc'!$B$11="no",'Budget Summary'!$G$102&lt;'Budget Summary'!$G$103),ROUNDDOWN((K53*C$59*$C$63)+(K53*D$59*$C$64),0),ROUNDDOWN((K53*C$60*$C$63)+(K53*D$60*$C$64),0))</f>
        <v>0</v>
      </c>
      <c r="L100" s="11">
        <f>IF(AND('rates, dates, etc'!$B$11="no",'Budget Summary'!$G$102&lt;'Budget Summary'!$G$103),ROUNDDOWN((L53*D$59*$C$63)+(L53*E$59*$C$64),0),ROUNDDOWN((L53*D$60*$C$63)+(L53*E$60*$C$64),0))</f>
        <v>0</v>
      </c>
      <c r="M100" s="11">
        <f>IF(AND('rates, dates, etc'!$B$11="no",'Budget Summary'!$G$102&lt;'Budget Summary'!$G$103),ROUNDDOWN((M53*E$59*$C$63)+(M53*F$59*$C$64),0),ROUNDDOWN((M53*E$60*$C$63)+(M53*F$60*$C$64),0))</f>
        <v>0</v>
      </c>
      <c r="N100" s="11">
        <f>IF(AND('rates, dates, etc'!$B$11="no",'Budget Summary'!$G$102&lt;'Budget Summary'!$G$103),ROUNDDOWN((N53*F$59*$C$63)+(N53*G$59*$C$64),0),ROUNDDOWN((N53*F$60*$C$63)+(N53*G$60*$C$64),0))</f>
        <v>0</v>
      </c>
      <c r="O100" s="27">
        <f t="shared" si="46"/>
        <v>0</v>
      </c>
    </row>
    <row r="101" spans="1:15" ht="15.75" thickBot="1" x14ac:dyDescent="0.3">
      <c r="A101" s="375" t="s">
        <v>269</v>
      </c>
      <c r="B101" s="376">
        <f>SUM(B90:B100)</f>
        <v>0</v>
      </c>
      <c r="C101" s="376">
        <f t="shared" ref="C101:F101" si="48">SUM(C90:C100)</f>
        <v>0</v>
      </c>
      <c r="D101" s="376">
        <f t="shared" si="48"/>
        <v>0</v>
      </c>
      <c r="E101" s="376">
        <f t="shared" si="48"/>
        <v>0</v>
      </c>
      <c r="F101" s="376">
        <f t="shared" si="48"/>
        <v>0</v>
      </c>
      <c r="G101" s="377">
        <f>SUM(B101:F101)</f>
        <v>0</v>
      </c>
      <c r="I101" s="375" t="s">
        <v>269</v>
      </c>
      <c r="J101" s="376">
        <f>SUM(J90:J100)</f>
        <v>0</v>
      </c>
      <c r="K101" s="376">
        <f>SUM(K90:K100)</f>
        <v>0</v>
      </c>
      <c r="L101" s="376">
        <f>SUM(L90:L100)</f>
        <v>0</v>
      </c>
      <c r="M101" s="376">
        <f>SUM(M90:M100)</f>
        <v>0</v>
      </c>
      <c r="N101" s="376">
        <f>SUM(N90:N100)</f>
        <v>0</v>
      </c>
      <c r="O101" s="377">
        <f>SUM(J101:N101)</f>
        <v>0</v>
      </c>
    </row>
  </sheetData>
  <conditionalFormatting sqref="B60">
    <cfRule type="cellIs" dxfId="28" priority="3" operator="equal">
      <formula>0</formula>
    </cfRule>
  </conditionalFormatting>
  <conditionalFormatting sqref="C60:G60">
    <cfRule type="cellIs" dxfId="27" priority="2" operator="equal">
      <formula>0</formula>
    </cfRule>
  </conditionalFormatting>
  <conditionalFormatting sqref="A60">
    <cfRule type="cellIs" dxfId="26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O61"/>
  <sheetViews>
    <sheetView topLeftCell="A11" workbookViewId="0">
      <selection activeCell="B31" sqref="B31"/>
    </sheetView>
  </sheetViews>
  <sheetFormatPr defaultRowHeight="15" x14ac:dyDescent="0.25"/>
  <cols>
    <col min="1" max="1" width="43" customWidth="1"/>
    <col min="2" max="7" width="14.7109375" customWidth="1"/>
    <col min="9" max="9" width="34" bestFit="1" customWidth="1"/>
  </cols>
  <sheetData>
    <row r="2" spans="1:8" ht="15.75" thickBot="1" x14ac:dyDescent="0.3"/>
    <row r="3" spans="1:8" ht="16.5" thickBot="1" x14ac:dyDescent="0.3">
      <c r="A3" s="551" t="s">
        <v>212</v>
      </c>
      <c r="B3" s="552"/>
      <c r="C3" s="552"/>
      <c r="D3" s="552"/>
      <c r="E3" s="552"/>
      <c r="F3" s="552"/>
      <c r="G3" s="553"/>
      <c r="H3" s="3"/>
    </row>
    <row r="4" spans="1:8" ht="16.5" thickBot="1" x14ac:dyDescent="0.3">
      <c r="A4" s="554"/>
      <c r="B4" s="555" t="s">
        <v>1</v>
      </c>
      <c r="C4" s="555" t="s">
        <v>2</v>
      </c>
      <c r="D4" s="555" t="s">
        <v>3</v>
      </c>
      <c r="E4" s="555" t="s">
        <v>44</v>
      </c>
      <c r="F4" s="556" t="s">
        <v>50</v>
      </c>
      <c r="G4" s="557" t="s">
        <v>213</v>
      </c>
      <c r="H4" s="3"/>
    </row>
    <row r="5" spans="1:8" ht="36" customHeight="1" thickBot="1" x14ac:dyDescent="0.3">
      <c r="A5" s="558" t="s">
        <v>214</v>
      </c>
      <c r="B5" s="559">
        <f>+'Budget Summary'!B93-'NIH Modular'!B7</f>
        <v>106815</v>
      </c>
      <c r="C5" s="559">
        <f>+'Budget Summary'!C93-'NIH Modular'!C7</f>
        <v>100157</v>
      </c>
      <c r="D5" s="559">
        <f>+'Budget Summary'!D93-'NIH Modular'!D7</f>
        <v>0</v>
      </c>
      <c r="E5" s="559">
        <f>+'Budget Summary'!E93-'NIH Modular'!E7</f>
        <v>0</v>
      </c>
      <c r="F5" s="559">
        <f>+'Budget Summary'!F93-'NIH Modular'!F7</f>
        <v>0</v>
      </c>
      <c r="G5" s="560">
        <f>SUM(B5:F5)</f>
        <v>206972</v>
      </c>
      <c r="H5" s="3"/>
    </row>
    <row r="6" spans="1:8" ht="16.5" thickBot="1" x14ac:dyDescent="0.3">
      <c r="A6" s="561" t="s">
        <v>215</v>
      </c>
      <c r="B6" s="562">
        <f>+'Budget Summary'!B98</f>
        <v>21363</v>
      </c>
      <c r="C6" s="562">
        <f>+'Budget Summary'!C98</f>
        <v>20031</v>
      </c>
      <c r="D6" s="562">
        <f>+'Budget Summary'!D98</f>
        <v>0</v>
      </c>
      <c r="E6" s="562">
        <f>+'Budget Summary'!E98</f>
        <v>0</v>
      </c>
      <c r="F6" s="562">
        <f>+'Budget Summary'!F98</f>
        <v>0</v>
      </c>
      <c r="G6" s="560">
        <f>SUM(B6:F6)</f>
        <v>41394</v>
      </c>
      <c r="H6" s="3"/>
    </row>
    <row r="7" spans="1:8" ht="16.5" thickBot="1" x14ac:dyDescent="0.3">
      <c r="A7" s="561" t="s">
        <v>216</v>
      </c>
      <c r="B7" s="562">
        <f>+'Consortium 1'!B56+'Consortium 2'!B55+'Consortium 3'!B55+'Consortium 4'!B55+'Consortium 5'!B55</f>
        <v>0</v>
      </c>
      <c r="C7" s="562">
        <f>+'Consortium 1'!C56+'Consortium 2'!C55+'Consortium 3'!C55+'Consortium 4'!C55+'Consortium 5'!C55</f>
        <v>0</v>
      </c>
      <c r="D7" s="562">
        <f>+'Consortium 1'!D56+'Consortium 2'!D55+'Consortium 3'!D55+'Consortium 4'!D55+'Consortium 5'!D55</f>
        <v>0</v>
      </c>
      <c r="E7" s="562">
        <f>+'Consortium 1'!E56+'Consortium 2'!E55+'Consortium 3'!E55+'Consortium 4'!E55+'Consortium 5'!E55</f>
        <v>0</v>
      </c>
      <c r="F7" s="562">
        <f>+'Consortium 1'!F56+'Consortium 2'!F55+'Consortium 3'!F55+'Consortium 4'!F55+'Consortium 5'!F55</f>
        <v>0</v>
      </c>
      <c r="G7" s="560">
        <f>SUM(B7:F7)</f>
        <v>0</v>
      </c>
      <c r="H7" s="3"/>
    </row>
    <row r="8" spans="1:8" ht="16.5" thickBot="1" x14ac:dyDescent="0.3">
      <c r="A8" s="563" t="s">
        <v>217</v>
      </c>
      <c r="B8" s="564">
        <f>SUM(B5:B7)</f>
        <v>128178</v>
      </c>
      <c r="C8" s="564">
        <f t="shared" ref="C8:F8" si="0">SUM(C5:C7)</f>
        <v>120188</v>
      </c>
      <c r="D8" s="564">
        <f t="shared" si="0"/>
        <v>0</v>
      </c>
      <c r="E8" s="564">
        <f t="shared" si="0"/>
        <v>0</v>
      </c>
      <c r="F8" s="564">
        <f t="shared" si="0"/>
        <v>0</v>
      </c>
      <c r="G8" s="560">
        <f>SUM(B8:F8)</f>
        <v>248366</v>
      </c>
      <c r="H8" s="3"/>
    </row>
    <row r="9" spans="1:8" x14ac:dyDescent="0.25">
      <c r="A9" s="489" t="s">
        <v>150</v>
      </c>
      <c r="B9" s="417">
        <f>+B8-'Budget Summary'!B99</f>
        <v>0</v>
      </c>
      <c r="C9" s="417">
        <f>+C8-'Budget Summary'!C99</f>
        <v>0</v>
      </c>
      <c r="D9" s="417">
        <f>+D8-'Budget Summary'!D99</f>
        <v>0</v>
      </c>
      <c r="E9" s="417">
        <f>+E8-'Budget Summary'!E99</f>
        <v>0</v>
      </c>
      <c r="F9" s="417">
        <f>+F8-'Budget Summary'!F99</f>
        <v>0</v>
      </c>
      <c r="G9" s="417">
        <f>+G8-'Budget Summary'!G99</f>
        <v>0</v>
      </c>
      <c r="H9" s="3"/>
    </row>
    <row r="10" spans="1:8" ht="15.75" x14ac:dyDescent="0.25">
      <c r="A10" s="565"/>
      <c r="B10" s="566"/>
      <c r="C10" s="566"/>
      <c r="D10" s="567"/>
      <c r="E10" s="566"/>
      <c r="F10" s="566"/>
      <c r="G10" s="566"/>
      <c r="H10" s="3"/>
    </row>
    <row r="11" spans="1:8" ht="16.5" thickBot="1" x14ac:dyDescent="0.3">
      <c r="A11" s="565"/>
      <c r="B11" s="566"/>
      <c r="C11" s="566"/>
      <c r="D11" s="567"/>
      <c r="E11" s="566"/>
      <c r="F11" s="566"/>
      <c r="G11" s="566"/>
      <c r="H11" s="3"/>
    </row>
    <row r="12" spans="1:8" ht="16.5" thickBot="1" x14ac:dyDescent="0.3">
      <c r="A12" s="568" t="s">
        <v>218</v>
      </c>
      <c r="B12" s="569"/>
      <c r="C12" s="569"/>
      <c r="D12" s="569"/>
      <c r="E12" s="569"/>
      <c r="F12" s="569"/>
      <c r="G12" s="570"/>
      <c r="H12" s="3"/>
    </row>
    <row r="13" spans="1:8" ht="16.5" thickBot="1" x14ac:dyDescent="0.3">
      <c r="A13" s="571"/>
      <c r="B13" s="572" t="s">
        <v>1</v>
      </c>
      <c r="C13" s="572" t="s">
        <v>2</v>
      </c>
      <c r="D13" s="572" t="s">
        <v>3</v>
      </c>
      <c r="E13" s="572" t="s">
        <v>44</v>
      </c>
      <c r="F13" s="572" t="s">
        <v>50</v>
      </c>
      <c r="G13" s="573" t="s">
        <v>213</v>
      </c>
      <c r="H13" s="3"/>
    </row>
    <row r="14" spans="1:8" ht="16.5" thickBot="1" x14ac:dyDescent="0.3">
      <c r="A14" s="574" t="s">
        <v>219</v>
      </c>
      <c r="B14" s="575">
        <f>MROUND(B5,25000)</f>
        <v>100000</v>
      </c>
      <c r="C14" s="575">
        <f t="shared" ref="C14:F14" si="1">MROUND(C5,25000)</f>
        <v>100000</v>
      </c>
      <c r="D14" s="575">
        <f t="shared" si="1"/>
        <v>0</v>
      </c>
      <c r="E14" s="575">
        <f t="shared" si="1"/>
        <v>0</v>
      </c>
      <c r="F14" s="575">
        <f t="shared" si="1"/>
        <v>0</v>
      </c>
      <c r="G14" s="576">
        <f>SUM(B14:F14)</f>
        <v>200000</v>
      </c>
      <c r="H14" s="550" t="s">
        <v>220</v>
      </c>
    </row>
    <row r="15" spans="1:8" ht="16.5" thickBot="1" x14ac:dyDescent="0.3">
      <c r="A15" s="574" t="s">
        <v>221</v>
      </c>
      <c r="B15" s="577">
        <f>+B7</f>
        <v>0</v>
      </c>
      <c r="C15" s="577">
        <f t="shared" ref="C15:F15" si="2">+C7</f>
        <v>0</v>
      </c>
      <c r="D15" s="577">
        <f t="shared" si="2"/>
        <v>0</v>
      </c>
      <c r="E15" s="577">
        <f t="shared" si="2"/>
        <v>0</v>
      </c>
      <c r="F15" s="577">
        <f t="shared" si="2"/>
        <v>0</v>
      </c>
      <c r="G15" s="576">
        <f>SUM(B15:F15)</f>
        <v>0</v>
      </c>
      <c r="H15" s="3"/>
    </row>
    <row r="16" spans="1:8" ht="16.5" thickBot="1" x14ac:dyDescent="0.3">
      <c r="A16" s="574" t="s">
        <v>222</v>
      </c>
      <c r="B16" s="578">
        <f>SUM(B14:B15)</f>
        <v>100000</v>
      </c>
      <c r="C16" s="578">
        <f t="shared" ref="C16:F16" si="3">SUM(C14:C15)</f>
        <v>100000</v>
      </c>
      <c r="D16" s="578">
        <f t="shared" si="3"/>
        <v>0</v>
      </c>
      <c r="E16" s="578">
        <f t="shared" si="3"/>
        <v>0</v>
      </c>
      <c r="F16" s="578">
        <f t="shared" si="3"/>
        <v>0</v>
      </c>
      <c r="G16" s="576">
        <f>SUM(B16:F16)</f>
        <v>200000</v>
      </c>
      <c r="H16" s="3" t="s">
        <v>280</v>
      </c>
    </row>
    <row r="17" spans="1:8" ht="6" customHeight="1" thickBot="1" x14ac:dyDescent="0.3">
      <c r="A17" s="580"/>
      <c r="B17" s="581"/>
      <c r="C17" s="581"/>
      <c r="D17" s="581"/>
      <c r="E17" s="581"/>
      <c r="F17" s="581"/>
      <c r="G17" s="582"/>
      <c r="H17" s="3"/>
    </row>
    <row r="18" spans="1:8" ht="16.5" thickBot="1" x14ac:dyDescent="0.3">
      <c r="A18" s="583" t="s">
        <v>223</v>
      </c>
      <c r="B18" s="584">
        <f>MROUND(B41-B15,25000)+B45-B44</f>
        <v>100000</v>
      </c>
      <c r="C18" s="584">
        <f t="shared" ref="C18:F18" si="4">MROUND(C41-C15,25000)+C45-C44</f>
        <v>100000</v>
      </c>
      <c r="D18" s="584">
        <f t="shared" si="4"/>
        <v>0</v>
      </c>
      <c r="E18" s="584">
        <f t="shared" si="4"/>
        <v>0</v>
      </c>
      <c r="F18" s="584">
        <f t="shared" si="4"/>
        <v>0</v>
      </c>
      <c r="G18" s="585">
        <f>SUM(B18:F18)</f>
        <v>200000</v>
      </c>
      <c r="H18" s="3"/>
    </row>
    <row r="19" spans="1:8" ht="16.5" thickBot="1" x14ac:dyDescent="0.3">
      <c r="A19" s="583" t="s">
        <v>226</v>
      </c>
      <c r="B19" s="584">
        <f>ROUND((B18*J41*$K$47)+(B18*K41*$K$48),0)</f>
        <v>57000</v>
      </c>
      <c r="C19" s="584">
        <f>ROUND((C18*K41*$K$47)+(C18*L41*$K$48),0)</f>
        <v>57000</v>
      </c>
      <c r="D19" s="584">
        <f>ROUND((D18*L41*$K$47)+(D18*M41*$K$48),0)</f>
        <v>0</v>
      </c>
      <c r="E19" s="584">
        <f>ROUND((E18*M41*$K$47)+(E18*N41*$K$48),0)</f>
        <v>0</v>
      </c>
      <c r="F19" s="584">
        <f>ROUND((F18*N41*$K$47)+(F18*O41*$K$48),0)</f>
        <v>0</v>
      </c>
      <c r="G19" s="585">
        <f>SUM(B19:F19)</f>
        <v>114000</v>
      </c>
      <c r="H19" s="3"/>
    </row>
    <row r="20" spans="1:8" ht="6" customHeight="1" thickBot="1" x14ac:dyDescent="0.3">
      <c r="A20" s="574"/>
      <c r="B20" s="578"/>
      <c r="C20" s="578"/>
      <c r="D20" s="578"/>
      <c r="E20" s="578"/>
      <c r="F20" s="578"/>
      <c r="G20" s="576"/>
      <c r="H20" s="3"/>
    </row>
    <row r="21" spans="1:8" ht="16.5" thickBot="1" x14ac:dyDescent="0.3">
      <c r="A21" s="583" t="s">
        <v>224</v>
      </c>
      <c r="B21" s="584">
        <f>MROUND(B47,25000)+B51-B50</f>
        <v>0</v>
      </c>
      <c r="C21" s="584">
        <f t="shared" ref="C21:F21" si="5">MROUND(C47,25000)+C51-C50</f>
        <v>0</v>
      </c>
      <c r="D21" s="584">
        <f t="shared" si="5"/>
        <v>0</v>
      </c>
      <c r="E21" s="584">
        <f t="shared" si="5"/>
        <v>0</v>
      </c>
      <c r="F21" s="584">
        <f t="shared" si="5"/>
        <v>0</v>
      </c>
      <c r="G21" s="585">
        <f>SUM(B21:F21)</f>
        <v>0</v>
      </c>
      <c r="H21" s="3"/>
    </row>
    <row r="22" spans="1:8" ht="16.5" thickBot="1" x14ac:dyDescent="0.3">
      <c r="A22" s="583" t="s">
        <v>227</v>
      </c>
      <c r="B22" s="584">
        <f>ROUND((B21*J42*$K$47)+(B21*K42*$K$48),0)</f>
        <v>0</v>
      </c>
      <c r="C22" s="584">
        <f>ROUND((C21*K42*$K$47)+(C21*L42*$K$48),0)</f>
        <v>0</v>
      </c>
      <c r="D22" s="584">
        <f>ROUND((D21*L42*$K$47)+(D21*M42*$K$48),0)</f>
        <v>0</v>
      </c>
      <c r="E22" s="584">
        <f>ROUND((E21*M42*$K$47)+(E21*N42*$K$48),0)</f>
        <v>0</v>
      </c>
      <c r="F22" s="584">
        <f>ROUND((F21*N42*$K$47)+(F21*O42*$K$48),0)</f>
        <v>0</v>
      </c>
      <c r="G22" s="585">
        <f>SUM(B22:F22)</f>
        <v>0</v>
      </c>
      <c r="H22" s="3"/>
    </row>
    <row r="23" spans="1:8" ht="6" customHeight="1" thickBot="1" x14ac:dyDescent="0.3">
      <c r="A23" s="574"/>
      <c r="B23" s="578"/>
      <c r="C23" s="578"/>
      <c r="D23" s="578"/>
      <c r="E23" s="578"/>
      <c r="F23" s="578"/>
      <c r="G23" s="576"/>
      <c r="H23" s="3"/>
    </row>
    <row r="24" spans="1:8" ht="16.5" thickBot="1" x14ac:dyDescent="0.3">
      <c r="A24" s="583" t="s">
        <v>225</v>
      </c>
      <c r="B24" s="584">
        <f>MROUND(+B53+B58,25000)-(B56+B61)</f>
        <v>0</v>
      </c>
      <c r="C24" s="584">
        <f t="shared" ref="C24:F24" si="6">MROUND(+C53+C58,25000)-(C56+C61)</f>
        <v>0</v>
      </c>
      <c r="D24" s="584">
        <f t="shared" si="6"/>
        <v>0</v>
      </c>
      <c r="E24" s="584">
        <f t="shared" si="6"/>
        <v>0</v>
      </c>
      <c r="F24" s="584">
        <f t="shared" si="6"/>
        <v>0</v>
      </c>
      <c r="G24" s="585">
        <f>SUM(B24:F24)</f>
        <v>0</v>
      </c>
      <c r="H24" s="3"/>
    </row>
    <row r="25" spans="1:8" ht="16.5" thickBot="1" x14ac:dyDescent="0.3">
      <c r="A25" s="583" t="s">
        <v>228</v>
      </c>
      <c r="B25" s="584">
        <f>ROUND((B24*J43*$K$47)+(B24*K43*$K$48),0)</f>
        <v>0</v>
      </c>
      <c r="C25" s="584">
        <f>ROUND((C24*K43*$K$47)+(C24*L43*$K$48),0)</f>
        <v>0</v>
      </c>
      <c r="D25" s="584">
        <f>ROUND((D24*L43*$K$47)+(D24*M43*$K$48),0)</f>
        <v>0</v>
      </c>
      <c r="E25" s="584">
        <f>ROUND((E24*M43*$K$47)+(E24*N43*$K$48),0)</f>
        <v>0</v>
      </c>
      <c r="F25" s="584">
        <f>ROUND((F24*N43*$K$47)+(F24*O43*$K$48),0)</f>
        <v>0</v>
      </c>
      <c r="G25" s="585">
        <f t="shared" ref="G25:G27" si="7">SUM(B25:F25)</f>
        <v>0</v>
      </c>
      <c r="H25" s="3"/>
    </row>
    <row r="26" spans="1:8" ht="6" customHeight="1" thickBot="1" x14ac:dyDescent="0.3">
      <c r="A26" s="580"/>
      <c r="B26" s="581"/>
      <c r="C26" s="581"/>
      <c r="D26" s="581"/>
      <c r="E26" s="581"/>
      <c r="F26" s="581"/>
      <c r="G26" s="582"/>
      <c r="H26" s="3"/>
    </row>
    <row r="27" spans="1:8" ht="16.5" thickBot="1" x14ac:dyDescent="0.3">
      <c r="A27" s="574" t="s">
        <v>217</v>
      </c>
      <c r="B27" s="579">
        <f>+B14+B15+B19+B22+B25</f>
        <v>157000</v>
      </c>
      <c r="C27" s="579">
        <f>+C14+C15+C19+C22+C25</f>
        <v>157000</v>
      </c>
      <c r="D27" s="579">
        <f>+D14+D15+D19+D22+D25</f>
        <v>0</v>
      </c>
      <c r="E27" s="579">
        <f>+E14+E15+E19+E22+E25</f>
        <v>0</v>
      </c>
      <c r="F27" s="579">
        <f>+F14+F15+F19+F22+F25</f>
        <v>0</v>
      </c>
      <c r="G27" s="576">
        <f t="shared" si="7"/>
        <v>314000</v>
      </c>
      <c r="H27" s="3"/>
    </row>
    <row r="28" spans="1:8" x14ac:dyDescent="0.25">
      <c r="A28" s="489" t="s">
        <v>150</v>
      </c>
      <c r="B28" s="417">
        <f>+B18+B21+B24+B44+B50+B56+B61-B16</f>
        <v>0</v>
      </c>
      <c r="C28" s="417">
        <f>+C18+C21+C24+C44+C50+C56+C61-C16</f>
        <v>0</v>
      </c>
      <c r="D28" s="417">
        <f>+D18+D21+D24+D44+D50+D56+D61-D16</f>
        <v>0</v>
      </c>
      <c r="E28" s="417">
        <f>+E18+E21+E24+E44+E50+E56+E61-E16</f>
        <v>0</v>
      </c>
      <c r="F28" s="417">
        <f>+F18+F21+F24+F44+F50+F56+F61-F16</f>
        <v>0</v>
      </c>
    </row>
    <row r="30" spans="1:8" x14ac:dyDescent="0.25">
      <c r="A30" s="82" t="s">
        <v>281</v>
      </c>
      <c r="B30" s="417">
        <f>+B16</f>
        <v>100000</v>
      </c>
      <c r="C30" s="417">
        <f t="shared" ref="C30:F30" si="8">+C16</f>
        <v>100000</v>
      </c>
      <c r="D30" s="417">
        <f t="shared" si="8"/>
        <v>0</v>
      </c>
      <c r="E30" s="417">
        <f t="shared" si="8"/>
        <v>0</v>
      </c>
      <c r="F30" s="417">
        <f t="shared" si="8"/>
        <v>0</v>
      </c>
      <c r="G30" s="417">
        <f>SUM(B30:F30)</f>
        <v>200000</v>
      </c>
    </row>
    <row r="31" spans="1:8" x14ac:dyDescent="0.25">
      <c r="A31" s="82" t="s">
        <v>282</v>
      </c>
      <c r="B31" s="417">
        <f>+B19+B22+B25</f>
        <v>57000</v>
      </c>
      <c r="C31" s="417">
        <f t="shared" ref="C31:F31" si="9">+C19+C22+C25</f>
        <v>57000</v>
      </c>
      <c r="D31" s="417">
        <f t="shared" si="9"/>
        <v>0</v>
      </c>
      <c r="E31" s="417">
        <f t="shared" si="9"/>
        <v>0</v>
      </c>
      <c r="F31" s="417">
        <f t="shared" si="9"/>
        <v>0</v>
      </c>
      <c r="G31" s="417">
        <f>SUM(B31:F31)</f>
        <v>114000</v>
      </c>
    </row>
    <row r="40" spans="1:15" ht="15.75" thickBot="1" x14ac:dyDescent="0.3"/>
    <row r="41" spans="1:15" ht="15.75" thickBot="1" x14ac:dyDescent="0.3">
      <c r="A41" s="7" t="s">
        <v>230</v>
      </c>
      <c r="B41">
        <f>IF(AND('rates, dates, etc'!$B$30="Contract College",'rates, dates, etc'!$B$31="On"),'Lead Budget'!B56,0)+IF(AND('rates, dates, etc'!$B$136="Contract College",'rates, dates, etc'!$B$137="On"),Stedman!B56,0)+IF(AND('rates, dates, etc'!$B$242="Contract College",'rates, dates, etc'!$B$243="On"),'Co PI 2'!B56,0)+IF(AND('rates, dates, etc'!$B$348="Contract College",'rates, dates, etc'!$B$349="On"),'Co PI 3'!B56,0)+IF(AND('rates, dates, etc'!$B$454="Contract College",'rates, dates, etc'!$B$455="On"),'Co-PI Budget (4)'!B56,0)+IF(AND('rates, dates, etc'!$B$560="Contract College",'rates, dates, etc'!$B$561="On"),'Co-PI Budget (5)'!B56,0)</f>
        <v>106815</v>
      </c>
      <c r="C41">
        <f>IF(AND('rates, dates, etc'!$B$30="Contract College",'rates, dates, etc'!$B$31="On"),'Lead Budget'!C56,0)+IF(AND('rates, dates, etc'!$B$136="Contract College",'rates, dates, etc'!$B$137="On"),Stedman!C56,0)+IF(AND('rates, dates, etc'!$B$242="Contract College",'rates, dates, etc'!$B$243="On"),'Co PI 2'!C56,0)+IF(AND('rates, dates, etc'!$B$348="Contract College",'rates, dates, etc'!$B$349="On"),'Co PI 3'!C56,0)+IF(AND('rates, dates, etc'!$B$454="Contract College",'rates, dates, etc'!$B$455="On"),'Co-PI Budget (4)'!C56,0)+IF(AND('rates, dates, etc'!$B$560="Contract College",'rates, dates, etc'!$B$561="On"),'Co-PI Budget (5)'!C56,0)</f>
        <v>100157</v>
      </c>
      <c r="D41">
        <f>IF(AND('rates, dates, etc'!$B$30="Contract College",'rates, dates, etc'!$B$31="On"),'Lead Budget'!D56,0)+IF(AND('rates, dates, etc'!$B$136="Contract College",'rates, dates, etc'!$B$137="On"),Stedman!D56,0)+IF(AND('rates, dates, etc'!$B$242="Contract College",'rates, dates, etc'!$B$243="On"),'Co PI 2'!D56,0)+IF(AND('rates, dates, etc'!$B$348="Contract College",'rates, dates, etc'!$B$349="On"),'Co PI 3'!D56,0)+IF(AND('rates, dates, etc'!$B$454="Contract College",'rates, dates, etc'!$B$455="On"),'Co-PI Budget (4)'!D56,0)+IF(AND('rates, dates, etc'!$B$560="Contract College",'rates, dates, etc'!$B$561="On"),'Co-PI Budget (5)'!D56,0)</f>
        <v>0</v>
      </c>
      <c r="E41">
        <f>IF(AND('rates, dates, etc'!$B$30="Contract College",'rates, dates, etc'!$B$31="On"),'Lead Budget'!E56,0)+IF(AND('rates, dates, etc'!$B$136="Contract College",'rates, dates, etc'!$B$137="On"),Stedman!E56,0)+IF(AND('rates, dates, etc'!$B$242="Contract College",'rates, dates, etc'!$B$243="On"),'Co PI 2'!E56,0)+IF(AND('rates, dates, etc'!$B$348="Contract College",'rates, dates, etc'!$B$349="On"),'Co PI 3'!E56,0)+IF(AND('rates, dates, etc'!$B$454="Contract College",'rates, dates, etc'!$B$455="On"),'Co-PI Budget (4)'!E56,0)+IF(AND('rates, dates, etc'!$B$560="Contract College",'rates, dates, etc'!$B$561="On"),'Co-PI Budget (5)'!E56,0)</f>
        <v>0</v>
      </c>
      <c r="F41">
        <f>IF(AND('rates, dates, etc'!$B$30="Contract College",'rates, dates, etc'!$B$31="On"),'Lead Budget'!F56,0)+IF(AND('rates, dates, etc'!$B$136="Contract College",'rates, dates, etc'!$B$137="On"),Stedman!F56,0)+IF(AND('rates, dates, etc'!$B$242="Contract College",'rates, dates, etc'!$B$243="On"),'Co PI 2'!F56,0)+IF(AND('rates, dates, etc'!$B$348="Contract College",'rates, dates, etc'!$B$349="On"),'Co PI 3'!F56,0)+IF(AND('rates, dates, etc'!$B$454="Contract College",'rates, dates, etc'!$B$455="On"),'Co-PI Budget (4)'!F56,0)+IF(AND('rates, dates, etc'!$B$560="Contract College",'rates, dates, etc'!$B$561="On"),'Co-PI Budget (5)'!F56,0)</f>
        <v>0</v>
      </c>
      <c r="I41" t="str">
        <f>+'Budget Summary'!I105</f>
        <v>IDC Rate - Contract:</v>
      </c>
      <c r="J41">
        <f>+'Budget Summary'!J105</f>
        <v>0.56999999999999995</v>
      </c>
      <c r="K41">
        <f>+'Budget Summary'!K105</f>
        <v>0.56999999999999995</v>
      </c>
      <c r="L41">
        <f>+'Budget Summary'!L105</f>
        <v>0.56999999999999995</v>
      </c>
      <c r="M41">
        <f>+'Budget Summary'!M105</f>
        <v>0.56999999999999995</v>
      </c>
      <c r="N41">
        <f>+'Budget Summary'!N105</f>
        <v>0.56999999999999995</v>
      </c>
      <c r="O41">
        <f>+'Budget Summary'!O105</f>
        <v>0.56999999999999995</v>
      </c>
    </row>
    <row r="42" spans="1:15" ht="15.75" thickBot="1" x14ac:dyDescent="0.3">
      <c r="A42" s="7" t="s">
        <v>185</v>
      </c>
      <c r="B42">
        <f>IF(AND('rates, dates, etc'!$B$30="Contract College",'rates, dates, etc'!$B$31="On"),'Lead Budget'!B57,0)+IF(AND('rates, dates, etc'!$B$136="Contract College",'rates, dates, etc'!$B$137="On"),Stedman!B57,0)+IF(AND('rates, dates, etc'!$B$242="Contract College",'rates, dates, etc'!$B$243="On"),'Co PI 2'!B57,0)+IF(AND('rates, dates, etc'!$B$348="Contract College",'rates, dates, etc'!$B$349="On"),'Co PI 3'!B57,0)+IF(AND('rates, dates, etc'!$B$454="Contract College",'rates, dates, etc'!$B$455="On"),'Co-PI Budget (4)'!B57,0)+IF(AND('rates, dates, etc'!$B$560="Contract College",'rates, dates, etc'!$B$561="On"),'Co-PI Budget (5)'!B57,0)</f>
        <v>106815</v>
      </c>
      <c r="C42">
        <f>IF(AND('rates, dates, etc'!$B$30="Contract College",'rates, dates, etc'!$B$31="On"),'Lead Budget'!C57,0)+IF(AND('rates, dates, etc'!$B$136="Contract College",'rates, dates, etc'!$B$137="On"),Stedman!C57,0)+IF(AND('rates, dates, etc'!$B$242="Contract College",'rates, dates, etc'!$B$243="On"),'Co PI 2'!C57,0)+IF(AND('rates, dates, etc'!$B$348="Contract College",'rates, dates, etc'!$B$349="On"),'Co PI 3'!C57,0)+IF(AND('rates, dates, etc'!$B$454="Contract College",'rates, dates, etc'!$B$455="On"),'Co-PI Budget (4)'!C57,0)+IF(AND('rates, dates, etc'!$B$560="Contract College",'rates, dates, etc'!$B$561="On"),'Co-PI Budget (5)'!C57,0)</f>
        <v>100157</v>
      </c>
      <c r="D42">
        <f>IF(AND('rates, dates, etc'!$B$30="Contract College",'rates, dates, etc'!$B$31="On"),'Lead Budget'!D57,0)+IF(AND('rates, dates, etc'!$B$136="Contract College",'rates, dates, etc'!$B$137="On"),Stedman!D57,0)+IF(AND('rates, dates, etc'!$B$242="Contract College",'rates, dates, etc'!$B$243="On"),'Co PI 2'!D57,0)+IF(AND('rates, dates, etc'!$B$348="Contract College",'rates, dates, etc'!$B$349="On"),'Co PI 3'!D57,0)+IF(AND('rates, dates, etc'!$B$454="Contract College",'rates, dates, etc'!$B$455="On"),'Co-PI Budget (4)'!D57,0)+IF(AND('rates, dates, etc'!$B$560="Contract College",'rates, dates, etc'!$B$561="On"),'Co-PI Budget (5)'!D57,0)</f>
        <v>0</v>
      </c>
      <c r="E42">
        <f>IF(AND('rates, dates, etc'!$B$30="Contract College",'rates, dates, etc'!$B$31="On"),'Lead Budget'!E57,0)+IF(AND('rates, dates, etc'!$B$136="Contract College",'rates, dates, etc'!$B$137="On"),Stedman!E57,0)+IF(AND('rates, dates, etc'!$B$242="Contract College",'rates, dates, etc'!$B$243="On"),'Co PI 2'!E57,0)+IF(AND('rates, dates, etc'!$B$348="Contract College",'rates, dates, etc'!$B$349="On"),'Co PI 3'!E57,0)+IF(AND('rates, dates, etc'!$B$454="Contract College",'rates, dates, etc'!$B$455="On"),'Co-PI Budget (4)'!E57,0)+IF(AND('rates, dates, etc'!$B$560="Contract College",'rates, dates, etc'!$B$561="On"),'Co-PI Budget (5)'!E57,0)</f>
        <v>0</v>
      </c>
      <c r="F42">
        <f>IF(AND('rates, dates, etc'!$B$30="Contract College",'rates, dates, etc'!$B$31="On"),'Lead Budget'!F57,0)+IF(AND('rates, dates, etc'!$B$136="Contract College",'rates, dates, etc'!$B$137="On"),Stedman!F57,0)+IF(AND('rates, dates, etc'!$B$242="Contract College",'rates, dates, etc'!$B$243="On"),'Co PI 2'!F57,0)+IF(AND('rates, dates, etc'!$B$348="Contract College",'rates, dates, etc'!$B$349="On"),'Co PI 3'!F57,0)+IF(AND('rates, dates, etc'!$B$454="Contract College",'rates, dates, etc'!$B$455="On"),'Co-PI Budget (4)'!F57,0)+IF(AND('rates, dates, etc'!$B$560="Contract College",'rates, dates, etc'!$B$561="On"),'Co-PI Budget (5)'!F57,0)</f>
        <v>0</v>
      </c>
      <c r="I42" t="str">
        <f>+'Budget Summary'!I106</f>
        <v>IDC Rate - Endowed:</v>
      </c>
      <c r="J42">
        <f>+'Budget Summary'!J106</f>
        <v>0.64</v>
      </c>
      <c r="K42">
        <f>+'Budget Summary'!K106</f>
        <v>0.64</v>
      </c>
      <c r="L42">
        <f>+'Budget Summary'!L106</f>
        <v>0.64</v>
      </c>
      <c r="M42">
        <f>+'Budget Summary'!M106</f>
        <v>0.64</v>
      </c>
      <c r="N42">
        <f>+'Budget Summary'!N106</f>
        <v>0.64</v>
      </c>
      <c r="O42">
        <f>+'Budget Summary'!O106</f>
        <v>0.64</v>
      </c>
    </row>
    <row r="43" spans="1:15" ht="15.75" thickBot="1" x14ac:dyDescent="0.3">
      <c r="A43" s="7" t="s">
        <v>240</v>
      </c>
      <c r="B43">
        <f>IF(AND('rates, dates, etc'!$B$30="Contract College",'rates, dates, etc'!$B$31="On"),'Lead Budget'!B58,0)+IF(AND('rates, dates, etc'!$B$136="Contract College",'rates, dates, etc'!$B$137="On"),Stedman!B58,0)+IF(AND('rates, dates, etc'!$B$242="Contract College",'rates, dates, etc'!$B$243="On"),'Co PI 2'!B58,0)+IF(AND('rates, dates, etc'!$B$348="Contract College",'rates, dates, etc'!$B$349="On"),'Co PI 3'!B58,0)+IF(AND('rates, dates, etc'!$B$454="Contract College",'rates, dates, etc'!$B$455="On"),'Co-PI Budget (4)'!B58,0)+IF(AND('rates, dates, etc'!$B$560="Contract College",'rates, dates, etc'!$B$561="On"),'Co-PI Budget (5)'!B58,0)</f>
        <v>21363</v>
      </c>
      <c r="C43">
        <f>IF(AND('rates, dates, etc'!$B$30="Contract College",'rates, dates, etc'!$B$31="On"),'Lead Budget'!C58,0)+IF(AND('rates, dates, etc'!$B$136="Contract College",'rates, dates, etc'!$B$137="On"),Stedman!C58,0)+IF(AND('rates, dates, etc'!$B$242="Contract College",'rates, dates, etc'!$B$243="On"),'Co PI 2'!C58,0)+IF(AND('rates, dates, etc'!$B$348="Contract College",'rates, dates, etc'!$B$349="On"),'Co PI 3'!C58,0)+IF(AND('rates, dates, etc'!$B$454="Contract College",'rates, dates, etc'!$B$455="On"),'Co-PI Budget (4)'!C58,0)+IF(AND('rates, dates, etc'!$B$560="Contract College",'rates, dates, etc'!$B$561="On"),'Co-PI Budget (5)'!C58,0)</f>
        <v>20032</v>
      </c>
      <c r="D43">
        <f>IF(AND('rates, dates, etc'!$B$30="Contract College",'rates, dates, etc'!$B$31="On"),'Lead Budget'!D58,0)+IF(AND('rates, dates, etc'!$B$136="Contract College",'rates, dates, etc'!$B$137="On"),Stedman!D58,0)+IF(AND('rates, dates, etc'!$B$242="Contract College",'rates, dates, etc'!$B$243="On"),'Co PI 2'!D58,0)+IF(AND('rates, dates, etc'!$B$348="Contract College",'rates, dates, etc'!$B$349="On"),'Co PI 3'!D58,0)+IF(AND('rates, dates, etc'!$B$454="Contract College",'rates, dates, etc'!$B$455="On"),'Co-PI Budget (4)'!D58,0)+IF(AND('rates, dates, etc'!$B$560="Contract College",'rates, dates, etc'!$B$561="On"),'Co-PI Budget (5)'!D58,0)</f>
        <v>0</v>
      </c>
      <c r="E43">
        <f>IF(AND('rates, dates, etc'!$B$30="Contract College",'rates, dates, etc'!$B$31="On"),'Lead Budget'!E58,0)+IF(AND('rates, dates, etc'!$B$136="Contract College",'rates, dates, etc'!$B$137="On"),Stedman!E58,0)+IF(AND('rates, dates, etc'!$B$242="Contract College",'rates, dates, etc'!$B$243="On"),'Co PI 2'!E58,0)+IF(AND('rates, dates, etc'!$B$348="Contract College",'rates, dates, etc'!$B$349="On"),'Co PI 3'!E58,0)+IF(AND('rates, dates, etc'!$B$454="Contract College",'rates, dates, etc'!$B$455="On"),'Co-PI Budget (4)'!E58,0)+IF(AND('rates, dates, etc'!$B$560="Contract College",'rates, dates, etc'!$B$561="On"),'Co-PI Budget (5)'!E58,0)</f>
        <v>0</v>
      </c>
      <c r="F43">
        <f>IF(AND('rates, dates, etc'!$B$30="Contract College",'rates, dates, etc'!$B$31="On"),'Lead Budget'!F58,0)+IF(AND('rates, dates, etc'!$B$136="Contract College",'rates, dates, etc'!$B$137="On"),Stedman!F58,0)+IF(AND('rates, dates, etc'!$B$242="Contract College",'rates, dates, etc'!$B$243="On"),'Co PI 2'!F58,0)+IF(AND('rates, dates, etc'!$B$348="Contract College",'rates, dates, etc'!$B$349="On"),'Co PI 3'!F58,0)+IF(AND('rates, dates, etc'!$B$454="Contract College",'rates, dates, etc'!$B$455="On"),'Co-PI Budget (4)'!F58,0)+IF(AND('rates, dates, etc'!$B$560="Contract College",'rates, dates, etc'!$B$561="On"),'Co-PI Budget (5)'!F58,0)</f>
        <v>0</v>
      </c>
      <c r="I43">
        <f>+'Budget Summary'!I108</f>
        <v>0</v>
      </c>
      <c r="J43">
        <f>+'Budget Summary'!J108</f>
        <v>0</v>
      </c>
      <c r="K43">
        <f>+'Budget Summary'!K108</f>
        <v>0</v>
      </c>
      <c r="L43">
        <f>+'Budget Summary'!L108</f>
        <v>0</v>
      </c>
      <c r="M43">
        <f>+'Budget Summary'!M108</f>
        <v>0</v>
      </c>
      <c r="N43">
        <f>+'Budget Summary'!N108</f>
        <v>0</v>
      </c>
      <c r="O43">
        <f>+'Budget Summary'!O108</f>
        <v>0</v>
      </c>
    </row>
    <row r="44" spans="1:15" ht="15.75" thickBot="1" x14ac:dyDescent="0.3">
      <c r="A44" s="7" t="s">
        <v>229</v>
      </c>
      <c r="B44">
        <f>+B41-B42</f>
        <v>0</v>
      </c>
      <c r="C44">
        <f t="shared" ref="C44:F44" si="10">+C41-C42</f>
        <v>0</v>
      </c>
      <c r="D44">
        <f t="shared" si="10"/>
        <v>0</v>
      </c>
      <c r="E44">
        <f t="shared" si="10"/>
        <v>0</v>
      </c>
      <c r="F44">
        <f t="shared" si="10"/>
        <v>0</v>
      </c>
    </row>
    <row r="45" spans="1:15" ht="15.75" thickBot="1" x14ac:dyDescent="0.3">
      <c r="A45" s="7" t="s">
        <v>238</v>
      </c>
      <c r="B45">
        <f>IF(AND('rates, dates, etc'!$B$30="Contract College",'rates, dates, etc'!$B$31="On"),+'Consortium 1'!B56+'Consortium 2'!B55+'Consortium 3'!B55+'Consortium 4'!B55+'Consortium 5'!B55,0)</f>
        <v>0</v>
      </c>
      <c r="C45">
        <f>IF(AND('rates, dates, etc'!$B$30="Contract College",'rates, dates, etc'!$B$31="On"),+'Consortium 1'!C56+'Consortium 2'!C55+'Consortium 3'!C55+'Consortium 4'!C55+'Consortium 5'!C55,0)</f>
        <v>0</v>
      </c>
      <c r="D45">
        <f>IF(AND('rates, dates, etc'!$B$30="Contract College",'rates, dates, etc'!$B$31="On"),+'Consortium 1'!D56+'Consortium 2'!D55+'Consortium 3'!D55+'Consortium 4'!D55+'Consortium 5'!D55,0)</f>
        <v>0</v>
      </c>
      <c r="E45">
        <f>IF(AND('rates, dates, etc'!$B$30="Contract College",'rates, dates, etc'!$B$31="On"),+'Consortium 1'!E56+'Consortium 2'!E55+'Consortium 3'!E55+'Consortium 4'!E55+'Consortium 5'!E55,0)</f>
        <v>0</v>
      </c>
      <c r="F45">
        <f>IF(AND('rates, dates, etc'!$B$30="Contract College",'rates, dates, etc'!$B$31="On"),+'Consortium 1'!F56+'Consortium 2'!F55+'Consortium 3'!F55+'Consortium 4'!F55+'Consortium 5'!F55,0)</f>
        <v>0</v>
      </c>
    </row>
    <row r="46" spans="1:15" ht="15.75" thickBot="1" x14ac:dyDescent="0.3">
      <c r="I46" t="str">
        <f>+'Budget Summary'!I110</f>
        <v>Pro-rating for non-senior personnel:</v>
      </c>
      <c r="J46" t="str">
        <f>+'Budget Summary'!J110</f>
        <v>Months</v>
      </c>
      <c r="K46" t="str">
        <f>+'Budget Summary'!K110</f>
        <v>%</v>
      </c>
    </row>
    <row r="47" spans="1:15" ht="15.75" thickBot="1" x14ac:dyDescent="0.3">
      <c r="A47" s="7" t="s">
        <v>233</v>
      </c>
      <c r="B47">
        <f>IF(AND('rates, dates, etc'!$B$30="Endowed College",'rates, dates, etc'!$B$31="On"),'Lead Budget'!B56,0)+IF(AND('rates, dates, etc'!$B$136="Endowed College",'rates, dates, etc'!$B$137="On"),Stedman!B56,0)+IF(AND('rates, dates, etc'!$B$242="Endowed College",'rates, dates, etc'!$B$243="On"),'Co PI 2'!B56,0)+IF(AND('rates, dates, etc'!$B$348="Endowed College",'rates, dates, etc'!$B$349="On"),'Co PI 3'!B56,0)+IF(AND('rates, dates, etc'!$B$454="Endowed College",'rates, dates, etc'!$B$455="On"),'Co-PI Budget (4)'!B56,0)+IF(AND('rates, dates, etc'!$B$560="Endowed College",'rates, dates, etc'!$B$561="On"),'Co-PI Budget (5)'!B56,0)</f>
        <v>0</v>
      </c>
      <c r="C47">
        <f>IF(AND('rates, dates, etc'!$B$30="Endowed College",'rates, dates, etc'!$B$31="On"),'Lead Budget'!C56,0)+IF(AND('rates, dates, etc'!$B$136="Endowed College",'rates, dates, etc'!$B$137="On"),Stedman!C56,0)+IF(AND('rates, dates, etc'!$B$242="Endowed College",'rates, dates, etc'!$B$243="On"),'Co PI 2'!C56,0)+IF(AND('rates, dates, etc'!$B$348="Endowed College",'rates, dates, etc'!$B$349="On"),'Co PI 3'!C56,0)+IF(AND('rates, dates, etc'!$B$454="Endowed College",'rates, dates, etc'!$B$455="On"),'Co-PI Budget (4)'!C56,0)+IF(AND('rates, dates, etc'!$B$560="Endowed College",'rates, dates, etc'!$B$561="On"),'Co-PI Budget (5)'!C56,0)</f>
        <v>0</v>
      </c>
      <c r="D47">
        <f>IF(AND('rates, dates, etc'!$B$30="Endowed College",'rates, dates, etc'!$B$31="On"),'Lead Budget'!D56,0)+IF(AND('rates, dates, etc'!$B$136="Endowed College",'rates, dates, etc'!$B$137="On"),Stedman!D56,0)+IF(AND('rates, dates, etc'!$B$242="Endowed College",'rates, dates, etc'!$B$243="On"),'Co PI 2'!D56,0)+IF(AND('rates, dates, etc'!$B$348="Endowed College",'rates, dates, etc'!$B$349="On"),'Co PI 3'!D56,0)+IF(AND('rates, dates, etc'!$B$454="Endowed College",'rates, dates, etc'!$B$455="On"),'Co-PI Budget (4)'!D56,0)+IF(AND('rates, dates, etc'!$B$560="Endowed College",'rates, dates, etc'!$B$561="On"),'Co-PI Budget (5)'!D56,0)</f>
        <v>0</v>
      </c>
      <c r="E47">
        <f>IF(AND('rates, dates, etc'!$B$30="Endowed College",'rates, dates, etc'!$B$31="On"),'Lead Budget'!E56,0)+IF(AND('rates, dates, etc'!$B$136="Endowed College",'rates, dates, etc'!$B$137="On"),Stedman!E56,0)+IF(AND('rates, dates, etc'!$B$242="Endowed College",'rates, dates, etc'!$B$243="On"),'Co PI 2'!E56,0)+IF(AND('rates, dates, etc'!$B$348="Endowed College",'rates, dates, etc'!$B$349="On"),'Co PI 3'!E56,0)+IF(AND('rates, dates, etc'!$B$454="Endowed College",'rates, dates, etc'!$B$455="On"),'Co-PI Budget (4)'!E56,0)+IF(AND('rates, dates, etc'!$B$560="Endowed College",'rates, dates, etc'!$B$561="On"),'Co-PI Budget (5)'!E56,0)</f>
        <v>0</v>
      </c>
      <c r="F47">
        <f>IF(AND('rates, dates, etc'!$B$30="Endowed College",'rates, dates, etc'!$B$31="On"),'Lead Budget'!F56,0)+IF(AND('rates, dates, etc'!$B$136="Endowed College",'rates, dates, etc'!$B$137="On"),Stedman!F56,0)+IF(AND('rates, dates, etc'!$B$242="Endowed College",'rates, dates, etc'!$B$243="On"),'Co PI 2'!F56,0)+IF(AND('rates, dates, etc'!$B$348="Endowed College",'rates, dates, etc'!$B$349="On"),'Co PI 3'!F56,0)+IF(AND('rates, dates, etc'!$B$454="Endowed College",'rates, dates, etc'!$B$455="On"),'Co-PI Budget (4)'!F56,0)+IF(AND('rates, dates, etc'!$B$560="Endowed College",'rates, dates, etc'!$B$561="On"),'Co-PI Budget (5)'!F56,0)</f>
        <v>0</v>
      </c>
      <c r="I47" t="str">
        <f>+'Budget Summary'!I111</f>
        <v># of month to FY end</v>
      </c>
      <c r="J47">
        <f>+'Budget Summary'!J111</f>
        <v>6</v>
      </c>
      <c r="K47">
        <f>+'Budget Summary'!K111</f>
        <v>0.5</v>
      </c>
    </row>
    <row r="48" spans="1:15" ht="15.75" thickBot="1" x14ac:dyDescent="0.3">
      <c r="A48" s="7" t="s">
        <v>234</v>
      </c>
      <c r="B48">
        <f>IF(AND('rates, dates, etc'!$B$30="Endowed College",'rates, dates, etc'!$B$31="On"),'Lead Budget'!B57,0)+IF(AND('rates, dates, etc'!$B$136="Endowed College",'rates, dates, etc'!$B$137="On"),Stedman!B57,0)+IF(AND('rates, dates, etc'!$B$242="Endowed College",'rates, dates, etc'!$B$243="On"),'Co PI 2'!B57,0)+IF(AND('rates, dates, etc'!$B$348="Endowed College",'rates, dates, etc'!$B$349="On"),'Co PI 3'!B57,0)+IF(AND('rates, dates, etc'!$B$454="Endowed College",'rates, dates, etc'!$B$455="On"),'Co-PI Budget (4)'!B57,0)+IF(AND('rates, dates, etc'!$B$560="Endowed College",'rates, dates, etc'!$B$561="On"),'Co-PI Budget (5)'!B57,0)</f>
        <v>0</v>
      </c>
      <c r="C48">
        <f>IF(AND('rates, dates, etc'!$B$30="Endowed College",'rates, dates, etc'!$B$31="On"),'Lead Budget'!C57,0)+IF(AND('rates, dates, etc'!$B$136="Endowed College",'rates, dates, etc'!$B$137="On"),Stedman!C57,0)+IF(AND('rates, dates, etc'!$B$242="Endowed College",'rates, dates, etc'!$B$243="On"),'Co PI 2'!C57,0)+IF(AND('rates, dates, etc'!$B$348="Endowed College",'rates, dates, etc'!$B$349="On"),'Co PI 3'!C57,0)+IF(AND('rates, dates, etc'!$B$454="Endowed College",'rates, dates, etc'!$B$455="On"),'Co-PI Budget (4)'!C57,0)+IF(AND('rates, dates, etc'!$B$560="Endowed College",'rates, dates, etc'!$B$561="On"),'Co-PI Budget (5)'!C57,0)</f>
        <v>0</v>
      </c>
      <c r="D48">
        <f>IF(AND('rates, dates, etc'!$B$30="Endowed College",'rates, dates, etc'!$B$31="On"),'Lead Budget'!D57,0)+IF(AND('rates, dates, etc'!$B$136="Endowed College",'rates, dates, etc'!$B$137="On"),Stedman!D57,0)+IF(AND('rates, dates, etc'!$B$242="Endowed College",'rates, dates, etc'!$B$243="On"),'Co PI 2'!D57,0)+IF(AND('rates, dates, etc'!$B$348="Endowed College",'rates, dates, etc'!$B$349="On"),'Co PI 3'!D57,0)+IF(AND('rates, dates, etc'!$B$454="Endowed College",'rates, dates, etc'!$B$455="On"),'Co-PI Budget (4)'!D57,0)+IF(AND('rates, dates, etc'!$B$560="Endowed College",'rates, dates, etc'!$B$561="On"),'Co-PI Budget (5)'!D57,0)</f>
        <v>0</v>
      </c>
      <c r="E48">
        <f>IF(AND('rates, dates, etc'!$B$30="Endowed College",'rates, dates, etc'!$B$31="On"),'Lead Budget'!E57,0)+IF(AND('rates, dates, etc'!$B$136="Endowed College",'rates, dates, etc'!$B$137="On"),Stedman!E57,0)+IF(AND('rates, dates, etc'!$B$242="Endowed College",'rates, dates, etc'!$B$243="On"),'Co PI 2'!E57,0)+IF(AND('rates, dates, etc'!$B$348="Endowed College",'rates, dates, etc'!$B$349="On"),'Co PI 3'!E57,0)+IF(AND('rates, dates, etc'!$B$454="Endowed College",'rates, dates, etc'!$B$455="On"),'Co-PI Budget (4)'!E57,0)+IF(AND('rates, dates, etc'!$B$560="Endowed College",'rates, dates, etc'!$B$561="On"),'Co-PI Budget (5)'!E57,0)</f>
        <v>0</v>
      </c>
      <c r="F48">
        <f>IF(AND('rates, dates, etc'!$B$30="Endowed College",'rates, dates, etc'!$B$31="On"),'Lead Budget'!F57,0)+IF(AND('rates, dates, etc'!$B$136="Endowed College",'rates, dates, etc'!$B$137="On"),Stedman!F57,0)+IF(AND('rates, dates, etc'!$B$242="Endowed College",'rates, dates, etc'!$B$243="On"),'Co PI 2'!F57,0)+IF(AND('rates, dates, etc'!$B$348="Endowed College",'rates, dates, etc'!$B$349="On"),'Co PI 3'!F57,0)+IF(AND('rates, dates, etc'!$B$454="Endowed College",'rates, dates, etc'!$B$455="On"),'Co-PI Budget (4)'!F57,0)+IF(AND('rates, dates, etc'!$B$560="Endowed College",'rates, dates, etc'!$B$561="On"),'Co-PI Budget (5)'!F57,0)</f>
        <v>0</v>
      </c>
      <c r="I48" t="str">
        <f>+'Budget Summary'!I112</f>
        <v># of remaining months to proj yr end</v>
      </c>
      <c r="J48">
        <f>+'Budget Summary'!J112</f>
        <v>6</v>
      </c>
      <c r="K48">
        <f>+'Budget Summary'!K112</f>
        <v>0.5</v>
      </c>
    </row>
    <row r="49" spans="1:11" ht="15.75" thickBot="1" x14ac:dyDescent="0.3">
      <c r="A49" s="7" t="s">
        <v>241</v>
      </c>
      <c r="B49">
        <f>IF(AND('rates, dates, etc'!$B$30="Endowed College",'rates, dates, etc'!$B$31="On"),'Lead Budget'!B58,0)+IF(AND('rates, dates, etc'!$B$136="Endowed College",'rates, dates, etc'!$B$137="On"),Stedman!B58,0)+IF(AND('rates, dates, etc'!$B$242="Endowed College",'rates, dates, etc'!$B$243="On"),'Co PI 2'!B58,0)+IF(AND('rates, dates, etc'!$B$348="Endowed College",'rates, dates, etc'!$B$349="On"),'Co PI 3'!B58,0)+IF(AND('rates, dates, etc'!$B$454="Endowed College",'rates, dates, etc'!$B$455="On"),'Co-PI Budget (4)'!B58,0)+IF(AND('rates, dates, etc'!$B$560="Endowed College",'rates, dates, etc'!$B$561="On"),'Co-PI Budget (5)'!B58,0)</f>
        <v>0</v>
      </c>
      <c r="C49">
        <f>IF(AND('rates, dates, etc'!$B$30="Endowed College",'rates, dates, etc'!$B$31="On"),'Lead Budget'!C58,0)+IF(AND('rates, dates, etc'!$B$136="Endowed College",'rates, dates, etc'!$B$137="On"),Stedman!C58,0)+IF(AND('rates, dates, etc'!$B$242="Endowed College",'rates, dates, etc'!$B$243="On"),'Co PI 2'!C58,0)+IF(AND('rates, dates, etc'!$B$348="Endowed College",'rates, dates, etc'!$B$349="On"),'Co PI 3'!C58,0)+IF(AND('rates, dates, etc'!$B$454="Endowed College",'rates, dates, etc'!$B$455="On"),'Co-PI Budget (4)'!C58,0)+IF(AND('rates, dates, etc'!$B$560="Endowed College",'rates, dates, etc'!$B$561="On"),'Co-PI Budget (5)'!C58,0)</f>
        <v>0</v>
      </c>
      <c r="D49">
        <f>IF(AND('rates, dates, etc'!$B$30="Endowed College",'rates, dates, etc'!$B$31="On"),'Lead Budget'!D58,0)+IF(AND('rates, dates, etc'!$B$136="Endowed College",'rates, dates, etc'!$B$137="On"),Stedman!D58,0)+IF(AND('rates, dates, etc'!$B$242="Endowed College",'rates, dates, etc'!$B$243="On"),'Co PI 2'!D58,0)+IF(AND('rates, dates, etc'!$B$348="Endowed College",'rates, dates, etc'!$B$349="On"),'Co PI 3'!D58,0)+IF(AND('rates, dates, etc'!$B$454="Endowed College",'rates, dates, etc'!$B$455="On"),'Co-PI Budget (4)'!D58,0)+IF(AND('rates, dates, etc'!$B$560="Endowed College",'rates, dates, etc'!$B$561="On"),'Co-PI Budget (5)'!D58,0)</f>
        <v>0</v>
      </c>
      <c r="E49">
        <f>IF(AND('rates, dates, etc'!$B$30="Endowed College",'rates, dates, etc'!$B$31="On"),'Lead Budget'!E58,0)+IF(AND('rates, dates, etc'!$B$136="Endowed College",'rates, dates, etc'!$B$137="On"),Stedman!E58,0)+IF(AND('rates, dates, etc'!$B$242="Endowed College",'rates, dates, etc'!$B$243="On"),'Co PI 2'!E58,0)+IF(AND('rates, dates, etc'!$B$348="Endowed College",'rates, dates, etc'!$B$349="On"),'Co PI 3'!E58,0)+IF(AND('rates, dates, etc'!$B$454="Endowed College",'rates, dates, etc'!$B$455="On"),'Co-PI Budget (4)'!E58,0)+IF(AND('rates, dates, etc'!$B$560="Endowed College",'rates, dates, etc'!$B$561="On"),'Co-PI Budget (5)'!E58,0)</f>
        <v>0</v>
      </c>
      <c r="F49">
        <f>IF(AND('rates, dates, etc'!$B$30="Endowed College",'rates, dates, etc'!$B$31="On"),'Lead Budget'!F58,0)+IF(AND('rates, dates, etc'!$B$136="Endowed College",'rates, dates, etc'!$B$137="On"),Stedman!F58,0)+IF(AND('rates, dates, etc'!$B$242="Endowed College",'rates, dates, etc'!$B$243="On"),'Co PI 2'!F58,0)+IF(AND('rates, dates, etc'!$B$348="Endowed College",'rates, dates, etc'!$B$349="On"),'Co PI 3'!F58,0)+IF(AND('rates, dates, etc'!$B$454="Endowed College",'rates, dates, etc'!$B$455="On"),'Co-PI Budget (4)'!F58,0)+IF(AND('rates, dates, etc'!$B$560="Endowed College",'rates, dates, etc'!$B$561="On"),'Co-PI Budget (5)'!F58,0)</f>
        <v>0</v>
      </c>
    </row>
    <row r="50" spans="1:11" ht="15.75" thickBot="1" x14ac:dyDescent="0.3">
      <c r="A50" s="7" t="s">
        <v>235</v>
      </c>
      <c r="B50">
        <f>+B47-B48</f>
        <v>0</v>
      </c>
      <c r="C50">
        <f t="shared" ref="C50:F50" si="11">+C47-C48</f>
        <v>0</v>
      </c>
      <c r="D50">
        <f t="shared" si="11"/>
        <v>0</v>
      </c>
      <c r="E50">
        <f t="shared" si="11"/>
        <v>0</v>
      </c>
      <c r="F50">
        <f t="shared" si="11"/>
        <v>0</v>
      </c>
      <c r="J50">
        <f>+'Budget Summary'!J113</f>
        <v>12</v>
      </c>
      <c r="K50" t="str">
        <f>+'Budget Summary'!K113</f>
        <v>*** This number must equal 12</v>
      </c>
    </row>
    <row r="51" spans="1:11" ht="15.75" thickBot="1" x14ac:dyDescent="0.3">
      <c r="A51" s="7" t="s">
        <v>239</v>
      </c>
      <c r="B51">
        <f>IF(AND('rates, dates, etc'!$B$30="Endowed College",'rates, dates, etc'!$B$31="On"),+'Consortium 1'!B56+'Consortium 2'!B55+'Consortium 3'!B55+'Consortium 4'!B55+'Consortium 5'!B55,0)</f>
        <v>0</v>
      </c>
      <c r="C51">
        <f>IF(AND('rates, dates, etc'!$B$30="Endowed College",'rates, dates, etc'!$B$31="On"),+'Consortium 1'!C56+'Consortium 2'!C55+'Consortium 3'!C55+'Consortium 4'!C55+'Consortium 5'!C55,0)</f>
        <v>0</v>
      </c>
      <c r="D51">
        <f>IF(AND('rates, dates, etc'!$B$30="Endowed College",'rates, dates, etc'!$B$31="On"),+'Consortium 1'!D56+'Consortium 2'!D55+'Consortium 3'!D55+'Consortium 4'!D55+'Consortium 5'!D55,0)</f>
        <v>0</v>
      </c>
      <c r="E51">
        <f>IF(AND('rates, dates, etc'!$B$30="Endowed College",'rates, dates, etc'!$B$31="On"),+'Consortium 1'!E56+'Consortium 2'!E55+'Consortium 3'!E55+'Consortium 4'!E55+'Consortium 5'!E55,0)</f>
        <v>0</v>
      </c>
      <c r="F51">
        <f>IF(AND('rates, dates, etc'!$B$30="Endowed College",'rates, dates, etc'!$B$31="On"),+'Consortium 1'!F56+'Consortium 2'!F55+'Consortium 3'!F55+'Consortium 4'!F55+'Consortium 5'!F55,0)</f>
        <v>0</v>
      </c>
    </row>
    <row r="52" spans="1:11" ht="15.75" thickBot="1" x14ac:dyDescent="0.3"/>
    <row r="53" spans="1:11" ht="15.75" thickBot="1" x14ac:dyDescent="0.3">
      <c r="A53" s="7" t="s">
        <v>231</v>
      </c>
      <c r="B53">
        <f>IF(AND('rates, dates, etc'!$B$30="Contract College",'rates, dates, etc'!$B$31="Off"),'Lead Budget'!B56,0)+IF(AND('rates, dates, etc'!$B$136="Contract College",'rates, dates, etc'!$B$137="Off"),Stedman!B56,0)+IF(AND('rates, dates, etc'!$B$242="Contract College",'rates, dates, etc'!$B$243="Off"),'Co PI 2'!B56,0)+IF(AND('rates, dates, etc'!$B$348="Contract College",'rates, dates, etc'!$B$349="Off"),'Co PI 3'!B56,0)+IF(AND('rates, dates, etc'!$B$454="Contract College",'rates, dates, etc'!$B$455="Off"),'Co-PI Budget (4)'!B56,0)+IF(AND('rates, dates, etc'!$B$560="Contract College",'rates, dates, etc'!$B$561="Off"),'Co-PI Budget (5)'!B56,0)</f>
        <v>0</v>
      </c>
      <c r="C53">
        <f>IF(AND('rates, dates, etc'!$B$30="Contract College",'rates, dates, etc'!$B$31="Off"),'Lead Budget'!C56,0)+IF(AND('rates, dates, etc'!$B$136="Contract College",'rates, dates, etc'!$B$137="Off"),Stedman!C56,0)+IF(AND('rates, dates, etc'!$B$242="Contract College",'rates, dates, etc'!$B$243="Off"),'Co PI 2'!C56,0)+IF(AND('rates, dates, etc'!$B$348="Contract College",'rates, dates, etc'!$B$349="Off"),'Co PI 3'!C56,0)+IF(AND('rates, dates, etc'!$B$454="Contract College",'rates, dates, etc'!$B$455="Off"),'Co-PI Budget (4)'!C56,0)+IF(AND('rates, dates, etc'!$B$560="Contract College",'rates, dates, etc'!$B$561="Off"),'Co-PI Budget (5)'!C56,0)</f>
        <v>0</v>
      </c>
      <c r="D53">
        <f>IF(AND('rates, dates, etc'!$B$30="Contract College",'rates, dates, etc'!$B$31="Off"),'Lead Budget'!D56,0)+IF(AND('rates, dates, etc'!$B$136="Contract College",'rates, dates, etc'!$B$137="Off"),Stedman!D56,0)+IF(AND('rates, dates, etc'!$B$242="Contract College",'rates, dates, etc'!$B$243="Off"),'Co PI 2'!D56,0)+IF(AND('rates, dates, etc'!$B$348="Contract College",'rates, dates, etc'!$B$349="Off"),'Co PI 3'!D56,0)+IF(AND('rates, dates, etc'!$B$454="Contract College",'rates, dates, etc'!$B$455="Off"),'Co-PI Budget (4)'!D56,0)+IF(AND('rates, dates, etc'!$B$560="Contract College",'rates, dates, etc'!$B$561="Off"),'Co-PI Budget (5)'!D56,0)</f>
        <v>0</v>
      </c>
      <c r="E53">
        <f>IF(AND('rates, dates, etc'!$B$30="Contract College",'rates, dates, etc'!$B$31="Off"),'Lead Budget'!E56,0)+IF(AND('rates, dates, etc'!$B$136="Contract College",'rates, dates, etc'!$B$137="Off"),Stedman!E56,0)+IF(AND('rates, dates, etc'!$B$242="Contract College",'rates, dates, etc'!$B$243="Off"),'Co PI 2'!E56,0)+IF(AND('rates, dates, etc'!$B$348="Contract College",'rates, dates, etc'!$B$349="Off"),'Co PI 3'!E56,0)+IF(AND('rates, dates, etc'!$B$454="Contract College",'rates, dates, etc'!$B$455="Off"),'Co-PI Budget (4)'!E56,0)+IF(AND('rates, dates, etc'!$B$560="Contract College",'rates, dates, etc'!$B$561="Off"),'Co-PI Budget (5)'!E56,0)</f>
        <v>0</v>
      </c>
      <c r="F53">
        <f>IF(AND('rates, dates, etc'!$B$30="Contract College",'rates, dates, etc'!$B$31="Off"),'Lead Budget'!F56,0)+IF(AND('rates, dates, etc'!$B$136="Contract College",'rates, dates, etc'!$B$137="Off"),Stedman!F56,0)+IF(AND('rates, dates, etc'!$B$242="Contract College",'rates, dates, etc'!$B$243="Off"),'Co PI 2'!F56,0)+IF(AND('rates, dates, etc'!$B$348="Contract College",'rates, dates, etc'!$B$349="Off"),'Co PI 3'!F56,0)+IF(AND('rates, dates, etc'!$B$454="Contract College",'rates, dates, etc'!$B$455="Off"),'Co-PI Budget (4)'!F56,0)+IF(AND('rates, dates, etc'!$B$560="Contract College",'rates, dates, etc'!$B$561="Off"),'Co-PI Budget (5)'!F56,0)</f>
        <v>0</v>
      </c>
    </row>
    <row r="54" spans="1:11" ht="15.75" thickBot="1" x14ac:dyDescent="0.3">
      <c r="A54" s="7" t="s">
        <v>186</v>
      </c>
      <c r="B54">
        <f>IF(AND('rates, dates, etc'!$B$30="Contract College",'rates, dates, etc'!$B$31="Off"),'Lead Budget'!B57,0)+IF(AND('rates, dates, etc'!$B$136="Contract College",'rates, dates, etc'!$B$137="Off"),Stedman!B57,0)+IF(AND('rates, dates, etc'!$B$242="Contract College",'rates, dates, etc'!$B$243="Off"),'Co PI 2'!B57,0)+IF(AND('rates, dates, etc'!$B$348="Contract College",'rates, dates, etc'!$B$349="Off"),'Co PI 3'!B57,0)+IF(AND('rates, dates, etc'!$B$454="Contract College",'rates, dates, etc'!$B$455="Off"),'Co-PI Budget (4)'!B57,0)+IF(AND('rates, dates, etc'!$B$560="Contract College",'rates, dates, etc'!$B$561="Off"),'Co-PI Budget (5)'!B57,0)</f>
        <v>0</v>
      </c>
      <c r="C54">
        <f>IF(AND('rates, dates, etc'!$B$30="Contract College",'rates, dates, etc'!$B$31="Off"),'Lead Budget'!C57,0)+IF(AND('rates, dates, etc'!$B$136="Contract College",'rates, dates, etc'!$B$137="Off"),Stedman!C57,0)+IF(AND('rates, dates, etc'!$B$242="Contract College",'rates, dates, etc'!$B$243="Off"),'Co PI 2'!C57,0)+IF(AND('rates, dates, etc'!$B$348="Contract College",'rates, dates, etc'!$B$349="Off"),'Co PI 3'!C57,0)+IF(AND('rates, dates, etc'!$B$454="Contract College",'rates, dates, etc'!$B$455="Off"),'Co-PI Budget (4)'!C57,0)+IF(AND('rates, dates, etc'!$B$560="Contract College",'rates, dates, etc'!$B$561="Off"),'Co-PI Budget (5)'!C57,0)</f>
        <v>0</v>
      </c>
      <c r="D54">
        <f>IF(AND('rates, dates, etc'!$B$30="Contract College",'rates, dates, etc'!$B$31="Off"),'Lead Budget'!D57,0)+IF(AND('rates, dates, etc'!$B$136="Contract College",'rates, dates, etc'!$B$137="Off"),Stedman!D57,0)+IF(AND('rates, dates, etc'!$B$242="Contract College",'rates, dates, etc'!$B$243="Off"),'Co PI 2'!D57,0)+IF(AND('rates, dates, etc'!$B$348="Contract College",'rates, dates, etc'!$B$349="Off"),'Co PI 3'!D57,0)+IF(AND('rates, dates, etc'!$B$454="Contract College",'rates, dates, etc'!$B$455="Off"),'Co-PI Budget (4)'!D57,0)+IF(AND('rates, dates, etc'!$B$560="Contract College",'rates, dates, etc'!$B$561="Off"),'Co-PI Budget (5)'!D57,0)</f>
        <v>0</v>
      </c>
      <c r="E54">
        <f>IF(AND('rates, dates, etc'!$B$30="Contract College",'rates, dates, etc'!$B$31="Off"),'Lead Budget'!E57,0)+IF(AND('rates, dates, etc'!$B$136="Contract College",'rates, dates, etc'!$B$137="Off"),Stedman!E57,0)+IF(AND('rates, dates, etc'!$B$242="Contract College",'rates, dates, etc'!$B$243="Off"),'Co PI 2'!E57,0)+IF(AND('rates, dates, etc'!$B$348="Contract College",'rates, dates, etc'!$B$349="Off"),'Co PI 3'!E57,0)+IF(AND('rates, dates, etc'!$B$454="Contract College",'rates, dates, etc'!$B$455="Off"),'Co-PI Budget (4)'!E57,0)+IF(AND('rates, dates, etc'!$B$560="Contract College",'rates, dates, etc'!$B$561="Off"),'Co-PI Budget (5)'!E57,0)</f>
        <v>0</v>
      </c>
      <c r="F54">
        <f>IF(AND('rates, dates, etc'!$B$30="Contract College",'rates, dates, etc'!$B$31="Off"),'Lead Budget'!F57,0)+IF(AND('rates, dates, etc'!$B$136="Contract College",'rates, dates, etc'!$B$137="Off"),Stedman!F57,0)+IF(AND('rates, dates, etc'!$B$242="Contract College",'rates, dates, etc'!$B$243="Off"),'Co PI 2'!F57,0)+IF(AND('rates, dates, etc'!$B$348="Contract College",'rates, dates, etc'!$B$349="Off"),'Co PI 3'!F57,0)+IF(AND('rates, dates, etc'!$B$454="Contract College",'rates, dates, etc'!$B$455="Off"),'Co-PI Budget (4)'!F57,0)+IF(AND('rates, dates, etc'!$B$560="Contract College",'rates, dates, etc'!$B$561="Off"),'Co-PI Budget (5)'!F57,0)</f>
        <v>0</v>
      </c>
    </row>
    <row r="55" spans="1:11" ht="15.75" thickBot="1" x14ac:dyDescent="0.3">
      <c r="A55" s="7" t="s">
        <v>242</v>
      </c>
      <c r="B55">
        <f>IF(AND('rates, dates, etc'!$B$30="Contract College",'rates, dates, etc'!$B$31="Off"),'Lead Budget'!B58,0)+IF(AND('rates, dates, etc'!$B$136="Contract College",'rates, dates, etc'!$B$137="Off"),Stedman!B58,0)+IF(AND('rates, dates, etc'!$B$242="Contract College",'rates, dates, etc'!$B$243="Off"),'Co PI 2'!B58,0)+IF(AND('rates, dates, etc'!$B$348="Contract College",'rates, dates, etc'!$B$349="Off"),'Co PI 3'!B58,0)+IF(AND('rates, dates, etc'!$B$454="Contract College",'rates, dates, etc'!$B$455="Off"),'Co-PI Budget (4)'!B58,0)+IF(AND('rates, dates, etc'!$B$560="Contract College",'rates, dates, etc'!$B$561="Off"),'Co-PI Budget (5)'!B58,0)</f>
        <v>0</v>
      </c>
      <c r="C55">
        <f>IF(AND('rates, dates, etc'!$B$30="Contract College",'rates, dates, etc'!$B$31="Off"),'Lead Budget'!C58,0)+IF(AND('rates, dates, etc'!$B$136="Contract College",'rates, dates, etc'!$B$137="Off"),Stedman!C58,0)+IF(AND('rates, dates, etc'!$B$242="Contract College",'rates, dates, etc'!$B$243="Off"),'Co PI 2'!C58,0)+IF(AND('rates, dates, etc'!$B$348="Contract College",'rates, dates, etc'!$B$349="Off"),'Co PI 3'!C58,0)+IF(AND('rates, dates, etc'!$B$454="Contract College",'rates, dates, etc'!$B$455="Off"),'Co-PI Budget (4)'!C58,0)+IF(AND('rates, dates, etc'!$B$560="Contract College",'rates, dates, etc'!$B$561="Off"),'Co-PI Budget (5)'!C58,0)</f>
        <v>0</v>
      </c>
      <c r="D55">
        <f>IF(AND('rates, dates, etc'!$B$30="Contract College",'rates, dates, etc'!$B$31="Off"),'Lead Budget'!D58,0)+IF(AND('rates, dates, etc'!$B$136="Contract College",'rates, dates, etc'!$B$137="Off"),Stedman!D58,0)+IF(AND('rates, dates, etc'!$B$242="Contract College",'rates, dates, etc'!$B$243="Off"),'Co PI 2'!D58,0)+IF(AND('rates, dates, etc'!$B$348="Contract College",'rates, dates, etc'!$B$349="Off"),'Co PI 3'!D58,0)+IF(AND('rates, dates, etc'!$B$454="Contract College",'rates, dates, etc'!$B$455="Off"),'Co-PI Budget (4)'!D58,0)+IF(AND('rates, dates, etc'!$B$560="Contract College",'rates, dates, etc'!$B$561="Off"),'Co-PI Budget (5)'!D58,0)</f>
        <v>0</v>
      </c>
      <c r="E55">
        <f>IF(AND('rates, dates, etc'!$B$30="Contract College",'rates, dates, etc'!$B$31="Off"),'Lead Budget'!E58,0)+IF(AND('rates, dates, etc'!$B$136="Contract College",'rates, dates, etc'!$B$137="Off"),Stedman!E58,0)+IF(AND('rates, dates, etc'!$B$242="Contract College",'rates, dates, etc'!$B$243="Off"),'Co PI 2'!E58,0)+IF(AND('rates, dates, etc'!$B$348="Contract College",'rates, dates, etc'!$B$349="Off"),'Co PI 3'!E58,0)+IF(AND('rates, dates, etc'!$B$454="Contract College",'rates, dates, etc'!$B$455="Off"),'Co-PI Budget (4)'!E58,0)+IF(AND('rates, dates, etc'!$B$560="Contract College",'rates, dates, etc'!$B$561="Off"),'Co-PI Budget (5)'!E58,0)</f>
        <v>0</v>
      </c>
      <c r="F55">
        <f>IF(AND('rates, dates, etc'!$B$30="Contract College",'rates, dates, etc'!$B$31="Off"),'Lead Budget'!F58,0)+IF(AND('rates, dates, etc'!$B$136="Contract College",'rates, dates, etc'!$B$137="Off"),Stedman!F58,0)+IF(AND('rates, dates, etc'!$B$242="Contract College",'rates, dates, etc'!$B$243="Off"),'Co PI 2'!F58,0)+IF(AND('rates, dates, etc'!$B$348="Contract College",'rates, dates, etc'!$B$349="Off"),'Co PI 3'!F58,0)+IF(AND('rates, dates, etc'!$B$454="Contract College",'rates, dates, etc'!$B$455="Off"),'Co-PI Budget (4)'!F58,0)+IF(AND('rates, dates, etc'!$B$560="Contract College",'rates, dates, etc'!$B$561="Off"),'Co-PI Budget (5)'!F58,0)</f>
        <v>0</v>
      </c>
    </row>
    <row r="56" spans="1:11" ht="15.75" thickBot="1" x14ac:dyDescent="0.3">
      <c r="A56" s="7" t="s">
        <v>232</v>
      </c>
      <c r="B56">
        <f>+B53-B54</f>
        <v>0</v>
      </c>
      <c r="C56">
        <f t="shared" ref="C56:F56" si="12">+C53-C54</f>
        <v>0</v>
      </c>
      <c r="D56">
        <f t="shared" si="12"/>
        <v>0</v>
      </c>
      <c r="E56">
        <f t="shared" si="12"/>
        <v>0</v>
      </c>
      <c r="F56">
        <f t="shared" si="12"/>
        <v>0</v>
      </c>
    </row>
    <row r="57" spans="1:11" ht="15.75" thickBot="1" x14ac:dyDescent="0.3"/>
    <row r="58" spans="1:11" ht="15.75" thickBot="1" x14ac:dyDescent="0.3">
      <c r="A58" s="7" t="s">
        <v>236</v>
      </c>
      <c r="B58">
        <f>IF(AND('rates, dates, etc'!$B$30="Endowed College",'rates, dates, etc'!$B$31="Off"),'Lead Budget'!B56,0)+IF(AND('rates, dates, etc'!$B$136="Endowed College",'rates, dates, etc'!$B$137="Off"),Stedman!B56,0)+IF(AND('rates, dates, etc'!$B$242="Endowed College",'rates, dates, etc'!$B$243="Off"),'Co PI 2'!B56,0)+IF(AND('rates, dates, etc'!$B$348="Endowed College",'rates, dates, etc'!$B$349="Off"),'Co PI 3'!B56,0)+IF(AND('rates, dates, etc'!$B$454="Endowed College",'rates, dates, etc'!$B$455="Off"),'Co-PI Budget (4)'!B56,0)+IF(AND('rates, dates, etc'!$B$560="Endowed College",'rates, dates, etc'!$B$561="Off"),'Co-PI Budget (5)'!B56,0)</f>
        <v>0</v>
      </c>
      <c r="C58">
        <f>IF(AND('rates, dates, etc'!$B$30="Endowed College",'rates, dates, etc'!$B$31="Off"),'Lead Budget'!C56,0)+IF(AND('rates, dates, etc'!$B$136="Endowed College",'rates, dates, etc'!$B$137="Off"),Stedman!C56,0)+IF(AND('rates, dates, etc'!$B$242="Endowed College",'rates, dates, etc'!$B$243="Off"),'Co PI 2'!C56,0)+IF(AND('rates, dates, etc'!$B$348="Endowed College",'rates, dates, etc'!$B$349="Off"),'Co PI 3'!C56,0)+IF(AND('rates, dates, etc'!$B$454="Endowed College",'rates, dates, etc'!$B$455="Off"),'Co-PI Budget (4)'!C56,0)+IF(AND('rates, dates, etc'!$B$560="Endowed College",'rates, dates, etc'!$B$561="Off"),'Co-PI Budget (5)'!C56,0)</f>
        <v>0</v>
      </c>
      <c r="D58">
        <f>IF(AND('rates, dates, etc'!$B$30="Endowed College",'rates, dates, etc'!$B$31="Off"),'Lead Budget'!D56,0)+IF(AND('rates, dates, etc'!$B$136="Endowed College",'rates, dates, etc'!$B$137="Off"),Stedman!D56,0)+IF(AND('rates, dates, etc'!$B$242="Endowed College",'rates, dates, etc'!$B$243="Off"),'Co PI 2'!D56,0)+IF(AND('rates, dates, etc'!$B$348="Endowed College",'rates, dates, etc'!$B$349="Off"),'Co PI 3'!D56,0)+IF(AND('rates, dates, etc'!$B$454="Endowed College",'rates, dates, etc'!$B$455="Off"),'Co-PI Budget (4)'!D56,0)+IF(AND('rates, dates, etc'!$B$560="Endowed College",'rates, dates, etc'!$B$561="Off"),'Co-PI Budget (5)'!D56,0)</f>
        <v>0</v>
      </c>
      <c r="E58">
        <f>IF(AND('rates, dates, etc'!$B$30="Endowed College",'rates, dates, etc'!$B$31="Off"),'Lead Budget'!E56,0)+IF(AND('rates, dates, etc'!$B$136="Endowed College",'rates, dates, etc'!$B$137="Off"),Stedman!E56,0)+IF(AND('rates, dates, etc'!$B$242="Endowed College",'rates, dates, etc'!$B$243="Off"),'Co PI 2'!E56,0)+IF(AND('rates, dates, etc'!$B$348="Endowed College",'rates, dates, etc'!$B$349="Off"),'Co PI 3'!E56,0)+IF(AND('rates, dates, etc'!$B$454="Endowed College",'rates, dates, etc'!$B$455="Off"),'Co-PI Budget (4)'!E56,0)+IF(AND('rates, dates, etc'!$B$560="Endowed College",'rates, dates, etc'!$B$561="Off"),'Co-PI Budget (5)'!E56,0)</f>
        <v>0</v>
      </c>
      <c r="F58">
        <f>IF(AND('rates, dates, etc'!$B$30="Endowed College",'rates, dates, etc'!$B$31="Off"),'Lead Budget'!F56,0)+IF(AND('rates, dates, etc'!$B$136="Endowed College",'rates, dates, etc'!$B$137="Off"),Stedman!F56,0)+IF(AND('rates, dates, etc'!$B$242="Endowed College",'rates, dates, etc'!$B$243="Off"),'Co PI 2'!F56,0)+IF(AND('rates, dates, etc'!$B$348="Endowed College",'rates, dates, etc'!$B$349="Off"),'Co PI 3'!F56,0)+IF(AND('rates, dates, etc'!$B$454="Endowed College",'rates, dates, etc'!$B$455="Off"),'Co-PI Budget (4)'!F56,0)+IF(AND('rates, dates, etc'!$B$560="Endowed College",'rates, dates, etc'!$B$561="Off"),'Co-PI Budget (5)'!F56,0)</f>
        <v>0</v>
      </c>
    </row>
    <row r="59" spans="1:11" ht="15.75" thickBot="1" x14ac:dyDescent="0.3">
      <c r="A59" s="7" t="s">
        <v>187</v>
      </c>
      <c r="B59">
        <f>IF(AND('rates, dates, etc'!$B$30="Endowed College",'rates, dates, etc'!$B$31="Off"),'Lead Budget'!B57,0)+IF(AND('rates, dates, etc'!$B$136="Endowed College",'rates, dates, etc'!$B$137="Off"),Stedman!B57,0)+IF(AND('rates, dates, etc'!$B$242="Endowed College",'rates, dates, etc'!$B$243="Off"),'Co PI 2'!B57,0)+IF(AND('rates, dates, etc'!$B$348="Endowed College",'rates, dates, etc'!$B$349="Off"),'Co PI 3'!B57,0)+IF(AND('rates, dates, etc'!$B$454="Endowed College",'rates, dates, etc'!$B$455="Off"),'Co-PI Budget (4)'!B57,0)+IF(AND('rates, dates, etc'!$B$560="Endowed College",'rates, dates, etc'!$B$561="Off"),'Co-PI Budget (5)'!B57,0)</f>
        <v>0</v>
      </c>
      <c r="C59">
        <f>IF(AND('rates, dates, etc'!$B$30="Endowed College",'rates, dates, etc'!$B$31="Off"),'Lead Budget'!C57,0)+IF(AND('rates, dates, etc'!$B$136="Endowed College",'rates, dates, etc'!$B$137="Off"),Stedman!C57,0)+IF(AND('rates, dates, etc'!$B$242="Endowed College",'rates, dates, etc'!$B$243="Off"),'Co PI 2'!C57,0)+IF(AND('rates, dates, etc'!$B$348="Endowed College",'rates, dates, etc'!$B$349="Off"),'Co PI 3'!C57,0)+IF(AND('rates, dates, etc'!$B$454="Endowed College",'rates, dates, etc'!$B$455="Off"),'Co-PI Budget (4)'!C57,0)+IF(AND('rates, dates, etc'!$B$560="Endowed College",'rates, dates, etc'!$B$561="Off"),'Co-PI Budget (5)'!C57,0)</f>
        <v>0</v>
      </c>
      <c r="D59">
        <f>IF(AND('rates, dates, etc'!$B$30="Endowed College",'rates, dates, etc'!$B$31="Off"),'Lead Budget'!D57,0)+IF(AND('rates, dates, etc'!$B$136="Endowed College",'rates, dates, etc'!$B$137="Off"),Stedman!D57,0)+IF(AND('rates, dates, etc'!$B$242="Endowed College",'rates, dates, etc'!$B$243="Off"),'Co PI 2'!D57,0)+IF(AND('rates, dates, etc'!$B$348="Endowed College",'rates, dates, etc'!$B$349="Off"),'Co PI 3'!D57,0)+IF(AND('rates, dates, etc'!$B$454="Endowed College",'rates, dates, etc'!$B$455="Off"),'Co-PI Budget (4)'!D57,0)+IF(AND('rates, dates, etc'!$B$560="Endowed College",'rates, dates, etc'!$B$561="Off"),'Co-PI Budget (5)'!D57,0)</f>
        <v>0</v>
      </c>
      <c r="E59">
        <f>IF(AND('rates, dates, etc'!$B$30="Endowed College",'rates, dates, etc'!$B$31="Off"),'Lead Budget'!E57,0)+IF(AND('rates, dates, etc'!$B$136="Endowed College",'rates, dates, etc'!$B$137="Off"),Stedman!E57,0)+IF(AND('rates, dates, etc'!$B$242="Endowed College",'rates, dates, etc'!$B$243="Off"),'Co PI 2'!E57,0)+IF(AND('rates, dates, etc'!$B$348="Endowed College",'rates, dates, etc'!$B$349="Off"),'Co PI 3'!E57,0)+IF(AND('rates, dates, etc'!$B$454="Endowed College",'rates, dates, etc'!$B$455="Off"),'Co-PI Budget (4)'!E57,0)+IF(AND('rates, dates, etc'!$B$560="Endowed College",'rates, dates, etc'!$B$561="Off"),'Co-PI Budget (5)'!E57,0)</f>
        <v>0</v>
      </c>
      <c r="F59">
        <f>IF(AND('rates, dates, etc'!$B$30="Endowed College",'rates, dates, etc'!$B$31="Off"),'Lead Budget'!F57,0)+IF(AND('rates, dates, etc'!$B$136="Endowed College",'rates, dates, etc'!$B$137="Off"),Stedman!F57,0)+IF(AND('rates, dates, etc'!$B$242="Endowed College",'rates, dates, etc'!$B$243="Off"),'Co PI 2'!F57,0)+IF(AND('rates, dates, etc'!$B$348="Endowed College",'rates, dates, etc'!$B$349="Off"),'Co PI 3'!F57,0)+IF(AND('rates, dates, etc'!$B$454="Endowed College",'rates, dates, etc'!$B$455="Off"),'Co-PI Budget (4)'!F57,0)+IF(AND('rates, dates, etc'!$B$560="Endowed College",'rates, dates, etc'!$B$561="Off"),'Co-PI Budget (5)'!F57,0)</f>
        <v>0</v>
      </c>
    </row>
    <row r="60" spans="1:11" ht="15.75" thickBot="1" x14ac:dyDescent="0.3">
      <c r="A60" s="7" t="s">
        <v>243</v>
      </c>
      <c r="B60">
        <f>IF(AND('rates, dates, etc'!$B$30="Endowed College",'rates, dates, etc'!$B$31="Off"),'Lead Budget'!B58,0)+IF(AND('rates, dates, etc'!$B$136="Endowed College",'rates, dates, etc'!$B$137="Off"),Stedman!B58,0)+IF(AND('rates, dates, etc'!$B$242="Endowed College",'rates, dates, etc'!$B$243="Off"),'Co PI 2'!B58,0)+IF(AND('rates, dates, etc'!$B$348="Endowed College",'rates, dates, etc'!$B$349="Off"),'Co PI 3'!B58,0)+IF(AND('rates, dates, etc'!$B$454="Endowed College",'rates, dates, etc'!$B$455="Off"),'Co-PI Budget (4)'!B58,0)+IF(AND('rates, dates, etc'!$B$560="Endowed College",'rates, dates, etc'!$B$561="Off"),'Co-PI Budget (5)'!B58,0)</f>
        <v>0</v>
      </c>
      <c r="C60">
        <f>IF(AND('rates, dates, etc'!$B$30="Endowed College",'rates, dates, etc'!$B$31="Off"),'Lead Budget'!C58,0)+IF(AND('rates, dates, etc'!$B$136="Endowed College",'rates, dates, etc'!$B$137="Off"),Stedman!C58,0)+IF(AND('rates, dates, etc'!$B$242="Endowed College",'rates, dates, etc'!$B$243="Off"),'Co PI 2'!C58,0)+IF(AND('rates, dates, etc'!$B$348="Endowed College",'rates, dates, etc'!$B$349="Off"),'Co PI 3'!C58,0)+IF(AND('rates, dates, etc'!$B$454="Endowed College",'rates, dates, etc'!$B$455="Off"),'Co-PI Budget (4)'!C58,0)+IF(AND('rates, dates, etc'!$B$560="Endowed College",'rates, dates, etc'!$B$561="Off"),'Co-PI Budget (5)'!C58,0)</f>
        <v>0</v>
      </c>
      <c r="D60">
        <f>IF(AND('rates, dates, etc'!$B$30="Endowed College",'rates, dates, etc'!$B$31="Off"),'Lead Budget'!D58,0)+IF(AND('rates, dates, etc'!$B$136="Endowed College",'rates, dates, etc'!$B$137="Off"),Stedman!D58,0)+IF(AND('rates, dates, etc'!$B$242="Endowed College",'rates, dates, etc'!$B$243="Off"),'Co PI 2'!D58,0)+IF(AND('rates, dates, etc'!$B$348="Endowed College",'rates, dates, etc'!$B$349="Off"),'Co PI 3'!D58,0)+IF(AND('rates, dates, etc'!$B$454="Endowed College",'rates, dates, etc'!$B$455="Off"),'Co-PI Budget (4)'!D58,0)+IF(AND('rates, dates, etc'!$B$560="Endowed College",'rates, dates, etc'!$B$561="Off"),'Co-PI Budget (5)'!D58,0)</f>
        <v>0</v>
      </c>
      <c r="E60">
        <f>IF(AND('rates, dates, etc'!$B$30="Endowed College",'rates, dates, etc'!$B$31="Off"),'Lead Budget'!E58,0)+IF(AND('rates, dates, etc'!$B$136="Endowed College",'rates, dates, etc'!$B$137="Off"),Stedman!E58,0)+IF(AND('rates, dates, etc'!$B$242="Endowed College",'rates, dates, etc'!$B$243="Off"),'Co PI 2'!E58,0)+IF(AND('rates, dates, etc'!$B$348="Endowed College",'rates, dates, etc'!$B$349="Off"),'Co PI 3'!E58,0)+IF(AND('rates, dates, etc'!$B$454="Endowed College",'rates, dates, etc'!$B$455="Off"),'Co-PI Budget (4)'!E58,0)+IF(AND('rates, dates, etc'!$B$560="Endowed College",'rates, dates, etc'!$B$561="Off"),'Co-PI Budget (5)'!E58,0)</f>
        <v>0</v>
      </c>
      <c r="F60">
        <f>IF(AND('rates, dates, etc'!$B$30="Endowed College",'rates, dates, etc'!$B$31="Off"),'Lead Budget'!F58,0)+IF(AND('rates, dates, etc'!$B$136="Endowed College",'rates, dates, etc'!$B$137="Off"),Stedman!F58,0)+IF(AND('rates, dates, etc'!$B$242="Endowed College",'rates, dates, etc'!$B$243="Off"),'Co PI 2'!F58,0)+IF(AND('rates, dates, etc'!$B$348="Endowed College",'rates, dates, etc'!$B$349="Off"),'Co PI 3'!F58,0)+IF(AND('rates, dates, etc'!$B$454="Endowed College",'rates, dates, etc'!$B$455="Off"),'Co-PI Budget (4)'!F58,0)+IF(AND('rates, dates, etc'!$B$560="Endowed College",'rates, dates, etc'!$B$561="Off"),'Co-PI Budget (5)'!F58,0)</f>
        <v>0</v>
      </c>
    </row>
    <row r="61" spans="1:11" ht="15.75" thickBot="1" x14ac:dyDescent="0.3">
      <c r="A61" s="7" t="s">
        <v>237</v>
      </c>
      <c r="B61">
        <f>+B58-B59</f>
        <v>0</v>
      </c>
      <c r="C61">
        <f t="shared" ref="C61:F61" si="13">+C58-C59</f>
        <v>0</v>
      </c>
      <c r="D61">
        <f t="shared" si="13"/>
        <v>0</v>
      </c>
      <c r="E61">
        <f t="shared" si="13"/>
        <v>0</v>
      </c>
      <c r="F61">
        <f t="shared" si="13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9.9978637043366805E-2"/>
    <pageSetUpPr fitToPage="1"/>
  </sheetPr>
  <dimension ref="A1:P193"/>
  <sheetViews>
    <sheetView topLeftCell="A88" zoomScale="154" zoomScaleNormal="154" workbookViewId="0">
      <selection activeCell="H101" sqref="H101"/>
    </sheetView>
  </sheetViews>
  <sheetFormatPr defaultColWidth="9.28515625" defaultRowHeight="11.25" x14ac:dyDescent="0.2"/>
  <cols>
    <col min="1" max="1" width="33.28515625" style="2" customWidth="1"/>
    <col min="2" max="3" width="9" style="2" customWidth="1"/>
    <col min="4" max="4" width="9.42578125" style="2" customWidth="1"/>
    <col min="5" max="6" width="9" style="2" customWidth="1"/>
    <col min="7" max="7" width="10.42578125" style="3" bestFit="1" customWidth="1"/>
    <col min="8" max="8" width="12" style="3" customWidth="1"/>
    <col min="9" max="9" width="7.7109375" style="3" customWidth="1"/>
    <col min="10" max="10" width="26.28515625" style="3" customWidth="1"/>
    <col min="11" max="12" width="9.7109375" style="3" customWidth="1"/>
    <col min="13" max="14" width="9.7109375" style="2" customWidth="1"/>
    <col min="15" max="16384" width="9.28515625" style="2"/>
  </cols>
  <sheetData>
    <row r="1" spans="1:9" ht="12.75" x14ac:dyDescent="0.2">
      <c r="A1" s="1" t="str">
        <f>+'rates, dates, etc'!B4</f>
        <v>Assessing the Potential for Demand Response to Manage Generation Shortfalls in a Zero-Carbon Electricity Grid”</v>
      </c>
      <c r="D1" s="87"/>
    </row>
    <row r="2" spans="1:9" ht="12.75" x14ac:dyDescent="0.2">
      <c r="A2" s="1" t="str">
        <f>+'rates, dates, etc'!B3</f>
        <v>USDA</v>
      </c>
      <c r="H2" s="603"/>
      <c r="I2" s="87"/>
    </row>
    <row r="3" spans="1:9" ht="12.75" customHeight="1" thickBot="1" x14ac:dyDescent="0.25"/>
    <row r="4" spans="1:9" x14ac:dyDescent="0.2">
      <c r="A4" s="4" t="s">
        <v>244</v>
      </c>
      <c r="B4" s="5" t="s">
        <v>1</v>
      </c>
      <c r="C4" s="5" t="s">
        <v>2</v>
      </c>
      <c r="D4" s="5" t="s">
        <v>3</v>
      </c>
      <c r="E4" s="5" t="s">
        <v>44</v>
      </c>
      <c r="F4" s="5" t="s">
        <v>50</v>
      </c>
      <c r="G4" s="23"/>
      <c r="H4" s="488" t="s">
        <v>259</v>
      </c>
    </row>
    <row r="5" spans="1:9" ht="12" thickBot="1" x14ac:dyDescent="0.25">
      <c r="A5" s="4" t="str">
        <f>CONCATENATE("PI: ",'rates, dates, etc'!B27)</f>
        <v>PI: Vivek Srikrishnan</v>
      </c>
      <c r="B5" s="6">
        <f>+'rates, dates, etc'!B5</f>
        <v>44927</v>
      </c>
      <c r="C5" s="6">
        <f>+B6+1</f>
        <v>45292</v>
      </c>
      <c r="D5" s="6">
        <f t="shared" ref="D5:F5" si="0">+C6+1</f>
        <v>45658</v>
      </c>
      <c r="E5" s="6">
        <f t="shared" si="0"/>
        <v>46023</v>
      </c>
      <c r="F5" s="6">
        <f t="shared" si="0"/>
        <v>46388</v>
      </c>
      <c r="G5" s="24"/>
      <c r="H5" s="609" t="s">
        <v>260</v>
      </c>
    </row>
    <row r="6" spans="1:9" ht="12" thickBot="1" x14ac:dyDescent="0.25">
      <c r="A6" s="7" t="s">
        <v>4</v>
      </c>
      <c r="B6" s="8">
        <f>DATE(YEAR(B5), MONTH(B5) + 12, DAY(B5))-1</f>
        <v>45291</v>
      </c>
      <c r="C6" s="8">
        <f t="shared" ref="C6:F6" si="1">DATE(YEAR(C5), MONTH(C5) + 12, DAY(C5))-1</f>
        <v>45657</v>
      </c>
      <c r="D6" s="8">
        <f t="shared" si="1"/>
        <v>46022</v>
      </c>
      <c r="E6" s="8">
        <f t="shared" si="1"/>
        <v>46387</v>
      </c>
      <c r="F6" s="8">
        <f t="shared" si="1"/>
        <v>46752</v>
      </c>
      <c r="G6" s="25" t="s">
        <v>5</v>
      </c>
    </row>
    <row r="7" spans="1:9" x14ac:dyDescent="0.2">
      <c r="A7" s="9" t="s">
        <v>141</v>
      </c>
      <c r="G7" s="26" t="s">
        <v>6</v>
      </c>
    </row>
    <row r="8" spans="1:9" x14ac:dyDescent="0.2">
      <c r="A8" s="10" t="str">
        <f>+'Lead Budget'!A8</f>
        <v>Vivek Srikrishnan</v>
      </c>
      <c r="B8" s="586">
        <f>HLOOKUP(B$4,'rates, dates, etc'!B47:H58,12,FALSE)</f>
        <v>0</v>
      </c>
      <c r="C8" s="586">
        <f>HLOOKUP(C$4,'rates, dates, etc'!C47:I58,12,FALSE)</f>
        <v>0</v>
      </c>
      <c r="D8" s="586">
        <f>HLOOKUP(D$4,'rates, dates, etc'!D47:J58,12,FALSE)</f>
        <v>0</v>
      </c>
      <c r="E8" s="586">
        <f>HLOOKUP(E$4,'rates, dates, etc'!E47:K58,12,FALSE)</f>
        <v>0</v>
      </c>
      <c r="F8" s="586">
        <f>HLOOKUP(F$4,'rates, dates, etc'!F47:L58,12,FALSE)</f>
        <v>0</v>
      </c>
      <c r="G8" s="27">
        <f>SUM(B8:F8)</f>
        <v>0</v>
      </c>
      <c r="H8" s="3" t="str">
        <f>+'rates, dates, etc'!$B$30</f>
        <v>Contract College</v>
      </c>
      <c r="I8" s="3" t="str">
        <f>+'rates, dates, etc'!$B$31</f>
        <v>On</v>
      </c>
    </row>
    <row r="9" spans="1:9" x14ac:dyDescent="0.2">
      <c r="A9" s="10" t="str">
        <f>+'Lead Budget'!A9</f>
        <v>S. Steinschneider</v>
      </c>
      <c r="B9" s="586">
        <f>HLOOKUP(B$4,'rates, dates, etc'!B61:H72,12,FALSE)</f>
        <v>0</v>
      </c>
      <c r="C9" s="586">
        <f>HLOOKUP(C$4,'rates, dates, etc'!C61:I72,12,FALSE)</f>
        <v>0</v>
      </c>
      <c r="D9" s="586">
        <f>HLOOKUP(D$4,'rates, dates, etc'!D61:J72,12,FALSE)</f>
        <v>0</v>
      </c>
      <c r="E9" s="586">
        <f>HLOOKUP(E$4,'rates, dates, etc'!E61:K72,12,FALSE)</f>
        <v>0</v>
      </c>
      <c r="F9" s="586">
        <f>HLOOKUP(F$4,'rates, dates, etc'!F61:L72,12,FALSE)</f>
        <v>0</v>
      </c>
      <c r="G9" s="27">
        <f t="shared" ref="G9:G13" si="2">SUM(B9:F9)</f>
        <v>0</v>
      </c>
      <c r="H9" s="3" t="str">
        <f>+'rates, dates, etc'!$B$30</f>
        <v>Contract College</v>
      </c>
      <c r="I9" s="3" t="str">
        <f>+'rates, dates, etc'!$B$31</f>
        <v>On</v>
      </c>
    </row>
    <row r="10" spans="1:9" x14ac:dyDescent="0.2">
      <c r="A10" s="10" t="str">
        <f>+'Lead Budget'!A10</f>
        <v>Co-PI</v>
      </c>
      <c r="B10" s="586">
        <f>HLOOKUP(B$4,'rates, dates, etc'!B75:H86,12,FALSE)</f>
        <v>0</v>
      </c>
      <c r="C10" s="586">
        <f>HLOOKUP(C$4,'rates, dates, etc'!C75:I86,12,FALSE)</f>
        <v>0</v>
      </c>
      <c r="D10" s="586">
        <f>HLOOKUP(D$4,'rates, dates, etc'!D75:J86,12,FALSE)</f>
        <v>0</v>
      </c>
      <c r="E10" s="586">
        <f>HLOOKUP(E$4,'rates, dates, etc'!E75:K86,12,FALSE)</f>
        <v>0</v>
      </c>
      <c r="F10" s="586">
        <f>HLOOKUP(F$4,'rates, dates, etc'!F75:L86,12,FALSE)</f>
        <v>0</v>
      </c>
      <c r="G10" s="27">
        <f t="shared" si="2"/>
        <v>0</v>
      </c>
      <c r="H10" s="3" t="str">
        <f>+'rates, dates, etc'!$B$30</f>
        <v>Contract College</v>
      </c>
      <c r="I10" s="3" t="str">
        <f>+'rates, dates, etc'!$B$31</f>
        <v>On</v>
      </c>
    </row>
    <row r="11" spans="1:9" x14ac:dyDescent="0.2">
      <c r="A11" s="10" t="str">
        <f>+Stedman!A8</f>
        <v>R Stedman</v>
      </c>
      <c r="B11" s="586">
        <f>HLOOKUP(B$4,'rates, dates, etc'!B153:H164,12,FALSE)</f>
        <v>0</v>
      </c>
      <c r="C11" s="586">
        <f>HLOOKUP(C$4,'rates, dates, etc'!C153:I164,12,FALSE)</f>
        <v>0</v>
      </c>
      <c r="D11" s="586">
        <f>HLOOKUP(D$4,'rates, dates, etc'!D153:J164,12,FALSE)</f>
        <v>0</v>
      </c>
      <c r="E11" s="586">
        <f>HLOOKUP(E$4,'rates, dates, etc'!E153:K164,12,FALSE)</f>
        <v>0</v>
      </c>
      <c r="F11" s="586">
        <f>HLOOKUP(F$4,'rates, dates, etc'!F153:L164,12,FALSE)</f>
        <v>0</v>
      </c>
      <c r="G11" s="27">
        <f t="shared" si="2"/>
        <v>0</v>
      </c>
      <c r="H11" s="3" t="str">
        <f>+'rates, dates, etc'!$B$136</f>
        <v>Contract College</v>
      </c>
      <c r="I11" s="3" t="str">
        <f>+'rates, dates, etc'!$B$137</f>
        <v>On</v>
      </c>
    </row>
    <row r="12" spans="1:9" x14ac:dyDescent="0.2">
      <c r="A12" s="10" t="str">
        <f>+Stedman!A9</f>
        <v>T. B. Lauber</v>
      </c>
      <c r="B12" s="586">
        <f>HLOOKUP(B$4,'rates, dates, etc'!B167:H178,12,FALSE)</f>
        <v>0</v>
      </c>
      <c r="C12" s="586">
        <f>HLOOKUP(C$4,'rates, dates, etc'!C167:I178,12,FALSE)</f>
        <v>0</v>
      </c>
      <c r="D12" s="586">
        <f>HLOOKUP(D$4,'rates, dates, etc'!D167:J178,12,FALSE)</f>
        <v>0</v>
      </c>
      <c r="E12" s="586">
        <f>HLOOKUP(E$4,'rates, dates, etc'!E167:K178,12,FALSE)</f>
        <v>0</v>
      </c>
      <c r="F12" s="586">
        <f>HLOOKUP(F$4,'rates, dates, etc'!F167:L178,12,FALSE)</f>
        <v>0</v>
      </c>
      <c r="G12" s="27">
        <f t="shared" si="2"/>
        <v>0</v>
      </c>
      <c r="H12" s="3" t="str">
        <f>+'rates, dates, etc'!$B$136</f>
        <v>Contract College</v>
      </c>
      <c r="I12" s="3" t="str">
        <f>+'rates, dates, etc'!$B$137</f>
        <v>On</v>
      </c>
    </row>
    <row r="13" spans="1:9" x14ac:dyDescent="0.2">
      <c r="A13" s="10" t="str">
        <f>+Stedman!A10</f>
        <v>Co-PI</v>
      </c>
      <c r="B13" s="586">
        <f>HLOOKUP(B$4,'rates, dates, etc'!B181:H192,12,FALSE)</f>
        <v>0</v>
      </c>
      <c r="C13" s="586">
        <f>HLOOKUP(C$4,'rates, dates, etc'!C181:I192,12,FALSE)</f>
        <v>0</v>
      </c>
      <c r="D13" s="586">
        <f>HLOOKUP(D$4,'rates, dates, etc'!D181:J192,12,FALSE)</f>
        <v>0</v>
      </c>
      <c r="E13" s="586">
        <f>HLOOKUP(E$4,'rates, dates, etc'!E181:K192,12,FALSE)</f>
        <v>0</v>
      </c>
      <c r="F13" s="586">
        <f>HLOOKUP(F$4,'rates, dates, etc'!F181:L192,12,FALSE)</f>
        <v>0</v>
      </c>
      <c r="G13" s="27">
        <f t="shared" si="2"/>
        <v>0</v>
      </c>
      <c r="H13" s="3" t="str">
        <f>+'rates, dates, etc'!$B$136</f>
        <v>Contract College</v>
      </c>
      <c r="I13" s="3" t="str">
        <f>+'rates, dates, etc'!$B$137</f>
        <v>On</v>
      </c>
    </row>
    <row r="14" spans="1:9" x14ac:dyDescent="0.2">
      <c r="A14" s="10" t="str">
        <f>+'Co PI 2'!A8</f>
        <v>Co-PI</v>
      </c>
      <c r="B14" s="586">
        <f>HLOOKUP(B$4,'rates, dates, etc'!B259:H270,12,FALSE)</f>
        <v>0</v>
      </c>
      <c r="C14" s="586">
        <f>HLOOKUP(C$4,'rates, dates, etc'!C259:I270,12,FALSE)</f>
        <v>0</v>
      </c>
      <c r="D14" s="586">
        <f>HLOOKUP(D$4,'rates, dates, etc'!D259:J270,12,FALSE)</f>
        <v>0</v>
      </c>
      <c r="E14" s="586">
        <f>HLOOKUP(E$4,'rates, dates, etc'!E259:K270,12,FALSE)</f>
        <v>0</v>
      </c>
      <c r="F14" s="586">
        <f>HLOOKUP(F$4,'rates, dates, etc'!F259:L270,12,FALSE)</f>
        <v>0</v>
      </c>
      <c r="G14" s="27">
        <f>SUM(B14:F14)</f>
        <v>0</v>
      </c>
      <c r="H14" s="3" t="str">
        <f>+'rates, dates, etc'!$B$242</f>
        <v>Contract College</v>
      </c>
      <c r="I14" s="3" t="str">
        <f>+'rates, dates, etc'!$B$243</f>
        <v>On</v>
      </c>
    </row>
    <row r="15" spans="1:9" x14ac:dyDescent="0.2">
      <c r="A15" s="10" t="str">
        <f>+'Co PI 2'!A9</f>
        <v>Co-PI</v>
      </c>
      <c r="B15" s="586">
        <f>HLOOKUP(B$4,'rates, dates, etc'!B273:H284,12,FALSE)</f>
        <v>0</v>
      </c>
      <c r="C15" s="586">
        <f>HLOOKUP(C$4,'rates, dates, etc'!C273:I284,12,FALSE)</f>
        <v>0</v>
      </c>
      <c r="D15" s="586">
        <f>HLOOKUP(D$4,'rates, dates, etc'!D273:J284,12,FALSE)</f>
        <v>0</v>
      </c>
      <c r="E15" s="586">
        <f>HLOOKUP(E$4,'rates, dates, etc'!E273:K284,12,FALSE)</f>
        <v>0</v>
      </c>
      <c r="F15" s="586">
        <f>HLOOKUP(F$4,'rates, dates, etc'!F273:L284,12,FALSE)</f>
        <v>0</v>
      </c>
      <c r="G15" s="27">
        <f>SUM(B15:F15)</f>
        <v>0</v>
      </c>
      <c r="H15" s="3" t="str">
        <f>+'rates, dates, etc'!$B$242</f>
        <v>Contract College</v>
      </c>
      <c r="I15" s="3" t="str">
        <f>+'rates, dates, etc'!$B$243</f>
        <v>On</v>
      </c>
    </row>
    <row r="16" spans="1:9" x14ac:dyDescent="0.2">
      <c r="A16" s="10" t="str">
        <f>+'Co PI 2'!A10</f>
        <v>Co-PI</v>
      </c>
      <c r="B16" s="586">
        <f>HLOOKUP(B$4,'rates, dates, etc'!B287:H298,12,FALSE)</f>
        <v>0</v>
      </c>
      <c r="C16" s="586">
        <f>HLOOKUP(C$4,'rates, dates, etc'!C287:I298,12,FALSE)</f>
        <v>0</v>
      </c>
      <c r="D16" s="586">
        <f>HLOOKUP(D$4,'rates, dates, etc'!D287:J298,12,FALSE)</f>
        <v>0</v>
      </c>
      <c r="E16" s="586">
        <f>HLOOKUP(E$4,'rates, dates, etc'!E287:K298,12,FALSE)</f>
        <v>0</v>
      </c>
      <c r="F16" s="586">
        <f>HLOOKUP(F$4,'rates, dates, etc'!F287:L298,12,FALSE)</f>
        <v>0</v>
      </c>
      <c r="G16" s="27">
        <f>SUM(B16:F16)</f>
        <v>0</v>
      </c>
      <c r="H16" s="3" t="str">
        <f>+'rates, dates, etc'!$B$242</f>
        <v>Contract College</v>
      </c>
      <c r="I16" s="3" t="str">
        <f>+'rates, dates, etc'!$B$243</f>
        <v>On</v>
      </c>
    </row>
    <row r="17" spans="1:15" x14ac:dyDescent="0.2">
      <c r="A17" s="10" t="str">
        <f>+'Co PI 3'!A8</f>
        <v>Co-PI</v>
      </c>
      <c r="B17" s="586">
        <f>HLOOKUP(B$4,'rates, dates, etc'!B365:H376,12,FALSE)</f>
        <v>0</v>
      </c>
      <c r="C17" s="586">
        <f>HLOOKUP(C$4,'rates, dates, etc'!C365:I376,12,FALSE)</f>
        <v>0</v>
      </c>
      <c r="D17" s="586">
        <f>HLOOKUP(D$4,'rates, dates, etc'!D365:J376,12,FALSE)</f>
        <v>0</v>
      </c>
      <c r="E17" s="586">
        <f>HLOOKUP(E$4,'rates, dates, etc'!E365:K376,12,FALSE)</f>
        <v>0</v>
      </c>
      <c r="F17" s="586">
        <f>HLOOKUP(F$4,'rates, dates, etc'!F365:L376,12,FALSE)</f>
        <v>0</v>
      </c>
      <c r="G17" s="27">
        <f>SUM(B17:F17)</f>
        <v>0</v>
      </c>
      <c r="H17" s="3" t="str">
        <f>+'rates, dates, etc'!$B$348</f>
        <v>Contract College</v>
      </c>
      <c r="I17" s="3" t="str">
        <f>+'rates, dates, etc'!$B$349</f>
        <v>On</v>
      </c>
    </row>
    <row r="18" spans="1:15" x14ac:dyDescent="0.2">
      <c r="A18" s="10" t="str">
        <f>+'Co PI 3'!A9</f>
        <v>Co-PI</v>
      </c>
      <c r="B18" s="586">
        <f>HLOOKUP(B$4,'rates, dates, etc'!B379:H390,12,FALSE)</f>
        <v>0</v>
      </c>
      <c r="C18" s="586">
        <f>HLOOKUP(C$4,'rates, dates, etc'!C379:I390,12,FALSE)</f>
        <v>0</v>
      </c>
      <c r="D18" s="586">
        <f>HLOOKUP(D$4,'rates, dates, etc'!D379:J390,12,FALSE)</f>
        <v>0</v>
      </c>
      <c r="E18" s="586">
        <f>HLOOKUP(E$4,'rates, dates, etc'!E379:K390,12,FALSE)</f>
        <v>0</v>
      </c>
      <c r="F18" s="586">
        <f>HLOOKUP(F$4,'rates, dates, etc'!F379:L390,12,FALSE)</f>
        <v>0</v>
      </c>
      <c r="G18" s="27">
        <f t="shared" ref="G18:G25" si="3">SUM(B18:F18)</f>
        <v>0</v>
      </c>
      <c r="H18" s="3" t="str">
        <f>+'rates, dates, etc'!$B$348</f>
        <v>Contract College</v>
      </c>
      <c r="I18" s="3" t="str">
        <f>+'rates, dates, etc'!$B$349</f>
        <v>On</v>
      </c>
    </row>
    <row r="19" spans="1:15" x14ac:dyDescent="0.2">
      <c r="A19" s="10" t="str">
        <f>+'Co PI 3'!A10</f>
        <v>Co-PI</v>
      </c>
      <c r="B19" s="586">
        <f>HLOOKUP(B$4,'rates, dates, etc'!B393:H404,12,FALSE)</f>
        <v>0</v>
      </c>
      <c r="C19" s="586">
        <f>HLOOKUP(C$4,'rates, dates, etc'!C393:I404,12,FALSE)</f>
        <v>0</v>
      </c>
      <c r="D19" s="586">
        <f>HLOOKUP(D$4,'rates, dates, etc'!D393:J404,12,FALSE)</f>
        <v>0</v>
      </c>
      <c r="E19" s="586">
        <f>HLOOKUP(E$4,'rates, dates, etc'!E393:K404,12,FALSE)</f>
        <v>0</v>
      </c>
      <c r="F19" s="586">
        <f>HLOOKUP(F$4,'rates, dates, etc'!F393:L404,12,FALSE)</f>
        <v>0</v>
      </c>
      <c r="G19" s="27">
        <f t="shared" si="3"/>
        <v>0</v>
      </c>
      <c r="H19" s="3" t="str">
        <f>+'rates, dates, etc'!$B$348</f>
        <v>Contract College</v>
      </c>
      <c r="I19" s="3" t="str">
        <f>+'rates, dates, etc'!$B$349</f>
        <v>On</v>
      </c>
    </row>
    <row r="20" spans="1:15" x14ac:dyDescent="0.2">
      <c r="A20" s="10" t="str">
        <f>+'Co-PI Budget (4)'!A8</f>
        <v>Co-PI</v>
      </c>
      <c r="B20" s="586">
        <f>HLOOKUP(B$4,'rates, dates, etc'!B471:H482,12,FALSE)</f>
        <v>0</v>
      </c>
      <c r="C20" s="586">
        <f>HLOOKUP(C$4,'rates, dates, etc'!C471:I482,12,FALSE)</f>
        <v>0</v>
      </c>
      <c r="D20" s="586">
        <f>HLOOKUP(D$4,'rates, dates, etc'!D471:J482,12,FALSE)</f>
        <v>0</v>
      </c>
      <c r="E20" s="586">
        <f>HLOOKUP(E$4,'rates, dates, etc'!E471:K482,12,FALSE)</f>
        <v>0</v>
      </c>
      <c r="F20" s="586">
        <f>HLOOKUP(F$4,'rates, dates, etc'!F471:L482,12,FALSE)</f>
        <v>0</v>
      </c>
      <c r="G20" s="27">
        <f t="shared" si="3"/>
        <v>0</v>
      </c>
      <c r="H20" s="3" t="str">
        <f>+'rates, dates, etc'!$B$348</f>
        <v>Contract College</v>
      </c>
      <c r="I20" s="3" t="str">
        <f>+'rates, dates, etc'!$B$349</f>
        <v>On</v>
      </c>
    </row>
    <row r="21" spans="1:15" x14ac:dyDescent="0.2">
      <c r="A21" s="10" t="str">
        <f>+'Co-PI Budget (4)'!A9</f>
        <v>Co-PI</v>
      </c>
      <c r="B21" s="586">
        <f>HLOOKUP(B$4,'rates, dates, etc'!B485:H496,12,FALSE)</f>
        <v>0</v>
      </c>
      <c r="C21" s="586">
        <f>HLOOKUP(C$4,'rates, dates, etc'!C485:I496,12,FALSE)</f>
        <v>0</v>
      </c>
      <c r="D21" s="586">
        <f>HLOOKUP(D$4,'rates, dates, etc'!D485:J496,12,FALSE)</f>
        <v>0</v>
      </c>
      <c r="E21" s="586">
        <f>HLOOKUP(E$4,'rates, dates, etc'!E485:K496,12,FALSE)</f>
        <v>0</v>
      </c>
      <c r="F21" s="586">
        <f>HLOOKUP(F$4,'rates, dates, etc'!F485:L496,12,FALSE)</f>
        <v>0</v>
      </c>
      <c r="G21" s="27">
        <f t="shared" si="3"/>
        <v>0</v>
      </c>
      <c r="H21" s="3" t="str">
        <f>+'rates, dates, etc'!$B$454</f>
        <v>Contract College</v>
      </c>
      <c r="I21" s="3" t="str">
        <f>+'rates, dates, etc'!$B$349</f>
        <v>On</v>
      </c>
    </row>
    <row r="22" spans="1:15" x14ac:dyDescent="0.2">
      <c r="A22" s="10" t="str">
        <f>+'Co-PI Budget (4)'!A10</f>
        <v>Co-PI</v>
      </c>
      <c r="B22" s="586">
        <f>HLOOKUP(B$4,'rates, dates, etc'!B499:H510,12,FALSE)</f>
        <v>0</v>
      </c>
      <c r="C22" s="586">
        <f>HLOOKUP(C$4,'rates, dates, etc'!C499:I510,12,FALSE)</f>
        <v>0</v>
      </c>
      <c r="D22" s="586">
        <f>HLOOKUP(D$4,'rates, dates, etc'!D499:J510,12,FALSE)</f>
        <v>0</v>
      </c>
      <c r="E22" s="586">
        <f>HLOOKUP(E$4,'rates, dates, etc'!E499:K510,12,FALSE)</f>
        <v>0</v>
      </c>
      <c r="F22" s="586">
        <f>HLOOKUP(F$4,'rates, dates, etc'!F499:L510,12,FALSE)</f>
        <v>0</v>
      </c>
      <c r="G22" s="27">
        <f t="shared" si="3"/>
        <v>0</v>
      </c>
      <c r="H22" s="3" t="str">
        <f>+'rates, dates, etc'!$B$454</f>
        <v>Contract College</v>
      </c>
      <c r="I22" s="3" t="str">
        <f>+'rates, dates, etc'!$B$349</f>
        <v>On</v>
      </c>
    </row>
    <row r="23" spans="1:15" x14ac:dyDescent="0.2">
      <c r="A23" s="10" t="str">
        <f>+'Co-PI Budget (5)'!A8</f>
        <v>Co-PI</v>
      </c>
      <c r="B23" s="586">
        <f>HLOOKUP(B$4,'rates, dates, etc'!B577:H588,12,FALSE)</f>
        <v>0</v>
      </c>
      <c r="C23" s="586">
        <f>HLOOKUP(C$4,'rates, dates, etc'!C577:I588,12,FALSE)</f>
        <v>0</v>
      </c>
      <c r="D23" s="586">
        <f>HLOOKUP(D$4,'rates, dates, etc'!D577:J588,12,FALSE)</f>
        <v>0</v>
      </c>
      <c r="E23" s="586">
        <f>HLOOKUP(E$4,'rates, dates, etc'!E577:K588,12,FALSE)</f>
        <v>0</v>
      </c>
      <c r="F23" s="586">
        <f>HLOOKUP(F$4,'rates, dates, etc'!F577:L588,12,FALSE)</f>
        <v>0</v>
      </c>
      <c r="G23" s="27">
        <f t="shared" si="3"/>
        <v>0</v>
      </c>
      <c r="H23" s="3" t="str">
        <f>+'rates, dates, etc'!$B$454</f>
        <v>Contract College</v>
      </c>
      <c r="I23" s="3" t="str">
        <f>+'rates, dates, etc'!$B$455</f>
        <v>On</v>
      </c>
    </row>
    <row r="24" spans="1:15" ht="12" thickBot="1" x14ac:dyDescent="0.25">
      <c r="A24" s="10" t="str">
        <f>+'Co-PI Budget (5)'!A9</f>
        <v>Co-PI</v>
      </c>
      <c r="B24" s="586">
        <f>HLOOKUP(B$4,'rates, dates, etc'!B591:H602,12,FALSE)</f>
        <v>0</v>
      </c>
      <c r="C24" s="586">
        <f>HLOOKUP(C$4,'rates, dates, etc'!C591:I602,12,FALSE)</f>
        <v>0</v>
      </c>
      <c r="D24" s="586">
        <f>HLOOKUP(D$4,'rates, dates, etc'!D591:J602,12,FALSE)</f>
        <v>0</v>
      </c>
      <c r="E24" s="586">
        <f>HLOOKUP(E$4,'rates, dates, etc'!E591:K602,12,FALSE)</f>
        <v>0</v>
      </c>
      <c r="F24" s="586">
        <f>HLOOKUP(F$4,'rates, dates, etc'!F591:L602,12,FALSE)</f>
        <v>0</v>
      </c>
      <c r="G24" s="27">
        <f t="shared" si="3"/>
        <v>0</v>
      </c>
      <c r="H24" s="3" t="str">
        <f>+'rates, dates, etc'!$B$560</f>
        <v>Contract College</v>
      </c>
      <c r="I24" s="3" t="str">
        <f>+'rates, dates, etc'!$B$455</f>
        <v>On</v>
      </c>
      <c r="J24" s="67" t="s">
        <v>86</v>
      </c>
      <c r="K24" s="31" t="str">
        <f>+'rates, dates, etc'!B103</f>
        <v>Year 1</v>
      </c>
      <c r="L24" s="31" t="str">
        <f>+'rates, dates, etc'!C103</f>
        <v>Year 2</v>
      </c>
      <c r="M24" s="31" t="str">
        <f>+'rates, dates, etc'!D103</f>
        <v>Year 3</v>
      </c>
      <c r="N24" s="31" t="str">
        <f>+'rates, dates, etc'!E103</f>
        <v>Year 4</v>
      </c>
      <c r="O24" s="31" t="str">
        <f>+'rates, dates, etc'!F103</f>
        <v>Year 5</v>
      </c>
    </row>
    <row r="25" spans="1:15" x14ac:dyDescent="0.2">
      <c r="A25" s="10" t="str">
        <f>+'Co-PI Budget (5)'!A10</f>
        <v>Co-PI</v>
      </c>
      <c r="B25" s="586">
        <f>HLOOKUP(B$4,'rates, dates, etc'!B605:H616,12,FALSE)</f>
        <v>0</v>
      </c>
      <c r="C25" s="586">
        <f>HLOOKUP(C$4,'rates, dates, etc'!C605:I616,12,FALSE)</f>
        <v>0</v>
      </c>
      <c r="D25" s="586">
        <f>HLOOKUP(D$4,'rates, dates, etc'!D605:J616,12,FALSE)</f>
        <v>0</v>
      </c>
      <c r="E25" s="586">
        <f>HLOOKUP(E$4,'rates, dates, etc'!E605:K616,12,FALSE)</f>
        <v>0</v>
      </c>
      <c r="F25" s="586">
        <f>HLOOKUP(F$4,'rates, dates, etc'!F605:L616,12,FALSE)</f>
        <v>0</v>
      </c>
      <c r="G25" s="27">
        <f t="shared" si="3"/>
        <v>0</v>
      </c>
      <c r="H25" s="3" t="str">
        <f>+'rates, dates, etc'!$B$560</f>
        <v>Contract College</v>
      </c>
      <c r="I25" s="3" t="str">
        <f>+'rates, dates, etc'!$B$455</f>
        <v>On</v>
      </c>
      <c r="J25" s="36" t="s">
        <v>32</v>
      </c>
      <c r="K25" s="37">
        <f>+'Lead Budget'!J13+Stedman!J13+'Co PI 2'!J13+'Co PI 3'!J13+'Co-PI Budget (4)'!J13+'Co-PI Budget (5)'!J13</f>
        <v>0</v>
      </c>
      <c r="L25" s="37">
        <f>+'Lead Budget'!K13+Stedman!K13+'Co PI 2'!K13+'Co PI 3'!K13+'Co-PI Budget (4)'!K13+'Co-PI Budget (5)'!K13</f>
        <v>0</v>
      </c>
      <c r="M25" s="37">
        <f>+'Lead Budget'!L13+Stedman!L13+'Co PI 2'!L13+'Co PI 3'!L13+'Co-PI Budget (4)'!L13+'Co-PI Budget (5)'!L13</f>
        <v>0</v>
      </c>
      <c r="N25" s="37">
        <f>+'Lead Budget'!M13+Stedman!M13+'Co PI 2'!M13+'Co PI 3'!M13+'Co-PI Budget (4)'!M13+'Co-PI Budget (5)'!M13</f>
        <v>0</v>
      </c>
      <c r="O25" s="37">
        <f>+'Lead Budget'!N13+Stedman!N13+'Co PI 2'!N13+'Co PI 3'!N13+'Co-PI Budget (4)'!N13+'Co-PI Budget (5)'!N13</f>
        <v>0</v>
      </c>
    </row>
    <row r="26" spans="1:15" ht="12" thickBot="1" x14ac:dyDescent="0.25">
      <c r="A26" s="15" t="str">
        <f>CONCATENATE("Total ",A7)</f>
        <v>Total Senior Personnel</v>
      </c>
      <c r="B26" s="16">
        <f>SUM(B7:B25)</f>
        <v>0</v>
      </c>
      <c r="C26" s="16">
        <f t="shared" ref="C26:F26" si="4">SUM(C7:C25)</f>
        <v>0</v>
      </c>
      <c r="D26" s="16">
        <f t="shared" si="4"/>
        <v>0</v>
      </c>
      <c r="E26" s="16">
        <f t="shared" si="4"/>
        <v>0</v>
      </c>
      <c r="F26" s="16">
        <f t="shared" si="4"/>
        <v>0</v>
      </c>
      <c r="G26" s="28">
        <f>SUM(G7:G25)</f>
        <v>0</v>
      </c>
      <c r="J26" s="587" t="s">
        <v>245</v>
      </c>
      <c r="K26" s="105">
        <f>+'Lead Budget'!$J$15+Stedman!$J$15+'Co PI 2'!$J$15+'Co PI 3'!$J$15+'Co-PI Budget (4)'!$J$15+'Co-PI Budget (5)'!$J$15</f>
        <v>0</v>
      </c>
      <c r="L26" s="105">
        <f>+'Lead Budget'!$K$15+Stedman!$K$15+'Co PI 2'!$K$15+'Co PI 3'!$K$15+'Co-PI Budget (4)'!$K$15+'Co-PI Budget (5)'!$K$15</f>
        <v>0</v>
      </c>
      <c r="M26" s="105">
        <f>+'Lead Budget'!$L$15+Stedman!$L$15+'Co PI 2'!$L$15+'Co PI 3'!$L$15+'Co-PI Budget (4)'!$L$15+'Co-PI Budget (5)'!$L$15</f>
        <v>0</v>
      </c>
      <c r="N26" s="105">
        <f>+'Lead Budget'!$M$15+Stedman!$M$15+'Co PI 2'!$M$15+'Co PI 3'!$M$15+'Co-PI Budget (4)'!$M$15+'Co-PI Budget (5)'!$M$15</f>
        <v>0</v>
      </c>
      <c r="O26" s="105">
        <f>+'Lead Budget'!$N$15+Stedman!$N$15+'Co PI 2'!$N$15+'Co PI 3'!$N$15+'Co-PI Budget (4)'!$N$15+'Co-PI Budget (5)'!$N$15</f>
        <v>0</v>
      </c>
    </row>
    <row r="27" spans="1:15" x14ac:dyDescent="0.2">
      <c r="A27" s="14" t="s">
        <v>142</v>
      </c>
      <c r="G27" s="27"/>
    </row>
    <row r="28" spans="1:15" x14ac:dyDescent="0.2">
      <c r="A28" s="10" t="str">
        <f>+'Lead Budget'!A15</f>
        <v>Graduate Student(s)</v>
      </c>
      <c r="B28" s="13">
        <f>+K37+K51</f>
        <v>0</v>
      </c>
      <c r="C28" s="13">
        <f>+L37+L51</f>
        <v>0</v>
      </c>
      <c r="D28" s="13">
        <f>+M37+M51</f>
        <v>0</v>
      </c>
      <c r="E28" s="13">
        <f>+N37+N51</f>
        <v>0</v>
      </c>
      <c r="F28" s="13">
        <f>+O37+O51</f>
        <v>0</v>
      </c>
      <c r="G28" s="27">
        <f t="shared" ref="G28" si="5">SUM(B28:F28)</f>
        <v>0</v>
      </c>
      <c r="H28" s="607" t="s">
        <v>110</v>
      </c>
      <c r="I28" s="3" t="s">
        <v>178</v>
      </c>
    </row>
    <row r="29" spans="1:15" x14ac:dyDescent="0.2">
      <c r="A29" s="10" t="str">
        <f>+'Lead Budget'!A16</f>
        <v>Undergraduate Student(s)</v>
      </c>
      <c r="B29" s="13"/>
      <c r="C29" s="13"/>
      <c r="D29" s="13"/>
      <c r="E29" s="13"/>
      <c r="F29" s="13"/>
      <c r="G29" s="27">
        <f>SUM(B29:F29)</f>
        <v>0</v>
      </c>
      <c r="H29" s="607" t="s">
        <v>110</v>
      </c>
      <c r="I29" s="3" t="s">
        <v>178</v>
      </c>
      <c r="J29" s="591" t="s">
        <v>249</v>
      </c>
      <c r="K29" s="588"/>
      <c r="L29" s="588"/>
      <c r="M29" s="588"/>
      <c r="N29" s="588"/>
      <c r="O29" s="588"/>
    </row>
    <row r="30" spans="1:15" x14ac:dyDescent="0.2">
      <c r="A30" s="10" t="s">
        <v>254</v>
      </c>
      <c r="B30" s="13"/>
      <c r="C30" s="13"/>
      <c r="D30" s="13"/>
      <c r="E30" s="13"/>
      <c r="F30" s="13"/>
      <c r="G30" s="27">
        <f t="shared" ref="G30:G32" si="6">SUM(B30:F30)</f>
        <v>0</v>
      </c>
      <c r="H30" s="609" t="str">
        <f>+'rates, dates, etc'!$B$30</f>
        <v>Contract College</v>
      </c>
      <c r="I30" s="609" t="str">
        <f>+'rates, dates, etc'!$B$31</f>
        <v>On</v>
      </c>
      <c r="J30" s="591" t="s">
        <v>250</v>
      </c>
      <c r="K30" s="31" t="s">
        <v>1</v>
      </c>
      <c r="L30" s="31" t="s">
        <v>2</v>
      </c>
      <c r="M30" s="31" t="s">
        <v>3</v>
      </c>
      <c r="N30" s="31" t="s">
        <v>44</v>
      </c>
      <c r="O30" s="31" t="s">
        <v>50</v>
      </c>
    </row>
    <row r="31" spans="1:15" x14ac:dyDescent="0.2">
      <c r="A31" s="10" t="s">
        <v>254</v>
      </c>
      <c r="B31" s="13"/>
      <c r="C31" s="13"/>
      <c r="D31" s="13"/>
      <c r="E31" s="13"/>
      <c r="F31" s="13"/>
      <c r="G31" s="27">
        <f t="shared" si="6"/>
        <v>0</v>
      </c>
      <c r="H31" s="609" t="str">
        <f>+'rates, dates, etc'!$B$30</f>
        <v>Contract College</v>
      </c>
      <c r="I31" s="609" t="str">
        <f>+'rates, dates, etc'!$B$31</f>
        <v>On</v>
      </c>
      <c r="J31" s="590" t="str">
        <f>+'Do not use-GRA CostShare calc'!A10</f>
        <v>Number of Students (Spring)</v>
      </c>
      <c r="K31" s="592">
        <v>0</v>
      </c>
      <c r="L31" s="592">
        <v>0</v>
      </c>
      <c r="M31" s="592">
        <v>0</v>
      </c>
      <c r="N31" s="592">
        <v>0</v>
      </c>
      <c r="O31" s="592">
        <v>0</v>
      </c>
    </row>
    <row r="32" spans="1:15" x14ac:dyDescent="0.2">
      <c r="A32" s="10" t="s">
        <v>254</v>
      </c>
      <c r="B32" s="13"/>
      <c r="C32" s="13"/>
      <c r="D32" s="13"/>
      <c r="E32" s="13"/>
      <c r="F32" s="13"/>
      <c r="G32" s="27">
        <f t="shared" si="6"/>
        <v>0</v>
      </c>
      <c r="H32" s="609" t="str">
        <f>+'rates, dates, etc'!$B$30</f>
        <v>Contract College</v>
      </c>
      <c r="I32" s="609" t="str">
        <f>+'rates, dates, etc'!$B$31</f>
        <v>On</v>
      </c>
      <c r="J32" s="590" t="str">
        <f>+'Do not use-GRA CostShare calc'!A11</f>
        <v>Number of Students (Summer)</v>
      </c>
      <c r="K32" s="487">
        <f>+K31</f>
        <v>0</v>
      </c>
      <c r="L32" s="487">
        <f>+L31</f>
        <v>0</v>
      </c>
      <c r="M32" s="487">
        <f>+M31</f>
        <v>0</v>
      </c>
      <c r="N32" s="487">
        <f>+N31</f>
        <v>0</v>
      </c>
      <c r="O32" s="487">
        <f>+O31</f>
        <v>0</v>
      </c>
    </row>
    <row r="33" spans="1:15" ht="12" thickBot="1" x14ac:dyDescent="0.25">
      <c r="A33" s="15" t="str">
        <f>CONCATENATE("Total ",A27)</f>
        <v>Total Other Personnel</v>
      </c>
      <c r="B33" s="16">
        <f t="shared" ref="B33:G33" si="7">SUM(B27:B32)</f>
        <v>0</v>
      </c>
      <c r="C33" s="16">
        <f t="shared" si="7"/>
        <v>0</v>
      </c>
      <c r="D33" s="16">
        <f t="shared" si="7"/>
        <v>0</v>
      </c>
      <c r="E33" s="16">
        <f t="shared" si="7"/>
        <v>0</v>
      </c>
      <c r="F33" s="16">
        <f t="shared" si="7"/>
        <v>0</v>
      </c>
      <c r="G33" s="28">
        <f t="shared" si="7"/>
        <v>0</v>
      </c>
      <c r="J33" s="590" t="str">
        <f>+'Do not use-GRA CostShare calc'!A12</f>
        <v>Number of Students (Fall)</v>
      </c>
      <c r="K33" s="487">
        <f>+K31</f>
        <v>0</v>
      </c>
      <c r="L33" s="487">
        <f>+L31</f>
        <v>0</v>
      </c>
      <c r="M33" s="487">
        <f>+M31</f>
        <v>0</v>
      </c>
      <c r="N33" s="487">
        <f>+N31</f>
        <v>0</v>
      </c>
      <c r="O33" s="487">
        <f>+O31</f>
        <v>0</v>
      </c>
    </row>
    <row r="34" spans="1:15" ht="12" thickBot="1" x14ac:dyDescent="0.25">
      <c r="A34" s="367" t="s">
        <v>143</v>
      </c>
      <c r="B34" s="368">
        <f>+B26+B33</f>
        <v>0</v>
      </c>
      <c r="C34" s="368">
        <f>+C26+C33</f>
        <v>0</v>
      </c>
      <c r="D34" s="368">
        <f>+D26+D33</f>
        <v>0</v>
      </c>
      <c r="E34" s="368">
        <f>+E26+E33</f>
        <v>0</v>
      </c>
      <c r="F34" s="368">
        <f>+F26+F33</f>
        <v>0</v>
      </c>
      <c r="G34" s="369">
        <f>SUM(B34:F34)</f>
        <v>0</v>
      </c>
    </row>
    <row r="35" spans="1:15" ht="12" thickBot="1" x14ac:dyDescent="0.25">
      <c r="A35" s="9" t="s">
        <v>7</v>
      </c>
      <c r="B35" s="11" t="s">
        <v>6</v>
      </c>
      <c r="C35" s="11" t="s">
        <v>6</v>
      </c>
      <c r="D35" s="11" t="s">
        <v>6</v>
      </c>
      <c r="E35" s="11" t="s">
        <v>6</v>
      </c>
      <c r="F35" s="11" t="s">
        <v>6</v>
      </c>
      <c r="G35" s="27"/>
      <c r="J35" s="67" t="s">
        <v>86</v>
      </c>
      <c r="K35" s="31" t="str">
        <f>+'rates, dates, etc'!B103</f>
        <v>Year 1</v>
      </c>
      <c r="L35" s="31" t="str">
        <f>+'rates, dates, etc'!C103</f>
        <v>Year 2</v>
      </c>
      <c r="M35" s="31" t="str">
        <f>+'rates, dates, etc'!D103</f>
        <v>Year 3</v>
      </c>
      <c r="N35" s="31" t="str">
        <f>+'rates, dates, etc'!E103</f>
        <v>Year 4</v>
      </c>
      <c r="O35" s="31" t="str">
        <f>+'rates, dates, etc'!F103</f>
        <v>Year 5</v>
      </c>
    </row>
    <row r="36" spans="1:15" x14ac:dyDescent="0.2">
      <c r="A36" s="10" t="str">
        <f t="shared" ref="A36:A53" si="8">+A8</f>
        <v>Vivek Srikrishnan</v>
      </c>
      <c r="B36" s="11">
        <f>IF('rates, dates, etc'!$I49=9,ROUND((+B8*+'Lead Budget'!J$23),0),ROUND((+B8*+'Lead Budget'!J$26*+'Lead Budget'!$K$35)+(B8*+'Lead Budget'!K$26*+'Lead Budget'!$K$36),0))</f>
        <v>0</v>
      </c>
      <c r="C36" s="11">
        <f>IF('rates, dates, etc'!$I49=9,ROUND((+C8*+'Lead Budget'!K$23),0),ROUND((+C8*+'Lead Budget'!K$26*+'Lead Budget'!$K$35)+(C8*+'Lead Budget'!L$26*+'Lead Budget'!$K$36),0))</f>
        <v>0</v>
      </c>
      <c r="D36" s="11">
        <f>IF('rates, dates, etc'!$I49=9,ROUND((+D8*+'Lead Budget'!L$23),0),ROUND((+D8*+'Lead Budget'!L$26*+'Lead Budget'!$K$35)+(D8*+'Lead Budget'!M$26*+'Lead Budget'!$K$36),0))</f>
        <v>0</v>
      </c>
      <c r="E36" s="11">
        <f>IF('rates, dates, etc'!$I49=9,ROUND((+E8*+'Lead Budget'!M$23),0),ROUND((+E8*+'Lead Budget'!M$26*+'Lead Budget'!$K$35)+(E8*+'Lead Budget'!N$26*+'Lead Budget'!$K$36),0))</f>
        <v>0</v>
      </c>
      <c r="F36" s="11">
        <f>IF('rates, dates, etc'!$I49=9,ROUND((+F8*+'Lead Budget'!N$23),0),ROUND((+F8*+'Lead Budget'!N$26*+'Lead Budget'!$K$35)+(F8*+'Lead Budget'!O$26*+'Lead Budget'!$K$36),0))</f>
        <v>0</v>
      </c>
      <c r="G36" s="27">
        <f>SUM(B36:F36)</f>
        <v>0</v>
      </c>
      <c r="H36" s="3" t="str">
        <f>+H8</f>
        <v>Contract College</v>
      </c>
      <c r="I36" s="3" t="str">
        <f>+I8</f>
        <v>On</v>
      </c>
      <c r="J36" s="36" t="s">
        <v>246</v>
      </c>
      <c r="K36" s="37">
        <f>(+'Do not use-GRA CostShare calc'!M41+'Do not use-GRA CostShare calc'!M42+'Do not use-GRA CostShare calc'!M43)/3</f>
        <v>0</v>
      </c>
      <c r="L36" s="37">
        <f>(+'Do not use-GRA CostShare calc'!N41+'Do not use-GRA CostShare calc'!N42+'Do not use-GRA CostShare calc'!N43)/3</f>
        <v>0</v>
      </c>
      <c r="M36" s="37">
        <f>(+'Do not use-GRA CostShare calc'!O41+'Do not use-GRA CostShare calc'!O42+'Do not use-GRA CostShare calc'!O43)/3</f>
        <v>0</v>
      </c>
      <c r="N36" s="37">
        <f>(+'Do not use-GRA CostShare calc'!P41+'Do not use-GRA CostShare calc'!P42+'Do not use-GRA CostShare calc'!P43)/3</f>
        <v>0</v>
      </c>
      <c r="O36" s="37">
        <f>(+'Do not use-GRA CostShare calc'!Q41+'Do not use-GRA CostShare calc'!Q42+'Do not use-GRA CostShare calc'!Q43)/3</f>
        <v>0</v>
      </c>
    </row>
    <row r="37" spans="1:15" x14ac:dyDescent="0.2">
      <c r="A37" s="10" t="str">
        <f t="shared" si="8"/>
        <v>S. Steinschneider</v>
      </c>
      <c r="B37" s="11">
        <f>IF('rates, dates, etc'!$I50=9,ROUND((+B9*+'Lead Budget'!J$23),0),ROUND((+B9*+'Lead Budget'!J$26*+'Lead Budget'!$K$35)+(B9*+'Lead Budget'!K$26*+'Lead Budget'!$K$36),0))</f>
        <v>0</v>
      </c>
      <c r="C37" s="11">
        <f>IF('rates, dates, etc'!$I50=9,ROUND((+C9*+'Lead Budget'!K$23),0),ROUND((+C9*+'Lead Budget'!K$26*+'Lead Budget'!$K$35)+(C9*+'Lead Budget'!L$26*+'Lead Budget'!$K$36),0))</f>
        <v>0</v>
      </c>
      <c r="D37" s="11">
        <f>IF('rates, dates, etc'!$I50=9,ROUND((+D9*+'Lead Budget'!L$23),0),ROUND((+D9*+'Lead Budget'!L$26*+'Lead Budget'!$K$35)+(D9*+'Lead Budget'!M$26*+'Lead Budget'!$K$36),0))</f>
        <v>0</v>
      </c>
      <c r="E37" s="11">
        <f>IF('rates, dates, etc'!$I50=9,ROUND((+E9*+'Lead Budget'!M$23),0),ROUND((+E9*+'Lead Budget'!M$26*+'Lead Budget'!$K$35)+(E9*+'Lead Budget'!N$26*+'Lead Budget'!$K$36),0))</f>
        <v>0</v>
      </c>
      <c r="F37" s="11">
        <f>IF('rates, dates, etc'!$I50=9,ROUND((+F9*+'Lead Budget'!N$23),0),ROUND((+F9*+'Lead Budget'!N$26*+'Lead Budget'!$K$35)+(F9*+'Lead Budget'!O$26*+'Lead Budget'!$K$36),0))</f>
        <v>0</v>
      </c>
      <c r="G37" s="27">
        <f t="shared" ref="G37:G56" si="9">SUM(B37:F37)</f>
        <v>0</v>
      </c>
      <c r="H37" s="3" t="str">
        <f t="shared" ref="H37:I53" si="10">+H9</f>
        <v>Contract College</v>
      </c>
      <c r="I37" s="3" t="str">
        <f t="shared" si="10"/>
        <v>On</v>
      </c>
      <c r="J37" s="10" t="s">
        <v>22</v>
      </c>
      <c r="K37" s="12">
        <f>+'Do not use-GRA CostShare calc'!M47</f>
        <v>0</v>
      </c>
      <c r="L37" s="12">
        <f>+'Do not use-GRA CostShare calc'!N47</f>
        <v>0</v>
      </c>
      <c r="M37" s="12">
        <f>+'Do not use-GRA CostShare calc'!O47</f>
        <v>0</v>
      </c>
      <c r="N37" s="12">
        <f>+'Do not use-GRA CostShare calc'!P47</f>
        <v>0</v>
      </c>
      <c r="O37" s="12">
        <f>+'Do not use-GRA CostShare calc'!Q47</f>
        <v>0</v>
      </c>
    </row>
    <row r="38" spans="1:15" x14ac:dyDescent="0.2">
      <c r="A38" s="10" t="str">
        <f t="shared" si="8"/>
        <v>Co-PI</v>
      </c>
      <c r="B38" s="11">
        <f>IF('rates, dates, etc'!$I51=9,ROUND((+B10*+'Lead Budget'!J$23),0),ROUND((+B10*+'Lead Budget'!J$26*+'Lead Budget'!$K$35)+(B10*+'Lead Budget'!K$26*+'Lead Budget'!$K$36),0))</f>
        <v>0</v>
      </c>
      <c r="C38" s="11">
        <f>IF('rates, dates, etc'!$I51=9,ROUND((+C10*+'Lead Budget'!K$23),0),ROUND((+C10*+'Lead Budget'!K$26*+'Lead Budget'!$K$35)+(C10*+'Lead Budget'!L$26*+'Lead Budget'!$K$36),0))</f>
        <v>0</v>
      </c>
      <c r="D38" s="11">
        <f>IF('rates, dates, etc'!$I51=9,ROUND((+D10*+'Lead Budget'!L$23),0),ROUND((+D10*+'Lead Budget'!L$26*+'Lead Budget'!$K$35)+(D10*+'Lead Budget'!M$26*+'Lead Budget'!$K$36),0))</f>
        <v>0</v>
      </c>
      <c r="E38" s="11">
        <f>IF('rates, dates, etc'!$I51=9,ROUND((+E10*+'Lead Budget'!M$23),0),ROUND((+E10*+'Lead Budget'!M$26*+'Lead Budget'!$K$35)+(E10*+'Lead Budget'!N$26*+'Lead Budget'!$K$36),0))</f>
        <v>0</v>
      </c>
      <c r="F38" s="11">
        <f>IF('rates, dates, etc'!$I51=9,ROUND((+F10*+'Lead Budget'!N$23),0),ROUND((+F10*+'Lead Budget'!N$26*+'Lead Budget'!$K$35)+(F10*+'Lead Budget'!O$26*+'Lead Budget'!$K$36),0))</f>
        <v>0</v>
      </c>
      <c r="G38" s="27">
        <f t="shared" si="9"/>
        <v>0</v>
      </c>
      <c r="H38" s="3" t="str">
        <f t="shared" si="10"/>
        <v>Contract College</v>
      </c>
      <c r="I38" s="3" t="str">
        <f t="shared" si="10"/>
        <v>On</v>
      </c>
      <c r="J38" s="10" t="s">
        <v>8</v>
      </c>
      <c r="K38" s="12">
        <f>+'Do not use-GRA CostShare calc'!M48</f>
        <v>0</v>
      </c>
      <c r="L38" s="12">
        <f>+'Do not use-GRA CostShare calc'!N48</f>
        <v>0</v>
      </c>
      <c r="M38" s="12">
        <f>+'Do not use-GRA CostShare calc'!O48</f>
        <v>0</v>
      </c>
      <c r="N38" s="12">
        <f>+'Do not use-GRA CostShare calc'!P48</f>
        <v>0</v>
      </c>
      <c r="O38" s="12">
        <f>+'Do not use-GRA CostShare calc'!Q48</f>
        <v>0</v>
      </c>
    </row>
    <row r="39" spans="1:15" x14ac:dyDescent="0.2">
      <c r="A39" s="10" t="str">
        <f t="shared" si="8"/>
        <v>R Stedman</v>
      </c>
      <c r="B39" s="586">
        <f>IF('rates, dates, etc'!$I52=9,ROUND((+B11*+Stedman!J$23),0),ROUND((+B11*+Stedman!J$26*+Stedman!$K$35)+(B11*+Stedman!K$26*++Stedman!$K$36),0))</f>
        <v>0</v>
      </c>
      <c r="C39" s="586">
        <f>IF('rates, dates, etc'!$I52=9,ROUND((+C11*+Stedman!K$23),0),ROUND((+C11*+Stedman!K$26*+Stedman!$K$35)+(C11*+Stedman!L$26*++Stedman!$K$36),0))</f>
        <v>0</v>
      </c>
      <c r="D39" s="586">
        <f>IF('rates, dates, etc'!$I52=9,ROUND((+D11*+Stedman!L$23),0),ROUND((+D11*+Stedman!L$26*+Stedman!$K$35)+(D11*+Stedman!M$26*++Stedman!$K$36),0))</f>
        <v>0</v>
      </c>
      <c r="E39" s="586">
        <f>IF('rates, dates, etc'!$I52=9,ROUND((+E11*+Stedman!M$23),0),ROUND((+E11*+Stedman!M$26*+Stedman!$K$35)+(E11*+Stedman!N$26*++Stedman!$K$36),0))</f>
        <v>0</v>
      </c>
      <c r="F39" s="586">
        <f>IF('rates, dates, etc'!$I52=9,ROUND((+F11*+Stedman!N$23),0),ROUND((+F11*+Stedman!N$26*+Stedman!$K$35)+(F11*+Stedman!O$26*++Stedman!$K$36),0))</f>
        <v>0</v>
      </c>
      <c r="G39" s="27">
        <f t="shared" si="9"/>
        <v>0</v>
      </c>
      <c r="H39" s="3" t="str">
        <f t="shared" si="10"/>
        <v>Contract College</v>
      </c>
      <c r="I39" s="3" t="str">
        <f t="shared" si="10"/>
        <v>On</v>
      </c>
      <c r="J39" s="10" t="s">
        <v>9</v>
      </c>
      <c r="K39" s="12">
        <f>+'Do not use-GRA CostShare calc'!M49</f>
        <v>0</v>
      </c>
      <c r="L39" s="12">
        <f>+'Do not use-GRA CostShare calc'!N49</f>
        <v>0</v>
      </c>
      <c r="M39" s="12">
        <f>+'Do not use-GRA CostShare calc'!O49</f>
        <v>0</v>
      </c>
      <c r="N39" s="12">
        <f>+'Do not use-GRA CostShare calc'!P49</f>
        <v>0</v>
      </c>
      <c r="O39" s="12">
        <f>+'Do not use-GRA CostShare calc'!Q49</f>
        <v>0</v>
      </c>
    </row>
    <row r="40" spans="1:15" ht="12" thickBot="1" x14ac:dyDescent="0.25">
      <c r="A40" s="10" t="str">
        <f t="shared" si="8"/>
        <v>T. B. Lauber</v>
      </c>
      <c r="B40" s="586">
        <f>IF('rates, dates, etc'!$I53=9,ROUND((+B12*+Stedman!J$23),0),ROUND((+B12*+Stedman!J$26*+Stedman!$K$35)+(B12*+Stedman!K$26*++Stedman!$K$36),0))</f>
        <v>0</v>
      </c>
      <c r="C40" s="586">
        <f>IF('rates, dates, etc'!$I53=9,ROUND((+C12*+Stedman!K$23),0),ROUND((+C12*+Stedman!K$26*+Stedman!$K$35)+(C12*+Stedman!L$26*++Stedman!$K$36),0))</f>
        <v>0</v>
      </c>
      <c r="D40" s="586">
        <f>IF('rates, dates, etc'!$I53=9,ROUND((+D12*+Stedman!L$23),0),ROUND((+D12*+Stedman!L$26*+Stedman!$K$35)+(D12*+Stedman!M$26*++Stedman!$K$36),0))</f>
        <v>0</v>
      </c>
      <c r="E40" s="586">
        <f>IF('rates, dates, etc'!$I53=9,ROUND((+E12*+Stedman!M$23),0),ROUND((+E12*+Stedman!M$26*+Stedman!$K$35)+(E12*+Stedman!N$26*++Stedman!$K$36),0))</f>
        <v>0</v>
      </c>
      <c r="F40" s="586">
        <f>IF('rates, dates, etc'!$I53=9,ROUND((+F12*+Stedman!N$23),0),ROUND((+F12*+Stedman!N$26*+Stedman!$K$35)+(F12*+Stedman!O$26*++Stedman!$K$36),0))</f>
        <v>0</v>
      </c>
      <c r="G40" s="27">
        <f t="shared" si="9"/>
        <v>0</v>
      </c>
      <c r="H40" s="3" t="str">
        <f t="shared" si="10"/>
        <v>Contract College</v>
      </c>
      <c r="I40" s="3" t="str">
        <f t="shared" si="10"/>
        <v>On</v>
      </c>
      <c r="J40" s="35" t="s">
        <v>31</v>
      </c>
      <c r="K40" s="38">
        <f>ROUND(SUM(K37:K39),0)</f>
        <v>0</v>
      </c>
      <c r="L40" s="38">
        <f t="shared" ref="L40:O40" si="11">ROUND(SUM(L37:L39),0)</f>
        <v>0</v>
      </c>
      <c r="M40" s="38">
        <f t="shared" si="11"/>
        <v>0</v>
      </c>
      <c r="N40" s="38">
        <f t="shared" si="11"/>
        <v>0</v>
      </c>
      <c r="O40" s="38">
        <f t="shared" si="11"/>
        <v>0</v>
      </c>
    </row>
    <row r="41" spans="1:15" x14ac:dyDescent="0.2">
      <c r="A41" s="10" t="str">
        <f t="shared" si="8"/>
        <v>Co-PI</v>
      </c>
      <c r="B41" s="586">
        <f>IF('rates, dates, etc'!$I54=9,ROUND((+B13*+Stedman!J$23),0),ROUND((+B13*+Stedman!J$26*+Stedman!$K$35)+(B13*+Stedman!K$26*++Stedman!$K$36),0))</f>
        <v>0</v>
      </c>
      <c r="C41" s="586">
        <f>IF('rates, dates, etc'!$I54=9,ROUND((+C13*+Stedman!K$23),0),ROUND((+C13*+Stedman!K$26*+Stedman!$K$35)+(C13*+Stedman!L$26*++Stedman!$K$36),0))</f>
        <v>0</v>
      </c>
      <c r="D41" s="586">
        <f>IF('rates, dates, etc'!$I54=9,ROUND((+D13*+Stedman!L$23),0),ROUND((+D13*+Stedman!L$26*+Stedman!$K$35)+(D13*+Stedman!M$26*++Stedman!$K$36),0))</f>
        <v>0</v>
      </c>
      <c r="E41" s="586">
        <f>IF('rates, dates, etc'!$I54=9,ROUND((+E13*+Stedman!M$23),0),ROUND((+E13*+Stedman!M$26*+Stedman!$K$35)+(E13*+Stedman!N$26*++Stedman!$K$36),0))</f>
        <v>0</v>
      </c>
      <c r="F41" s="586">
        <f>IF('rates, dates, etc'!$I54=9,ROUND((+F13*+Stedman!N$23),0),ROUND((+F13*+Stedman!N$26*+Stedman!$K$35)+(F13*+Stedman!O$26*++Stedman!$K$36),0))</f>
        <v>0</v>
      </c>
      <c r="G41" s="27">
        <f t="shared" si="9"/>
        <v>0</v>
      </c>
      <c r="H41" s="3" t="str">
        <f t="shared" si="10"/>
        <v>Contract College</v>
      </c>
      <c r="I41" s="3" t="str">
        <f t="shared" si="10"/>
        <v>On</v>
      </c>
      <c r="M41" s="3"/>
      <c r="N41" s="3"/>
      <c r="O41" s="3"/>
    </row>
    <row r="42" spans="1:15" x14ac:dyDescent="0.2">
      <c r="A42" s="10" t="str">
        <f t="shared" si="8"/>
        <v>Co-PI</v>
      </c>
      <c r="B42" s="586">
        <f>IF('rates, dates, etc'!$I55=9,ROUND((+B14*+'Co PI 2'!J$23),0),ROUND((+B14*+'Co PI 2'!J$26*+'Co PI 2'!$K$35)+(B14*+'Co PI 2'!K$26*++'Co PI 2'!$K$36),0))</f>
        <v>0</v>
      </c>
      <c r="C42" s="586">
        <f>IF('rates, dates, etc'!$I55=9,ROUND((+C14*+'Co PI 2'!K$23),0),ROUND((+C14*+'Co PI 2'!K$26*+'Co PI 2'!$K$35)+(C14*+'Co PI 2'!L$26*++'Co PI 2'!$K$36),0))</f>
        <v>0</v>
      </c>
      <c r="D42" s="586">
        <f>IF('rates, dates, etc'!$I55=9,ROUND((+D14*+'Co PI 2'!L$23),0),ROUND((+D14*+'Co PI 2'!L$26*+'Co PI 2'!$K$35)+(D14*+'Co PI 2'!M$26*++'Co PI 2'!$K$36),0))</f>
        <v>0</v>
      </c>
      <c r="E42" s="586">
        <f>IF('rates, dates, etc'!$I55=9,ROUND((+E14*+'Co PI 2'!M$23),0),ROUND((+E14*+'Co PI 2'!M$26*+'Co PI 2'!$K$35)+(E14*+'Co PI 2'!N$26*++'Co PI 2'!$K$36),0))</f>
        <v>0</v>
      </c>
      <c r="F42" s="586">
        <f>IF('rates, dates, etc'!$I55=9,ROUND((+F14*+'Co PI 2'!N$23),0),ROUND((+F14*+'Co PI 2'!N$26*+'Co PI 2'!$K$35)+(F14*+'Co PI 2'!O$26*++'Co PI 2'!$K$36),0))</f>
        <v>0</v>
      </c>
      <c r="G42" s="27">
        <f t="shared" si="9"/>
        <v>0</v>
      </c>
      <c r="H42" s="3" t="str">
        <f t="shared" si="10"/>
        <v>Contract College</v>
      </c>
      <c r="I42" s="3" t="str">
        <f t="shared" si="10"/>
        <v>On</v>
      </c>
    </row>
    <row r="43" spans="1:15" x14ac:dyDescent="0.2">
      <c r="A43" s="10" t="str">
        <f t="shared" si="8"/>
        <v>Co-PI</v>
      </c>
      <c r="B43" s="586">
        <f>IF('rates, dates, etc'!$I56=9,ROUND((+B15*+'Co PI 2'!J$23),0),ROUND((+B15*+'Co PI 2'!J$26*+'Co PI 2'!$K$35)+(B15*+'Co PI 2'!K$26*++'Co PI 2'!$K$36),0))</f>
        <v>0</v>
      </c>
      <c r="C43" s="586">
        <f>IF('rates, dates, etc'!$I56=9,ROUND((+C15*+'Co PI 2'!K$23),0),ROUND((+C15*+'Co PI 2'!K$26*+'Co PI 2'!$K$35)+(C15*+'Co PI 2'!L$26*++'Co PI 2'!$K$36),0))</f>
        <v>0</v>
      </c>
      <c r="D43" s="586">
        <f>IF('rates, dates, etc'!$I56=9,ROUND((+D15*+'Co PI 2'!L$23),0),ROUND((+D15*+'Co PI 2'!L$26*+'Co PI 2'!$K$35)+(D15*+'Co PI 2'!M$26*++'Co PI 2'!$K$36),0))</f>
        <v>0</v>
      </c>
      <c r="E43" s="586">
        <f>IF('rates, dates, etc'!$I56=9,ROUND((+E15*+'Co PI 2'!M$23),0),ROUND((+E15*+'Co PI 2'!M$26*+'Co PI 2'!$K$35)+(E15*+'Co PI 2'!N$26*++'Co PI 2'!$K$36),0))</f>
        <v>0</v>
      </c>
      <c r="F43" s="586">
        <f>IF('rates, dates, etc'!$I56=9,ROUND((+F15*+'Co PI 2'!N$23),0),ROUND((+F15*+'Co PI 2'!N$26*+'Co PI 2'!$K$35)+(F15*+'Co PI 2'!O$26*++'Co PI 2'!$K$36),0))</f>
        <v>0</v>
      </c>
      <c r="G43" s="27">
        <f t="shared" si="9"/>
        <v>0</v>
      </c>
      <c r="H43" s="3" t="str">
        <f t="shared" si="10"/>
        <v>Contract College</v>
      </c>
      <c r="I43" s="3" t="str">
        <f t="shared" si="10"/>
        <v>On</v>
      </c>
      <c r="J43" s="594" t="s">
        <v>251</v>
      </c>
      <c r="K43" s="588"/>
      <c r="L43" s="588"/>
      <c r="M43" s="588"/>
      <c r="N43" s="588"/>
      <c r="O43" s="588"/>
    </row>
    <row r="44" spans="1:15" x14ac:dyDescent="0.2">
      <c r="A44" s="10" t="str">
        <f t="shared" si="8"/>
        <v>Co-PI</v>
      </c>
      <c r="B44" s="586">
        <f>IF('rates, dates, etc'!$I57=9,ROUND((+B16*+'Co PI 2'!J$23),0),ROUND((+B16*+'Co PI 2'!J$26*+'Co PI 2'!$K$35)+(B16*+'Co PI 2'!K$26*++'Co PI 2'!$K$36),0))</f>
        <v>0</v>
      </c>
      <c r="C44" s="586">
        <f>IF('rates, dates, etc'!$I57=9,ROUND((+C16*+'Co PI 2'!K$23),0),ROUND((+C16*+'Co PI 2'!K$26*+'Co PI 2'!$K$35)+(C16*+'Co PI 2'!L$26*++'Co PI 2'!$K$36),0))</f>
        <v>0</v>
      </c>
      <c r="D44" s="586">
        <f>IF('rates, dates, etc'!$I57=9,ROUND((+D16*+'Co PI 2'!L$23),0),ROUND((+D16*+'Co PI 2'!L$26*+'Co PI 2'!$K$35)+(D16*+'Co PI 2'!M$26*++'Co PI 2'!$K$36),0))</f>
        <v>0</v>
      </c>
      <c r="E44" s="586">
        <f>IF('rates, dates, etc'!$I57=9,ROUND((+E16*+'Co PI 2'!M$23),0),ROUND((+E16*+'Co PI 2'!M$26*+'Co PI 2'!$K$35)+(E16*+'Co PI 2'!N$26*++'Co PI 2'!$K$36),0))</f>
        <v>0</v>
      </c>
      <c r="F44" s="586">
        <f>IF('rates, dates, etc'!$I57=9,ROUND((+F16*+'Co PI 2'!N$23),0),ROUND((+F16*+'Co PI 2'!N$26*+'Co PI 2'!$K$35)+(F16*+'Co PI 2'!O$26*++'Co PI 2'!$K$36),0))</f>
        <v>0</v>
      </c>
      <c r="G44" s="27">
        <f t="shared" si="9"/>
        <v>0</v>
      </c>
      <c r="H44" s="3" t="str">
        <f t="shared" si="10"/>
        <v>Contract College</v>
      </c>
      <c r="I44" s="3" t="str">
        <f t="shared" si="10"/>
        <v>On</v>
      </c>
      <c r="J44" s="594" t="s">
        <v>250</v>
      </c>
      <c r="K44" s="31" t="s">
        <v>1</v>
      </c>
      <c r="L44" s="31" t="s">
        <v>2</v>
      </c>
      <c r="M44" s="31" t="s">
        <v>3</v>
      </c>
      <c r="N44" s="31" t="s">
        <v>44</v>
      </c>
      <c r="O44" s="31" t="s">
        <v>50</v>
      </c>
    </row>
    <row r="45" spans="1:15" x14ac:dyDescent="0.2">
      <c r="A45" s="10" t="str">
        <f t="shared" si="8"/>
        <v>Co-PI</v>
      </c>
      <c r="B45" s="586">
        <f>IF('rates, dates, etc'!$I58=9,ROUND((+B17*+'Co PI 3'!J$23),0),ROUND((+B17*+'Co PI 3'!J$26*+'Co PI 3'!$K$35)+(B17*+'Co PI 3'!K$26*++'Co PI 3'!$K$36),0))</f>
        <v>0</v>
      </c>
      <c r="C45" s="586">
        <f>IF('rates, dates, etc'!$I58=9,ROUND((+C17*+'Co PI 3'!K$23),0),ROUND((+C17*+'Co PI 3'!K$26*+'Co PI 3'!$K$35)+(C17*+'Co PI 3'!L$26*++'Co PI 3'!$K$36),0))</f>
        <v>0</v>
      </c>
      <c r="D45" s="586">
        <f>IF('rates, dates, etc'!$I58=9,ROUND((+D17*+'Co PI 3'!L$23),0),ROUND((+D17*+'Co PI 3'!L$26*+'Co PI 3'!$K$35)+(D17*+'Co PI 3'!M$26*++'Co PI 3'!$K$36),0))</f>
        <v>0</v>
      </c>
      <c r="E45" s="586">
        <f>IF('rates, dates, etc'!$I58=9,ROUND((+E17*+'Co PI 3'!M$23),0),ROUND((+E17*+'Co PI 3'!M$26*+'Co PI 3'!$K$35)+(E17*+'Co PI 3'!N$26*++'Co PI 3'!$K$36),0))</f>
        <v>0</v>
      </c>
      <c r="F45" s="586">
        <f>IF('rates, dates, etc'!$I58=9,ROUND((+F17*+'Co PI 3'!N$23),0),ROUND((+F17*+'Co PI 3'!N$26*+'Co PI 3'!$K$35)+(F17*+'Co PI 3'!O$26*++'Co PI 3'!$K$36),0))</f>
        <v>0</v>
      </c>
      <c r="G45" s="27">
        <f t="shared" si="9"/>
        <v>0</v>
      </c>
      <c r="H45" s="3" t="str">
        <f t="shared" si="10"/>
        <v>Contract College</v>
      </c>
      <c r="I45" s="3" t="str">
        <f t="shared" si="10"/>
        <v>On</v>
      </c>
      <c r="J45" s="595" t="str">
        <f>+'Do not use-GRA CostShare calc'!A19</f>
        <v>Number of Students (Spring)</v>
      </c>
      <c r="K45" s="592">
        <v>0</v>
      </c>
      <c r="L45" s="592">
        <v>0</v>
      </c>
      <c r="M45" s="592">
        <v>0</v>
      </c>
      <c r="N45" s="592">
        <v>0</v>
      </c>
      <c r="O45" s="592">
        <v>0</v>
      </c>
    </row>
    <row r="46" spans="1:15" x14ac:dyDescent="0.2">
      <c r="A46" s="10" t="str">
        <f t="shared" si="8"/>
        <v>Co-PI</v>
      </c>
      <c r="B46" s="586">
        <f>IF('rates, dates, etc'!$I59=9,ROUND((+B18*+'Co PI 3'!J$23),0),ROUND((+B18*+'Co PI 3'!J$26*+'Co PI 3'!$K$35)+(B18*+'Co PI 3'!K$26*++'Co PI 3'!$K$36),0))</f>
        <v>0</v>
      </c>
      <c r="C46" s="586">
        <f>IF('rates, dates, etc'!$I59=9,ROUND((+C18*+'Co PI 3'!K$23),0),ROUND((+C18*+'Co PI 3'!K$26*+'Co PI 3'!$K$35)+(C18*+'Co PI 3'!L$26*++'Co PI 3'!$K$36),0))</f>
        <v>0</v>
      </c>
      <c r="D46" s="586">
        <f>IF('rates, dates, etc'!$I59=9,ROUND((+D18*+'Co PI 3'!L$23),0),ROUND((+D18*+'Co PI 3'!L$26*+'Co PI 3'!$K$35)+(D18*+'Co PI 3'!M$26*++'Co PI 3'!$K$36),0))</f>
        <v>0</v>
      </c>
      <c r="E46" s="586">
        <f>IF('rates, dates, etc'!$I59=9,ROUND((+E18*+'Co PI 3'!M$23),0),ROUND((+E18*+'Co PI 3'!M$26*+'Co PI 3'!$K$35)+(E18*+'Co PI 3'!N$26*++'Co PI 3'!$K$36),0))</f>
        <v>0</v>
      </c>
      <c r="F46" s="586">
        <f>IF('rates, dates, etc'!$I59=9,ROUND((+F18*+'Co PI 3'!N$23),0),ROUND((+F18*+'Co PI 3'!N$26*+'Co PI 3'!$K$35)+(F18*+'Co PI 3'!O$26*++'Co PI 3'!$K$36),0))</f>
        <v>0</v>
      </c>
      <c r="G46" s="27">
        <f t="shared" si="9"/>
        <v>0</v>
      </c>
      <c r="H46" s="3" t="str">
        <f t="shared" si="10"/>
        <v>Contract College</v>
      </c>
      <c r="I46" s="3" t="str">
        <f t="shared" si="10"/>
        <v>On</v>
      </c>
      <c r="J46" s="595" t="str">
        <f>+'Do not use-GRA CostShare calc'!A20</f>
        <v>Number of Students (Summer)</v>
      </c>
      <c r="K46" s="487">
        <f>+K45</f>
        <v>0</v>
      </c>
      <c r="L46" s="487">
        <f>+L45</f>
        <v>0</v>
      </c>
      <c r="M46" s="487">
        <f>+M45</f>
        <v>0</v>
      </c>
      <c r="N46" s="487">
        <f>+N45</f>
        <v>0</v>
      </c>
      <c r="O46" s="487">
        <f>+O45</f>
        <v>0</v>
      </c>
    </row>
    <row r="47" spans="1:15" x14ac:dyDescent="0.2">
      <c r="A47" s="10" t="str">
        <f t="shared" si="8"/>
        <v>Co-PI</v>
      </c>
      <c r="B47" s="586">
        <f>IF('rates, dates, etc'!$I60=9,ROUND((+B19*+'Co PI 3'!J$23),0),ROUND((+B19*+'Co PI 3'!J$26*+'Co PI 3'!$K$35)+(B19*+'Co PI 3'!K$26*++'Co PI 3'!$K$36),0))</f>
        <v>0</v>
      </c>
      <c r="C47" s="586">
        <f>IF('rates, dates, etc'!$I60=9,ROUND((+C19*+'Co PI 3'!K$23),0),ROUND((+C19*+'Co PI 3'!K$26*+'Co PI 3'!$K$35)+(C19*+'Co PI 3'!L$26*++'Co PI 3'!$K$36),0))</f>
        <v>0</v>
      </c>
      <c r="D47" s="586">
        <f>IF('rates, dates, etc'!$I60=9,ROUND((+D19*+'Co PI 3'!L$23),0),ROUND((+D19*+'Co PI 3'!L$26*+'Co PI 3'!$K$35)+(D19*+'Co PI 3'!M$26*++'Co PI 3'!$K$36),0))</f>
        <v>0</v>
      </c>
      <c r="E47" s="586">
        <f>IF('rates, dates, etc'!$I60=9,ROUND((+E19*+'Co PI 3'!M$23),0),ROUND((+E19*+'Co PI 3'!M$26*+'Co PI 3'!$K$35)+(E19*+'Co PI 3'!N$26*++'Co PI 3'!$K$36),0))</f>
        <v>0</v>
      </c>
      <c r="F47" s="586">
        <f>IF('rates, dates, etc'!$I60=9,ROUND((+F19*+'Co PI 3'!N$23),0),ROUND((+F19*+'Co PI 3'!N$26*+'Co PI 3'!$K$35)+(F19*+'Co PI 3'!O$26*++'Co PI 3'!$K$36),0))</f>
        <v>0</v>
      </c>
      <c r="G47" s="27">
        <f t="shared" si="9"/>
        <v>0</v>
      </c>
      <c r="H47" s="3" t="str">
        <f t="shared" si="10"/>
        <v>Contract College</v>
      </c>
      <c r="I47" s="3" t="str">
        <f t="shared" si="10"/>
        <v>On</v>
      </c>
      <c r="J47" s="595" t="str">
        <f>+'Do not use-GRA CostShare calc'!A21</f>
        <v>Number of Students (Fall)</v>
      </c>
      <c r="K47" s="487">
        <f>+K45</f>
        <v>0</v>
      </c>
      <c r="L47" s="487">
        <f>+L45</f>
        <v>0</v>
      </c>
      <c r="M47" s="487">
        <f>+M45</f>
        <v>0</v>
      </c>
      <c r="N47" s="487">
        <f>+N45</f>
        <v>0</v>
      </c>
      <c r="O47" s="487">
        <f>+O45</f>
        <v>0</v>
      </c>
    </row>
    <row r="48" spans="1:15" x14ac:dyDescent="0.2">
      <c r="A48" s="10" t="str">
        <f t="shared" si="8"/>
        <v>Co-PI</v>
      </c>
      <c r="B48" s="586">
        <f>IF('rates, dates, etc'!$I61=9,ROUND((+B20*+'Co-PI Budget (4)'!J$23),0),ROUND((+B20*+'Co-PI Budget (4)'!J$26*+'Co-PI Budget (4)'!$K$35)+(B20*+'Co-PI Budget (4)'!K$26*++'Co-PI Budget (4)'!$K$36),0))</f>
        <v>0</v>
      </c>
      <c r="C48" s="586">
        <f>IF('rates, dates, etc'!$I61=9,ROUND((+C20*+'Co-PI Budget (4)'!K$23),0),ROUND((+C20*+'Co-PI Budget (4)'!K$26*+'Co-PI Budget (4)'!$K$35)+(C20*+'Co-PI Budget (4)'!L$26*++'Co-PI Budget (4)'!$K$36),0))</f>
        <v>0</v>
      </c>
      <c r="D48" s="586">
        <f>IF('rates, dates, etc'!$I61=9,ROUND((+D20*+'Co-PI Budget (4)'!L$23),0),ROUND((+D20*+'Co-PI Budget (4)'!L$26*+'Co-PI Budget (4)'!$K$35)+(D20*+'Co-PI Budget (4)'!M$26*++'Co-PI Budget (4)'!$K$36),0))</f>
        <v>0</v>
      </c>
      <c r="E48" s="586">
        <f>IF('rates, dates, etc'!$I61=9,ROUND((+E20*+'Co-PI Budget (4)'!M$23),0),ROUND((+E20*+'Co-PI Budget (4)'!M$26*+'Co-PI Budget (4)'!$K$35)+(E20*+'Co-PI Budget (4)'!N$26*++'Co-PI Budget (4)'!$K$36),0))</f>
        <v>0</v>
      </c>
      <c r="F48" s="586">
        <f>IF('rates, dates, etc'!$I61=9,ROUND((+F20*+'Co-PI Budget (4)'!N$23),0),ROUND((+F20*+'Co-PI Budget (4)'!N$26*+'Co-PI Budget (4)'!$K$35)+(F20*+'Co-PI Budget (4)'!O$26*++'Co-PI Budget (4)'!$K$36),0))</f>
        <v>0</v>
      </c>
      <c r="G48" s="27">
        <f t="shared" si="9"/>
        <v>0</v>
      </c>
      <c r="H48" s="3" t="str">
        <f t="shared" si="10"/>
        <v>Contract College</v>
      </c>
      <c r="I48" s="3" t="str">
        <f t="shared" si="10"/>
        <v>On</v>
      </c>
    </row>
    <row r="49" spans="1:16" ht="12" thickBot="1" x14ac:dyDescent="0.25">
      <c r="A49" s="10" t="str">
        <f t="shared" si="8"/>
        <v>Co-PI</v>
      </c>
      <c r="B49" s="586">
        <f>IF('rates, dates, etc'!$I62=9,ROUND((+B21*+'Co-PI Budget (4)'!J$23),0),ROUND((+B21*+'Co-PI Budget (4)'!J$26*+'Co-PI Budget (4)'!$K$35)+(B21*+'Co-PI Budget (4)'!K$26*++'Co-PI Budget (4)'!$K$36),0))</f>
        <v>0</v>
      </c>
      <c r="C49" s="586">
        <f>IF('rates, dates, etc'!$I62=9,ROUND((+C21*+'Co-PI Budget (4)'!K$23),0),ROUND((+C21*+'Co-PI Budget (4)'!K$26*+'Co-PI Budget (4)'!$K$35)+(C21*+'Co-PI Budget (4)'!L$26*++'Co-PI Budget (4)'!$K$36),0))</f>
        <v>0</v>
      </c>
      <c r="D49" s="586">
        <f>IF('rates, dates, etc'!$I62=9,ROUND((+D21*+'Co-PI Budget (4)'!L$23),0),ROUND((+D21*+'Co-PI Budget (4)'!L$26*+'Co-PI Budget (4)'!$K$35)+(D21*+'Co-PI Budget (4)'!M$26*++'Co-PI Budget (4)'!$K$36),0))</f>
        <v>0</v>
      </c>
      <c r="E49" s="586">
        <f>IF('rates, dates, etc'!$I62=9,ROUND((+E21*+'Co-PI Budget (4)'!M$23),0),ROUND((+E21*+'Co-PI Budget (4)'!M$26*+'Co-PI Budget (4)'!$K$35)+(E21*+'Co-PI Budget (4)'!N$26*++'Co-PI Budget (4)'!$K$36),0))</f>
        <v>0</v>
      </c>
      <c r="F49" s="586">
        <f>IF('rates, dates, etc'!$I62=9,ROUND((+F21*+'Co-PI Budget (4)'!N$23),0),ROUND((+F21*+'Co-PI Budget (4)'!N$26*+'Co-PI Budget (4)'!$K$35)+(F21*+'Co-PI Budget (4)'!O$26*++'Co-PI Budget (4)'!$K$36),0))</f>
        <v>0</v>
      </c>
      <c r="G49" s="27">
        <f t="shared" si="9"/>
        <v>0</v>
      </c>
      <c r="H49" s="3" t="str">
        <f t="shared" si="10"/>
        <v>Contract College</v>
      </c>
      <c r="I49" s="3" t="str">
        <f t="shared" si="10"/>
        <v>On</v>
      </c>
      <c r="J49" s="67" t="s">
        <v>86</v>
      </c>
      <c r="K49" s="31" t="str">
        <f>+'rates, dates, etc'!B103</f>
        <v>Year 1</v>
      </c>
      <c r="L49" s="31" t="str">
        <f>+'rates, dates, etc'!C103</f>
        <v>Year 2</v>
      </c>
      <c r="M49" s="31" t="str">
        <f>+'rates, dates, etc'!D103</f>
        <v>Year 3</v>
      </c>
      <c r="N49" s="31" t="str">
        <f>+'rates, dates, etc'!E103</f>
        <v>Year 4</v>
      </c>
      <c r="O49" s="31" t="str">
        <f>+'rates, dates, etc'!F103</f>
        <v>Year 5</v>
      </c>
    </row>
    <row r="50" spans="1:16" x14ac:dyDescent="0.2">
      <c r="A50" s="10" t="str">
        <f t="shared" si="8"/>
        <v>Co-PI</v>
      </c>
      <c r="B50" s="586">
        <f>IF('rates, dates, etc'!$I63=9,ROUND((+B22*+'Co-PI Budget (4)'!J$23),0),ROUND((+B22*+'Co-PI Budget (4)'!J$26*+'Co-PI Budget (4)'!$K$35)+(B22*+'Co-PI Budget (4)'!K$26*++'Co-PI Budget (4)'!$K$36),0))</f>
        <v>0</v>
      </c>
      <c r="C50" s="586">
        <f>IF('rates, dates, etc'!$I63=9,ROUND((+C22*+'Co-PI Budget (4)'!K$23),0),ROUND((+C22*+'Co-PI Budget (4)'!K$26*+'Co-PI Budget (4)'!$K$35)+(C22*+'Co-PI Budget (4)'!L$26*++'Co-PI Budget (4)'!$K$36),0))</f>
        <v>0</v>
      </c>
      <c r="D50" s="586">
        <f>IF('rates, dates, etc'!$I63=9,ROUND((+D22*+'Co-PI Budget (4)'!L$23),0),ROUND((+D22*+'Co-PI Budget (4)'!L$26*+'Co-PI Budget (4)'!$K$35)+(D22*+'Co-PI Budget (4)'!M$26*++'Co-PI Budget (4)'!$K$36),0))</f>
        <v>0</v>
      </c>
      <c r="E50" s="586">
        <f>IF('rates, dates, etc'!$I63=9,ROUND((+E22*+'Co-PI Budget (4)'!M$23),0),ROUND((+E22*+'Co-PI Budget (4)'!M$26*+'Co-PI Budget (4)'!$K$35)+(E22*+'Co-PI Budget (4)'!N$26*++'Co-PI Budget (4)'!$K$36),0))</f>
        <v>0</v>
      </c>
      <c r="F50" s="586">
        <f>IF('rates, dates, etc'!$I63=9,ROUND((+F22*+'Co-PI Budget (4)'!N$23),0),ROUND((+F22*+'Co-PI Budget (4)'!N$26*+'Co-PI Budget (4)'!$K$35)+(F22*+'Co-PI Budget (4)'!O$26*++'Co-PI Budget (4)'!$K$36),0))</f>
        <v>0</v>
      </c>
      <c r="G50" s="27">
        <f t="shared" si="9"/>
        <v>0</v>
      </c>
      <c r="H50" s="3" t="str">
        <f t="shared" si="10"/>
        <v>Contract College</v>
      </c>
      <c r="I50" s="3" t="str">
        <f t="shared" si="10"/>
        <v>On</v>
      </c>
      <c r="J50" s="36" t="s">
        <v>247</v>
      </c>
      <c r="K50" s="37">
        <f>(+'Do not use-GRA CostShare calc'!M85+'Do not use-GRA CostShare calc'!M86+'Do not use-GRA CostShare calc'!M87)/3</f>
        <v>0</v>
      </c>
      <c r="L50" s="37">
        <f>(+'Do not use-GRA CostShare calc'!N85+'Do not use-GRA CostShare calc'!N86+'Do not use-GRA CostShare calc'!N87)/3</f>
        <v>0</v>
      </c>
      <c r="M50" s="37">
        <f>(+'Do not use-GRA CostShare calc'!O85+'Do not use-GRA CostShare calc'!O86+'Do not use-GRA CostShare calc'!O87)/3</f>
        <v>0</v>
      </c>
      <c r="N50" s="37">
        <f>(+'Do not use-GRA CostShare calc'!P85+'Do not use-GRA CostShare calc'!P86+'Do not use-GRA CostShare calc'!P87)/3</f>
        <v>0</v>
      </c>
      <c r="O50" s="37">
        <f>(+'Do not use-GRA CostShare calc'!Q85+'Do not use-GRA CostShare calc'!Q86+'Do not use-GRA CostShare calc'!Q87)/3</f>
        <v>0</v>
      </c>
    </row>
    <row r="51" spans="1:16" x14ac:dyDescent="0.2">
      <c r="A51" s="10" t="str">
        <f t="shared" si="8"/>
        <v>Co-PI</v>
      </c>
      <c r="B51" s="586">
        <f>IF('rates, dates, etc'!$I64=9,ROUND((+B23*+'Co-PI Budget (5)'!J$23),0),ROUND((+B23*+'Co-PI Budget (5)'!J$26*+'Co-PI Budget (5)'!$K$35)+(B23*+'Co-PI Budget (5)'!K$26*++'Co-PI Budget (5)'!$K$36),0))</f>
        <v>0</v>
      </c>
      <c r="C51" s="586">
        <f>IF('rates, dates, etc'!$I64=9,ROUND((+C23*+'Co-PI Budget (5)'!K$23),0),ROUND((+C23*+'Co-PI Budget (5)'!K$26*+'Co-PI Budget (5)'!$K$35)+(C23*+'Co-PI Budget (5)'!L$26*++'Co-PI Budget (5)'!$K$36),0))</f>
        <v>0</v>
      </c>
      <c r="D51" s="586">
        <f>IF('rates, dates, etc'!$I64=9,ROUND((+D23*+'Co-PI Budget (5)'!L$23),0),ROUND((+D23*+'Co-PI Budget (5)'!L$26*+'Co-PI Budget (5)'!$K$35)+(D23*+'Co-PI Budget (5)'!M$26*++'Co-PI Budget (5)'!$K$36),0))</f>
        <v>0</v>
      </c>
      <c r="E51" s="586">
        <f>IF('rates, dates, etc'!$I64=9,ROUND((+E23*+'Co-PI Budget (5)'!M$23),0),ROUND((+E23*+'Co-PI Budget (5)'!M$26*+'Co-PI Budget (5)'!$K$35)+(E23*+'Co-PI Budget (5)'!N$26*++'Co-PI Budget (5)'!$K$36),0))</f>
        <v>0</v>
      </c>
      <c r="F51" s="586">
        <f>IF('rates, dates, etc'!$I64=9,ROUND((+F23*+'Co-PI Budget (5)'!N$23),0),ROUND((+F23*+'Co-PI Budget (5)'!N$26*+'Co-PI Budget (5)'!$K$35)+(F23*+'Co-PI Budget (5)'!O$26*++'Co-PI Budget (5)'!$K$36),0))</f>
        <v>0</v>
      </c>
      <c r="G51" s="27">
        <f t="shared" si="9"/>
        <v>0</v>
      </c>
      <c r="H51" s="3" t="str">
        <f t="shared" si="10"/>
        <v>Contract College</v>
      </c>
      <c r="I51" s="3" t="str">
        <f t="shared" si="10"/>
        <v>On</v>
      </c>
      <c r="J51" s="10" t="s">
        <v>22</v>
      </c>
      <c r="K51" s="12">
        <f>+'Do not use-GRA CostShare calc'!M91</f>
        <v>0</v>
      </c>
      <c r="L51" s="12">
        <f>+'Do not use-GRA CostShare calc'!N91</f>
        <v>0</v>
      </c>
      <c r="M51" s="12">
        <f>+'Do not use-GRA CostShare calc'!O91</f>
        <v>0</v>
      </c>
      <c r="N51" s="12">
        <f>+'Do not use-GRA CostShare calc'!P91</f>
        <v>0</v>
      </c>
      <c r="O51" s="12">
        <f>+'Do not use-GRA CostShare calc'!Q91</f>
        <v>0</v>
      </c>
    </row>
    <row r="52" spans="1:16" x14ac:dyDescent="0.2">
      <c r="A52" s="10" t="str">
        <f t="shared" si="8"/>
        <v>Co-PI</v>
      </c>
      <c r="B52" s="586">
        <f>IF('rates, dates, etc'!$I65=9,ROUND((+B24*+'Co-PI Budget (5)'!J$23),0),ROUND((+B24*+'Co-PI Budget (5)'!J$26*+'Co-PI Budget (5)'!$K$35)+(B24*+'Co-PI Budget (5)'!K$26*++'Co-PI Budget (5)'!$K$36),0))</f>
        <v>0</v>
      </c>
      <c r="C52" s="586">
        <f>IF('rates, dates, etc'!$I65=9,ROUND((+C24*+'Co-PI Budget (5)'!K$23),0),ROUND((+C24*+'Co-PI Budget (5)'!K$26*+'Co-PI Budget (5)'!$K$35)+(C24*+'Co-PI Budget (5)'!L$26*++'Co-PI Budget (5)'!$K$36),0))</f>
        <v>0</v>
      </c>
      <c r="D52" s="586">
        <f>IF('rates, dates, etc'!$I65=9,ROUND((+D24*+'Co-PI Budget (5)'!L$23),0),ROUND((+D24*+'Co-PI Budget (5)'!L$26*+'Co-PI Budget (5)'!$K$35)+(D24*+'Co-PI Budget (5)'!M$26*++'Co-PI Budget (5)'!$K$36),0))</f>
        <v>0</v>
      </c>
      <c r="E52" s="586">
        <f>IF('rates, dates, etc'!$I65=9,ROUND((+E24*+'Co-PI Budget (5)'!M$23),0),ROUND((+E24*+'Co-PI Budget (5)'!M$26*+'Co-PI Budget (5)'!$K$35)+(E24*+'Co-PI Budget (5)'!N$26*++'Co-PI Budget (5)'!$K$36),0))</f>
        <v>0</v>
      </c>
      <c r="F52" s="586">
        <f>IF('rates, dates, etc'!$I65=9,ROUND((+F24*+'Co-PI Budget (5)'!N$23),0),ROUND((+F24*+'Co-PI Budget (5)'!N$26*+'Co-PI Budget (5)'!$K$35)+(F24*+'Co-PI Budget (5)'!O$26*++'Co-PI Budget (5)'!$K$36),0))</f>
        <v>0</v>
      </c>
      <c r="G52" s="27">
        <f t="shared" si="9"/>
        <v>0</v>
      </c>
      <c r="H52" s="3" t="str">
        <f t="shared" si="10"/>
        <v>Contract College</v>
      </c>
      <c r="I52" s="3" t="str">
        <f t="shared" si="10"/>
        <v>On</v>
      </c>
      <c r="J52" s="10" t="s">
        <v>8</v>
      </c>
      <c r="K52" s="12">
        <f>+'Do not use-GRA CostShare calc'!M92</f>
        <v>0</v>
      </c>
      <c r="L52" s="12">
        <f>+'Do not use-GRA CostShare calc'!N92</f>
        <v>0</v>
      </c>
      <c r="M52" s="12">
        <f>+'Do not use-GRA CostShare calc'!O92</f>
        <v>0</v>
      </c>
      <c r="N52" s="12">
        <f>+'Do not use-GRA CostShare calc'!P92</f>
        <v>0</v>
      </c>
      <c r="O52" s="12">
        <f>+'Do not use-GRA CostShare calc'!Q92</f>
        <v>0</v>
      </c>
    </row>
    <row r="53" spans="1:16" x14ac:dyDescent="0.2">
      <c r="A53" s="10" t="str">
        <f t="shared" si="8"/>
        <v>Co-PI</v>
      </c>
      <c r="B53" s="586">
        <f>IF('rates, dates, etc'!$I66=9,ROUND((+B25*+'Co-PI Budget (5)'!J$23),0),ROUND((+B25*+'Co-PI Budget (5)'!J$26*+'Co-PI Budget (5)'!$K$35)+(B25*+'Co-PI Budget (5)'!K$26*++'Co-PI Budget (5)'!$K$36),0))</f>
        <v>0</v>
      </c>
      <c r="C53" s="586">
        <f>IF('rates, dates, etc'!$I66=9,ROUND((+C25*+'Co-PI Budget (5)'!K$23),0),ROUND((+C25*+'Co-PI Budget (5)'!K$26*+'Co-PI Budget (5)'!$K$35)+(C25*+'Co-PI Budget (5)'!L$26*++'Co-PI Budget (5)'!$K$36),0))</f>
        <v>0</v>
      </c>
      <c r="D53" s="586">
        <f>IF('rates, dates, etc'!$I66=9,ROUND((+D25*+'Co-PI Budget (5)'!L$23),0),ROUND((+D25*+'Co-PI Budget (5)'!L$26*+'Co-PI Budget (5)'!$K$35)+(D25*+'Co-PI Budget (5)'!M$26*++'Co-PI Budget (5)'!$K$36),0))</f>
        <v>0</v>
      </c>
      <c r="E53" s="586">
        <f>IF('rates, dates, etc'!$I66=9,ROUND((+E25*+'Co-PI Budget (5)'!M$23),0),ROUND((+E25*+'Co-PI Budget (5)'!M$26*+'Co-PI Budget (5)'!$K$35)+(E25*+'Co-PI Budget (5)'!N$26*++'Co-PI Budget (5)'!$K$36),0))</f>
        <v>0</v>
      </c>
      <c r="F53" s="586">
        <f>IF('rates, dates, etc'!$I66=9,ROUND((+F25*+'Co-PI Budget (5)'!N$23),0),ROUND((+F25*+'Co-PI Budget (5)'!N$26*+'Co-PI Budget (5)'!$K$35)+(F25*+'Co-PI Budget (5)'!O$26*++'Co-PI Budget (5)'!$K$36),0))</f>
        <v>0</v>
      </c>
      <c r="G53" s="27">
        <f t="shared" si="9"/>
        <v>0</v>
      </c>
      <c r="H53" s="3" t="str">
        <f t="shared" si="10"/>
        <v>Contract College</v>
      </c>
      <c r="I53" s="3" t="str">
        <f t="shared" si="10"/>
        <v>On</v>
      </c>
      <c r="J53" s="10" t="s">
        <v>9</v>
      </c>
      <c r="K53" s="12">
        <f>+'Do not use-GRA CostShare calc'!M93</f>
        <v>0</v>
      </c>
      <c r="L53" s="12">
        <f>+'Do not use-GRA CostShare calc'!N93</f>
        <v>0</v>
      </c>
      <c r="M53" s="12">
        <f>+'Do not use-GRA CostShare calc'!O93</f>
        <v>0</v>
      </c>
      <c r="N53" s="12">
        <f>+'Do not use-GRA CostShare calc'!P93</f>
        <v>0</v>
      </c>
      <c r="O53" s="12">
        <f>+'Do not use-GRA CostShare calc'!Q93</f>
        <v>0</v>
      </c>
    </row>
    <row r="54" spans="1:16" ht="12" thickBot="1" x14ac:dyDescent="0.25">
      <c r="A54" s="10" t="str">
        <f>+A30</f>
        <v xml:space="preserve">Other </v>
      </c>
      <c r="B54" s="11">
        <f>ROUND((+B30*+'Lead Budget'!J$26*+'Lead Budget'!$K$35)+(B30*+'Lead Budget'!K$26*+'Lead Budget'!$K$36),0)</f>
        <v>0</v>
      </c>
      <c r="C54" s="11">
        <f>ROUND((+C30*+'Lead Budget'!K$26*+'Lead Budget'!$K$35)+(C30*+'Lead Budget'!L$26*+'Lead Budget'!$K$36),0)</f>
        <v>0</v>
      </c>
      <c r="D54" s="11">
        <f>ROUND((+D30*+'Lead Budget'!L$26*+'Lead Budget'!$K$35)+(D30*+'Lead Budget'!M$26*+'Lead Budget'!$K$36),0)</f>
        <v>0</v>
      </c>
      <c r="E54" s="11">
        <f>ROUND((+E30*+'Lead Budget'!M$26*+'Lead Budget'!$K$35)+(E30*+'Lead Budget'!N$26*+'Lead Budget'!$K$36),0)</f>
        <v>0</v>
      </c>
      <c r="F54" s="11">
        <f>ROUND((+F30*+'Lead Budget'!N$26*+'Lead Budget'!$K$35)+(F30*+'Lead Budget'!O$26*+'Lead Budget'!$K$36),0)</f>
        <v>0</v>
      </c>
      <c r="G54" s="27">
        <f t="shared" si="9"/>
        <v>0</v>
      </c>
      <c r="H54" s="609" t="str">
        <f>+H30</f>
        <v>Contract College</v>
      </c>
      <c r="I54" s="609" t="str">
        <f>+I30</f>
        <v>On</v>
      </c>
      <c r="J54" s="35" t="s">
        <v>31</v>
      </c>
      <c r="K54" s="38">
        <f>ROUND(SUM(K51:K53),0)</f>
        <v>0</v>
      </c>
      <c r="L54" s="38">
        <f t="shared" ref="L54:O54" si="12">ROUND(SUM(L51:L53),0)</f>
        <v>0</v>
      </c>
      <c r="M54" s="38">
        <f t="shared" si="12"/>
        <v>0</v>
      </c>
      <c r="N54" s="38">
        <f t="shared" si="12"/>
        <v>0</v>
      </c>
      <c r="O54" s="38">
        <f t="shared" si="12"/>
        <v>0</v>
      </c>
    </row>
    <row r="55" spans="1:16" x14ac:dyDescent="0.2">
      <c r="A55" s="10" t="str">
        <f t="shared" ref="A55:A56" si="13">+A31</f>
        <v xml:space="preserve">Other </v>
      </c>
      <c r="B55" s="11">
        <f>ROUND((+B31*+'Lead Budget'!J$26*+'Lead Budget'!$K$35)+(B31*+'Lead Budget'!K$26*+'Lead Budget'!$K$36),0)</f>
        <v>0</v>
      </c>
      <c r="C55" s="11">
        <f>ROUND((+C31*+'Lead Budget'!K$26*+'Lead Budget'!$K$35)+(C31*+'Lead Budget'!L$26*+'Lead Budget'!$K$36),0)</f>
        <v>0</v>
      </c>
      <c r="D55" s="11">
        <f>ROUND((+D31*+'Lead Budget'!L$26*+'Lead Budget'!$K$35)+(D31*+'Lead Budget'!M$26*+'Lead Budget'!$K$36),0)</f>
        <v>0</v>
      </c>
      <c r="E55" s="11">
        <f>ROUND((+E31*+'Lead Budget'!M$26*+'Lead Budget'!$K$35)+(E31*+'Lead Budget'!N$26*+'Lead Budget'!$K$36),0)</f>
        <v>0</v>
      </c>
      <c r="F55" s="11">
        <f>ROUND((+F31*+'Lead Budget'!N$26*+'Lead Budget'!$K$35)+(F31*+'Lead Budget'!O$26*+'Lead Budget'!$K$36),0)</f>
        <v>0</v>
      </c>
      <c r="G55" s="27">
        <f t="shared" si="9"/>
        <v>0</v>
      </c>
      <c r="H55" s="609" t="str">
        <f t="shared" ref="H55:I55" si="14">+H31</f>
        <v>Contract College</v>
      </c>
      <c r="I55" s="609" t="str">
        <f t="shared" si="14"/>
        <v>On</v>
      </c>
      <c r="J55" s="2"/>
      <c r="L55" s="2"/>
    </row>
    <row r="56" spans="1:16" x14ac:dyDescent="0.2">
      <c r="A56" s="10" t="str">
        <f t="shared" si="13"/>
        <v xml:space="preserve">Other </v>
      </c>
      <c r="B56" s="11">
        <f>ROUND((+B32*+'Lead Budget'!J$26*+'Lead Budget'!$K$35)+(B32*+'Lead Budget'!K$26*+'Lead Budget'!$K$36),0)</f>
        <v>0</v>
      </c>
      <c r="C56" s="11">
        <f>ROUND((+C32*+'Lead Budget'!K$26*+'Lead Budget'!$K$35)+(C32*+'Lead Budget'!L$26*+'Lead Budget'!$K$36),0)</f>
        <v>0</v>
      </c>
      <c r="D56" s="11">
        <f>ROUND((+D32*+'Lead Budget'!L$26*+'Lead Budget'!$K$35)+(D32*+'Lead Budget'!M$26*+'Lead Budget'!$K$36),0)</f>
        <v>0</v>
      </c>
      <c r="E56" s="11">
        <f>ROUND((+E32*+'Lead Budget'!M$26*+'Lead Budget'!$K$35)+(E32*+'Lead Budget'!N$26*+'Lead Budget'!$K$36),0)</f>
        <v>0</v>
      </c>
      <c r="F56" s="11">
        <f>ROUND((+F32*+'Lead Budget'!N$26*+'Lead Budget'!$K$35)+(F32*+'Lead Budget'!O$26*+'Lead Budget'!$K$36),0)</f>
        <v>0</v>
      </c>
      <c r="G56" s="27">
        <f t="shared" si="9"/>
        <v>0</v>
      </c>
      <c r="H56" s="609" t="str">
        <f t="shared" ref="H56:I56" si="15">+H32</f>
        <v>Contract College</v>
      </c>
      <c r="I56" s="609" t="str">
        <f t="shared" si="15"/>
        <v>On</v>
      </c>
      <c r="J56" s="95"/>
      <c r="K56" s="69"/>
      <c r="L56" s="69"/>
      <c r="M56" s="69"/>
      <c r="N56" s="69"/>
      <c r="O56" s="69"/>
      <c r="P56" s="69"/>
    </row>
    <row r="57" spans="1:16" ht="12" thickBot="1" x14ac:dyDescent="0.25">
      <c r="A57" s="15" t="str">
        <f>CONCATENATE("Total ",A35)</f>
        <v>Total Fringe Benefits</v>
      </c>
      <c r="B57" s="16">
        <f>SUM(B35:B56)</f>
        <v>0</v>
      </c>
      <c r="C57" s="16">
        <f t="shared" ref="C57:F57" si="16">SUM(C35:C56)</f>
        <v>0</v>
      </c>
      <c r="D57" s="16">
        <f t="shared" si="16"/>
        <v>0</v>
      </c>
      <c r="E57" s="16">
        <f t="shared" si="16"/>
        <v>0</v>
      </c>
      <c r="F57" s="16">
        <f t="shared" si="16"/>
        <v>0</v>
      </c>
      <c r="G57" s="28">
        <f>SUM(G35:G56)</f>
        <v>0</v>
      </c>
      <c r="J57" s="2"/>
      <c r="K57" s="2"/>
      <c r="L57" s="2"/>
    </row>
    <row r="58" spans="1:16" ht="12" thickBot="1" x14ac:dyDescent="0.25">
      <c r="A58" s="143" t="s">
        <v>131</v>
      </c>
      <c r="B58" s="144">
        <f>+B34+B57</f>
        <v>0</v>
      </c>
      <c r="C58" s="144">
        <f t="shared" ref="C58:G58" si="17">+C34+C57</f>
        <v>0</v>
      </c>
      <c r="D58" s="144">
        <f t="shared" si="17"/>
        <v>0</v>
      </c>
      <c r="E58" s="144">
        <f>+E34+E57</f>
        <v>0</v>
      </c>
      <c r="F58" s="144">
        <f t="shared" si="17"/>
        <v>0</v>
      </c>
      <c r="G58" s="384">
        <f t="shared" si="17"/>
        <v>0</v>
      </c>
      <c r="J58" s="2"/>
      <c r="K58" s="2"/>
      <c r="L58" s="2"/>
    </row>
    <row r="59" spans="1:16" x14ac:dyDescent="0.2">
      <c r="A59" s="17" t="s">
        <v>25</v>
      </c>
      <c r="B59" s="11"/>
      <c r="C59" s="11"/>
      <c r="D59" s="11"/>
      <c r="E59" s="11"/>
      <c r="F59" s="11"/>
      <c r="G59" s="27"/>
      <c r="H59" s="606"/>
      <c r="J59" s="2"/>
      <c r="K59" s="2"/>
      <c r="L59" s="2"/>
    </row>
    <row r="60" spans="1:16" x14ac:dyDescent="0.2">
      <c r="A60" s="10" t="s">
        <v>253</v>
      </c>
      <c r="B60" s="11"/>
      <c r="C60" s="11"/>
      <c r="D60" s="11"/>
      <c r="E60" s="11"/>
      <c r="F60" s="11"/>
      <c r="G60" s="27">
        <f>SUM(B60:F60)</f>
        <v>0</v>
      </c>
      <c r="H60" s="607" t="s">
        <v>110</v>
      </c>
      <c r="I60" s="3" t="s">
        <v>178</v>
      </c>
      <c r="K60" s="2"/>
      <c r="L60" s="2"/>
    </row>
    <row r="61" spans="1:16" x14ac:dyDescent="0.2">
      <c r="A61" s="10" t="s">
        <v>252</v>
      </c>
      <c r="B61" s="11"/>
      <c r="C61" s="11"/>
      <c r="D61" s="11"/>
      <c r="E61" s="11"/>
      <c r="F61" s="11"/>
      <c r="G61" s="27">
        <f>SUM(B61:F61)</f>
        <v>0</v>
      </c>
      <c r="H61" s="488" t="s">
        <v>113</v>
      </c>
      <c r="I61" s="3" t="s">
        <v>178</v>
      </c>
    </row>
    <row r="62" spans="1:16" ht="12" thickBot="1" x14ac:dyDescent="0.25">
      <c r="A62" s="15" t="str">
        <f>CONCATENATE("Total ",A59)</f>
        <v>Total Equipment</v>
      </c>
      <c r="B62" s="16">
        <f>SUM(B59:B61)</f>
        <v>0</v>
      </c>
      <c r="C62" s="16">
        <f t="shared" ref="C62:G62" si="18">SUM(C59:C61)</f>
        <v>0</v>
      </c>
      <c r="D62" s="16">
        <f t="shared" si="18"/>
        <v>0</v>
      </c>
      <c r="E62" s="16">
        <f t="shared" si="18"/>
        <v>0</v>
      </c>
      <c r="F62" s="16">
        <f t="shared" si="18"/>
        <v>0</v>
      </c>
      <c r="G62" s="28">
        <f t="shared" si="18"/>
        <v>0</v>
      </c>
    </row>
    <row r="63" spans="1:16" x14ac:dyDescent="0.2">
      <c r="A63" s="17" t="s">
        <v>34</v>
      </c>
      <c r="B63" s="11"/>
      <c r="C63" s="11"/>
      <c r="D63" s="11"/>
      <c r="E63" s="11"/>
      <c r="F63" s="11"/>
      <c r="G63" s="27"/>
      <c r="H63" s="408"/>
    </row>
    <row r="64" spans="1:16" x14ac:dyDescent="0.2">
      <c r="A64" s="10" t="s">
        <v>255</v>
      </c>
      <c r="B64" s="11"/>
      <c r="C64" s="11"/>
      <c r="D64" s="11"/>
      <c r="E64" s="11"/>
      <c r="F64" s="11"/>
      <c r="G64" s="27">
        <f>SUM(B64:F64)</f>
        <v>0</v>
      </c>
      <c r="H64" s="608" t="s">
        <v>110</v>
      </c>
      <c r="I64" s="3" t="s">
        <v>178</v>
      </c>
    </row>
    <row r="65" spans="1:12" x14ac:dyDescent="0.2">
      <c r="A65" s="10" t="s">
        <v>256</v>
      </c>
      <c r="B65" s="11"/>
      <c r="C65" s="11"/>
      <c r="D65" s="11"/>
      <c r="E65" s="11"/>
      <c r="F65" s="11"/>
      <c r="G65" s="27">
        <f t="shared" ref="G65:G67" si="19">SUM(B65:F65)</f>
        <v>0</v>
      </c>
      <c r="H65" s="482" t="s">
        <v>113</v>
      </c>
      <c r="I65" s="3" t="s">
        <v>178</v>
      </c>
    </row>
    <row r="66" spans="1:12" x14ac:dyDescent="0.2">
      <c r="A66" s="10" t="s">
        <v>257</v>
      </c>
      <c r="B66" s="11"/>
      <c r="C66" s="11"/>
      <c r="D66" s="11"/>
      <c r="E66" s="11"/>
      <c r="F66" s="11"/>
      <c r="G66" s="27">
        <f t="shared" si="19"/>
        <v>0</v>
      </c>
      <c r="H66" s="608" t="s">
        <v>110</v>
      </c>
      <c r="I66" s="3" t="s">
        <v>178</v>
      </c>
    </row>
    <row r="67" spans="1:12" x14ac:dyDescent="0.2">
      <c r="A67" s="10" t="s">
        <v>258</v>
      </c>
      <c r="B67" s="11"/>
      <c r="C67" s="11"/>
      <c r="D67" s="11"/>
      <c r="E67" s="11"/>
      <c r="F67" s="11"/>
      <c r="G67" s="27">
        <f t="shared" si="19"/>
        <v>0</v>
      </c>
      <c r="H67" s="482" t="s">
        <v>113</v>
      </c>
      <c r="I67" s="3" t="s">
        <v>178</v>
      </c>
    </row>
    <row r="68" spans="1:12" ht="12" thickBot="1" x14ac:dyDescent="0.25">
      <c r="A68" s="15" t="str">
        <f>CONCATENATE("Total ",A63)</f>
        <v>Total Travel</v>
      </c>
      <c r="B68" s="16">
        <f>SUM(B63:B67)</f>
        <v>0</v>
      </c>
      <c r="C68" s="16">
        <f t="shared" ref="C68:G68" si="20">SUM(C63:C67)</f>
        <v>0</v>
      </c>
      <c r="D68" s="16">
        <f t="shared" si="20"/>
        <v>0</v>
      </c>
      <c r="E68" s="16">
        <f t="shared" si="20"/>
        <v>0</v>
      </c>
      <c r="F68" s="16">
        <f t="shared" si="20"/>
        <v>0</v>
      </c>
      <c r="G68" s="28">
        <f t="shared" si="20"/>
        <v>0</v>
      </c>
    </row>
    <row r="69" spans="1:12" x14ac:dyDescent="0.2">
      <c r="A69" s="17" t="s">
        <v>27</v>
      </c>
      <c r="B69" s="11"/>
      <c r="C69" s="11"/>
      <c r="D69" s="11"/>
      <c r="E69" s="11"/>
      <c r="F69" s="11"/>
      <c r="G69" s="27"/>
      <c r="H69" s="408"/>
    </row>
    <row r="70" spans="1:12" x14ac:dyDescent="0.2">
      <c r="A70" s="10" t="str">
        <f>+'Lead Budget'!A39</f>
        <v>Tuition/Fees/Health Insurance</v>
      </c>
      <c r="B70" s="11"/>
      <c r="C70" s="11"/>
      <c r="D70" s="11"/>
      <c r="E70" s="11"/>
      <c r="F70" s="11"/>
      <c r="G70" s="27">
        <f>SUM(B70:F70)</f>
        <v>0</v>
      </c>
      <c r="H70" s="607" t="s">
        <v>110</v>
      </c>
      <c r="I70" s="3" t="s">
        <v>178</v>
      </c>
    </row>
    <row r="71" spans="1:12" x14ac:dyDescent="0.2">
      <c r="A71" s="10" t="str">
        <f>+'Lead Budget'!A40</f>
        <v>Stipends</v>
      </c>
      <c r="B71" s="11"/>
      <c r="C71" s="11"/>
      <c r="D71" s="11"/>
      <c r="E71" s="11"/>
      <c r="F71" s="11"/>
      <c r="G71" s="27">
        <f t="shared" ref="G71:G74" si="21">SUM(B71:F71)</f>
        <v>0</v>
      </c>
      <c r="H71" s="607" t="s">
        <v>110</v>
      </c>
      <c r="I71" s="3" t="s">
        <v>178</v>
      </c>
    </row>
    <row r="72" spans="1:12" x14ac:dyDescent="0.2">
      <c r="A72" s="10" t="str">
        <f>+'Lead Budget'!A41</f>
        <v>Travel</v>
      </c>
      <c r="B72" s="11"/>
      <c r="C72" s="11"/>
      <c r="D72" s="11"/>
      <c r="E72" s="11"/>
      <c r="F72" s="11"/>
      <c r="G72" s="27">
        <f t="shared" si="21"/>
        <v>0</v>
      </c>
      <c r="H72" s="607" t="s">
        <v>110</v>
      </c>
      <c r="I72" s="3" t="s">
        <v>178</v>
      </c>
    </row>
    <row r="73" spans="1:12" x14ac:dyDescent="0.2">
      <c r="A73" s="10" t="str">
        <f>+'Lead Budget'!A42</f>
        <v>Subsistence</v>
      </c>
      <c r="B73" s="11"/>
      <c r="C73" s="11"/>
      <c r="D73" s="11"/>
      <c r="E73" s="11"/>
      <c r="F73" s="11"/>
      <c r="G73" s="27">
        <f t="shared" si="21"/>
        <v>0</v>
      </c>
      <c r="H73" s="607" t="s">
        <v>110</v>
      </c>
      <c r="I73" s="3" t="s">
        <v>178</v>
      </c>
      <c r="L73" s="2"/>
    </row>
    <row r="74" spans="1:12" x14ac:dyDescent="0.2">
      <c r="A74" s="10" t="str">
        <f>+'Lead Budget'!A43</f>
        <v>Other</v>
      </c>
      <c r="B74" s="11"/>
      <c r="C74" s="11"/>
      <c r="D74" s="11"/>
      <c r="E74" s="11"/>
      <c r="F74" s="11"/>
      <c r="G74" s="27">
        <f t="shared" si="21"/>
        <v>0</v>
      </c>
      <c r="H74" s="607" t="s">
        <v>110</v>
      </c>
      <c r="I74" s="3" t="s">
        <v>178</v>
      </c>
    </row>
    <row r="75" spans="1:12" ht="12" thickBot="1" x14ac:dyDescent="0.25">
      <c r="A75" s="15" t="str">
        <f>CONCATENATE("Total ",A69)</f>
        <v>Total Participant Support Costs</v>
      </c>
      <c r="B75" s="16">
        <f>SUM(B69:B74)</f>
        <v>0</v>
      </c>
      <c r="C75" s="16">
        <f t="shared" ref="C75:F75" si="22">SUM(C69:C74)</f>
        <v>0</v>
      </c>
      <c r="D75" s="16">
        <f t="shared" si="22"/>
        <v>0</v>
      </c>
      <c r="E75" s="16">
        <f t="shared" si="22"/>
        <v>0</v>
      </c>
      <c r="F75" s="16">
        <f t="shared" si="22"/>
        <v>0</v>
      </c>
      <c r="G75" s="28">
        <f t="shared" ref="G75" si="23">SUM(G69:G74)</f>
        <v>0</v>
      </c>
    </row>
    <row r="76" spans="1:12" x14ac:dyDescent="0.2">
      <c r="A76" s="17" t="s">
        <v>13</v>
      </c>
      <c r="B76" s="11"/>
      <c r="C76" s="11"/>
      <c r="D76" s="11"/>
      <c r="E76" s="11"/>
      <c r="F76" s="11"/>
      <c r="G76" s="27"/>
      <c r="H76" s="408"/>
      <c r="J76" s="378"/>
    </row>
    <row r="77" spans="1:12" x14ac:dyDescent="0.2">
      <c r="A77" s="10" t="str">
        <f>+'Lead Budget'!A46</f>
        <v>Materials &amp; Supplies</v>
      </c>
      <c r="B77" s="11"/>
      <c r="C77" s="11"/>
      <c r="D77" s="11"/>
      <c r="E77" s="11"/>
      <c r="F77" s="11"/>
      <c r="G77" s="27">
        <f t="shared" ref="G77:G84" si="24">SUM(B77:F77)</f>
        <v>0</v>
      </c>
      <c r="H77" s="607" t="s">
        <v>110</v>
      </c>
      <c r="I77" s="3" t="s">
        <v>178</v>
      </c>
    </row>
    <row r="78" spans="1:12" x14ac:dyDescent="0.2">
      <c r="A78" s="10" t="str">
        <f>+'Lead Budget'!A47</f>
        <v>Publication Costs</v>
      </c>
      <c r="B78" s="11"/>
      <c r="C78" s="11"/>
      <c r="D78" s="11"/>
      <c r="E78" s="11"/>
      <c r="F78" s="11"/>
      <c r="G78" s="27">
        <f t="shared" si="24"/>
        <v>0</v>
      </c>
      <c r="H78" s="607" t="s">
        <v>110</v>
      </c>
      <c r="I78" s="3" t="s">
        <v>178</v>
      </c>
    </row>
    <row r="79" spans="1:12" x14ac:dyDescent="0.2">
      <c r="A79" s="10" t="str">
        <f>+'Lead Budget'!A48</f>
        <v>Consultant Services</v>
      </c>
      <c r="B79" s="11"/>
      <c r="C79" s="11"/>
      <c r="D79" s="11"/>
      <c r="E79" s="11"/>
      <c r="F79" s="11"/>
      <c r="G79" s="27">
        <f t="shared" si="24"/>
        <v>0</v>
      </c>
      <c r="H79" s="607" t="s">
        <v>110</v>
      </c>
      <c r="I79" s="3" t="s">
        <v>178</v>
      </c>
    </row>
    <row r="80" spans="1:12" x14ac:dyDescent="0.2">
      <c r="A80" s="10" t="str">
        <f>+'Lead Budget'!A49</f>
        <v>ADP/Computer Services</v>
      </c>
      <c r="B80" s="11"/>
      <c r="C80" s="11"/>
      <c r="D80" s="11"/>
      <c r="E80" s="11"/>
      <c r="F80" s="11"/>
      <c r="G80" s="27">
        <f t="shared" si="24"/>
        <v>0</v>
      </c>
      <c r="H80" s="607" t="s">
        <v>110</v>
      </c>
      <c r="I80" s="3" t="s">
        <v>178</v>
      </c>
    </row>
    <row r="81" spans="1:16" x14ac:dyDescent="0.2">
      <c r="A81" s="10" t="str">
        <f>+'Expense Details'!A78</f>
        <v xml:space="preserve">Equipment or Facility Rental/User Fees </v>
      </c>
      <c r="B81" s="11"/>
      <c r="C81" s="11"/>
      <c r="D81" s="11"/>
      <c r="E81" s="11"/>
      <c r="F81" s="11"/>
      <c r="G81" s="27">
        <f t="shared" si="24"/>
        <v>0</v>
      </c>
      <c r="H81" s="607" t="s">
        <v>110</v>
      </c>
      <c r="I81" s="3" t="s">
        <v>178</v>
      </c>
      <c r="M81" s="11"/>
    </row>
    <row r="82" spans="1:16" x14ac:dyDescent="0.2">
      <c r="A82" s="10" t="str">
        <f>+'Lead Budget'!A52</f>
        <v>Other: Tuition</v>
      </c>
      <c r="B82" s="11">
        <f>+K38+K52</f>
        <v>0</v>
      </c>
      <c r="C82" s="11">
        <f>+L38+L52</f>
        <v>0</v>
      </c>
      <c r="D82" s="11">
        <f>+M38+M52</f>
        <v>0</v>
      </c>
      <c r="E82" s="11">
        <f>+N38+N52</f>
        <v>0</v>
      </c>
      <c r="F82" s="11">
        <f>+O38+O52</f>
        <v>0</v>
      </c>
      <c r="G82" s="27">
        <f t="shared" si="24"/>
        <v>0</v>
      </c>
      <c r="M82" s="13"/>
    </row>
    <row r="83" spans="1:16" x14ac:dyDescent="0.2">
      <c r="A83" s="593" t="s">
        <v>248</v>
      </c>
      <c r="B83" s="11">
        <f>+K26+K38+K52</f>
        <v>0</v>
      </c>
      <c r="C83" s="11">
        <f>+L26+L38+L52</f>
        <v>0</v>
      </c>
      <c r="D83" s="11">
        <f>+M26+M38+M52</f>
        <v>0</v>
      </c>
      <c r="E83" s="11">
        <f>+N26+N38+N52</f>
        <v>0</v>
      </c>
      <c r="F83" s="11">
        <f>+O26+O38+O52</f>
        <v>0</v>
      </c>
      <c r="G83" s="27">
        <f t="shared" si="24"/>
        <v>0</v>
      </c>
      <c r="M83" s="13"/>
    </row>
    <row r="84" spans="1:16" x14ac:dyDescent="0.2">
      <c r="A84" s="10" t="str">
        <f>+'Lead Budget'!A53</f>
        <v>Other: Health Insurance</v>
      </c>
      <c r="B84" s="11">
        <f>+K39+K53</f>
        <v>0</v>
      </c>
      <c r="C84" s="11">
        <f>+L39+L53</f>
        <v>0</v>
      </c>
      <c r="D84" s="11">
        <f>+M39+M53</f>
        <v>0</v>
      </c>
      <c r="E84" s="11">
        <f>+N39+N53</f>
        <v>0</v>
      </c>
      <c r="F84" s="11">
        <f>+O39+O53</f>
        <v>0</v>
      </c>
      <c r="G84" s="27">
        <f t="shared" si="24"/>
        <v>0</v>
      </c>
    </row>
    <row r="85" spans="1:16" ht="12" thickBot="1" x14ac:dyDescent="0.25">
      <c r="A85" s="15" t="str">
        <f>CONCATENATE("Total ",A76)</f>
        <v>Total Other Direct Costs</v>
      </c>
      <c r="B85" s="16">
        <f>SUM(B76:B84)</f>
        <v>0</v>
      </c>
      <c r="C85" s="16">
        <f>SUM(C76:C84)</f>
        <v>0</v>
      </c>
      <c r="D85" s="16">
        <f t="shared" ref="D85:E85" si="25">SUM(D76:D84)</f>
        <v>0</v>
      </c>
      <c r="E85" s="16">
        <f t="shared" si="25"/>
        <v>0</v>
      </c>
      <c r="F85" s="16">
        <f>SUM(F76:F84)</f>
        <v>0</v>
      </c>
      <c r="G85" s="28">
        <f>SUM(G76:G84)</f>
        <v>0</v>
      </c>
      <c r="K85" s="408"/>
    </row>
    <row r="86" spans="1:16" ht="12" thickBot="1" x14ac:dyDescent="0.25">
      <c r="A86" s="370" t="s">
        <v>16</v>
      </c>
      <c r="B86" s="371">
        <f>SUM(B26+B33+B57+B62+B68+B75+B85)</f>
        <v>0</v>
      </c>
      <c r="C86" s="372">
        <f t="shared" ref="C86:F86" si="26">SUM(C26+C33+C57+C62+C68+C75+C85)</f>
        <v>0</v>
      </c>
      <c r="D86" s="372">
        <f t="shared" si="26"/>
        <v>0</v>
      </c>
      <c r="E86" s="372">
        <f t="shared" si="26"/>
        <v>0</v>
      </c>
      <c r="F86" s="373">
        <f t="shared" si="26"/>
        <v>0</v>
      </c>
      <c r="G86" s="374">
        <f>SUM(B86:F86)</f>
        <v>0</v>
      </c>
      <c r="K86" s="409"/>
      <c r="L86" s="409"/>
      <c r="M86" s="409"/>
      <c r="N86" s="409"/>
      <c r="O86" s="409"/>
      <c r="P86" s="409"/>
    </row>
    <row r="87" spans="1:16" ht="12" thickBot="1" x14ac:dyDescent="0.25">
      <c r="A87" s="7" t="s">
        <v>185</v>
      </c>
      <c r="B87" s="610">
        <f>SUMIFS(B8:B25,$H$8:$H$25,"=Contract College",$I$8:$I$25,"=On")+SUMIFS(B28:B32,$H$28:$H$32,"=Contract College",$I$28:$I$32,"=On")+SUMIFS(B36:B56,$H$36:$H$56,"=Contract College",$I$36:$I$56,"=On")+SUMIFS(B60:B61,$H$60:$H$61,"=Contract College",$I$60:$I$61,"=On")+SUMIFS(B64:B67,$H$64:$H$67,"=Contract College",$I$64:$I$67,"=On")+SUMIFS(B70:B74,$H$70:$H$74,"=Contract College",$I$70:$I$74,"=On")+SUMIFS(B77:B81,$H$77:$H$81,"=Contract College",$I$77:$I$81,"=On")+K37</f>
        <v>0</v>
      </c>
      <c r="C87" s="610">
        <f t="shared" ref="C87:F87" si="27">SUMIFS(C8:C25,$H$8:$H$25,"=Contract College",$I$8:$I$25,"=On")+SUMIFS(C28:C32,$H$28:$H$32,"=Contract College",$I$28:$I$32,"=On")+SUMIFS(C36:C56,$H$36:$H$56,"=Contract College",$I$36:$I$56,"=On")+SUMIFS(C60:C61,$H$60:$H$61,"=Contract College",$I$60:$I$61,"=On")+SUMIFS(C64:C67,$H$64:$H$67,"=Contract College",$I$64:$I$67,"=On")+SUMIFS(C70:C74,$H$70:$H$74,"=Contract College",$I$70:$I$74,"=On")+SUMIFS(C77:C81,$H$77:$H$81,"=Contract College",$I$77:$I$81,"=On")+L37</f>
        <v>0</v>
      </c>
      <c r="D87" s="610">
        <f t="shared" si="27"/>
        <v>0</v>
      </c>
      <c r="E87" s="610">
        <f t="shared" si="27"/>
        <v>0</v>
      </c>
      <c r="F87" s="610">
        <f t="shared" si="27"/>
        <v>0</v>
      </c>
      <c r="G87" s="106">
        <f>SUM(B87:F87)</f>
        <v>0</v>
      </c>
      <c r="J87" s="2" t="str">
        <f>+'rates, dates, etc'!L7</f>
        <v>IDC Rate - Contract:</v>
      </c>
      <c r="K87" s="2">
        <f>IF('rates, dates, etc'!$B31="Off",(HLOOKUP('rates, dates, etc'!B$36,'rates, dates, etc'!$M$2:$S$11,9,FALSE)),IF('rates, dates, etc'!$B$7="Other",(HLOOKUP('rates, dates, etc'!B$36,'rates, dates, etc'!$M$2:$S$11,8,FALSE)),(HLOOKUP('rates, dates, etc'!B$36,'rates, dates, etc'!$M$2:$S$13,6,FALSE))))</f>
        <v>0.56999999999999995</v>
      </c>
      <c r="L87" s="2">
        <f>IF('rates, dates, etc'!$B31="Off",(HLOOKUP('rates, dates, etc'!C$36,'rates, dates, etc'!$M$2:$S$11,9,FALSE)),IF('rates, dates, etc'!$B$7="Other",(HLOOKUP('rates, dates, etc'!C$36,'rates, dates, etc'!$M$2:$S$11,8,FALSE)),(HLOOKUP('rates, dates, etc'!C$36,'rates, dates, etc'!$M$2:$S$13,6,FALSE))))</f>
        <v>0.56999999999999995</v>
      </c>
      <c r="M87" s="2">
        <f>IF('rates, dates, etc'!$B31="Off",(HLOOKUP('rates, dates, etc'!D$36,'rates, dates, etc'!$M$2:$S$11,9,FALSE)),IF('rates, dates, etc'!$B$7="Other",(HLOOKUP('rates, dates, etc'!D$36,'rates, dates, etc'!$M$2:$S$11,8,FALSE)),(HLOOKUP('rates, dates, etc'!D$36,'rates, dates, etc'!$M$2:$S$13,6,FALSE))))</f>
        <v>0.56999999999999995</v>
      </c>
      <c r="N87" s="2">
        <f>IF('rates, dates, etc'!$B31="Off",(HLOOKUP('rates, dates, etc'!E$36,'rates, dates, etc'!$M$2:$S$11,9,FALSE)),IF('rates, dates, etc'!$B$7="Other",(HLOOKUP('rates, dates, etc'!E$36,'rates, dates, etc'!$M$2:$S$11,8,FALSE)),(HLOOKUP('rates, dates, etc'!E$36,'rates, dates, etc'!$M$2:$S$13,6,FALSE))))</f>
        <v>0.56999999999999995</v>
      </c>
      <c r="O87" s="2">
        <f>IF('rates, dates, etc'!$B31="Off",(HLOOKUP('rates, dates, etc'!F$36,'rates, dates, etc'!$M$2:$S$11,9,FALSE)),IF('rates, dates, etc'!$B$7="Other",(HLOOKUP('rates, dates, etc'!F$36,'rates, dates, etc'!$M$2:$S$11,8,FALSE)),(HLOOKUP('rates, dates, etc'!F$36,'rates, dates, etc'!$M$2:$S$13,6,FALSE))))</f>
        <v>0.56999999999999995</v>
      </c>
      <c r="P87" s="2">
        <f>IF('rates, dates, etc'!$B31="Off",(HLOOKUP('rates, dates, etc'!G$36,'rates, dates, etc'!$M$2:$S$11,9,FALSE)),IF('rates, dates, etc'!$B$7="Other",(HLOOKUP('rates, dates, etc'!G$36,'rates, dates, etc'!$M$2:$S$11,8,FALSE)),(HLOOKUP('rates, dates, etc'!G$36,'rates, dates, etc'!$M$2:$S$13,6,FALSE))))</f>
        <v>0.56999999999999995</v>
      </c>
    </row>
    <row r="88" spans="1:16" ht="12" thickBot="1" x14ac:dyDescent="0.25">
      <c r="A88" s="7" t="s">
        <v>186</v>
      </c>
      <c r="B88" s="610">
        <f>SUMIFS(B8:B25,$H$8:$H$25,"=Contract College",$I$8:$I$25,"=Off")+SUMIFS(B28:B32,$H$28:$H$32,"=Contract College",$I$28:$I$32,"=Off")+SUMIFS(B36:B56,$H$36:$H$56,"=Contract College",$I$36:$I$56,"=Off")+SUMIFS(B60:B61,$H$60:$H$61,"=Contract College",$I$60:$I$61,"=Off")+SUMIFS(B64:B67,$H$64:$H$67,"=Contract College",$I$64:$I$67,"=Off")+SUMIFS(B70:B74,$H$70:$H$74,"=Contract College",$I$70:$I$74,"=Off")+SUMIFS(B77:B81,$H$77:$H$81,"=Contract College",$I$77:$I$81,"=Off")</f>
        <v>0</v>
      </c>
      <c r="C88" s="610">
        <f>SUMIFS(C8:C25,$H$8:$H$25,"=Contract College",$I$8:$I$25,"=Off")+SUMIFS(C28:C32,$H$28:$H$32,"=Contract College",$I$28:$I$32,"=Off")+SUMIFS(C36:C56,$H$36:$H$56,"=Contract College",$I$36:$I$56,"=Off")+SUMIFS(C60:C61,$H$60:$H$61,"=Contract College",$I$60:$I$61,"=Off")+SUMIFS(C64:C67,$H$64:$H$67,"=Contract College",$I$64:$I$67,"=Off")+SUMIFS(C70:C74,$H$70:$H$74,"=Contract College",$I$70:$I$74,"=Off")+SUMIFS(C77:C81,$H$77:$H$81,"=Contract College",$I$77:$I$81,"=Off")</f>
        <v>0</v>
      </c>
      <c r="D88" s="610">
        <f t="shared" ref="D88:F88" si="28">SUMIFS(D8:D25,$H$8:$H$25,"=Contract College",$I$8:$I$25,"=Off")+SUMIFS(D28:D32,$H$28:$H$32,"=Contract College",$I$28:$I$32,"=Off")+SUMIFS(D36:D56,$H$36:$H$56,"=Contract College",$I$36:$I$56,"=Off")+SUMIFS(D60:D61,$H$60:$H$61,"=Contract College",$I$60:$I$61,"=Off")+SUMIFS(D64:D67,$H$64:$H$67,"=Contract College",$I$64:$I$67,"=Off")+SUMIFS(D70:D74,$H$70:$H$74,"=Contract College",$I$70:$I$74,"=Off")+SUMIFS(D77:D81,$H$77:$H$81,"=Contract College",$I$77:$I$81,"=Off")</f>
        <v>0</v>
      </c>
      <c r="E88" s="610">
        <f t="shared" si="28"/>
        <v>0</v>
      </c>
      <c r="F88" s="610">
        <f t="shared" si="28"/>
        <v>0</v>
      </c>
      <c r="G88" s="106">
        <f t="shared" ref="G88:G90" si="29">SUM(B88:F88)</f>
        <v>0</v>
      </c>
      <c r="J88" s="2" t="str">
        <f>+'rates, dates, etc'!L8</f>
        <v>IDC Rate - Endowed:</v>
      </c>
      <c r="K88" s="2">
        <f>IF('rates, dates, etc'!$B31="Off",(HLOOKUP('rates, dates, etc'!B$36,'rates, dates, etc'!$M$2:$S$11,9,FALSE)),IF('rates, dates, etc'!$B$7="Other",(HLOOKUP('rates, dates, etc'!B$36,'rates, dates, etc'!$M$2:$S$11,8,FALSE)),(HLOOKUP('rates, dates, etc'!B$36,'rates, dates, etc'!$M$2:$S$13,7,FALSE))))</f>
        <v>0.64</v>
      </c>
      <c r="L88" s="2">
        <f>IF('rates, dates, etc'!$B31="Off",(HLOOKUP('rates, dates, etc'!C$36,'rates, dates, etc'!$M$2:$S$11,9,FALSE)),IF('rates, dates, etc'!$B$7="Other",(HLOOKUP('rates, dates, etc'!C$36,'rates, dates, etc'!$M$2:$S$11,8,FALSE)),(HLOOKUP('rates, dates, etc'!C$36,'rates, dates, etc'!$M$2:$S$13,7,FALSE))))</f>
        <v>0.64</v>
      </c>
      <c r="M88" s="2">
        <f>IF('rates, dates, etc'!$B31="Off",(HLOOKUP('rates, dates, etc'!D$36,'rates, dates, etc'!$M$2:$S$11,9,FALSE)),IF('rates, dates, etc'!$B$7="Other",(HLOOKUP('rates, dates, etc'!D$36,'rates, dates, etc'!$M$2:$S$11,8,FALSE)),(HLOOKUP('rates, dates, etc'!D$36,'rates, dates, etc'!$M$2:$S$13,7,FALSE))))</f>
        <v>0.64</v>
      </c>
      <c r="N88" s="2">
        <f>IF('rates, dates, etc'!$B31="Off",(HLOOKUP('rates, dates, etc'!E$36,'rates, dates, etc'!$M$2:$S$11,9,FALSE)),IF('rates, dates, etc'!$B$7="Other",(HLOOKUP('rates, dates, etc'!E$36,'rates, dates, etc'!$M$2:$S$11,8,FALSE)),(HLOOKUP('rates, dates, etc'!E$36,'rates, dates, etc'!$M$2:$S$13,7,FALSE))))</f>
        <v>0.64</v>
      </c>
      <c r="O88" s="2">
        <f>IF('rates, dates, etc'!$B31="Off",(HLOOKUP('rates, dates, etc'!F$36,'rates, dates, etc'!$M$2:$S$11,9,FALSE)),IF('rates, dates, etc'!$B$7="Other",(HLOOKUP('rates, dates, etc'!F$36,'rates, dates, etc'!$M$2:$S$11,8,FALSE)),(HLOOKUP('rates, dates, etc'!F$36,'rates, dates, etc'!$M$2:$S$13,7,FALSE))))</f>
        <v>0.64</v>
      </c>
      <c r="P88" s="2">
        <f>IF('rates, dates, etc'!$B31="Off",(HLOOKUP('rates, dates, etc'!G$36,'rates, dates, etc'!$M$2:$S$11,9,FALSE)),IF('rates, dates, etc'!$B$7="Other",(HLOOKUP('rates, dates, etc'!G$36,'rates, dates, etc'!$M$2:$S$11,8,FALSE)),(HLOOKUP('rates, dates, etc'!G$36,'rates, dates, etc'!$M$2:$S$13,7,FALSE))))</f>
        <v>0.64</v>
      </c>
    </row>
    <row r="89" spans="1:16" ht="12" thickBot="1" x14ac:dyDescent="0.25">
      <c r="A89" s="7" t="s">
        <v>188</v>
      </c>
      <c r="B89" s="610">
        <f>SUMIFS(B8:B25,$H$8:$H$25,"=Endowed College",$I$8:$I$25,"=On")+SUMIFS(B28:B32,$H$28:$H$32,"=Endowed College",$I$28:$I$32,"=On")+SUMIFS(B36:B56,$H$36:$H$56,"=Endowed College",$I$36:$I$56,"=On")+SUMIFS(B60:B61,$H$60:$H$61,"=Endowed College",$I$60:$I$61,"=On")+SUMIFS(B64:B67,$H$64:$H$67,"=Endowed College",$I$64:$I$67,"=On")+SUMIFS(B70:B74,$H$70:$H$74,"=Endowed College",$I$70:$I$74,"=On")+SUMIFS(B77:B81,$H$77:$H$81,"=Endowed College",$I$77:$I$81,"=On")+K51</f>
        <v>0</v>
      </c>
      <c r="C89" s="610">
        <f t="shared" ref="C89:F89" si="30">SUMIFS(C8:C25,$H$8:$H$25,"=Endowed College",$I$8:$I$25,"=On")+SUMIFS(C28:C32,$H$28:$H$32,"=Endowed College",$I$28:$I$32,"=On")+SUMIFS(C36:C56,$H$36:$H$56,"=Endowed College",$I$36:$I$56,"=On")+SUMIFS(C60:C61,$H$60:$H$61,"=Endowed College",$I$60:$I$61,"=On")+SUMIFS(C64:C67,$H$64:$H$67,"=Endowed College",$I$64:$I$67,"=On")+SUMIFS(C70:C74,$H$70:$H$74,"=Endowed College",$I$70:$I$74,"=On")+SUMIFS(C77:C81,$H$77:$H$81,"=Endowed College",$I$77:$I$81,"=On")+L51</f>
        <v>0</v>
      </c>
      <c r="D89" s="610">
        <f t="shared" si="30"/>
        <v>0</v>
      </c>
      <c r="E89" s="610">
        <f t="shared" si="30"/>
        <v>0</v>
      </c>
      <c r="F89" s="610">
        <f t="shared" si="30"/>
        <v>0</v>
      </c>
      <c r="G89" s="106">
        <f t="shared" si="29"/>
        <v>0</v>
      </c>
      <c r="J89" s="3" t="str">
        <f>+'rates, dates, etc'!A42</f>
        <v>Rate Allowed by Sponsor:</v>
      </c>
      <c r="K89" s="2">
        <f>+'rates, dates, etc'!B42</f>
        <v>0.2</v>
      </c>
      <c r="L89" s="2">
        <f>+'rates, dates, etc'!C42</f>
        <v>0.2</v>
      </c>
      <c r="M89" s="2">
        <f>+'rates, dates, etc'!D42</f>
        <v>0.2</v>
      </c>
      <c r="N89" s="2">
        <f>+'rates, dates, etc'!E42</f>
        <v>0.2</v>
      </c>
      <c r="O89" s="2">
        <f>+'rates, dates, etc'!F42</f>
        <v>0.2</v>
      </c>
      <c r="P89" s="2">
        <f>+'rates, dates, etc'!G42</f>
        <v>0.2</v>
      </c>
    </row>
    <row r="90" spans="1:16" ht="12" thickBot="1" x14ac:dyDescent="0.25">
      <c r="A90" s="7" t="s">
        <v>187</v>
      </c>
      <c r="B90" s="610">
        <f>SUMIFS(B8:B25,$H$8:$H$25,"=Endowed College",$I$8:$I$25,"=Off")+SUMIFS(B28:B32,$H$28:$H$32,"=Endowed College",$I$28:$I$32,"=Off")+SUMIFS(B36:B56,$H$36:$H$56,"=Endowed College",$I$36:$I$56,"=Off")+SUMIFS(B60:B61,$H$60:$H$61,"=Endowed College",$I$60:$I$61,"=Off")+SUMIFS(B64:B67,$H$64:$H$67,"=Endowed College",$I$64:$I$67,"=Off")+SUMIFS(B70:B74,$H$70:$H$74,"=Endowed College",$I$70:$I$74,"=Off")+SUMIFS(B77:B81,$H$77:$H$81,"=Endowed College",$I$77:$I$81,"=Off")</f>
        <v>0</v>
      </c>
      <c r="C90" s="610">
        <f t="shared" ref="C90:F90" si="31">SUMIFS(C8:C25,$H$8:$H$25,"=Endowed College",$I$8:$I$25,"=Off")+SUMIFS(C29:C32,$H$29:$H$32,"=Endowed College",$I$29:$I$32,"=Off")+SUMIFS(C36:C56,$H$36:$H$56,"=Endowed College",$I$36:$I$56,"=Off")+SUMIFS(C60:C61,$H$60:$H$61,"=Endowed College",$I$60:$I$61,"=Off")+SUMIFS(C64:C67,$H$64:$H$67,"=Endowed College",$I$64:$I$67,"=Off")+SUMIFS(C70:C74,$H$70:$H$74,"=Endowed College",$I$70:$I$74,"=Off")+SUMIFS(C77:C81,$H$77:$H$81,"=Endowed College",$I$77:$I$81,"=Off")</f>
        <v>0</v>
      </c>
      <c r="D90" s="610">
        <f t="shared" si="31"/>
        <v>0</v>
      </c>
      <c r="E90" s="610">
        <f t="shared" si="31"/>
        <v>0</v>
      </c>
      <c r="F90" s="610">
        <f t="shared" si="31"/>
        <v>0</v>
      </c>
      <c r="G90" s="106">
        <f t="shared" si="29"/>
        <v>0</v>
      </c>
      <c r="J90" s="2">
        <f>IF(OR('rates, dates, etc'!$B$31="Off",'rates, dates, etc'!$B$137="Off",'rates, dates, etc'!$B$243="Off",'rates, dates, etc'!$B$349="Off",'rates, dates, etc'!$B$455="Off",'rates, dates, etc'!$B$561="Off",'rates, dates, etc'!$B$667="Off"),+'rates, dates, etc'!L10,0)</f>
        <v>0</v>
      </c>
      <c r="K90" s="2">
        <f>IF(OR('rates, dates, etc'!$B$31="Off",'rates, dates, etc'!$B$137="Off",'rates, dates, etc'!$B$243="Off",'rates, dates, etc'!$B$349="Off",'rates, dates, etc'!$B$455="Off",'rates, dates, etc'!$B$561="Off",'rates, dates, etc'!$B$667="Off"),(HLOOKUP('rates, dates, etc'!B$36,'rates, dates, etc'!$M$2:$S$11,9,FALSE)),0)</f>
        <v>0</v>
      </c>
      <c r="L90" s="2">
        <f>IF(OR('rates, dates, etc'!$B$31="Off",'rates, dates, etc'!$B$137="Off",'rates, dates, etc'!$B$243="Off",'rates, dates, etc'!$B$349="Off",'rates, dates, etc'!$B$455="Off",'rates, dates, etc'!$B$561="Off",'rates, dates, etc'!$B$667="Off"),(HLOOKUP('rates, dates, etc'!C$36,'rates, dates, etc'!$M$2:$S$11,9,FALSE)),0)</f>
        <v>0</v>
      </c>
      <c r="M90" s="2">
        <f>IF(OR('rates, dates, etc'!$B$31="Off",'rates, dates, etc'!$B$137="Off",'rates, dates, etc'!$B$243="Off",'rates, dates, etc'!$B$349="Off",'rates, dates, etc'!$B$455="Off",'rates, dates, etc'!$B$561="Off",'rates, dates, etc'!$B$667="Off"),(HLOOKUP('rates, dates, etc'!D$36,'rates, dates, etc'!$M$2:$S$11,9,FALSE)),0)</f>
        <v>0</v>
      </c>
      <c r="N90" s="2">
        <f>IF(OR('rates, dates, etc'!$B$31="Off",'rates, dates, etc'!$B$137="Off",'rates, dates, etc'!$B$243="Off",'rates, dates, etc'!$B$349="Off",'rates, dates, etc'!$B$455="Off",'rates, dates, etc'!$B$561="Off",'rates, dates, etc'!$B$667="Off"),(HLOOKUP('rates, dates, etc'!E$36,'rates, dates, etc'!$M$2:$S$11,9,FALSE)),0)</f>
        <v>0</v>
      </c>
      <c r="O90" s="2">
        <f>IF(OR('rates, dates, etc'!$B$31="Off",'rates, dates, etc'!$B$137="Off",'rates, dates, etc'!$B$243="Off",'rates, dates, etc'!$B$349="Off",'rates, dates, etc'!$B$455="Off",'rates, dates, etc'!$B$561="Off",'rates, dates, etc'!$B$667="Off"),(HLOOKUP('rates, dates, etc'!F$36,'rates, dates, etc'!$M$2:$S$11,9,FALSE)),0)</f>
        <v>0</v>
      </c>
      <c r="P90" s="2">
        <f>IF(OR('rates, dates, etc'!$B$31="Off",'rates, dates, etc'!$B$137="Off",'rates, dates, etc'!$B$243="Off",'rates, dates, etc'!$B$349="Off",'rates, dates, etc'!$B$455="Off",'rates, dates, etc'!$B$561="Off",'rates, dates, etc'!$B$667="Off"),(HLOOKUP('rates, dates, etc'!G$36,'rates, dates, etc'!$M$2:$S$11,9,FALSE)),0)</f>
        <v>0</v>
      </c>
    </row>
    <row r="91" spans="1:16" ht="12" thickBot="1" x14ac:dyDescent="0.25">
      <c r="A91" s="108" t="s">
        <v>18</v>
      </c>
      <c r="B91" s="374">
        <f>IF(AND('rates, dates, etc'!$B$11="no",$G$106&lt;$G$107),B106,B107)</f>
        <v>0</v>
      </c>
      <c r="C91" s="374">
        <f>IF(AND('rates, dates, etc'!$B$11="no",$G$106&lt;$G$107),C106,C107)</f>
        <v>0</v>
      </c>
      <c r="D91" s="374">
        <f>IF(AND('rates, dates, etc'!$B$11="no",$G$106&lt;$G$107),D106,D107)</f>
        <v>0</v>
      </c>
      <c r="E91" s="374">
        <f>IF(AND('rates, dates, etc'!$B$11="no",$G$106&lt;$G$107),E106,E107)</f>
        <v>0</v>
      </c>
      <c r="F91" s="374">
        <f>IF(AND('rates, dates, etc'!$B$11="no",$G$106&lt;$G$107),F106,F107)</f>
        <v>0</v>
      </c>
      <c r="G91" s="106">
        <f>SUM(B91:F91)</f>
        <v>0</v>
      </c>
      <c r="O91" s="13"/>
      <c r="P91" s="13"/>
    </row>
    <row r="92" spans="1:16" ht="12" thickBot="1" x14ac:dyDescent="0.25">
      <c r="A92" s="674" t="s">
        <v>19</v>
      </c>
      <c r="B92" s="675">
        <f>+B86+B91</f>
        <v>0</v>
      </c>
      <c r="C92" s="675">
        <f t="shared" ref="C92:F92" si="32">+C86+C91</f>
        <v>0</v>
      </c>
      <c r="D92" s="675">
        <f t="shared" si="32"/>
        <v>0</v>
      </c>
      <c r="E92" s="675">
        <f t="shared" si="32"/>
        <v>0</v>
      </c>
      <c r="F92" s="675">
        <f t="shared" si="32"/>
        <v>0</v>
      </c>
      <c r="G92" s="676">
        <f>SUM(B92:F92)</f>
        <v>0</v>
      </c>
      <c r="J92" s="71" t="s">
        <v>144</v>
      </c>
      <c r="K92" s="31" t="s">
        <v>36</v>
      </c>
      <c r="L92" s="31" t="s">
        <v>56</v>
      </c>
    </row>
    <row r="93" spans="1:16" x14ac:dyDescent="0.2">
      <c r="A93" s="677" t="s">
        <v>324</v>
      </c>
      <c r="B93" s="11"/>
      <c r="C93" s="11"/>
      <c r="D93" s="11"/>
      <c r="E93" s="11"/>
      <c r="F93" s="11"/>
      <c r="G93" s="27">
        <f>SUM(B93:F93)</f>
        <v>0</v>
      </c>
      <c r="H93" s="408"/>
      <c r="J93" s="72" t="s">
        <v>51</v>
      </c>
      <c r="K93" s="68">
        <f>+'rates, dates, etc'!M41</f>
        <v>6</v>
      </c>
      <c r="L93" s="68">
        <f>+'rates, dates, etc'!N41</f>
        <v>0.5</v>
      </c>
    </row>
    <row r="94" spans="1:16" x14ac:dyDescent="0.2">
      <c r="A94" s="678" t="s">
        <v>324</v>
      </c>
      <c r="B94" s="12"/>
      <c r="C94" s="12"/>
      <c r="D94" s="12"/>
      <c r="E94" s="12"/>
      <c r="F94" s="12"/>
      <c r="G94" s="27">
        <f t="shared" ref="G94:G96" si="33">SUM(B94:F94)</f>
        <v>0</v>
      </c>
      <c r="H94" s="408"/>
      <c r="J94" s="72" t="s">
        <v>52</v>
      </c>
      <c r="K94" s="68">
        <f>+'rates, dates, etc'!M42</f>
        <v>6</v>
      </c>
      <c r="L94" s="68">
        <f>+'rates, dates, etc'!N42</f>
        <v>0.5</v>
      </c>
    </row>
    <row r="95" spans="1:16" x14ac:dyDescent="0.2">
      <c r="A95" s="678" t="s">
        <v>324</v>
      </c>
      <c r="B95" s="12"/>
      <c r="C95" s="12"/>
      <c r="D95" s="12"/>
      <c r="E95" s="12"/>
      <c r="F95" s="12"/>
      <c r="G95" s="27">
        <f t="shared" si="33"/>
        <v>0</v>
      </c>
      <c r="H95" s="408"/>
      <c r="J95" s="72"/>
      <c r="K95" s="73">
        <f>SUM(K93:K94)</f>
        <v>12</v>
      </c>
      <c r="L95" s="2" t="s">
        <v>97</v>
      </c>
    </row>
    <row r="96" spans="1:16" x14ac:dyDescent="0.2">
      <c r="A96" s="465" t="s">
        <v>324</v>
      </c>
      <c r="B96" s="12"/>
      <c r="C96" s="12"/>
      <c r="D96" s="12"/>
      <c r="E96" s="12"/>
      <c r="F96" s="12"/>
      <c r="G96" s="27">
        <f t="shared" si="33"/>
        <v>0</v>
      </c>
      <c r="J96" s="70"/>
    </row>
    <row r="97" spans="1:12" ht="12" thickBot="1" x14ac:dyDescent="0.25">
      <c r="A97" s="375" t="s">
        <v>323</v>
      </c>
      <c r="B97" s="376">
        <f>SUM(B92:B96)</f>
        <v>0</v>
      </c>
      <c r="C97" s="376">
        <f t="shared" ref="C97:F97" si="34">SUM(C92:C96)</f>
        <v>0</v>
      </c>
      <c r="D97" s="376">
        <f t="shared" si="34"/>
        <v>0</v>
      </c>
      <c r="E97" s="376">
        <f t="shared" si="34"/>
        <v>0</v>
      </c>
      <c r="F97" s="376">
        <f t="shared" si="34"/>
        <v>0</v>
      </c>
      <c r="G97" s="377">
        <f>SUM(G92:G96)</f>
        <v>0</v>
      </c>
    </row>
    <row r="98" spans="1:12" x14ac:dyDescent="0.2">
      <c r="A98" s="604"/>
      <c r="B98" s="605"/>
      <c r="C98" s="605"/>
      <c r="D98" s="605"/>
      <c r="E98" s="605"/>
      <c r="F98" s="605"/>
      <c r="G98" s="605"/>
      <c r="J98" s="2"/>
      <c r="K98" s="2"/>
      <c r="L98" s="2"/>
    </row>
    <row r="99" spans="1:12" x14ac:dyDescent="0.2">
      <c r="A99" s="604"/>
      <c r="B99" s="687"/>
      <c r="C99" s="687" t="s">
        <v>328</v>
      </c>
      <c r="D99" s="687"/>
      <c r="E99" s="688" t="s">
        <v>5</v>
      </c>
      <c r="F99" s="693" t="s">
        <v>329</v>
      </c>
      <c r="G99" s="688" t="s">
        <v>337</v>
      </c>
      <c r="H99" s="684"/>
      <c r="J99" s="2"/>
      <c r="K99" s="2"/>
      <c r="L99" s="2"/>
    </row>
    <row r="100" spans="1:12" x14ac:dyDescent="0.2">
      <c r="A100" s="604"/>
      <c r="B100" s="689"/>
      <c r="C100" s="689" t="s">
        <v>338</v>
      </c>
      <c r="D100" s="689" t="s">
        <v>327</v>
      </c>
      <c r="E100" s="689" t="s">
        <v>192</v>
      </c>
      <c r="F100" s="694" t="s">
        <v>328</v>
      </c>
      <c r="G100" s="689" t="s">
        <v>328</v>
      </c>
      <c r="H100" s="685" t="s">
        <v>277</v>
      </c>
      <c r="J100" s="2"/>
      <c r="K100" s="2"/>
      <c r="L100" s="2"/>
    </row>
    <row r="101" spans="1:12" x14ac:dyDescent="0.2">
      <c r="A101" s="604"/>
      <c r="B101" s="690"/>
      <c r="C101" s="690">
        <f>+'rates, dates, etc'!B9</f>
        <v>0</v>
      </c>
      <c r="D101" s="691">
        <f>IF(C101="1 to 1 match",100%,IF(C101="2 to 1 match",200%,IF(OR(C101="% of Total funds",C101="% of Requested funds"),'rates, dates, etc'!B10,0)))</f>
        <v>0</v>
      </c>
      <c r="E101" s="692">
        <f>+'Budget Summary'!G99</f>
        <v>248366</v>
      </c>
      <c r="F101" s="695">
        <f>IF(C101="% of Total funds",ROUND(E101/(100%-D101),0)-E101,E101*D101)</f>
        <v>0</v>
      </c>
      <c r="G101" s="692">
        <f>G97</f>
        <v>0</v>
      </c>
      <c r="H101" s="686">
        <f>G101-F101</f>
        <v>0</v>
      </c>
      <c r="I101" s="696" t="str">
        <f>IF(H101&gt;=1,"You are over!!! Please reduce!",IF(H101&lt;=-1," You are under!!! Please add more!!"," "))</f>
        <v xml:space="preserve"> </v>
      </c>
    </row>
    <row r="102" spans="1:12" ht="12" thickBot="1" x14ac:dyDescent="0.25">
      <c r="A102" s="604"/>
      <c r="B102" s="605"/>
      <c r="C102" s="605"/>
      <c r="D102" s="605"/>
      <c r="E102" s="605"/>
      <c r="F102" s="605"/>
      <c r="G102" s="605"/>
      <c r="J102" s="2"/>
      <c r="K102" s="2"/>
      <c r="L102" s="2"/>
    </row>
    <row r="103" spans="1:12" ht="12" thickBot="1" x14ac:dyDescent="0.25">
      <c r="A103" s="41" t="s">
        <v>45</v>
      </c>
      <c r="B103" s="42">
        <f>+'Lead Budget'!B63+Stedman!B63+'Co PI 2'!B63+'Co PI 3'!B63+'Co-PI Budget (4)'!B63+'Co-PI Budget (5)'!B63</f>
        <v>0</v>
      </c>
      <c r="C103" s="42">
        <f>+'Lead Budget'!C63+Stedman!C63+'Co PI 2'!C63+'Co PI 3'!C63+'Co-PI Budget (4)'!C63+'Co-PI Budget (5)'!C63</f>
        <v>0</v>
      </c>
      <c r="D103" s="42">
        <f>+'Lead Budget'!D63+Stedman!D63+'Co PI 2'!D63+'Co PI 3'!D63+'Co-PI Budget (4)'!D63+'Co-PI Budget (5)'!D63</f>
        <v>0</v>
      </c>
      <c r="E103" s="42">
        <f>+'Lead Budget'!E63+Stedman!E63+'Co PI 2'!E63+'Co PI 3'!E63+'Co-PI Budget (4)'!E63+'Co-PI Budget (5)'!E63</f>
        <v>0</v>
      </c>
      <c r="F103" s="42">
        <f>+'Lead Budget'!F63+Stedman!F63+'Co PI 2'!F63+'Co PI 3'!F63+'Co-PI Budget (4)'!F63+'Co-PI Budget (5)'!F63</f>
        <v>0</v>
      </c>
      <c r="G103" s="43">
        <f>SUM(B103:F103)</f>
        <v>0</v>
      </c>
      <c r="J103" s="2"/>
      <c r="K103" s="2"/>
      <c r="L103" s="2"/>
    </row>
    <row r="104" spans="1:12" x14ac:dyDescent="0.2">
      <c r="J104" s="2"/>
      <c r="K104" s="2"/>
      <c r="L104" s="2"/>
    </row>
    <row r="105" spans="1:12" ht="12" thickBot="1" x14ac:dyDescent="0.25">
      <c r="B105" s="11"/>
      <c r="C105" s="11"/>
      <c r="D105" s="11"/>
      <c r="E105" s="11"/>
      <c r="F105" s="11"/>
      <c r="G105" s="11"/>
      <c r="J105" s="2"/>
      <c r="K105" s="2"/>
      <c r="L105" s="2"/>
    </row>
    <row r="106" spans="1:12" ht="12" thickBot="1" x14ac:dyDescent="0.25">
      <c r="A106" s="101" t="s">
        <v>135</v>
      </c>
      <c r="B106" s="103">
        <f>IF('rates, dates, etc'!$B$11="Yes",0,ROUNDDOWN((B86*K89*$L$93)+(B86*L89*$L$94),0))</f>
        <v>0</v>
      </c>
      <c r="C106" s="104">
        <f>IF('rates, dates, etc'!$B$11="Yes",0,ROUNDDOWN((C86*L89*$L$93)+(C86*M89*$L$94),0))</f>
        <v>0</v>
      </c>
      <c r="D106" s="104">
        <f>IF('rates, dates, etc'!$B$11="Yes",0,ROUNDDOWN((D86*M89*$L$93)+(D86*N89*$L$94),0))</f>
        <v>0</v>
      </c>
      <c r="E106" s="104">
        <f>IF('rates, dates, etc'!$B$11="Yes",0,ROUNDDOWN((E86*N89*$L$93)+(E86*O89*$L$94),0))</f>
        <v>0</v>
      </c>
      <c r="F106" s="104">
        <f>IF('rates, dates, etc'!$B$11="Yes",0,ROUNDDOWN((F86*O89*$L$93)+(F86*P89*$L$94),0))</f>
        <v>0</v>
      </c>
      <c r="G106" s="103">
        <f>SUM(B106:F106)</f>
        <v>0</v>
      </c>
      <c r="J106" s="2"/>
      <c r="K106" s="2"/>
      <c r="L106" s="2"/>
    </row>
    <row r="107" spans="1:12" ht="12" thickBot="1" x14ac:dyDescent="0.25">
      <c r="A107" s="102" t="s">
        <v>145</v>
      </c>
      <c r="B107" s="103">
        <f>ROUNDDOWN((B87*K87*$L$93)+(B87*L87*$L$94),0)+ROUNDDOWN((B89*K88*$L$93)+(B89*L88*$L$94),0)+ROUNDDOWN((B88*K90*$L$93)+(B88*L90*$L$94),0)+ROUNDDOWN((B90*K90*$L$93)+(B90*L90*$L$94),0)</f>
        <v>0</v>
      </c>
      <c r="C107" s="104">
        <f>ROUNDDOWN((C87*L87*$L$93)+(C87*M87*$L$94),0)+ROUNDDOWN((C89*L88*$L$93)+(C89*M88*$L$94),0)+ROUNDDOWN((C88*L90*$L$93)+(C88*M90*$L$94),0)+ROUNDDOWN((C90*L90*$L$93)+(C90*M90*$L$94),0)</f>
        <v>0</v>
      </c>
      <c r="D107" s="104">
        <f>ROUNDDOWN((D87*M87*$L$93)+(D87*N87*$L$94),0)+ROUNDDOWN((D89*M88*$L$93)+(D89*N88*$L$94),0)+ROUNDDOWN((D88*M90*$L$93)+(D88*N90*$L$94),0)+ROUNDDOWN((D90*M90*$L$93)+(D90*N90*$L$94),0)</f>
        <v>0</v>
      </c>
      <c r="E107" s="104">
        <f>ROUNDDOWN((E87*N87*$L$93)+(E87*O87*$L$94),0)+ROUNDDOWN((E89*N88*$L$93)+(E89*O88*$L$94),0)+ROUNDDOWN((E88*N90*$L$93)+(E88*O90*$L$94),0)+ROUNDDOWN((E90*N90*$L$93)+(E90*O90*$L$94),0)</f>
        <v>0</v>
      </c>
      <c r="F107" s="416">
        <f>ROUNDDOWN((F87*O87*$L$93)+(F87*P87*$L$94),0)+ROUNDDOWN((F89*O88*$L$93)+(F89*P88*$L$94),0)+ROUNDDOWN((F88*O90*$L$93)+(F88*P90*$L$94),0)+ROUNDDOWN((F90*O90*$L$93)+(F90*P90*$L$94),0)</f>
        <v>0</v>
      </c>
      <c r="G107" s="103">
        <f>SUM(B107:F107)</f>
        <v>0</v>
      </c>
      <c r="J107" s="2"/>
      <c r="K107" s="2"/>
      <c r="L107" s="2"/>
    </row>
    <row r="108" spans="1:12" x14ac:dyDescent="0.2">
      <c r="B108" s="11"/>
      <c r="C108" s="11"/>
      <c r="D108" s="11"/>
      <c r="E108" s="11"/>
      <c r="F108" s="11"/>
      <c r="G108" s="11"/>
      <c r="J108" s="2"/>
      <c r="K108" s="2"/>
      <c r="L108" s="2"/>
    </row>
    <row r="109" spans="1:12" x14ac:dyDescent="0.2">
      <c r="D109" s="18"/>
      <c r="G109" s="11"/>
      <c r="J109" s="2"/>
      <c r="K109" s="2"/>
      <c r="L109" s="2"/>
    </row>
    <row r="110" spans="1:12" x14ac:dyDescent="0.2">
      <c r="B110" s="18"/>
      <c r="C110" s="11"/>
      <c r="D110" s="18"/>
      <c r="E110" s="11"/>
      <c r="F110" s="11"/>
      <c r="J110" s="2"/>
      <c r="K110" s="2"/>
      <c r="L110" s="2"/>
    </row>
    <row r="111" spans="1:12" x14ac:dyDescent="0.2">
      <c r="B111" s="679"/>
      <c r="C111" s="420"/>
      <c r="D111" s="12"/>
      <c r="E111" s="13"/>
      <c r="F111" s="13"/>
      <c r="G111" s="11"/>
      <c r="J111" s="2"/>
      <c r="K111" s="2"/>
      <c r="L111" s="2"/>
    </row>
    <row r="112" spans="1:12" ht="11.25" customHeight="1" x14ac:dyDescent="0.25">
      <c r="B112" s="679"/>
      <c r="C112" s="680"/>
      <c r="D112" s="12"/>
      <c r="E112" s="13"/>
      <c r="F112" s="13"/>
      <c r="G112"/>
      <c r="H112"/>
      <c r="I112"/>
      <c r="J112" s="2"/>
      <c r="K112" s="2"/>
      <c r="L112" s="2"/>
    </row>
    <row r="113" spans="2:12" ht="11.25" customHeight="1" x14ac:dyDescent="0.25">
      <c r="B113" s="679"/>
      <c r="C113" s="420"/>
      <c r="D113" s="12"/>
      <c r="E113" s="11"/>
      <c r="F113" s="13"/>
      <c r="G113"/>
      <c r="H113"/>
      <c r="I113"/>
      <c r="J113" s="2"/>
      <c r="K113" s="2"/>
      <c r="L113" s="2"/>
    </row>
    <row r="114" spans="2:12" ht="11.25" customHeight="1" x14ac:dyDescent="0.2">
      <c r="B114" s="679"/>
      <c r="C114" s="420"/>
      <c r="D114" s="12"/>
      <c r="E114" s="11"/>
      <c r="F114" s="13"/>
      <c r="G114" s="588"/>
      <c r="H114" s="588"/>
      <c r="I114" s="588"/>
      <c r="J114" s="2"/>
      <c r="K114" s="2"/>
      <c r="L114" s="2"/>
    </row>
    <row r="115" spans="2:12" ht="11.25" customHeight="1" x14ac:dyDescent="0.2">
      <c r="B115" s="588"/>
      <c r="C115" s="588"/>
      <c r="D115" s="588"/>
      <c r="E115" s="588"/>
      <c r="F115" s="588"/>
      <c r="G115" s="588"/>
      <c r="H115" s="588"/>
      <c r="I115" s="588"/>
      <c r="J115" s="70"/>
    </row>
    <row r="116" spans="2:12" ht="11.25" customHeight="1" x14ac:dyDescent="0.2">
      <c r="B116" s="588"/>
      <c r="C116" s="588"/>
      <c r="D116" s="588"/>
      <c r="E116" s="588"/>
      <c r="F116" s="588"/>
      <c r="G116" s="588"/>
      <c r="H116" s="588"/>
      <c r="I116" s="588"/>
      <c r="J116" s="70"/>
    </row>
    <row r="117" spans="2:12" ht="11.25" customHeight="1" x14ac:dyDescent="0.2">
      <c r="B117" s="588"/>
      <c r="C117" s="588"/>
      <c r="D117" s="588"/>
      <c r="E117" s="588"/>
      <c r="F117" s="588"/>
      <c r="G117" s="588"/>
      <c r="H117" s="588"/>
      <c r="I117" s="588"/>
      <c r="J117" s="70"/>
    </row>
    <row r="118" spans="2:12" ht="11.25" customHeight="1" x14ac:dyDescent="0.2">
      <c r="B118" s="588"/>
      <c r="C118" s="588"/>
      <c r="D118" s="588"/>
      <c r="E118" s="588"/>
      <c r="F118" s="588"/>
      <c r="G118" s="588"/>
      <c r="H118" s="588"/>
      <c r="I118" s="588"/>
      <c r="J118" s="70"/>
    </row>
    <row r="119" spans="2:12" ht="11.25" customHeight="1" x14ac:dyDescent="0.2">
      <c r="B119" s="588"/>
      <c r="C119" s="588"/>
      <c r="D119" s="588"/>
      <c r="E119" s="588"/>
      <c r="F119" s="588"/>
      <c r="G119" s="588"/>
      <c r="H119" s="588"/>
      <c r="I119" s="588"/>
      <c r="J119" s="70"/>
    </row>
    <row r="120" spans="2:12" ht="11.25" customHeight="1" x14ac:dyDescent="0.2">
      <c r="B120" s="588"/>
      <c r="C120" s="588"/>
      <c r="D120" s="588"/>
      <c r="E120" s="588"/>
      <c r="F120" s="588"/>
      <c r="G120" s="588"/>
      <c r="H120" s="588"/>
      <c r="I120" s="588"/>
      <c r="J120" s="70"/>
    </row>
    <row r="121" spans="2:12" ht="11.25" customHeight="1" x14ac:dyDescent="0.2">
      <c r="B121" s="588"/>
      <c r="C121" s="588"/>
      <c r="D121" s="588"/>
      <c r="E121" s="588"/>
      <c r="F121" s="588"/>
      <c r="G121" s="588"/>
      <c r="H121" s="588"/>
      <c r="I121" s="588"/>
      <c r="J121" s="70"/>
    </row>
    <row r="122" spans="2:12" ht="11.25" customHeight="1" x14ac:dyDescent="0.2">
      <c r="B122" s="588"/>
      <c r="C122" s="588"/>
      <c r="D122" s="588"/>
      <c r="E122" s="588"/>
      <c r="F122" s="588"/>
      <c r="G122" s="588"/>
      <c r="H122" s="588"/>
      <c r="I122" s="588"/>
      <c r="J122" s="70"/>
    </row>
    <row r="123" spans="2:12" ht="11.25" customHeight="1" x14ac:dyDescent="0.2">
      <c r="B123" s="588"/>
      <c r="C123" s="588"/>
      <c r="D123" s="588"/>
      <c r="E123" s="588"/>
      <c r="F123" s="588"/>
      <c r="G123" s="588"/>
      <c r="H123" s="588"/>
      <c r="I123" s="588"/>
      <c r="J123" s="70"/>
    </row>
    <row r="124" spans="2:12" ht="11.25" customHeight="1" x14ac:dyDescent="0.2">
      <c r="B124" s="588"/>
      <c r="C124" s="588"/>
      <c r="D124" s="588"/>
      <c r="E124" s="588"/>
      <c r="F124" s="588"/>
      <c r="G124" s="588"/>
      <c r="H124" s="588"/>
      <c r="I124" s="588"/>
      <c r="J124" s="70"/>
    </row>
    <row r="125" spans="2:12" ht="11.25" customHeight="1" x14ac:dyDescent="0.2">
      <c r="B125" s="588"/>
      <c r="C125" s="588"/>
      <c r="D125" s="588"/>
      <c r="E125" s="588"/>
      <c r="F125" s="588"/>
      <c r="G125" s="588"/>
      <c r="H125" s="588"/>
      <c r="I125" s="588"/>
      <c r="J125" s="70"/>
    </row>
    <row r="126" spans="2:12" ht="11.25" customHeight="1" x14ac:dyDescent="0.2">
      <c r="B126" s="588"/>
      <c r="C126" s="588"/>
      <c r="D126" s="588"/>
      <c r="E126" s="588"/>
      <c r="F126" s="588"/>
      <c r="G126" s="588"/>
      <c r="H126" s="588"/>
      <c r="I126" s="588"/>
      <c r="J126" s="70"/>
    </row>
    <row r="127" spans="2:12" ht="11.25" customHeight="1" x14ac:dyDescent="0.2">
      <c r="B127" s="588"/>
      <c r="C127" s="588"/>
      <c r="D127" s="588"/>
      <c r="E127" s="588"/>
      <c r="F127" s="588"/>
      <c r="G127" s="588"/>
      <c r="H127" s="588"/>
      <c r="I127" s="588"/>
    </row>
    <row r="131" spans="11:11" x14ac:dyDescent="0.2">
      <c r="K131" s="588"/>
    </row>
    <row r="132" spans="11:11" x14ac:dyDescent="0.2">
      <c r="K132" s="588"/>
    </row>
    <row r="133" spans="11:11" x14ac:dyDescent="0.2">
      <c r="K133" s="588"/>
    </row>
    <row r="134" spans="11:11" x14ac:dyDescent="0.2">
      <c r="K134" s="588"/>
    </row>
    <row r="135" spans="11:11" x14ac:dyDescent="0.2">
      <c r="K135" s="588"/>
    </row>
    <row r="136" spans="11:11" x14ac:dyDescent="0.2">
      <c r="K136" s="588"/>
    </row>
    <row r="137" spans="11:11" x14ac:dyDescent="0.2">
      <c r="K137" s="588"/>
    </row>
    <row r="138" spans="11:11" x14ac:dyDescent="0.2">
      <c r="K138" s="588"/>
    </row>
    <row r="139" spans="11:11" x14ac:dyDescent="0.2">
      <c r="K139" s="588"/>
    </row>
    <row r="140" spans="11:11" x14ac:dyDescent="0.2">
      <c r="K140" s="588"/>
    </row>
    <row r="141" spans="11:11" x14ac:dyDescent="0.2">
      <c r="K141" s="588"/>
    </row>
    <row r="142" spans="11:11" x14ac:dyDescent="0.2">
      <c r="K142" s="588"/>
    </row>
    <row r="143" spans="11:11" x14ac:dyDescent="0.2">
      <c r="K143" s="588"/>
    </row>
    <row r="144" spans="11:11" x14ac:dyDescent="0.2">
      <c r="K144" s="588"/>
    </row>
    <row r="145" spans="7:11" x14ac:dyDescent="0.2">
      <c r="K145" s="588"/>
    </row>
    <row r="146" spans="7:11" x14ac:dyDescent="0.2">
      <c r="K146" s="588"/>
    </row>
    <row r="147" spans="7:11" x14ac:dyDescent="0.2">
      <c r="K147" s="588"/>
    </row>
    <row r="148" spans="7:11" x14ac:dyDescent="0.2">
      <c r="K148" s="589"/>
    </row>
    <row r="149" spans="7:11" x14ac:dyDescent="0.2">
      <c r="K149" s="589"/>
    </row>
    <row r="150" spans="7:11" x14ac:dyDescent="0.2">
      <c r="G150" s="70"/>
      <c r="H150" s="70"/>
      <c r="I150" s="70"/>
      <c r="J150" s="589"/>
      <c r="K150" s="589"/>
    </row>
    <row r="151" spans="7:11" x14ac:dyDescent="0.2">
      <c r="G151" s="70"/>
      <c r="H151" s="70"/>
      <c r="I151" s="70"/>
      <c r="J151" s="589"/>
      <c r="K151" s="589"/>
    </row>
    <row r="152" spans="7:11" x14ac:dyDescent="0.2">
      <c r="G152" s="70"/>
      <c r="H152" s="70"/>
      <c r="I152" s="70"/>
      <c r="J152" s="589"/>
      <c r="K152" s="589"/>
    </row>
    <row r="153" spans="7:11" x14ac:dyDescent="0.2">
      <c r="G153" s="70"/>
      <c r="H153" s="70"/>
      <c r="I153" s="70"/>
      <c r="J153" s="589"/>
      <c r="K153" s="589"/>
    </row>
    <row r="154" spans="7:11" x14ac:dyDescent="0.2">
      <c r="G154" s="70"/>
      <c r="H154" s="70"/>
      <c r="I154" s="70"/>
      <c r="J154" s="589"/>
      <c r="K154" s="589"/>
    </row>
    <row r="155" spans="7:11" x14ac:dyDescent="0.2">
      <c r="K155" s="589"/>
    </row>
    <row r="156" spans="7:11" x14ac:dyDescent="0.2">
      <c r="K156" s="588"/>
    </row>
    <row r="157" spans="7:11" x14ac:dyDescent="0.2">
      <c r="K157" s="588"/>
    </row>
    <row r="158" spans="7:11" x14ac:dyDescent="0.2">
      <c r="K158" s="588"/>
    </row>
    <row r="159" spans="7:11" x14ac:dyDescent="0.2">
      <c r="K159" s="588"/>
    </row>
    <row r="160" spans="7:11" x14ac:dyDescent="0.2">
      <c r="K160" s="588"/>
    </row>
    <row r="161" spans="11:11" x14ac:dyDescent="0.2">
      <c r="K161" s="588"/>
    </row>
    <row r="162" spans="11:11" x14ac:dyDescent="0.2">
      <c r="K162" s="588"/>
    </row>
    <row r="163" spans="11:11" x14ac:dyDescent="0.2">
      <c r="K163" s="588"/>
    </row>
    <row r="164" spans="11:11" x14ac:dyDescent="0.2">
      <c r="K164" s="588"/>
    </row>
    <row r="165" spans="11:11" x14ac:dyDescent="0.2">
      <c r="K165" s="588"/>
    </row>
    <row r="166" spans="11:11" x14ac:dyDescent="0.2">
      <c r="K166" s="588"/>
    </row>
    <row r="167" spans="11:11" x14ac:dyDescent="0.2">
      <c r="K167" s="588"/>
    </row>
    <row r="168" spans="11:11" x14ac:dyDescent="0.2">
      <c r="K168" s="588"/>
    </row>
    <row r="169" spans="11:11" x14ac:dyDescent="0.2">
      <c r="K169" s="588"/>
    </row>
    <row r="170" spans="11:11" x14ac:dyDescent="0.2">
      <c r="K170" s="588"/>
    </row>
    <row r="171" spans="11:11" x14ac:dyDescent="0.2">
      <c r="K171" s="588"/>
    </row>
    <row r="172" spans="11:11" x14ac:dyDescent="0.2">
      <c r="K172" s="588"/>
    </row>
    <row r="173" spans="11:11" x14ac:dyDescent="0.2">
      <c r="K173" s="588"/>
    </row>
    <row r="174" spans="11:11" x14ac:dyDescent="0.2">
      <c r="K174" s="588"/>
    </row>
    <row r="175" spans="11:11" x14ac:dyDescent="0.2">
      <c r="K175" s="588"/>
    </row>
    <row r="176" spans="11:11" x14ac:dyDescent="0.2">
      <c r="K176" s="588"/>
    </row>
    <row r="183" spans="10:12" x14ac:dyDescent="0.2">
      <c r="J183" s="2"/>
      <c r="K183" s="2"/>
      <c r="L183" s="2"/>
    </row>
    <row r="184" spans="10:12" x14ac:dyDescent="0.2">
      <c r="J184" s="2"/>
      <c r="K184" s="2"/>
      <c r="L184" s="2"/>
    </row>
    <row r="185" spans="10:12" x14ac:dyDescent="0.2">
      <c r="J185" s="2"/>
      <c r="K185" s="2"/>
      <c r="L185" s="2"/>
    </row>
    <row r="186" spans="10:12" x14ac:dyDescent="0.2">
      <c r="J186" s="2"/>
      <c r="K186" s="2"/>
      <c r="L186" s="2"/>
    </row>
    <row r="187" spans="10:12" x14ac:dyDescent="0.2">
      <c r="J187" s="2"/>
      <c r="K187" s="2"/>
      <c r="L187" s="2"/>
    </row>
    <row r="188" spans="10:12" x14ac:dyDescent="0.2">
      <c r="J188" s="2"/>
      <c r="K188" s="2"/>
      <c r="L188" s="2"/>
    </row>
    <row r="189" spans="10:12" x14ac:dyDescent="0.2">
      <c r="J189" s="2"/>
      <c r="K189" s="2"/>
      <c r="L189" s="2"/>
    </row>
    <row r="190" spans="10:12" x14ac:dyDescent="0.2">
      <c r="J190" s="2"/>
      <c r="K190" s="2"/>
      <c r="L190" s="2"/>
    </row>
    <row r="191" spans="10:12" x14ac:dyDescent="0.2">
      <c r="J191" s="2"/>
      <c r="K191" s="2"/>
      <c r="L191" s="2"/>
    </row>
    <row r="192" spans="10:12" x14ac:dyDescent="0.2">
      <c r="J192" s="2"/>
      <c r="K192" s="2"/>
      <c r="L192" s="2"/>
    </row>
    <row r="193" spans="10:12" x14ac:dyDescent="0.2">
      <c r="J193" s="2"/>
      <c r="K193" s="2"/>
      <c r="L193" s="2"/>
    </row>
  </sheetData>
  <conditionalFormatting sqref="A107:G107">
    <cfRule type="expression" dxfId="25" priority="14">
      <formula>$G$107&lt;$G$106</formula>
    </cfRule>
  </conditionalFormatting>
  <conditionalFormatting sqref="A106:G106">
    <cfRule type="expression" dxfId="24" priority="12">
      <formula>$G$106&lt;$G$107</formula>
    </cfRule>
  </conditionalFormatting>
  <conditionalFormatting sqref="K90:P90">
    <cfRule type="cellIs" dxfId="23" priority="10" operator="equal">
      <formula>0</formula>
    </cfRule>
  </conditionalFormatting>
  <conditionalFormatting sqref="J90">
    <cfRule type="cellIs" dxfId="22" priority="8" operator="equal">
      <formula>0</formula>
    </cfRule>
  </conditionalFormatting>
  <pageMargins left="0.75" right="0.53" top="0.7" bottom="0.64" header="0.5" footer="0.5"/>
  <pageSetup scale="68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stopIfTrue="1" id="{1105A1FE-5B8E-4A23-BFC4-564960BA203A}">
            <xm:f>'rates, dates, etc'!$B$11="Yes"</xm:f>
            <x14:dxf>
              <font>
                <color rgb="FFFF0000"/>
              </font>
            </x14:dxf>
          </x14:cfRule>
          <xm:sqref>A107:G107</xm:sqref>
        </x14:conditionalFormatting>
        <x14:conditionalFormatting xmlns:xm="http://schemas.microsoft.com/office/excel/2006/main">
          <x14:cfRule type="expression" priority="11" stopIfTrue="1" id="{FD39C3B0-FE5E-4A42-B554-1AD05D691E1A}">
            <xm:f>'rates, dates, etc'!$B$11="Yes"</xm:f>
            <x14:dxf/>
          </x14:cfRule>
          <xm:sqref>A106:G106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  <pageSetUpPr fitToPage="1"/>
  </sheetPr>
  <dimension ref="A1:BD94"/>
  <sheetViews>
    <sheetView zoomScale="130" zoomScaleNormal="130" workbookViewId="0">
      <pane xSplit="1" ySplit="6" topLeftCell="I7" activePane="bottomRight" state="frozen"/>
      <selection pane="topRight" activeCell="B1" sqref="B1"/>
      <selection pane="bottomLeft" activeCell="A7" sqref="A7"/>
      <selection pane="bottomRight" activeCell="AB8" sqref="AB8"/>
    </sheetView>
  </sheetViews>
  <sheetFormatPr defaultColWidth="9.28515625" defaultRowHeight="11.25" x14ac:dyDescent="0.2"/>
  <cols>
    <col min="1" max="1" width="33.42578125" style="2" customWidth="1"/>
    <col min="2" max="12" width="9" style="2" customWidth="1"/>
    <col min="13" max="21" width="8.42578125" style="2" customWidth="1"/>
    <col min="22" max="22" width="2" style="2" customWidth="1"/>
    <col min="23" max="23" width="9" style="2" customWidth="1"/>
    <col min="24" max="24" width="8.5703125" style="2" customWidth="1"/>
    <col min="25" max="25" width="9" style="2" customWidth="1"/>
    <col min="26" max="26" width="9" style="3" customWidth="1"/>
    <col min="27" max="27" width="12.42578125" style="3" customWidth="1"/>
    <col min="28" max="29" width="9.7109375" style="3" customWidth="1"/>
    <col min="30" max="30" width="9.7109375" style="2" customWidth="1"/>
    <col min="31" max="31" width="3.7109375" style="2" customWidth="1"/>
    <col min="32" max="34" width="9.28515625" style="2"/>
    <col min="35" max="35" width="3.7109375" style="2" customWidth="1"/>
    <col min="36" max="38" width="9.28515625" style="2"/>
    <col min="39" max="39" width="3.7109375" style="2" customWidth="1"/>
    <col min="40" max="42" width="9.28515625" style="2"/>
    <col min="43" max="43" width="3.7109375" style="2" customWidth="1"/>
    <col min="44" max="16384" width="9.28515625" style="2"/>
  </cols>
  <sheetData>
    <row r="1" spans="1:46" ht="12.75" x14ac:dyDescent="0.2">
      <c r="A1" s="1" t="str">
        <f>+'rates, dates, etc'!B4</f>
        <v>Assessing the Potential for Demand Response to Manage Generation Shortfalls in a Zero-Carbon Electricity Grid”</v>
      </c>
      <c r="B1" s="1"/>
      <c r="C1" s="1"/>
      <c r="D1" s="1"/>
      <c r="M1" s="87"/>
      <c r="N1" s="87"/>
      <c r="O1" s="87"/>
      <c r="P1" s="87"/>
    </row>
    <row r="2" spans="1:46" ht="12.75" x14ac:dyDescent="0.2">
      <c r="A2" s="1" t="str">
        <f>+'rates, dates, etc'!B3</f>
        <v>USDA</v>
      </c>
      <c r="B2" s="1"/>
      <c r="C2" s="1"/>
      <c r="D2" s="1"/>
      <c r="AA2" s="87"/>
    </row>
    <row r="3" spans="1:46" ht="12.75" customHeight="1" thickBot="1" x14ac:dyDescent="0.25"/>
    <row r="4" spans="1:46" ht="11.25" customHeight="1" x14ac:dyDescent="0.25">
      <c r="A4" s="4" t="s">
        <v>0</v>
      </c>
      <c r="B4" s="5"/>
      <c r="C4" s="5"/>
      <c r="D4" s="5"/>
      <c r="E4" s="471" t="s">
        <v>1</v>
      </c>
      <c r="F4" s="5"/>
      <c r="G4" s="5"/>
      <c r="H4" s="5"/>
      <c r="I4" s="471" t="s">
        <v>2</v>
      </c>
      <c r="J4" s="5"/>
      <c r="K4" s="5"/>
      <c r="L4" s="5"/>
      <c r="M4" s="471" t="s">
        <v>3</v>
      </c>
      <c r="N4" s="5"/>
      <c r="O4" s="5"/>
      <c r="P4" s="5"/>
      <c r="Q4" s="471" t="s">
        <v>44</v>
      </c>
      <c r="R4" s="5"/>
      <c r="S4" s="5"/>
      <c r="T4" s="5"/>
      <c r="U4" s="471" t="s">
        <v>50</v>
      </c>
      <c r="W4" s="472"/>
      <c r="X4" s="5"/>
      <c r="Y4" s="5"/>
      <c r="Z4" s="471"/>
      <c r="AB4" s="734" t="s">
        <v>1</v>
      </c>
      <c r="AC4" s="735"/>
      <c r="AD4" s="736"/>
      <c r="AF4" s="734" t="s">
        <v>2</v>
      </c>
      <c r="AG4" s="735"/>
      <c r="AH4" s="736"/>
      <c r="AJ4" s="734" t="s">
        <v>3</v>
      </c>
      <c r="AK4" s="735"/>
      <c r="AL4" s="736"/>
      <c r="AN4" s="734" t="s">
        <v>44</v>
      </c>
      <c r="AO4" s="735"/>
      <c r="AP4" s="736"/>
      <c r="AR4" s="734" t="s">
        <v>50</v>
      </c>
      <c r="AS4" s="735"/>
      <c r="AT4" s="736"/>
    </row>
    <row r="5" spans="1:46" ht="12" thickBot="1" x14ac:dyDescent="0.25">
      <c r="A5" s="4" t="str">
        <f>CONCATENATE("PI: ",'rates, dates, etc'!B27)</f>
        <v>PI: Vivek Srikrishnan</v>
      </c>
      <c r="B5" s="22"/>
      <c r="C5" s="22"/>
      <c r="D5" s="22"/>
      <c r="E5" s="470">
        <f>+'rates, dates, etc'!B5</f>
        <v>44927</v>
      </c>
      <c r="F5" s="22"/>
      <c r="G5" s="22"/>
      <c r="H5" s="22"/>
      <c r="I5" s="470">
        <f>+E6+1</f>
        <v>45292</v>
      </c>
      <c r="J5" s="22"/>
      <c r="K5" s="22"/>
      <c r="L5" s="22"/>
      <c r="M5" s="470">
        <f>+I6+1</f>
        <v>45658</v>
      </c>
      <c r="N5" s="22"/>
      <c r="O5" s="22"/>
      <c r="P5" s="22"/>
      <c r="Q5" s="470">
        <f>+M6+1</f>
        <v>46023</v>
      </c>
      <c r="R5" s="22"/>
      <c r="S5" s="22"/>
      <c r="T5" s="22"/>
      <c r="U5" s="470">
        <f>+Q6+1</f>
        <v>46388</v>
      </c>
      <c r="W5" s="398"/>
      <c r="X5" s="22"/>
      <c r="Y5" s="22"/>
      <c r="Z5" s="470" t="s">
        <v>5</v>
      </c>
      <c r="AB5" s="469"/>
      <c r="AC5" s="468" t="s">
        <v>56</v>
      </c>
      <c r="AD5" s="467"/>
      <c r="AF5" s="469"/>
      <c r="AG5" s="468" t="s">
        <v>56</v>
      </c>
      <c r="AH5" s="467"/>
      <c r="AJ5" s="469"/>
      <c r="AK5" s="468" t="s">
        <v>56</v>
      </c>
      <c r="AL5" s="467"/>
      <c r="AN5" s="469"/>
      <c r="AO5" s="468" t="s">
        <v>56</v>
      </c>
      <c r="AP5" s="467"/>
      <c r="AR5" s="469"/>
      <c r="AS5" s="468" t="s">
        <v>56</v>
      </c>
      <c r="AT5" s="467"/>
    </row>
    <row r="6" spans="1:46" ht="12" customHeight="1" thickBot="1" x14ac:dyDescent="0.25">
      <c r="A6" s="7" t="s">
        <v>4</v>
      </c>
      <c r="B6" s="466" t="s">
        <v>175</v>
      </c>
      <c r="C6" s="462" t="s">
        <v>194</v>
      </c>
      <c r="D6" s="465" t="s">
        <v>193</v>
      </c>
      <c r="E6" s="464">
        <f>DATE(YEAR(E5), MONTH(E5) + 12, DAY(E5))-1</f>
        <v>45291</v>
      </c>
      <c r="F6" s="466" t="str">
        <f>+$B$6</f>
        <v>Research</v>
      </c>
      <c r="G6" s="462" t="str">
        <f>+$C$6</f>
        <v>Education</v>
      </c>
      <c r="H6" s="465" t="str">
        <f>+$D$6</f>
        <v>Extension</v>
      </c>
      <c r="I6" s="464">
        <f>DATE(YEAR(I5), MONTH(I5) + 12, DAY(I5))-1</f>
        <v>45657</v>
      </c>
      <c r="J6" s="466" t="str">
        <f>+$B$6</f>
        <v>Research</v>
      </c>
      <c r="K6" s="462" t="str">
        <f>+$C$6</f>
        <v>Education</v>
      </c>
      <c r="L6" s="465" t="str">
        <f>+$D$6</f>
        <v>Extension</v>
      </c>
      <c r="M6" s="464">
        <f>DATE(YEAR(M5), MONTH(M5) + 12, DAY(M5))-1</f>
        <v>46022</v>
      </c>
      <c r="N6" s="466" t="str">
        <f>+$B$6</f>
        <v>Research</v>
      </c>
      <c r="O6" s="462" t="str">
        <f>+$C$6</f>
        <v>Education</v>
      </c>
      <c r="P6" s="465" t="str">
        <f>+$D$6</f>
        <v>Extension</v>
      </c>
      <c r="Q6" s="464">
        <f>DATE(YEAR(Q5), MONTH(Q5) + 12, DAY(Q5))-1</f>
        <v>46387</v>
      </c>
      <c r="R6" s="466" t="str">
        <f>+$B$6</f>
        <v>Research</v>
      </c>
      <c r="S6" s="462" t="str">
        <f>+$C$6</f>
        <v>Education</v>
      </c>
      <c r="T6" s="465" t="str">
        <f>+$D$6</f>
        <v>Extension</v>
      </c>
      <c r="U6" s="464">
        <f>DATE(YEAR(U5), MONTH(U5) + 12, DAY(U5))-1</f>
        <v>46752</v>
      </c>
      <c r="W6" s="463" t="str">
        <f>+$B$6</f>
        <v>Research</v>
      </c>
      <c r="X6" s="462" t="str">
        <f>+$C$6</f>
        <v>Education</v>
      </c>
      <c r="Y6" s="465" t="str">
        <f>+$D$6</f>
        <v>Extension</v>
      </c>
      <c r="Z6" s="464" t="s">
        <v>192</v>
      </c>
      <c r="AB6" s="463" t="str">
        <f>+$B$6</f>
        <v>Research</v>
      </c>
      <c r="AC6" s="462" t="str">
        <f>+$C$6</f>
        <v>Education</v>
      </c>
      <c r="AD6" s="461" t="str">
        <f>+$D$6</f>
        <v>Extension</v>
      </c>
      <c r="AF6" s="463" t="str">
        <f>+$B$6</f>
        <v>Research</v>
      </c>
      <c r="AG6" s="462" t="str">
        <f>+$C$6</f>
        <v>Education</v>
      </c>
      <c r="AH6" s="461" t="str">
        <f>+$D$6</f>
        <v>Extension</v>
      </c>
      <c r="AJ6" s="463" t="str">
        <f>+$B$6</f>
        <v>Research</v>
      </c>
      <c r="AK6" s="462" t="str">
        <f>+$C$6</f>
        <v>Education</v>
      </c>
      <c r="AL6" s="461" t="str">
        <f>+$D$6</f>
        <v>Extension</v>
      </c>
      <c r="AN6" s="463" t="str">
        <f>+$B$6</f>
        <v>Research</v>
      </c>
      <c r="AO6" s="462" t="str">
        <f>+$C$6</f>
        <v>Education</v>
      </c>
      <c r="AP6" s="461" t="str">
        <f>+$D$6</f>
        <v>Extension</v>
      </c>
      <c r="AR6" s="463" t="str">
        <f>+$B$6</f>
        <v>Research</v>
      </c>
      <c r="AS6" s="462" t="str">
        <f>+$C$6</f>
        <v>Education</v>
      </c>
      <c r="AT6" s="461" t="str">
        <f>+$D$6</f>
        <v>Extension</v>
      </c>
    </row>
    <row r="7" spans="1:46" x14ac:dyDescent="0.2">
      <c r="A7" s="9" t="s">
        <v>136</v>
      </c>
      <c r="B7" s="22"/>
      <c r="C7" s="22"/>
      <c r="D7" s="22"/>
      <c r="E7" s="460"/>
      <c r="F7" s="22"/>
      <c r="G7" s="22"/>
      <c r="H7" s="22"/>
      <c r="I7" s="460"/>
      <c r="J7" s="22"/>
      <c r="K7" s="22"/>
      <c r="L7" s="22"/>
      <c r="M7" s="460"/>
      <c r="N7" s="22"/>
      <c r="O7" s="22"/>
      <c r="P7" s="22"/>
      <c r="Q7" s="460"/>
      <c r="R7" s="22"/>
      <c r="S7" s="22"/>
      <c r="T7" s="22"/>
      <c r="U7" s="460"/>
      <c r="W7" s="398"/>
      <c r="X7" s="22"/>
      <c r="Y7" s="22"/>
      <c r="Z7" s="460" t="s">
        <v>6</v>
      </c>
      <c r="AB7" s="398"/>
      <c r="AC7" s="22"/>
      <c r="AD7" s="459"/>
      <c r="AF7" s="398"/>
      <c r="AG7" s="22"/>
      <c r="AH7" s="459"/>
      <c r="AJ7" s="398"/>
      <c r="AK7" s="22"/>
      <c r="AL7" s="459"/>
      <c r="AN7" s="398"/>
      <c r="AO7" s="22"/>
      <c r="AP7" s="459"/>
      <c r="AR7" s="398"/>
      <c r="AS7" s="22"/>
      <c r="AT7" s="459"/>
    </row>
    <row r="8" spans="1:46" x14ac:dyDescent="0.2">
      <c r="A8" s="10" t="str">
        <f>+'Lead Budget'!A8</f>
        <v>Vivek Srikrishnan</v>
      </c>
      <c r="B8" s="12">
        <f>ROUND(AB8*E8,0)</f>
        <v>5894</v>
      </c>
      <c r="C8" s="12">
        <f>ROUND(AC8*E8,0)</f>
        <v>0</v>
      </c>
      <c r="D8" s="12">
        <f>+E8-(B8+C8)</f>
        <v>0</v>
      </c>
      <c r="E8" s="443">
        <f>+'Lead Budget'!B8</f>
        <v>5894</v>
      </c>
      <c r="F8" s="12">
        <f>ROUND(AF8*I8,0)</f>
        <v>6071</v>
      </c>
      <c r="G8" s="12">
        <f>ROUND(AG8*I8,0)</f>
        <v>0</v>
      </c>
      <c r="H8" s="12">
        <f>+I8-(F8+G8)</f>
        <v>0</v>
      </c>
      <c r="I8" s="443">
        <f>+'Lead Budget'!C8</f>
        <v>6071</v>
      </c>
      <c r="J8" s="12">
        <f>ROUND(AJ8*M8,0)</f>
        <v>0</v>
      </c>
      <c r="K8" s="12">
        <f>ROUND(AK8*M8,0)</f>
        <v>0</v>
      </c>
      <c r="L8" s="12">
        <f>+M8-(J8+K8)</f>
        <v>0</v>
      </c>
      <c r="M8" s="443">
        <f>+'Lead Budget'!D8</f>
        <v>0</v>
      </c>
      <c r="N8" s="12">
        <f>ROUND(AN8*Q8,0)</f>
        <v>0</v>
      </c>
      <c r="O8" s="12">
        <f>ROUND(AO8*Q8,0)</f>
        <v>0</v>
      </c>
      <c r="P8" s="12">
        <f>+Q8-(N8+O8)</f>
        <v>0</v>
      </c>
      <c r="Q8" s="443">
        <f>+'Lead Budget'!E8</f>
        <v>0</v>
      </c>
      <c r="R8" s="12">
        <f>ROUND(AR8*U8,0)</f>
        <v>0</v>
      </c>
      <c r="S8" s="12">
        <f>ROUND(AS8*U8,0)</f>
        <v>0</v>
      </c>
      <c r="T8" s="12">
        <f>+U8-(R8+S8)</f>
        <v>0</v>
      </c>
      <c r="U8" s="443">
        <f>+'Lead Budget'!F8</f>
        <v>0</v>
      </c>
      <c r="W8" s="444">
        <f>+B8+F8+J8+N8+R8</f>
        <v>11965</v>
      </c>
      <c r="X8" s="12">
        <f>+C8+G8+K8+O8+S8</f>
        <v>0</v>
      </c>
      <c r="Y8" s="12">
        <f>+D8+H8+L8+P8+T8</f>
        <v>0</v>
      </c>
      <c r="Z8" s="443">
        <f>SUM(W8:Y8)</f>
        <v>11965</v>
      </c>
      <c r="AB8" s="442">
        <v>1</v>
      </c>
      <c r="AC8" s="441">
        <v>0</v>
      </c>
      <c r="AD8" s="440">
        <f>100%-(+AB8+AC8)</f>
        <v>0</v>
      </c>
      <c r="AF8" s="442">
        <f>+$AB8</f>
        <v>1</v>
      </c>
      <c r="AG8" s="441">
        <f>+$AC8</f>
        <v>0</v>
      </c>
      <c r="AH8" s="440">
        <f>100%-(+AF8+AG8)</f>
        <v>0</v>
      </c>
      <c r="AJ8" s="442">
        <f>+$AB8</f>
        <v>1</v>
      </c>
      <c r="AK8" s="441">
        <f>+$AC8</f>
        <v>0</v>
      </c>
      <c r="AL8" s="440">
        <f>100%-(+AJ8+AK8)</f>
        <v>0</v>
      </c>
      <c r="AN8" s="442">
        <f>+$AB8</f>
        <v>1</v>
      </c>
      <c r="AO8" s="441">
        <f>+$AC8</f>
        <v>0</v>
      </c>
      <c r="AP8" s="440">
        <f>100%-(+AN8+AO8)</f>
        <v>0</v>
      </c>
      <c r="AR8" s="442">
        <f>+$AB8</f>
        <v>1</v>
      </c>
      <c r="AS8" s="441">
        <f>+$AC8</f>
        <v>0</v>
      </c>
      <c r="AT8" s="440">
        <f>100%-(+AR8+AS8)</f>
        <v>0</v>
      </c>
    </row>
    <row r="9" spans="1:46" x14ac:dyDescent="0.2">
      <c r="A9" s="10" t="str">
        <f>+'Lead Budget'!A9</f>
        <v>S. Steinschneider</v>
      </c>
      <c r="B9" s="12">
        <f t="shared" ref="B9:B25" si="0">ROUND(AB9*E9,0)</f>
        <v>3229</v>
      </c>
      <c r="C9" s="12">
        <f t="shared" ref="C9:C25" si="1">ROUND(AC9*E9,0)</f>
        <v>0</v>
      </c>
      <c r="D9" s="12">
        <f t="shared" ref="D9:D25" si="2">+E9-(B9+C9)</f>
        <v>0</v>
      </c>
      <c r="E9" s="443">
        <f>+'Lead Budget'!B9</f>
        <v>3229</v>
      </c>
      <c r="F9" s="12">
        <f t="shared" ref="F9:F25" si="3">ROUND(AF9*I9,0)</f>
        <v>3325</v>
      </c>
      <c r="G9" s="12">
        <f t="shared" ref="G9:G25" si="4">ROUND(AG9*I9,0)</f>
        <v>0</v>
      </c>
      <c r="H9" s="12">
        <f t="shared" ref="H9:H25" si="5">+I9-(F9+G9)</f>
        <v>0</v>
      </c>
      <c r="I9" s="443">
        <f>+'Lead Budget'!C9</f>
        <v>3325</v>
      </c>
      <c r="J9" s="12">
        <f t="shared" ref="J9:J25" si="6">ROUND(AJ9*M9,0)</f>
        <v>0</v>
      </c>
      <c r="K9" s="12">
        <f t="shared" ref="K9:K25" si="7">ROUND(AK9*M9,0)</f>
        <v>0</v>
      </c>
      <c r="L9" s="12">
        <f t="shared" ref="L9:L25" si="8">+M9-(J9+K9)</f>
        <v>0</v>
      </c>
      <c r="M9" s="443">
        <f>+'Lead Budget'!D9</f>
        <v>0</v>
      </c>
      <c r="N9" s="12">
        <f t="shared" ref="N9:N25" si="9">ROUND(AN9*Q9,0)</f>
        <v>0</v>
      </c>
      <c r="O9" s="12">
        <f t="shared" ref="O9:O25" si="10">ROUND(AO9*Q9,0)</f>
        <v>0</v>
      </c>
      <c r="P9" s="12">
        <f t="shared" ref="P9:P25" si="11">+Q9-(N9+O9)</f>
        <v>0</v>
      </c>
      <c r="Q9" s="443">
        <f>+'Lead Budget'!E9</f>
        <v>0</v>
      </c>
      <c r="R9" s="12">
        <f t="shared" ref="R9:R25" si="12">ROUND(AR9*U9,0)</f>
        <v>0</v>
      </c>
      <c r="S9" s="12">
        <f t="shared" ref="S9:S25" si="13">ROUND(AS9*U9,0)</f>
        <v>0</v>
      </c>
      <c r="T9" s="12">
        <f t="shared" ref="T9:T25" si="14">+U9-(R9+S9)</f>
        <v>0</v>
      </c>
      <c r="U9" s="443">
        <f>+'Lead Budget'!F9</f>
        <v>0</v>
      </c>
      <c r="W9" s="444">
        <f t="shared" ref="W9:W25" si="15">+B9+F9+J9+N9+R9</f>
        <v>6554</v>
      </c>
      <c r="X9" s="12">
        <f t="shared" ref="X9:X25" si="16">+C9+G9+K9+O9+S9</f>
        <v>0</v>
      </c>
      <c r="Y9" s="12">
        <f t="shared" ref="Y9:Y25" si="17">+D9+H9+L9+P9+T9</f>
        <v>0</v>
      </c>
      <c r="Z9" s="443">
        <f t="shared" ref="Z9:Z25" si="18">SUM(W9:Y9)</f>
        <v>6554</v>
      </c>
      <c r="AB9" s="442">
        <v>1</v>
      </c>
      <c r="AC9" s="441">
        <v>0</v>
      </c>
      <c r="AD9" s="440">
        <f>100%-(+AB9+AC9)</f>
        <v>0</v>
      </c>
      <c r="AF9" s="442">
        <f>+$AB9</f>
        <v>1</v>
      </c>
      <c r="AG9" s="441">
        <f>+$AC9</f>
        <v>0</v>
      </c>
      <c r="AH9" s="440">
        <f>100%-(+AF9+AG9)</f>
        <v>0</v>
      </c>
      <c r="AJ9" s="442">
        <f>+$AB9</f>
        <v>1</v>
      </c>
      <c r="AK9" s="441">
        <f>+$AC9</f>
        <v>0</v>
      </c>
      <c r="AL9" s="440">
        <f>100%-(+AJ9+AK9)</f>
        <v>0</v>
      </c>
      <c r="AN9" s="442">
        <f>+$AB9</f>
        <v>1</v>
      </c>
      <c r="AO9" s="441">
        <f>+$AC9</f>
        <v>0</v>
      </c>
      <c r="AP9" s="440">
        <f>100%-(+AN9+AO9)</f>
        <v>0</v>
      </c>
      <c r="AR9" s="442">
        <f>+$AB9</f>
        <v>1</v>
      </c>
      <c r="AS9" s="441">
        <f>+$AC9</f>
        <v>0</v>
      </c>
      <c r="AT9" s="440">
        <f>100%-(+AR9+AS9)</f>
        <v>0</v>
      </c>
    </row>
    <row r="10" spans="1:46" x14ac:dyDescent="0.2">
      <c r="A10" s="10" t="str">
        <f>+'Lead Budget'!A10</f>
        <v>Co-PI</v>
      </c>
      <c r="B10" s="12">
        <f t="shared" si="0"/>
        <v>0</v>
      </c>
      <c r="C10" s="12">
        <f t="shared" si="1"/>
        <v>0</v>
      </c>
      <c r="D10" s="12">
        <f t="shared" si="2"/>
        <v>0</v>
      </c>
      <c r="E10" s="443">
        <f>+'Lead Budget'!B10</f>
        <v>0</v>
      </c>
      <c r="F10" s="12">
        <f t="shared" si="3"/>
        <v>0</v>
      </c>
      <c r="G10" s="12">
        <f t="shared" si="4"/>
        <v>0</v>
      </c>
      <c r="H10" s="12">
        <f t="shared" si="5"/>
        <v>0</v>
      </c>
      <c r="I10" s="443">
        <f>+'Lead Budget'!C10</f>
        <v>0</v>
      </c>
      <c r="J10" s="12">
        <f t="shared" si="6"/>
        <v>0</v>
      </c>
      <c r="K10" s="12">
        <f t="shared" si="7"/>
        <v>0</v>
      </c>
      <c r="L10" s="12">
        <f t="shared" si="8"/>
        <v>0</v>
      </c>
      <c r="M10" s="443">
        <f>+'Lead Budget'!D10</f>
        <v>0</v>
      </c>
      <c r="N10" s="12">
        <f t="shared" si="9"/>
        <v>0</v>
      </c>
      <c r="O10" s="12">
        <f t="shared" si="10"/>
        <v>0</v>
      </c>
      <c r="P10" s="12">
        <f t="shared" si="11"/>
        <v>0</v>
      </c>
      <c r="Q10" s="443">
        <f>+'Lead Budget'!E10</f>
        <v>0</v>
      </c>
      <c r="R10" s="12">
        <f t="shared" si="12"/>
        <v>0</v>
      </c>
      <c r="S10" s="12">
        <f t="shared" si="13"/>
        <v>0</v>
      </c>
      <c r="T10" s="12">
        <f t="shared" si="14"/>
        <v>0</v>
      </c>
      <c r="U10" s="443">
        <f>+'Lead Budget'!F10</f>
        <v>0</v>
      </c>
      <c r="W10" s="444">
        <f t="shared" si="15"/>
        <v>0</v>
      </c>
      <c r="X10" s="12">
        <f t="shared" si="16"/>
        <v>0</v>
      </c>
      <c r="Y10" s="12">
        <f t="shared" si="17"/>
        <v>0</v>
      </c>
      <c r="Z10" s="443">
        <f t="shared" si="18"/>
        <v>0</v>
      </c>
      <c r="AB10" s="442">
        <v>1</v>
      </c>
      <c r="AC10" s="441">
        <v>0</v>
      </c>
      <c r="AD10" s="440">
        <f>100%-(+AB10+AC10)</f>
        <v>0</v>
      </c>
      <c r="AF10" s="442">
        <f>+$AB10</f>
        <v>1</v>
      </c>
      <c r="AG10" s="441">
        <f>+$AC10</f>
        <v>0</v>
      </c>
      <c r="AH10" s="440">
        <f>100%-(+AF10+AG10)</f>
        <v>0</v>
      </c>
      <c r="AJ10" s="442">
        <f>+$AB10</f>
        <v>1</v>
      </c>
      <c r="AK10" s="441">
        <f>+$AC10</f>
        <v>0</v>
      </c>
      <c r="AL10" s="440">
        <f>100%-(+AJ10+AK10)</f>
        <v>0</v>
      </c>
      <c r="AN10" s="442">
        <f>+$AB10</f>
        <v>1</v>
      </c>
      <c r="AO10" s="441">
        <f>+$AC10</f>
        <v>0</v>
      </c>
      <c r="AP10" s="440">
        <f>100%-(+AN10+AO10)</f>
        <v>0</v>
      </c>
      <c r="AR10" s="442">
        <f>+$AB10</f>
        <v>1</v>
      </c>
      <c r="AS10" s="441">
        <f>+$AC10</f>
        <v>0</v>
      </c>
      <c r="AT10" s="440">
        <f>100%-(+AR10+AS10)</f>
        <v>0</v>
      </c>
    </row>
    <row r="11" spans="1:46" x14ac:dyDescent="0.2">
      <c r="A11" s="10" t="str">
        <f>+Stedman!A8</f>
        <v>R Stedman</v>
      </c>
      <c r="B11" s="12">
        <f t="shared" si="0"/>
        <v>3428</v>
      </c>
      <c r="C11" s="12">
        <f t="shared" si="1"/>
        <v>0</v>
      </c>
      <c r="D11" s="12">
        <f t="shared" si="2"/>
        <v>0</v>
      </c>
      <c r="E11" s="443">
        <f>+Stedman!B8</f>
        <v>3428</v>
      </c>
      <c r="F11" s="12">
        <f t="shared" si="3"/>
        <v>6179</v>
      </c>
      <c r="G11" s="12">
        <f t="shared" si="4"/>
        <v>0</v>
      </c>
      <c r="H11" s="12">
        <f t="shared" si="5"/>
        <v>0</v>
      </c>
      <c r="I11" s="443">
        <f>+Stedman!C8</f>
        <v>6179</v>
      </c>
      <c r="J11" s="12">
        <f t="shared" si="6"/>
        <v>0</v>
      </c>
      <c r="K11" s="12">
        <f t="shared" si="7"/>
        <v>0</v>
      </c>
      <c r="L11" s="12">
        <f t="shared" si="8"/>
        <v>0</v>
      </c>
      <c r="M11" s="443">
        <f>+Stedman!D8</f>
        <v>0</v>
      </c>
      <c r="N11" s="12">
        <f t="shared" si="9"/>
        <v>0</v>
      </c>
      <c r="O11" s="12">
        <f t="shared" si="10"/>
        <v>0</v>
      </c>
      <c r="P11" s="12">
        <f t="shared" si="11"/>
        <v>0</v>
      </c>
      <c r="Q11" s="443">
        <f>+Stedman!E8</f>
        <v>0</v>
      </c>
      <c r="R11" s="12">
        <f t="shared" si="12"/>
        <v>0</v>
      </c>
      <c r="S11" s="12">
        <f t="shared" si="13"/>
        <v>0</v>
      </c>
      <c r="T11" s="12">
        <f t="shared" si="14"/>
        <v>0</v>
      </c>
      <c r="U11" s="443">
        <f>+Stedman!F8</f>
        <v>0</v>
      </c>
      <c r="W11" s="444">
        <f t="shared" si="15"/>
        <v>9607</v>
      </c>
      <c r="X11" s="12">
        <f t="shared" si="16"/>
        <v>0</v>
      </c>
      <c r="Y11" s="12">
        <f t="shared" si="17"/>
        <v>0</v>
      </c>
      <c r="Z11" s="443">
        <f t="shared" si="18"/>
        <v>9607</v>
      </c>
      <c r="AB11" s="442">
        <v>1</v>
      </c>
      <c r="AC11" s="441">
        <v>0</v>
      </c>
      <c r="AD11" s="440">
        <f t="shared" ref="AD11:AD25" si="19">100%-(+AB11+AC11)</f>
        <v>0</v>
      </c>
      <c r="AF11" s="442">
        <f t="shared" ref="AF11:AF25" si="20">+$AB11</f>
        <v>1</v>
      </c>
      <c r="AG11" s="441">
        <f t="shared" ref="AG11:AG25" si="21">+$AC11</f>
        <v>0</v>
      </c>
      <c r="AH11" s="440">
        <f t="shared" ref="AH11:AH25" si="22">100%-(+AF11+AG11)</f>
        <v>0</v>
      </c>
      <c r="AJ11" s="442">
        <f t="shared" ref="AJ11:AJ25" si="23">+$AB11</f>
        <v>1</v>
      </c>
      <c r="AK11" s="441">
        <f t="shared" ref="AK11:AK25" si="24">+$AC11</f>
        <v>0</v>
      </c>
      <c r="AL11" s="440">
        <f t="shared" ref="AL11:AL25" si="25">100%-(+AJ11+AK11)</f>
        <v>0</v>
      </c>
      <c r="AN11" s="442">
        <f t="shared" ref="AN11:AN25" si="26">+$AB11</f>
        <v>1</v>
      </c>
      <c r="AO11" s="441">
        <f t="shared" ref="AO11:AO25" si="27">+$AC11</f>
        <v>0</v>
      </c>
      <c r="AP11" s="440">
        <f t="shared" ref="AP11:AP25" si="28">100%-(+AN11+AO11)</f>
        <v>0</v>
      </c>
      <c r="AR11" s="442">
        <f t="shared" ref="AR11:AR25" si="29">+$AB11</f>
        <v>1</v>
      </c>
      <c r="AS11" s="441">
        <f t="shared" ref="AS11:AS25" si="30">+$AC11</f>
        <v>0</v>
      </c>
      <c r="AT11" s="440">
        <f t="shared" ref="AT11:AT25" si="31">100%-(+AR11+AS11)</f>
        <v>0</v>
      </c>
    </row>
    <row r="12" spans="1:46" x14ac:dyDescent="0.2">
      <c r="A12" s="10" t="str">
        <f>+Stedman!A9</f>
        <v>T. B. Lauber</v>
      </c>
      <c r="B12" s="12">
        <f t="shared" si="0"/>
        <v>3422</v>
      </c>
      <c r="C12" s="12">
        <f t="shared" si="1"/>
        <v>0</v>
      </c>
      <c r="D12" s="12">
        <f t="shared" si="2"/>
        <v>0</v>
      </c>
      <c r="E12" s="443">
        <f>+Stedman!B9</f>
        <v>3422</v>
      </c>
      <c r="F12" s="12">
        <f t="shared" si="3"/>
        <v>6055</v>
      </c>
      <c r="G12" s="12">
        <f t="shared" si="4"/>
        <v>0</v>
      </c>
      <c r="H12" s="12">
        <f t="shared" si="5"/>
        <v>0</v>
      </c>
      <c r="I12" s="443">
        <f>+Stedman!C9</f>
        <v>6055</v>
      </c>
      <c r="J12" s="12">
        <f t="shared" si="6"/>
        <v>0</v>
      </c>
      <c r="K12" s="12">
        <f t="shared" si="7"/>
        <v>0</v>
      </c>
      <c r="L12" s="12">
        <f t="shared" si="8"/>
        <v>0</v>
      </c>
      <c r="M12" s="443">
        <f>+Stedman!D9</f>
        <v>0</v>
      </c>
      <c r="N12" s="12">
        <f t="shared" si="9"/>
        <v>0</v>
      </c>
      <c r="O12" s="12">
        <f t="shared" si="10"/>
        <v>0</v>
      </c>
      <c r="P12" s="12">
        <f t="shared" si="11"/>
        <v>0</v>
      </c>
      <c r="Q12" s="443">
        <f>+Stedman!E9</f>
        <v>0</v>
      </c>
      <c r="R12" s="12">
        <f t="shared" si="12"/>
        <v>0</v>
      </c>
      <c r="S12" s="12">
        <f t="shared" si="13"/>
        <v>0</v>
      </c>
      <c r="T12" s="12">
        <f t="shared" si="14"/>
        <v>0</v>
      </c>
      <c r="U12" s="443">
        <f>+Stedman!F9</f>
        <v>0</v>
      </c>
      <c r="W12" s="444">
        <f t="shared" si="15"/>
        <v>9477</v>
      </c>
      <c r="X12" s="12">
        <f t="shared" si="16"/>
        <v>0</v>
      </c>
      <c r="Y12" s="12">
        <f t="shared" si="17"/>
        <v>0</v>
      </c>
      <c r="Z12" s="443">
        <f t="shared" si="18"/>
        <v>9477</v>
      </c>
      <c r="AB12" s="442">
        <v>1</v>
      </c>
      <c r="AC12" s="441">
        <v>0</v>
      </c>
      <c r="AD12" s="440">
        <f t="shared" si="19"/>
        <v>0</v>
      </c>
      <c r="AF12" s="442">
        <f t="shared" si="20"/>
        <v>1</v>
      </c>
      <c r="AG12" s="441">
        <f t="shared" si="21"/>
        <v>0</v>
      </c>
      <c r="AH12" s="440">
        <f t="shared" si="22"/>
        <v>0</v>
      </c>
      <c r="AJ12" s="442">
        <f t="shared" si="23"/>
        <v>1</v>
      </c>
      <c r="AK12" s="441">
        <f t="shared" si="24"/>
        <v>0</v>
      </c>
      <c r="AL12" s="440">
        <f t="shared" si="25"/>
        <v>0</v>
      </c>
      <c r="AN12" s="442">
        <f t="shared" si="26"/>
        <v>1</v>
      </c>
      <c r="AO12" s="441">
        <f t="shared" si="27"/>
        <v>0</v>
      </c>
      <c r="AP12" s="440">
        <f t="shared" si="28"/>
        <v>0</v>
      </c>
      <c r="AR12" s="442">
        <f t="shared" si="29"/>
        <v>1</v>
      </c>
      <c r="AS12" s="441">
        <f t="shared" si="30"/>
        <v>0</v>
      </c>
      <c r="AT12" s="440">
        <f t="shared" si="31"/>
        <v>0</v>
      </c>
    </row>
    <row r="13" spans="1:46" x14ac:dyDescent="0.2">
      <c r="A13" s="10" t="str">
        <f>+Stedman!A10</f>
        <v>Co-PI</v>
      </c>
      <c r="B13" s="12">
        <f t="shared" si="0"/>
        <v>0</v>
      </c>
      <c r="C13" s="12">
        <f t="shared" si="1"/>
        <v>0</v>
      </c>
      <c r="D13" s="12">
        <f t="shared" si="2"/>
        <v>0</v>
      </c>
      <c r="E13" s="443">
        <f>+Stedman!B10</f>
        <v>0</v>
      </c>
      <c r="F13" s="12">
        <f t="shared" si="3"/>
        <v>0</v>
      </c>
      <c r="G13" s="12">
        <f t="shared" si="4"/>
        <v>0</v>
      </c>
      <c r="H13" s="12">
        <f t="shared" si="5"/>
        <v>0</v>
      </c>
      <c r="I13" s="443">
        <f>+Stedman!C10</f>
        <v>0</v>
      </c>
      <c r="J13" s="12">
        <f t="shared" si="6"/>
        <v>0</v>
      </c>
      <c r="K13" s="12">
        <f t="shared" si="7"/>
        <v>0</v>
      </c>
      <c r="L13" s="12">
        <f t="shared" si="8"/>
        <v>0</v>
      </c>
      <c r="M13" s="443">
        <f>+Stedman!D10</f>
        <v>0</v>
      </c>
      <c r="N13" s="12">
        <f t="shared" si="9"/>
        <v>0</v>
      </c>
      <c r="O13" s="12">
        <f t="shared" si="10"/>
        <v>0</v>
      </c>
      <c r="P13" s="12">
        <f t="shared" si="11"/>
        <v>0</v>
      </c>
      <c r="Q13" s="443">
        <f>+Stedman!E10</f>
        <v>0</v>
      </c>
      <c r="R13" s="12">
        <f t="shared" si="12"/>
        <v>0</v>
      </c>
      <c r="S13" s="12">
        <f t="shared" si="13"/>
        <v>0</v>
      </c>
      <c r="T13" s="12">
        <f t="shared" si="14"/>
        <v>0</v>
      </c>
      <c r="U13" s="443">
        <f>+Stedman!F10</f>
        <v>0</v>
      </c>
      <c r="W13" s="444">
        <f t="shared" si="15"/>
        <v>0</v>
      </c>
      <c r="X13" s="12">
        <f t="shared" si="16"/>
        <v>0</v>
      </c>
      <c r="Y13" s="12">
        <f t="shared" si="17"/>
        <v>0</v>
      </c>
      <c r="Z13" s="443">
        <f t="shared" si="18"/>
        <v>0</v>
      </c>
      <c r="AB13" s="442">
        <v>1</v>
      </c>
      <c r="AC13" s="441">
        <v>0</v>
      </c>
      <c r="AD13" s="440">
        <f t="shared" si="19"/>
        <v>0</v>
      </c>
      <c r="AF13" s="442">
        <f t="shared" si="20"/>
        <v>1</v>
      </c>
      <c r="AG13" s="441">
        <f t="shared" si="21"/>
        <v>0</v>
      </c>
      <c r="AH13" s="440">
        <f t="shared" si="22"/>
        <v>0</v>
      </c>
      <c r="AJ13" s="442">
        <f t="shared" si="23"/>
        <v>1</v>
      </c>
      <c r="AK13" s="441">
        <f t="shared" si="24"/>
        <v>0</v>
      </c>
      <c r="AL13" s="440">
        <f t="shared" si="25"/>
        <v>0</v>
      </c>
      <c r="AN13" s="442">
        <f t="shared" si="26"/>
        <v>1</v>
      </c>
      <c r="AO13" s="441">
        <f t="shared" si="27"/>
        <v>0</v>
      </c>
      <c r="AP13" s="440">
        <f t="shared" si="28"/>
        <v>0</v>
      </c>
      <c r="AR13" s="442">
        <f t="shared" si="29"/>
        <v>1</v>
      </c>
      <c r="AS13" s="441">
        <f t="shared" si="30"/>
        <v>0</v>
      </c>
      <c r="AT13" s="440">
        <f t="shared" si="31"/>
        <v>0</v>
      </c>
    </row>
    <row r="14" spans="1:46" x14ac:dyDescent="0.2">
      <c r="A14" s="10" t="str">
        <f>+'Co PI 2'!A8</f>
        <v>Co-PI</v>
      </c>
      <c r="B14" s="12">
        <f t="shared" si="0"/>
        <v>0</v>
      </c>
      <c r="C14" s="12">
        <f t="shared" si="1"/>
        <v>0</v>
      </c>
      <c r="D14" s="12">
        <f t="shared" si="2"/>
        <v>0</v>
      </c>
      <c r="E14" s="443">
        <f>+'Co PI 2'!B8</f>
        <v>0</v>
      </c>
      <c r="F14" s="12">
        <f t="shared" si="3"/>
        <v>0</v>
      </c>
      <c r="G14" s="12">
        <f t="shared" si="4"/>
        <v>0</v>
      </c>
      <c r="H14" s="12">
        <f t="shared" si="5"/>
        <v>0</v>
      </c>
      <c r="I14" s="443">
        <f>+'Co PI 2'!C8</f>
        <v>0</v>
      </c>
      <c r="J14" s="12">
        <f t="shared" si="6"/>
        <v>0</v>
      </c>
      <c r="K14" s="12">
        <f t="shared" si="7"/>
        <v>0</v>
      </c>
      <c r="L14" s="12">
        <f t="shared" si="8"/>
        <v>0</v>
      </c>
      <c r="M14" s="443">
        <f>+'Co PI 2'!D8</f>
        <v>0</v>
      </c>
      <c r="N14" s="12">
        <f t="shared" si="9"/>
        <v>0</v>
      </c>
      <c r="O14" s="12">
        <f t="shared" si="10"/>
        <v>0</v>
      </c>
      <c r="P14" s="12">
        <f t="shared" si="11"/>
        <v>0</v>
      </c>
      <c r="Q14" s="443">
        <f>+'Co PI 2'!E8</f>
        <v>0</v>
      </c>
      <c r="R14" s="12">
        <f t="shared" si="12"/>
        <v>0</v>
      </c>
      <c r="S14" s="12">
        <f t="shared" si="13"/>
        <v>0</v>
      </c>
      <c r="T14" s="12">
        <f t="shared" si="14"/>
        <v>0</v>
      </c>
      <c r="U14" s="443">
        <f>+'Co PI 2'!F8</f>
        <v>0</v>
      </c>
      <c r="W14" s="444">
        <f t="shared" si="15"/>
        <v>0</v>
      </c>
      <c r="X14" s="12">
        <f t="shared" si="16"/>
        <v>0</v>
      </c>
      <c r="Y14" s="12">
        <f t="shared" si="17"/>
        <v>0</v>
      </c>
      <c r="Z14" s="443">
        <f t="shared" si="18"/>
        <v>0</v>
      </c>
      <c r="AB14" s="442">
        <v>1</v>
      </c>
      <c r="AC14" s="441">
        <v>0</v>
      </c>
      <c r="AD14" s="440">
        <f t="shared" si="19"/>
        <v>0</v>
      </c>
      <c r="AF14" s="442">
        <f t="shared" si="20"/>
        <v>1</v>
      </c>
      <c r="AG14" s="441">
        <f t="shared" si="21"/>
        <v>0</v>
      </c>
      <c r="AH14" s="440">
        <f t="shared" si="22"/>
        <v>0</v>
      </c>
      <c r="AJ14" s="442">
        <f t="shared" si="23"/>
        <v>1</v>
      </c>
      <c r="AK14" s="441">
        <f t="shared" si="24"/>
        <v>0</v>
      </c>
      <c r="AL14" s="440">
        <f t="shared" si="25"/>
        <v>0</v>
      </c>
      <c r="AN14" s="442">
        <f t="shared" si="26"/>
        <v>1</v>
      </c>
      <c r="AO14" s="441">
        <f t="shared" si="27"/>
        <v>0</v>
      </c>
      <c r="AP14" s="440">
        <f t="shared" si="28"/>
        <v>0</v>
      </c>
      <c r="AR14" s="442">
        <f t="shared" si="29"/>
        <v>1</v>
      </c>
      <c r="AS14" s="441">
        <f t="shared" si="30"/>
        <v>0</v>
      </c>
      <c r="AT14" s="440">
        <f t="shared" si="31"/>
        <v>0</v>
      </c>
    </row>
    <row r="15" spans="1:46" x14ac:dyDescent="0.2">
      <c r="A15" s="10" t="str">
        <f>+'Co PI 2'!A9</f>
        <v>Co-PI</v>
      </c>
      <c r="B15" s="12">
        <f t="shared" si="0"/>
        <v>0</v>
      </c>
      <c r="C15" s="12">
        <f t="shared" si="1"/>
        <v>0</v>
      </c>
      <c r="D15" s="12">
        <f t="shared" si="2"/>
        <v>0</v>
      </c>
      <c r="E15" s="443">
        <f>+'Co PI 2'!B9</f>
        <v>0</v>
      </c>
      <c r="F15" s="12">
        <f t="shared" si="3"/>
        <v>0</v>
      </c>
      <c r="G15" s="12">
        <f t="shared" si="4"/>
        <v>0</v>
      </c>
      <c r="H15" s="12">
        <f t="shared" si="5"/>
        <v>0</v>
      </c>
      <c r="I15" s="443">
        <f>+'Co PI 2'!C9</f>
        <v>0</v>
      </c>
      <c r="J15" s="12">
        <f t="shared" si="6"/>
        <v>0</v>
      </c>
      <c r="K15" s="12">
        <f t="shared" si="7"/>
        <v>0</v>
      </c>
      <c r="L15" s="12">
        <f t="shared" si="8"/>
        <v>0</v>
      </c>
      <c r="M15" s="443">
        <f>+'Co PI 2'!D9</f>
        <v>0</v>
      </c>
      <c r="N15" s="12">
        <f t="shared" si="9"/>
        <v>0</v>
      </c>
      <c r="O15" s="12">
        <f t="shared" si="10"/>
        <v>0</v>
      </c>
      <c r="P15" s="12">
        <f t="shared" si="11"/>
        <v>0</v>
      </c>
      <c r="Q15" s="443">
        <f>+'Co PI 2'!E9</f>
        <v>0</v>
      </c>
      <c r="R15" s="12">
        <f t="shared" si="12"/>
        <v>0</v>
      </c>
      <c r="S15" s="12">
        <f t="shared" si="13"/>
        <v>0</v>
      </c>
      <c r="T15" s="12">
        <f t="shared" si="14"/>
        <v>0</v>
      </c>
      <c r="U15" s="443">
        <f>+'Co PI 2'!F9</f>
        <v>0</v>
      </c>
      <c r="W15" s="444">
        <f t="shared" si="15"/>
        <v>0</v>
      </c>
      <c r="X15" s="12">
        <f t="shared" si="16"/>
        <v>0</v>
      </c>
      <c r="Y15" s="12">
        <f t="shared" si="17"/>
        <v>0</v>
      </c>
      <c r="Z15" s="443">
        <f t="shared" si="18"/>
        <v>0</v>
      </c>
      <c r="AB15" s="442">
        <v>1</v>
      </c>
      <c r="AC15" s="441">
        <v>0</v>
      </c>
      <c r="AD15" s="440">
        <f t="shared" si="19"/>
        <v>0</v>
      </c>
      <c r="AF15" s="442">
        <f t="shared" si="20"/>
        <v>1</v>
      </c>
      <c r="AG15" s="441">
        <f t="shared" si="21"/>
        <v>0</v>
      </c>
      <c r="AH15" s="440">
        <f t="shared" si="22"/>
        <v>0</v>
      </c>
      <c r="AJ15" s="442">
        <f t="shared" si="23"/>
        <v>1</v>
      </c>
      <c r="AK15" s="441">
        <f t="shared" si="24"/>
        <v>0</v>
      </c>
      <c r="AL15" s="440">
        <f t="shared" si="25"/>
        <v>0</v>
      </c>
      <c r="AN15" s="442">
        <f t="shared" si="26"/>
        <v>1</v>
      </c>
      <c r="AO15" s="441">
        <f t="shared" si="27"/>
        <v>0</v>
      </c>
      <c r="AP15" s="440">
        <f t="shared" si="28"/>
        <v>0</v>
      </c>
      <c r="AR15" s="442">
        <f t="shared" si="29"/>
        <v>1</v>
      </c>
      <c r="AS15" s="441">
        <f t="shared" si="30"/>
        <v>0</v>
      </c>
      <c r="AT15" s="440">
        <f t="shared" si="31"/>
        <v>0</v>
      </c>
    </row>
    <row r="16" spans="1:46" x14ac:dyDescent="0.2">
      <c r="A16" s="10" t="str">
        <f>+'Co PI 2'!A10</f>
        <v>Co-PI</v>
      </c>
      <c r="B16" s="12">
        <f t="shared" si="0"/>
        <v>0</v>
      </c>
      <c r="C16" s="12">
        <f t="shared" si="1"/>
        <v>0</v>
      </c>
      <c r="D16" s="12">
        <f t="shared" si="2"/>
        <v>0</v>
      </c>
      <c r="E16" s="443">
        <f>+'Co PI 2'!B10</f>
        <v>0</v>
      </c>
      <c r="F16" s="12">
        <f t="shared" si="3"/>
        <v>0</v>
      </c>
      <c r="G16" s="12">
        <f t="shared" si="4"/>
        <v>0</v>
      </c>
      <c r="H16" s="12">
        <f t="shared" si="5"/>
        <v>0</v>
      </c>
      <c r="I16" s="443">
        <f>+'Co PI 2'!C10</f>
        <v>0</v>
      </c>
      <c r="J16" s="12">
        <f t="shared" si="6"/>
        <v>0</v>
      </c>
      <c r="K16" s="12">
        <f t="shared" si="7"/>
        <v>0</v>
      </c>
      <c r="L16" s="12">
        <f t="shared" si="8"/>
        <v>0</v>
      </c>
      <c r="M16" s="443">
        <f>+'Co PI 2'!D10</f>
        <v>0</v>
      </c>
      <c r="N16" s="12">
        <f t="shared" si="9"/>
        <v>0</v>
      </c>
      <c r="O16" s="12">
        <f t="shared" si="10"/>
        <v>0</v>
      </c>
      <c r="P16" s="12">
        <f t="shared" si="11"/>
        <v>0</v>
      </c>
      <c r="Q16" s="443">
        <f>+'Co PI 2'!E10</f>
        <v>0</v>
      </c>
      <c r="R16" s="12">
        <f t="shared" si="12"/>
        <v>0</v>
      </c>
      <c r="S16" s="12">
        <f t="shared" si="13"/>
        <v>0</v>
      </c>
      <c r="T16" s="12">
        <f t="shared" si="14"/>
        <v>0</v>
      </c>
      <c r="U16" s="443">
        <f>+'Co PI 2'!F10</f>
        <v>0</v>
      </c>
      <c r="W16" s="444">
        <f t="shared" si="15"/>
        <v>0</v>
      </c>
      <c r="X16" s="12">
        <f t="shared" si="16"/>
        <v>0</v>
      </c>
      <c r="Y16" s="12">
        <f t="shared" si="17"/>
        <v>0</v>
      </c>
      <c r="Z16" s="443">
        <f t="shared" si="18"/>
        <v>0</v>
      </c>
      <c r="AB16" s="442">
        <v>1</v>
      </c>
      <c r="AC16" s="441">
        <v>0</v>
      </c>
      <c r="AD16" s="440">
        <f t="shared" si="19"/>
        <v>0</v>
      </c>
      <c r="AF16" s="442">
        <f t="shared" si="20"/>
        <v>1</v>
      </c>
      <c r="AG16" s="441">
        <f t="shared" si="21"/>
        <v>0</v>
      </c>
      <c r="AH16" s="440">
        <f t="shared" si="22"/>
        <v>0</v>
      </c>
      <c r="AJ16" s="442">
        <f t="shared" si="23"/>
        <v>1</v>
      </c>
      <c r="AK16" s="441">
        <f t="shared" si="24"/>
        <v>0</v>
      </c>
      <c r="AL16" s="440">
        <f t="shared" si="25"/>
        <v>0</v>
      </c>
      <c r="AN16" s="442">
        <f t="shared" si="26"/>
        <v>1</v>
      </c>
      <c r="AO16" s="441">
        <f t="shared" si="27"/>
        <v>0</v>
      </c>
      <c r="AP16" s="440">
        <f t="shared" si="28"/>
        <v>0</v>
      </c>
      <c r="AR16" s="442">
        <f t="shared" si="29"/>
        <v>1</v>
      </c>
      <c r="AS16" s="441">
        <f t="shared" si="30"/>
        <v>0</v>
      </c>
      <c r="AT16" s="440">
        <f t="shared" si="31"/>
        <v>0</v>
      </c>
    </row>
    <row r="17" spans="1:46" x14ac:dyDescent="0.2">
      <c r="A17" s="10" t="str">
        <f>+'Co PI 3'!A8</f>
        <v>Co-PI</v>
      </c>
      <c r="B17" s="12">
        <f t="shared" si="0"/>
        <v>0</v>
      </c>
      <c r="C17" s="12">
        <f t="shared" si="1"/>
        <v>0</v>
      </c>
      <c r="D17" s="12">
        <f t="shared" si="2"/>
        <v>0</v>
      </c>
      <c r="E17" s="443">
        <f>+'Co PI 3'!B8</f>
        <v>0</v>
      </c>
      <c r="F17" s="12">
        <f t="shared" si="3"/>
        <v>0</v>
      </c>
      <c r="G17" s="12">
        <f t="shared" si="4"/>
        <v>0</v>
      </c>
      <c r="H17" s="12">
        <f t="shared" si="5"/>
        <v>0</v>
      </c>
      <c r="I17" s="443">
        <f>+'Co PI 3'!C8</f>
        <v>0</v>
      </c>
      <c r="J17" s="12">
        <f t="shared" si="6"/>
        <v>0</v>
      </c>
      <c r="K17" s="12">
        <f t="shared" si="7"/>
        <v>0</v>
      </c>
      <c r="L17" s="12">
        <f t="shared" si="8"/>
        <v>0</v>
      </c>
      <c r="M17" s="443">
        <f>+'Co PI 3'!D8</f>
        <v>0</v>
      </c>
      <c r="N17" s="12">
        <f t="shared" si="9"/>
        <v>0</v>
      </c>
      <c r="O17" s="12">
        <f t="shared" si="10"/>
        <v>0</v>
      </c>
      <c r="P17" s="12">
        <f t="shared" si="11"/>
        <v>0</v>
      </c>
      <c r="Q17" s="443">
        <f>+'Co PI 3'!E8</f>
        <v>0</v>
      </c>
      <c r="R17" s="12">
        <f t="shared" si="12"/>
        <v>0</v>
      </c>
      <c r="S17" s="12">
        <f t="shared" si="13"/>
        <v>0</v>
      </c>
      <c r="T17" s="12">
        <f t="shared" si="14"/>
        <v>0</v>
      </c>
      <c r="U17" s="443">
        <f>+'Co PI 3'!F8</f>
        <v>0</v>
      </c>
      <c r="W17" s="444">
        <f t="shared" si="15"/>
        <v>0</v>
      </c>
      <c r="X17" s="12">
        <f t="shared" si="16"/>
        <v>0</v>
      </c>
      <c r="Y17" s="12">
        <f t="shared" si="17"/>
        <v>0</v>
      </c>
      <c r="Z17" s="443">
        <f t="shared" si="18"/>
        <v>0</v>
      </c>
      <c r="AB17" s="442">
        <v>1</v>
      </c>
      <c r="AC17" s="441">
        <v>0</v>
      </c>
      <c r="AD17" s="440">
        <f t="shared" si="19"/>
        <v>0</v>
      </c>
      <c r="AF17" s="442">
        <f t="shared" si="20"/>
        <v>1</v>
      </c>
      <c r="AG17" s="441">
        <f t="shared" si="21"/>
        <v>0</v>
      </c>
      <c r="AH17" s="440">
        <f t="shared" si="22"/>
        <v>0</v>
      </c>
      <c r="AJ17" s="442">
        <f t="shared" si="23"/>
        <v>1</v>
      </c>
      <c r="AK17" s="441">
        <f t="shared" si="24"/>
        <v>0</v>
      </c>
      <c r="AL17" s="440">
        <f t="shared" si="25"/>
        <v>0</v>
      </c>
      <c r="AN17" s="442">
        <f t="shared" si="26"/>
        <v>1</v>
      </c>
      <c r="AO17" s="441">
        <f t="shared" si="27"/>
        <v>0</v>
      </c>
      <c r="AP17" s="440">
        <f t="shared" si="28"/>
        <v>0</v>
      </c>
      <c r="AR17" s="442">
        <f t="shared" si="29"/>
        <v>1</v>
      </c>
      <c r="AS17" s="441">
        <f t="shared" si="30"/>
        <v>0</v>
      </c>
      <c r="AT17" s="440">
        <f t="shared" si="31"/>
        <v>0</v>
      </c>
    </row>
    <row r="18" spans="1:46" x14ac:dyDescent="0.2">
      <c r="A18" s="10" t="str">
        <f>+'Co PI 3'!A9</f>
        <v>Co-PI</v>
      </c>
      <c r="B18" s="12">
        <f t="shared" si="0"/>
        <v>0</v>
      </c>
      <c r="C18" s="12">
        <f t="shared" si="1"/>
        <v>0</v>
      </c>
      <c r="D18" s="12">
        <f t="shared" si="2"/>
        <v>0</v>
      </c>
      <c r="E18" s="443">
        <f>+'Co PI 3'!B9</f>
        <v>0</v>
      </c>
      <c r="F18" s="12">
        <f t="shared" si="3"/>
        <v>0</v>
      </c>
      <c r="G18" s="12">
        <f t="shared" si="4"/>
        <v>0</v>
      </c>
      <c r="H18" s="12">
        <f t="shared" si="5"/>
        <v>0</v>
      </c>
      <c r="I18" s="443">
        <f>+'Co PI 3'!C9</f>
        <v>0</v>
      </c>
      <c r="J18" s="12">
        <f t="shared" si="6"/>
        <v>0</v>
      </c>
      <c r="K18" s="12">
        <f t="shared" si="7"/>
        <v>0</v>
      </c>
      <c r="L18" s="12">
        <f t="shared" si="8"/>
        <v>0</v>
      </c>
      <c r="M18" s="443">
        <f>+'Co PI 3'!D9</f>
        <v>0</v>
      </c>
      <c r="N18" s="12">
        <f t="shared" si="9"/>
        <v>0</v>
      </c>
      <c r="O18" s="12">
        <f t="shared" si="10"/>
        <v>0</v>
      </c>
      <c r="P18" s="12">
        <f t="shared" si="11"/>
        <v>0</v>
      </c>
      <c r="Q18" s="443">
        <f>+'Co PI 3'!E9</f>
        <v>0</v>
      </c>
      <c r="R18" s="12">
        <f t="shared" si="12"/>
        <v>0</v>
      </c>
      <c r="S18" s="12">
        <f t="shared" si="13"/>
        <v>0</v>
      </c>
      <c r="T18" s="12">
        <f t="shared" si="14"/>
        <v>0</v>
      </c>
      <c r="U18" s="443">
        <f>+'Co PI 3'!F9</f>
        <v>0</v>
      </c>
      <c r="W18" s="444">
        <f t="shared" si="15"/>
        <v>0</v>
      </c>
      <c r="X18" s="12">
        <f t="shared" si="16"/>
        <v>0</v>
      </c>
      <c r="Y18" s="12">
        <f t="shared" si="17"/>
        <v>0</v>
      </c>
      <c r="Z18" s="443">
        <f t="shared" si="18"/>
        <v>0</v>
      </c>
      <c r="AB18" s="442">
        <v>1</v>
      </c>
      <c r="AC18" s="441">
        <v>0</v>
      </c>
      <c r="AD18" s="440">
        <f t="shared" si="19"/>
        <v>0</v>
      </c>
      <c r="AF18" s="442">
        <f t="shared" si="20"/>
        <v>1</v>
      </c>
      <c r="AG18" s="441">
        <f t="shared" si="21"/>
        <v>0</v>
      </c>
      <c r="AH18" s="440">
        <f t="shared" si="22"/>
        <v>0</v>
      </c>
      <c r="AJ18" s="442">
        <f t="shared" si="23"/>
        <v>1</v>
      </c>
      <c r="AK18" s="441">
        <f t="shared" si="24"/>
        <v>0</v>
      </c>
      <c r="AL18" s="440">
        <f t="shared" si="25"/>
        <v>0</v>
      </c>
      <c r="AN18" s="442">
        <f t="shared" si="26"/>
        <v>1</v>
      </c>
      <c r="AO18" s="441">
        <f t="shared" si="27"/>
        <v>0</v>
      </c>
      <c r="AP18" s="440">
        <f t="shared" si="28"/>
        <v>0</v>
      </c>
      <c r="AR18" s="442">
        <f t="shared" si="29"/>
        <v>1</v>
      </c>
      <c r="AS18" s="441">
        <f t="shared" si="30"/>
        <v>0</v>
      </c>
      <c r="AT18" s="440">
        <f t="shared" si="31"/>
        <v>0</v>
      </c>
    </row>
    <row r="19" spans="1:46" x14ac:dyDescent="0.2">
      <c r="A19" s="10" t="str">
        <f>+'Co PI 3'!A10</f>
        <v>Co-PI</v>
      </c>
      <c r="B19" s="12">
        <f t="shared" si="0"/>
        <v>0</v>
      </c>
      <c r="C19" s="12">
        <f t="shared" si="1"/>
        <v>0</v>
      </c>
      <c r="D19" s="12">
        <f t="shared" si="2"/>
        <v>0</v>
      </c>
      <c r="E19" s="443">
        <f>+'Co PI 3'!B10</f>
        <v>0</v>
      </c>
      <c r="F19" s="12">
        <f t="shared" si="3"/>
        <v>0</v>
      </c>
      <c r="G19" s="12">
        <f t="shared" si="4"/>
        <v>0</v>
      </c>
      <c r="H19" s="12">
        <f t="shared" si="5"/>
        <v>0</v>
      </c>
      <c r="I19" s="443">
        <f>+'Co PI 3'!C10</f>
        <v>0</v>
      </c>
      <c r="J19" s="12">
        <f t="shared" si="6"/>
        <v>0</v>
      </c>
      <c r="K19" s="12">
        <f t="shared" si="7"/>
        <v>0</v>
      </c>
      <c r="L19" s="12">
        <f t="shared" si="8"/>
        <v>0</v>
      </c>
      <c r="M19" s="443">
        <f>+'Co PI 3'!D10</f>
        <v>0</v>
      </c>
      <c r="N19" s="12">
        <f t="shared" si="9"/>
        <v>0</v>
      </c>
      <c r="O19" s="12">
        <f t="shared" si="10"/>
        <v>0</v>
      </c>
      <c r="P19" s="12">
        <f t="shared" si="11"/>
        <v>0</v>
      </c>
      <c r="Q19" s="443">
        <f>+'Co PI 3'!E10</f>
        <v>0</v>
      </c>
      <c r="R19" s="12">
        <f t="shared" si="12"/>
        <v>0</v>
      </c>
      <c r="S19" s="12">
        <f t="shared" si="13"/>
        <v>0</v>
      </c>
      <c r="T19" s="12">
        <f t="shared" si="14"/>
        <v>0</v>
      </c>
      <c r="U19" s="443">
        <f>+'Co PI 3'!F10</f>
        <v>0</v>
      </c>
      <c r="W19" s="444">
        <f t="shared" si="15"/>
        <v>0</v>
      </c>
      <c r="X19" s="12">
        <f t="shared" si="16"/>
        <v>0</v>
      </c>
      <c r="Y19" s="12">
        <f t="shared" si="17"/>
        <v>0</v>
      </c>
      <c r="Z19" s="443">
        <f t="shared" si="18"/>
        <v>0</v>
      </c>
      <c r="AB19" s="442">
        <v>1</v>
      </c>
      <c r="AC19" s="441">
        <v>0</v>
      </c>
      <c r="AD19" s="440">
        <f t="shared" si="19"/>
        <v>0</v>
      </c>
      <c r="AF19" s="442">
        <f t="shared" si="20"/>
        <v>1</v>
      </c>
      <c r="AG19" s="441">
        <f t="shared" si="21"/>
        <v>0</v>
      </c>
      <c r="AH19" s="440">
        <f t="shared" si="22"/>
        <v>0</v>
      </c>
      <c r="AJ19" s="442">
        <f t="shared" si="23"/>
        <v>1</v>
      </c>
      <c r="AK19" s="441">
        <f t="shared" si="24"/>
        <v>0</v>
      </c>
      <c r="AL19" s="440">
        <f t="shared" si="25"/>
        <v>0</v>
      </c>
      <c r="AN19" s="442">
        <f t="shared" si="26"/>
        <v>1</v>
      </c>
      <c r="AO19" s="441">
        <f t="shared" si="27"/>
        <v>0</v>
      </c>
      <c r="AP19" s="440">
        <f t="shared" si="28"/>
        <v>0</v>
      </c>
      <c r="AR19" s="442">
        <f t="shared" si="29"/>
        <v>1</v>
      </c>
      <c r="AS19" s="441">
        <f t="shared" si="30"/>
        <v>0</v>
      </c>
      <c r="AT19" s="440">
        <f t="shared" si="31"/>
        <v>0</v>
      </c>
    </row>
    <row r="20" spans="1:46" x14ac:dyDescent="0.2">
      <c r="A20" s="10" t="str">
        <f>+'Co-PI Budget (4)'!A8</f>
        <v>Co-PI</v>
      </c>
      <c r="B20" s="12">
        <f t="shared" si="0"/>
        <v>0</v>
      </c>
      <c r="C20" s="12">
        <f t="shared" si="1"/>
        <v>0</v>
      </c>
      <c r="D20" s="12">
        <f t="shared" si="2"/>
        <v>0</v>
      </c>
      <c r="E20" s="443">
        <f>+'Co-PI Budget (4)'!B8</f>
        <v>0</v>
      </c>
      <c r="F20" s="12">
        <f t="shared" si="3"/>
        <v>0</v>
      </c>
      <c r="G20" s="12">
        <f t="shared" si="4"/>
        <v>0</v>
      </c>
      <c r="H20" s="12">
        <f t="shared" si="5"/>
        <v>0</v>
      </c>
      <c r="I20" s="443">
        <f>+'Co-PI Budget (4)'!C8</f>
        <v>0</v>
      </c>
      <c r="J20" s="12">
        <f t="shared" si="6"/>
        <v>0</v>
      </c>
      <c r="K20" s="12">
        <f t="shared" si="7"/>
        <v>0</v>
      </c>
      <c r="L20" s="12">
        <f t="shared" si="8"/>
        <v>0</v>
      </c>
      <c r="M20" s="443">
        <f>+'Co-PI Budget (4)'!D8</f>
        <v>0</v>
      </c>
      <c r="N20" s="12">
        <f t="shared" si="9"/>
        <v>0</v>
      </c>
      <c r="O20" s="12">
        <f t="shared" si="10"/>
        <v>0</v>
      </c>
      <c r="P20" s="12">
        <f t="shared" si="11"/>
        <v>0</v>
      </c>
      <c r="Q20" s="443">
        <f>+'Co-PI Budget (4)'!E8</f>
        <v>0</v>
      </c>
      <c r="R20" s="12">
        <f t="shared" si="12"/>
        <v>0</v>
      </c>
      <c r="S20" s="12">
        <f t="shared" si="13"/>
        <v>0</v>
      </c>
      <c r="T20" s="12">
        <f t="shared" si="14"/>
        <v>0</v>
      </c>
      <c r="U20" s="443">
        <f>+'Co-PI Budget (4)'!F8</f>
        <v>0</v>
      </c>
      <c r="W20" s="444">
        <f t="shared" si="15"/>
        <v>0</v>
      </c>
      <c r="X20" s="12">
        <f t="shared" si="16"/>
        <v>0</v>
      </c>
      <c r="Y20" s="12">
        <f t="shared" si="17"/>
        <v>0</v>
      </c>
      <c r="Z20" s="443">
        <f t="shared" si="18"/>
        <v>0</v>
      </c>
      <c r="AB20" s="442">
        <v>1</v>
      </c>
      <c r="AC20" s="441">
        <v>0</v>
      </c>
      <c r="AD20" s="440">
        <f t="shared" si="19"/>
        <v>0</v>
      </c>
      <c r="AF20" s="442">
        <f t="shared" si="20"/>
        <v>1</v>
      </c>
      <c r="AG20" s="441">
        <f t="shared" si="21"/>
        <v>0</v>
      </c>
      <c r="AH20" s="440">
        <f t="shared" si="22"/>
        <v>0</v>
      </c>
      <c r="AJ20" s="442">
        <f t="shared" si="23"/>
        <v>1</v>
      </c>
      <c r="AK20" s="441">
        <f t="shared" si="24"/>
        <v>0</v>
      </c>
      <c r="AL20" s="440">
        <f t="shared" si="25"/>
        <v>0</v>
      </c>
      <c r="AN20" s="442">
        <f t="shared" si="26"/>
        <v>1</v>
      </c>
      <c r="AO20" s="441">
        <f t="shared" si="27"/>
        <v>0</v>
      </c>
      <c r="AP20" s="440">
        <f t="shared" si="28"/>
        <v>0</v>
      </c>
      <c r="AR20" s="442">
        <f t="shared" si="29"/>
        <v>1</v>
      </c>
      <c r="AS20" s="441">
        <f t="shared" si="30"/>
        <v>0</v>
      </c>
      <c r="AT20" s="440">
        <f t="shared" si="31"/>
        <v>0</v>
      </c>
    </row>
    <row r="21" spans="1:46" x14ac:dyDescent="0.2">
      <c r="A21" s="10" t="str">
        <f>+'Co-PI Budget (4)'!A9</f>
        <v>Co-PI</v>
      </c>
      <c r="B21" s="12">
        <f t="shared" si="0"/>
        <v>0</v>
      </c>
      <c r="C21" s="12">
        <f t="shared" si="1"/>
        <v>0</v>
      </c>
      <c r="D21" s="12">
        <f t="shared" si="2"/>
        <v>0</v>
      </c>
      <c r="E21" s="443">
        <f>+'Co-PI Budget (4)'!B9</f>
        <v>0</v>
      </c>
      <c r="F21" s="12">
        <f t="shared" si="3"/>
        <v>0</v>
      </c>
      <c r="G21" s="12">
        <f t="shared" si="4"/>
        <v>0</v>
      </c>
      <c r="H21" s="12">
        <f t="shared" si="5"/>
        <v>0</v>
      </c>
      <c r="I21" s="443">
        <f>+'Co-PI Budget (4)'!C9</f>
        <v>0</v>
      </c>
      <c r="J21" s="12">
        <f t="shared" si="6"/>
        <v>0</v>
      </c>
      <c r="K21" s="12">
        <f t="shared" si="7"/>
        <v>0</v>
      </c>
      <c r="L21" s="12">
        <f t="shared" si="8"/>
        <v>0</v>
      </c>
      <c r="M21" s="443">
        <f>+'Co-PI Budget (4)'!D9</f>
        <v>0</v>
      </c>
      <c r="N21" s="12">
        <f t="shared" si="9"/>
        <v>0</v>
      </c>
      <c r="O21" s="12">
        <f t="shared" si="10"/>
        <v>0</v>
      </c>
      <c r="P21" s="12">
        <f t="shared" si="11"/>
        <v>0</v>
      </c>
      <c r="Q21" s="443">
        <f>+'Co-PI Budget (4)'!E9</f>
        <v>0</v>
      </c>
      <c r="R21" s="12">
        <f t="shared" si="12"/>
        <v>0</v>
      </c>
      <c r="S21" s="12">
        <f t="shared" si="13"/>
        <v>0</v>
      </c>
      <c r="T21" s="12">
        <f t="shared" si="14"/>
        <v>0</v>
      </c>
      <c r="U21" s="443">
        <f>+'Co-PI Budget (4)'!F9</f>
        <v>0</v>
      </c>
      <c r="W21" s="444">
        <f t="shared" si="15"/>
        <v>0</v>
      </c>
      <c r="X21" s="12">
        <f t="shared" si="16"/>
        <v>0</v>
      </c>
      <c r="Y21" s="12">
        <f t="shared" si="17"/>
        <v>0</v>
      </c>
      <c r="Z21" s="443">
        <f t="shared" si="18"/>
        <v>0</v>
      </c>
      <c r="AB21" s="442">
        <v>1</v>
      </c>
      <c r="AC21" s="441">
        <v>0</v>
      </c>
      <c r="AD21" s="440">
        <f t="shared" si="19"/>
        <v>0</v>
      </c>
      <c r="AF21" s="442">
        <f t="shared" si="20"/>
        <v>1</v>
      </c>
      <c r="AG21" s="441">
        <f t="shared" si="21"/>
        <v>0</v>
      </c>
      <c r="AH21" s="440">
        <f t="shared" si="22"/>
        <v>0</v>
      </c>
      <c r="AJ21" s="442">
        <f t="shared" si="23"/>
        <v>1</v>
      </c>
      <c r="AK21" s="441">
        <f t="shared" si="24"/>
        <v>0</v>
      </c>
      <c r="AL21" s="440">
        <f t="shared" si="25"/>
        <v>0</v>
      </c>
      <c r="AN21" s="442">
        <f t="shared" si="26"/>
        <v>1</v>
      </c>
      <c r="AO21" s="441">
        <f t="shared" si="27"/>
        <v>0</v>
      </c>
      <c r="AP21" s="440">
        <f t="shared" si="28"/>
        <v>0</v>
      </c>
      <c r="AR21" s="442">
        <f t="shared" si="29"/>
        <v>1</v>
      </c>
      <c r="AS21" s="441">
        <f t="shared" si="30"/>
        <v>0</v>
      </c>
      <c r="AT21" s="440">
        <f t="shared" si="31"/>
        <v>0</v>
      </c>
    </row>
    <row r="22" spans="1:46" x14ac:dyDescent="0.2">
      <c r="A22" s="10" t="str">
        <f>+'Co-PI Budget (4)'!A10</f>
        <v>Co-PI</v>
      </c>
      <c r="B22" s="12">
        <f t="shared" si="0"/>
        <v>0</v>
      </c>
      <c r="C22" s="12">
        <f t="shared" si="1"/>
        <v>0</v>
      </c>
      <c r="D22" s="12">
        <f t="shared" si="2"/>
        <v>0</v>
      </c>
      <c r="E22" s="443">
        <f>+'Co-PI Budget (4)'!B10</f>
        <v>0</v>
      </c>
      <c r="F22" s="12">
        <f t="shared" si="3"/>
        <v>0</v>
      </c>
      <c r="G22" s="12">
        <f t="shared" si="4"/>
        <v>0</v>
      </c>
      <c r="H22" s="12">
        <f t="shared" si="5"/>
        <v>0</v>
      </c>
      <c r="I22" s="443">
        <f>+'Co-PI Budget (4)'!C10</f>
        <v>0</v>
      </c>
      <c r="J22" s="12">
        <f t="shared" si="6"/>
        <v>0</v>
      </c>
      <c r="K22" s="12">
        <f t="shared" si="7"/>
        <v>0</v>
      </c>
      <c r="L22" s="12">
        <f t="shared" si="8"/>
        <v>0</v>
      </c>
      <c r="M22" s="443">
        <f>+'Co-PI Budget (4)'!D10</f>
        <v>0</v>
      </c>
      <c r="N22" s="12">
        <f t="shared" si="9"/>
        <v>0</v>
      </c>
      <c r="O22" s="12">
        <f t="shared" si="10"/>
        <v>0</v>
      </c>
      <c r="P22" s="12">
        <f t="shared" si="11"/>
        <v>0</v>
      </c>
      <c r="Q22" s="443">
        <f>+'Co-PI Budget (4)'!E10</f>
        <v>0</v>
      </c>
      <c r="R22" s="12">
        <f t="shared" si="12"/>
        <v>0</v>
      </c>
      <c r="S22" s="12">
        <f t="shared" si="13"/>
        <v>0</v>
      </c>
      <c r="T22" s="12">
        <f t="shared" si="14"/>
        <v>0</v>
      </c>
      <c r="U22" s="443">
        <f>+'Co-PI Budget (4)'!F10</f>
        <v>0</v>
      </c>
      <c r="W22" s="444">
        <f t="shared" si="15"/>
        <v>0</v>
      </c>
      <c r="X22" s="12">
        <f t="shared" si="16"/>
        <v>0</v>
      </c>
      <c r="Y22" s="12">
        <f t="shared" si="17"/>
        <v>0</v>
      </c>
      <c r="Z22" s="443">
        <f t="shared" si="18"/>
        <v>0</v>
      </c>
      <c r="AB22" s="442">
        <v>1</v>
      </c>
      <c r="AC22" s="441">
        <v>0</v>
      </c>
      <c r="AD22" s="440">
        <f t="shared" si="19"/>
        <v>0</v>
      </c>
      <c r="AF22" s="442">
        <f t="shared" si="20"/>
        <v>1</v>
      </c>
      <c r="AG22" s="441">
        <f t="shared" si="21"/>
        <v>0</v>
      </c>
      <c r="AH22" s="440">
        <f t="shared" si="22"/>
        <v>0</v>
      </c>
      <c r="AJ22" s="442">
        <f t="shared" si="23"/>
        <v>1</v>
      </c>
      <c r="AK22" s="441">
        <f t="shared" si="24"/>
        <v>0</v>
      </c>
      <c r="AL22" s="440">
        <f t="shared" si="25"/>
        <v>0</v>
      </c>
      <c r="AN22" s="442">
        <f t="shared" si="26"/>
        <v>1</v>
      </c>
      <c r="AO22" s="441">
        <f t="shared" si="27"/>
        <v>0</v>
      </c>
      <c r="AP22" s="440">
        <f t="shared" si="28"/>
        <v>0</v>
      </c>
      <c r="AR22" s="442">
        <f t="shared" si="29"/>
        <v>1</v>
      </c>
      <c r="AS22" s="441">
        <f t="shared" si="30"/>
        <v>0</v>
      </c>
      <c r="AT22" s="440">
        <f t="shared" si="31"/>
        <v>0</v>
      </c>
    </row>
    <row r="23" spans="1:46" x14ac:dyDescent="0.2">
      <c r="A23" s="10" t="str">
        <f>+'Co-PI Budget (5)'!A8</f>
        <v>Co-PI</v>
      </c>
      <c r="B23" s="12">
        <f t="shared" si="0"/>
        <v>0</v>
      </c>
      <c r="C23" s="12">
        <f t="shared" si="1"/>
        <v>0</v>
      </c>
      <c r="D23" s="12">
        <f t="shared" si="2"/>
        <v>0</v>
      </c>
      <c r="E23" s="443">
        <f>+'Co-PI Budget (5)'!B8</f>
        <v>0</v>
      </c>
      <c r="F23" s="12">
        <f t="shared" si="3"/>
        <v>0</v>
      </c>
      <c r="G23" s="12">
        <f t="shared" si="4"/>
        <v>0</v>
      </c>
      <c r="H23" s="12">
        <f t="shared" si="5"/>
        <v>0</v>
      </c>
      <c r="I23" s="443">
        <f>+'Co-PI Budget (5)'!C8</f>
        <v>0</v>
      </c>
      <c r="J23" s="12">
        <f t="shared" si="6"/>
        <v>0</v>
      </c>
      <c r="K23" s="12">
        <f t="shared" si="7"/>
        <v>0</v>
      </c>
      <c r="L23" s="12">
        <f t="shared" si="8"/>
        <v>0</v>
      </c>
      <c r="M23" s="443">
        <f>+'Co-PI Budget (5)'!D8</f>
        <v>0</v>
      </c>
      <c r="N23" s="12">
        <f t="shared" si="9"/>
        <v>0</v>
      </c>
      <c r="O23" s="12">
        <f t="shared" si="10"/>
        <v>0</v>
      </c>
      <c r="P23" s="12">
        <f t="shared" si="11"/>
        <v>0</v>
      </c>
      <c r="Q23" s="443">
        <f>+'Co-PI Budget (5)'!E8</f>
        <v>0</v>
      </c>
      <c r="R23" s="12">
        <f t="shared" si="12"/>
        <v>0</v>
      </c>
      <c r="S23" s="12">
        <f t="shared" si="13"/>
        <v>0</v>
      </c>
      <c r="T23" s="12">
        <f t="shared" si="14"/>
        <v>0</v>
      </c>
      <c r="U23" s="443">
        <f>+'Co-PI Budget (5)'!F8</f>
        <v>0</v>
      </c>
      <c r="W23" s="444">
        <f t="shared" si="15"/>
        <v>0</v>
      </c>
      <c r="X23" s="12">
        <f t="shared" si="16"/>
        <v>0</v>
      </c>
      <c r="Y23" s="12">
        <f t="shared" si="17"/>
        <v>0</v>
      </c>
      <c r="Z23" s="443">
        <f t="shared" si="18"/>
        <v>0</v>
      </c>
      <c r="AB23" s="442">
        <v>1</v>
      </c>
      <c r="AC23" s="441">
        <v>0</v>
      </c>
      <c r="AD23" s="440">
        <f t="shared" si="19"/>
        <v>0</v>
      </c>
      <c r="AF23" s="442">
        <f t="shared" si="20"/>
        <v>1</v>
      </c>
      <c r="AG23" s="441">
        <f t="shared" si="21"/>
        <v>0</v>
      </c>
      <c r="AH23" s="440">
        <f t="shared" si="22"/>
        <v>0</v>
      </c>
      <c r="AJ23" s="442">
        <f t="shared" si="23"/>
        <v>1</v>
      </c>
      <c r="AK23" s="441">
        <f t="shared" si="24"/>
        <v>0</v>
      </c>
      <c r="AL23" s="440">
        <f t="shared" si="25"/>
        <v>0</v>
      </c>
      <c r="AN23" s="442">
        <f t="shared" si="26"/>
        <v>1</v>
      </c>
      <c r="AO23" s="441">
        <f t="shared" si="27"/>
        <v>0</v>
      </c>
      <c r="AP23" s="440">
        <f t="shared" si="28"/>
        <v>0</v>
      </c>
      <c r="AR23" s="442">
        <f t="shared" si="29"/>
        <v>1</v>
      </c>
      <c r="AS23" s="441">
        <f t="shared" si="30"/>
        <v>0</v>
      </c>
      <c r="AT23" s="440">
        <f t="shared" si="31"/>
        <v>0</v>
      </c>
    </row>
    <row r="24" spans="1:46" x14ac:dyDescent="0.2">
      <c r="A24" s="10" t="str">
        <f>+'Co-PI Budget (5)'!A9</f>
        <v>Co-PI</v>
      </c>
      <c r="B24" s="12">
        <f t="shared" si="0"/>
        <v>0</v>
      </c>
      <c r="C24" s="12">
        <f t="shared" si="1"/>
        <v>0</v>
      </c>
      <c r="D24" s="12">
        <f t="shared" si="2"/>
        <v>0</v>
      </c>
      <c r="E24" s="443">
        <f>+'Co-PI Budget (5)'!B9</f>
        <v>0</v>
      </c>
      <c r="F24" s="12">
        <f t="shared" si="3"/>
        <v>0</v>
      </c>
      <c r="G24" s="12">
        <f t="shared" si="4"/>
        <v>0</v>
      </c>
      <c r="H24" s="12">
        <f t="shared" si="5"/>
        <v>0</v>
      </c>
      <c r="I24" s="443">
        <f>+'Co-PI Budget (5)'!C9</f>
        <v>0</v>
      </c>
      <c r="J24" s="12">
        <f t="shared" si="6"/>
        <v>0</v>
      </c>
      <c r="K24" s="12">
        <f t="shared" si="7"/>
        <v>0</v>
      </c>
      <c r="L24" s="12">
        <f t="shared" si="8"/>
        <v>0</v>
      </c>
      <c r="M24" s="443">
        <f>+'Co-PI Budget (5)'!D9</f>
        <v>0</v>
      </c>
      <c r="N24" s="12">
        <f t="shared" si="9"/>
        <v>0</v>
      </c>
      <c r="O24" s="12">
        <f t="shared" si="10"/>
        <v>0</v>
      </c>
      <c r="P24" s="12">
        <f t="shared" si="11"/>
        <v>0</v>
      </c>
      <c r="Q24" s="443">
        <f>+'Co-PI Budget (5)'!E9</f>
        <v>0</v>
      </c>
      <c r="R24" s="12">
        <f t="shared" si="12"/>
        <v>0</v>
      </c>
      <c r="S24" s="12">
        <f t="shared" si="13"/>
        <v>0</v>
      </c>
      <c r="T24" s="12">
        <f t="shared" si="14"/>
        <v>0</v>
      </c>
      <c r="U24" s="443">
        <f>+'Co-PI Budget (5)'!F9</f>
        <v>0</v>
      </c>
      <c r="W24" s="444">
        <f t="shared" si="15"/>
        <v>0</v>
      </c>
      <c r="X24" s="12">
        <f t="shared" si="16"/>
        <v>0</v>
      </c>
      <c r="Y24" s="12">
        <f t="shared" si="17"/>
        <v>0</v>
      </c>
      <c r="Z24" s="443">
        <f t="shared" si="18"/>
        <v>0</v>
      </c>
      <c r="AB24" s="442">
        <v>1</v>
      </c>
      <c r="AC24" s="441">
        <v>0</v>
      </c>
      <c r="AD24" s="440">
        <f t="shared" si="19"/>
        <v>0</v>
      </c>
      <c r="AF24" s="442">
        <f t="shared" si="20"/>
        <v>1</v>
      </c>
      <c r="AG24" s="441">
        <f t="shared" si="21"/>
        <v>0</v>
      </c>
      <c r="AH24" s="440">
        <f t="shared" si="22"/>
        <v>0</v>
      </c>
      <c r="AJ24" s="442">
        <f t="shared" si="23"/>
        <v>1</v>
      </c>
      <c r="AK24" s="441">
        <f t="shared" si="24"/>
        <v>0</v>
      </c>
      <c r="AL24" s="440">
        <f t="shared" si="25"/>
        <v>0</v>
      </c>
      <c r="AN24" s="442">
        <f t="shared" si="26"/>
        <v>1</v>
      </c>
      <c r="AO24" s="441">
        <f t="shared" si="27"/>
        <v>0</v>
      </c>
      <c r="AP24" s="440">
        <f t="shared" si="28"/>
        <v>0</v>
      </c>
      <c r="AR24" s="442">
        <f t="shared" si="29"/>
        <v>1</v>
      </c>
      <c r="AS24" s="441">
        <f t="shared" si="30"/>
        <v>0</v>
      </c>
      <c r="AT24" s="440">
        <f t="shared" si="31"/>
        <v>0</v>
      </c>
    </row>
    <row r="25" spans="1:46" x14ac:dyDescent="0.2">
      <c r="A25" s="10" t="str">
        <f>+'Co-PI Budget (5)'!A10</f>
        <v>Co-PI</v>
      </c>
      <c r="B25" s="12">
        <f t="shared" si="0"/>
        <v>0</v>
      </c>
      <c r="C25" s="12">
        <f t="shared" si="1"/>
        <v>0</v>
      </c>
      <c r="D25" s="12">
        <f t="shared" si="2"/>
        <v>0</v>
      </c>
      <c r="E25" s="443">
        <f>+'Co-PI Budget (5)'!B10</f>
        <v>0</v>
      </c>
      <c r="F25" s="12">
        <f t="shared" si="3"/>
        <v>0</v>
      </c>
      <c r="G25" s="12">
        <f t="shared" si="4"/>
        <v>0</v>
      </c>
      <c r="H25" s="12">
        <f t="shared" si="5"/>
        <v>0</v>
      </c>
      <c r="I25" s="443">
        <f>+'Co-PI Budget (5)'!C10</f>
        <v>0</v>
      </c>
      <c r="J25" s="12">
        <f t="shared" si="6"/>
        <v>0</v>
      </c>
      <c r="K25" s="12">
        <f t="shared" si="7"/>
        <v>0</v>
      </c>
      <c r="L25" s="12">
        <f t="shared" si="8"/>
        <v>0</v>
      </c>
      <c r="M25" s="443">
        <f>+'Co-PI Budget (5)'!D10</f>
        <v>0</v>
      </c>
      <c r="N25" s="12">
        <f t="shared" si="9"/>
        <v>0</v>
      </c>
      <c r="O25" s="12">
        <f t="shared" si="10"/>
        <v>0</v>
      </c>
      <c r="P25" s="12">
        <f t="shared" si="11"/>
        <v>0</v>
      </c>
      <c r="Q25" s="443">
        <f>+'Co-PI Budget (5)'!E10</f>
        <v>0</v>
      </c>
      <c r="R25" s="12">
        <f t="shared" si="12"/>
        <v>0</v>
      </c>
      <c r="S25" s="12">
        <f t="shared" si="13"/>
        <v>0</v>
      </c>
      <c r="T25" s="12">
        <f t="shared" si="14"/>
        <v>0</v>
      </c>
      <c r="U25" s="443">
        <f>+'Co-PI Budget (5)'!F10</f>
        <v>0</v>
      </c>
      <c r="W25" s="444">
        <f t="shared" si="15"/>
        <v>0</v>
      </c>
      <c r="X25" s="12">
        <f t="shared" si="16"/>
        <v>0</v>
      </c>
      <c r="Y25" s="12">
        <f t="shared" si="17"/>
        <v>0</v>
      </c>
      <c r="Z25" s="443">
        <f t="shared" si="18"/>
        <v>0</v>
      </c>
      <c r="AB25" s="442">
        <v>1</v>
      </c>
      <c r="AC25" s="441">
        <v>0</v>
      </c>
      <c r="AD25" s="440">
        <f t="shared" si="19"/>
        <v>0</v>
      </c>
      <c r="AF25" s="442">
        <f t="shared" si="20"/>
        <v>1</v>
      </c>
      <c r="AG25" s="441">
        <f t="shared" si="21"/>
        <v>0</v>
      </c>
      <c r="AH25" s="440">
        <f t="shared" si="22"/>
        <v>0</v>
      </c>
      <c r="AJ25" s="442">
        <f t="shared" si="23"/>
        <v>1</v>
      </c>
      <c r="AK25" s="441">
        <f t="shared" si="24"/>
        <v>0</v>
      </c>
      <c r="AL25" s="440">
        <f t="shared" si="25"/>
        <v>0</v>
      </c>
      <c r="AN25" s="442">
        <f t="shared" si="26"/>
        <v>1</v>
      </c>
      <c r="AO25" s="441">
        <f t="shared" si="27"/>
        <v>0</v>
      </c>
      <c r="AP25" s="440">
        <f t="shared" si="28"/>
        <v>0</v>
      </c>
      <c r="AR25" s="442">
        <f t="shared" si="29"/>
        <v>1</v>
      </c>
      <c r="AS25" s="441">
        <f t="shared" si="30"/>
        <v>0</v>
      </c>
      <c r="AT25" s="440">
        <f t="shared" si="31"/>
        <v>0</v>
      </c>
    </row>
    <row r="26" spans="1:46" ht="12" thickBot="1" x14ac:dyDescent="0.25">
      <c r="A26" s="15" t="str">
        <f>CONCATENATE("Total ",A7)</f>
        <v>Total Senior Personnel Salary</v>
      </c>
      <c r="B26" s="447">
        <f t="shared" ref="B26:Q26" si="32">SUM(B7:B25)</f>
        <v>15973</v>
      </c>
      <c r="C26" s="447">
        <f t="shared" si="32"/>
        <v>0</v>
      </c>
      <c r="D26" s="447">
        <f t="shared" si="32"/>
        <v>0</v>
      </c>
      <c r="E26" s="438">
        <f t="shared" si="32"/>
        <v>15973</v>
      </c>
      <c r="F26" s="447">
        <f t="shared" si="32"/>
        <v>21630</v>
      </c>
      <c r="G26" s="447">
        <f t="shared" si="32"/>
        <v>0</v>
      </c>
      <c r="H26" s="447">
        <f t="shared" si="32"/>
        <v>0</v>
      </c>
      <c r="I26" s="438">
        <f t="shared" si="32"/>
        <v>21630</v>
      </c>
      <c r="J26" s="447">
        <f t="shared" si="32"/>
        <v>0</v>
      </c>
      <c r="K26" s="447">
        <f t="shared" si="32"/>
        <v>0</v>
      </c>
      <c r="L26" s="447">
        <f t="shared" si="32"/>
        <v>0</v>
      </c>
      <c r="M26" s="438">
        <f t="shared" si="32"/>
        <v>0</v>
      </c>
      <c r="N26" s="447">
        <f t="shared" si="32"/>
        <v>0</v>
      </c>
      <c r="O26" s="447">
        <f t="shared" si="32"/>
        <v>0</v>
      </c>
      <c r="P26" s="447">
        <f t="shared" si="32"/>
        <v>0</v>
      </c>
      <c r="Q26" s="438">
        <f t="shared" si="32"/>
        <v>0</v>
      </c>
      <c r="R26" s="447">
        <f>SUM(R7:R10)</f>
        <v>0</v>
      </c>
      <c r="S26" s="447">
        <f>SUM(S7:S10)</f>
        <v>0</v>
      </c>
      <c r="T26" s="447">
        <f>SUM(T7:T10)</f>
        <v>0</v>
      </c>
      <c r="U26" s="438">
        <f>SUM(U7:U10)</f>
        <v>0</v>
      </c>
      <c r="W26" s="448">
        <f>SUM(W7:W25)</f>
        <v>37603</v>
      </c>
      <c r="X26" s="447">
        <f>SUM(X7:X25)</f>
        <v>0</v>
      </c>
      <c r="Y26" s="447">
        <f>SUM(Y7:Y25)</f>
        <v>0</v>
      </c>
      <c r="Z26" s="438">
        <f>SUM(Z7:Z25)</f>
        <v>37603</v>
      </c>
      <c r="AB26" s="437"/>
      <c r="AC26" s="436"/>
      <c r="AD26" s="435"/>
      <c r="AF26" s="437"/>
      <c r="AG26" s="436"/>
      <c r="AH26" s="435"/>
      <c r="AJ26" s="437"/>
      <c r="AK26" s="436"/>
      <c r="AL26" s="435"/>
      <c r="AN26" s="437"/>
      <c r="AO26" s="436"/>
      <c r="AP26" s="435"/>
      <c r="AR26" s="437"/>
      <c r="AS26" s="436"/>
      <c r="AT26" s="435"/>
    </row>
    <row r="27" spans="1:46" x14ac:dyDescent="0.2">
      <c r="A27" s="14" t="s">
        <v>137</v>
      </c>
      <c r="B27" s="22"/>
      <c r="C27" s="22"/>
      <c r="D27" s="22"/>
      <c r="E27" s="458"/>
      <c r="F27" s="22"/>
      <c r="G27" s="22"/>
      <c r="H27" s="22"/>
      <c r="I27" s="458"/>
      <c r="J27" s="22"/>
      <c r="K27" s="22"/>
      <c r="L27" s="22"/>
      <c r="M27" s="458"/>
      <c r="N27" s="22"/>
      <c r="O27" s="22"/>
      <c r="P27" s="22"/>
      <c r="Q27" s="458"/>
      <c r="R27" s="22"/>
      <c r="S27" s="22"/>
      <c r="T27" s="22"/>
      <c r="U27" s="458"/>
      <c r="W27" s="398"/>
      <c r="X27" s="22"/>
      <c r="Y27" s="22"/>
      <c r="Z27" s="458"/>
      <c r="AB27" s="446"/>
      <c r="AC27" s="421"/>
      <c r="AD27" s="445"/>
      <c r="AF27" s="446"/>
      <c r="AG27" s="421"/>
      <c r="AH27" s="445"/>
      <c r="AJ27" s="446"/>
      <c r="AK27" s="421"/>
      <c r="AL27" s="445"/>
      <c r="AN27" s="446"/>
      <c r="AO27" s="421"/>
      <c r="AP27" s="445"/>
      <c r="AR27" s="446"/>
      <c r="AS27" s="421"/>
      <c r="AT27" s="445"/>
    </row>
    <row r="28" spans="1:46" x14ac:dyDescent="0.2">
      <c r="A28" s="10" t="str">
        <f>+'Lead Budget'!A13</f>
        <v>Post Doctoral Scholar(s)</v>
      </c>
      <c r="B28" s="12">
        <f>ROUND(AB28*E28,0)</f>
        <v>23250</v>
      </c>
      <c r="C28" s="12">
        <f>ROUND(AC28*E28,0)</f>
        <v>0</v>
      </c>
      <c r="D28" s="12">
        <f>+E28-(B28+C28)</f>
        <v>0</v>
      </c>
      <c r="E28" s="443">
        <f>+'Lead Budget'!B13+Stedman!B13+'Co PI 2'!B13+'Co PI 3'!B13+'Co-PI Budget (4)'!B13+'Co-PI Budget (5)'!B13</f>
        <v>23250</v>
      </c>
      <c r="F28" s="12">
        <f>ROUND(AF28*I28,0)</f>
        <v>24064</v>
      </c>
      <c r="G28" s="12">
        <f>ROUND(AG28*I28,0)</f>
        <v>0</v>
      </c>
      <c r="H28" s="12">
        <f>+I28-(F28+G28)</f>
        <v>0</v>
      </c>
      <c r="I28" s="443">
        <f>+'Lead Budget'!C13+Stedman!C13+'Co PI 2'!C13+'Co PI 3'!C13+'Co-PI Budget (4)'!C13+'Co-PI Budget (5)'!C13</f>
        <v>24064</v>
      </c>
      <c r="J28" s="12">
        <f>ROUND(AJ28*M28,0)</f>
        <v>0</v>
      </c>
      <c r="K28" s="12">
        <f>ROUND(AK28*M28,0)</f>
        <v>0</v>
      </c>
      <c r="L28" s="12">
        <f>+M28-(J28+K28)</f>
        <v>0</v>
      </c>
      <c r="M28" s="443">
        <f>+'Lead Budget'!D13+Stedman!D13+'Co PI 2'!D13+'Co PI 3'!D13+'Co-PI Budget (4)'!D13+'Co-PI Budget (5)'!D13</f>
        <v>0</v>
      </c>
      <c r="N28" s="12">
        <f>ROUND(AN28*Q28,0)</f>
        <v>0</v>
      </c>
      <c r="O28" s="12">
        <f>ROUND(AO28*Q28,0)</f>
        <v>0</v>
      </c>
      <c r="P28" s="12">
        <f>+Q28-(N28+O28)</f>
        <v>0</v>
      </c>
      <c r="Q28" s="443">
        <f>+'Lead Budget'!E13+Stedman!E13+'Co PI 2'!E13+'Co PI 3'!E13+'Co-PI Budget (4)'!E13+'Co-PI Budget (5)'!E13</f>
        <v>0</v>
      </c>
      <c r="R28" s="12">
        <f>ROUND(AR28*U28,0)</f>
        <v>0</v>
      </c>
      <c r="S28" s="12">
        <f>ROUND(AS28*U28,0)</f>
        <v>0</v>
      </c>
      <c r="T28" s="12">
        <f>+U28-(R28+S28)</f>
        <v>0</v>
      </c>
      <c r="U28" s="443">
        <f>+'Lead Budget'!F13+Stedman!F13+'Co PI 2'!F13+'Co PI 3'!F13+'Co-PI Budget (4)'!F13+'Co-PI Budget (5)'!F13</f>
        <v>0</v>
      </c>
      <c r="W28" s="444">
        <f t="shared" ref="W28:Y32" si="33">+B28+F28+J28+N28+R28</f>
        <v>47314</v>
      </c>
      <c r="X28" s="12">
        <f t="shared" si="33"/>
        <v>0</v>
      </c>
      <c r="Y28" s="12">
        <f t="shared" si="33"/>
        <v>0</v>
      </c>
      <c r="Z28" s="443">
        <f>SUM(W28:Y28)</f>
        <v>47314</v>
      </c>
      <c r="AB28" s="442">
        <v>1</v>
      </c>
      <c r="AC28" s="441">
        <v>0</v>
      </c>
      <c r="AD28" s="440">
        <f>100%-(+AB28+AC28)</f>
        <v>0</v>
      </c>
      <c r="AF28" s="442">
        <f t="shared" ref="AF28:AF32" si="34">+$AB28</f>
        <v>1</v>
      </c>
      <c r="AG28" s="441">
        <f t="shared" ref="AG28:AG32" si="35">+$AC28</f>
        <v>0</v>
      </c>
      <c r="AH28" s="440">
        <f>100%-(+AF28+AG28)</f>
        <v>0</v>
      </c>
      <c r="AJ28" s="442">
        <f t="shared" ref="AJ28:AJ32" si="36">+$AB28</f>
        <v>1</v>
      </c>
      <c r="AK28" s="441">
        <f t="shared" ref="AK28:AK32" si="37">+$AC28</f>
        <v>0</v>
      </c>
      <c r="AL28" s="440">
        <f>100%-(+AJ28+AK28)</f>
        <v>0</v>
      </c>
      <c r="AN28" s="442">
        <f>+$AB28</f>
        <v>1</v>
      </c>
      <c r="AO28" s="441">
        <f>+$AC28</f>
        <v>0</v>
      </c>
      <c r="AP28" s="440">
        <f>100%-(+AN28+AO28)</f>
        <v>0</v>
      </c>
      <c r="AR28" s="442">
        <f>+$AB28</f>
        <v>1</v>
      </c>
      <c r="AS28" s="441">
        <f>+$AC28</f>
        <v>0</v>
      </c>
      <c r="AT28" s="440">
        <f>100%-(+AR28+AS28)</f>
        <v>0</v>
      </c>
    </row>
    <row r="29" spans="1:46" x14ac:dyDescent="0.2">
      <c r="A29" s="10" t="str">
        <f>+'Lead Budget'!A14</f>
        <v>Research Associate (KB Walsh)</v>
      </c>
      <c r="B29" s="12">
        <f t="shared" ref="B29:B32" si="38">ROUND(AB29*E29,0)</f>
        <v>10068</v>
      </c>
      <c r="C29" s="12">
        <f t="shared" ref="C29:C32" si="39">ROUND(AC29*E29,0)</f>
        <v>0</v>
      </c>
      <c r="D29" s="12">
        <f t="shared" ref="D29:D32" si="40">+E29-(B29+C29)</f>
        <v>0</v>
      </c>
      <c r="E29" s="443">
        <f>+'Lead Budget'!B14+Stedman!B14+'Co PI 2'!B14+'Co PI 3'!B14+'Co-PI Budget (4)'!B14+'Co-PI Budget (5)'!B14</f>
        <v>10068</v>
      </c>
      <c r="F29" s="12">
        <f t="shared" ref="F29:F32" si="41">ROUND(AF29*I29,0)</f>
        <v>12978</v>
      </c>
      <c r="G29" s="12">
        <f t="shared" ref="G29:G32" si="42">ROUND(AG29*I29,0)</f>
        <v>0</v>
      </c>
      <c r="H29" s="12">
        <f t="shared" ref="H29:H32" si="43">+I29-(F29+G29)</f>
        <v>0</v>
      </c>
      <c r="I29" s="443">
        <f>+'Lead Budget'!C14+Stedman!C14+'Co PI 2'!C14+'Co PI 3'!C14+'Co-PI Budget (4)'!C14+'Co-PI Budget (5)'!C14</f>
        <v>12978</v>
      </c>
      <c r="J29" s="12">
        <f t="shared" ref="J29:J32" si="44">ROUND(AJ29*M29,0)</f>
        <v>0</v>
      </c>
      <c r="K29" s="12">
        <f t="shared" ref="K29:K32" si="45">ROUND(AK29*M29,0)</f>
        <v>0</v>
      </c>
      <c r="L29" s="12">
        <f t="shared" ref="L29:L32" si="46">+M29-(J29+K29)</f>
        <v>0</v>
      </c>
      <c r="M29" s="443">
        <f>+'Lead Budget'!D14+Stedman!D14+'Co PI 2'!D14+'Co PI 3'!D14+'Co-PI Budget (4)'!D14+'Co-PI Budget (5)'!D14</f>
        <v>0</v>
      </c>
      <c r="N29" s="12">
        <f t="shared" ref="N29:N32" si="47">ROUND(AN29*Q29,0)</f>
        <v>0</v>
      </c>
      <c r="O29" s="12">
        <f t="shared" ref="O29:O32" si="48">ROUND(AO29*Q29,0)</f>
        <v>0</v>
      </c>
      <c r="P29" s="12">
        <f t="shared" ref="P29:P32" si="49">+Q29-(N29+O29)</f>
        <v>0</v>
      </c>
      <c r="Q29" s="443">
        <f>+'Lead Budget'!E14+Stedman!E14+'Co PI 2'!E14+'Co PI 3'!E14+'Co-PI Budget (4)'!E14+'Co-PI Budget (5)'!E14</f>
        <v>0</v>
      </c>
      <c r="R29" s="12">
        <f>ROUND(AR29*U29,0)</f>
        <v>0</v>
      </c>
      <c r="S29" s="12">
        <f>ROUND(AS29*U29,0)</f>
        <v>0</v>
      </c>
      <c r="T29" s="12">
        <f>+U29-(R29+S29)</f>
        <v>0</v>
      </c>
      <c r="U29" s="443">
        <f>+'Lead Budget'!F14+Stedman!F14+'Co PI 2'!F14+'Co PI 3'!F14+'Co-PI Budget (4)'!F14+'Co-PI Budget (5)'!F14</f>
        <v>0</v>
      </c>
      <c r="W29" s="444">
        <f t="shared" si="33"/>
        <v>23046</v>
      </c>
      <c r="X29" s="12">
        <f t="shared" si="33"/>
        <v>0</v>
      </c>
      <c r="Y29" s="12">
        <f t="shared" si="33"/>
        <v>0</v>
      </c>
      <c r="Z29" s="443">
        <f>SUM(W29:Y29)</f>
        <v>23046</v>
      </c>
      <c r="AB29" s="442">
        <v>1</v>
      </c>
      <c r="AC29" s="441">
        <v>0</v>
      </c>
      <c r="AD29" s="440">
        <f>100%-(+AB29+AC29)</f>
        <v>0</v>
      </c>
      <c r="AF29" s="442">
        <f t="shared" si="34"/>
        <v>1</v>
      </c>
      <c r="AG29" s="441">
        <f t="shared" si="35"/>
        <v>0</v>
      </c>
      <c r="AH29" s="440">
        <f>100%-(+AF29+AG29)</f>
        <v>0</v>
      </c>
      <c r="AJ29" s="442">
        <f t="shared" si="36"/>
        <v>1</v>
      </c>
      <c r="AK29" s="441">
        <f t="shared" si="37"/>
        <v>0</v>
      </c>
      <c r="AL29" s="440">
        <f>100%-(+AJ29+AK29)</f>
        <v>0</v>
      </c>
      <c r="AN29" s="442">
        <f>+$AB29</f>
        <v>1</v>
      </c>
      <c r="AO29" s="441">
        <f>+$AC29</f>
        <v>0</v>
      </c>
      <c r="AP29" s="440">
        <f>100%-(+AN29+AO29)</f>
        <v>0</v>
      </c>
      <c r="AR29" s="442">
        <f>+$AB29</f>
        <v>1</v>
      </c>
      <c r="AS29" s="441">
        <f>+$AC29</f>
        <v>0</v>
      </c>
      <c r="AT29" s="440">
        <f>100%-(+AR29+AS29)</f>
        <v>0</v>
      </c>
    </row>
    <row r="30" spans="1:46" x14ac:dyDescent="0.2">
      <c r="A30" s="10" t="str">
        <f>+'Lead Budget'!A15</f>
        <v>Graduate Student(s)</v>
      </c>
      <c r="B30" s="12">
        <f t="shared" si="38"/>
        <v>0</v>
      </c>
      <c r="C30" s="12">
        <f t="shared" si="39"/>
        <v>0</v>
      </c>
      <c r="D30" s="12">
        <f t="shared" si="40"/>
        <v>0</v>
      </c>
      <c r="E30" s="443">
        <f>+'Lead Budget'!B15+Stedman!B15+'Co PI 2'!B15+'Co PI 3'!B15+'Co-PI Budget (4)'!B15+'Co-PI Budget (5)'!B15</f>
        <v>0</v>
      </c>
      <c r="F30" s="12">
        <f t="shared" si="41"/>
        <v>0</v>
      </c>
      <c r="G30" s="12">
        <f t="shared" si="42"/>
        <v>0</v>
      </c>
      <c r="H30" s="12">
        <f t="shared" si="43"/>
        <v>0</v>
      </c>
      <c r="I30" s="443">
        <f>+'Lead Budget'!C15+Stedman!C15+'Co PI 2'!C15+'Co PI 3'!C15+'Co-PI Budget (4)'!C15+'Co-PI Budget (5)'!C15</f>
        <v>0</v>
      </c>
      <c r="J30" s="12">
        <f t="shared" si="44"/>
        <v>0</v>
      </c>
      <c r="K30" s="12">
        <f t="shared" si="45"/>
        <v>0</v>
      </c>
      <c r="L30" s="12">
        <f t="shared" si="46"/>
        <v>0</v>
      </c>
      <c r="M30" s="443">
        <f>+'Lead Budget'!D15+Stedman!D15+'Co PI 2'!D15+'Co PI 3'!D15+'Co-PI Budget (4)'!D15+'Co-PI Budget (5)'!D15</f>
        <v>0</v>
      </c>
      <c r="N30" s="12">
        <f t="shared" si="47"/>
        <v>0</v>
      </c>
      <c r="O30" s="12">
        <f t="shared" si="48"/>
        <v>0</v>
      </c>
      <c r="P30" s="12">
        <f t="shared" si="49"/>
        <v>0</v>
      </c>
      <c r="Q30" s="443">
        <f>+'Lead Budget'!E15+Stedman!E15+'Co PI 2'!E15+'Co PI 3'!E15+'Co-PI Budget (4)'!E15+'Co-PI Budget (5)'!E15</f>
        <v>0</v>
      </c>
      <c r="R30" s="12">
        <f>ROUND(AR30*U30,0)</f>
        <v>0</v>
      </c>
      <c r="S30" s="12">
        <f>ROUND(AS30*U30,0)</f>
        <v>0</v>
      </c>
      <c r="T30" s="12">
        <f>+U30-(R30+S30)</f>
        <v>0</v>
      </c>
      <c r="U30" s="443">
        <f>+'Lead Budget'!F15+Stedman!F15+'Co PI 2'!F15+'Co PI 3'!F15+'Co-PI Budget (4)'!F15+'Co-PI Budget (5)'!F15</f>
        <v>0</v>
      </c>
      <c r="W30" s="444">
        <f t="shared" si="33"/>
        <v>0</v>
      </c>
      <c r="X30" s="12">
        <f t="shared" si="33"/>
        <v>0</v>
      </c>
      <c r="Y30" s="12">
        <f t="shared" si="33"/>
        <v>0</v>
      </c>
      <c r="Z30" s="443">
        <f>SUM(W30:Y30)</f>
        <v>0</v>
      </c>
      <c r="AB30" s="442">
        <v>1</v>
      </c>
      <c r="AC30" s="441">
        <v>0</v>
      </c>
      <c r="AD30" s="440">
        <f>100%-(+AB30+AC30)</f>
        <v>0</v>
      </c>
      <c r="AF30" s="442">
        <f t="shared" si="34"/>
        <v>1</v>
      </c>
      <c r="AG30" s="441">
        <f t="shared" si="35"/>
        <v>0</v>
      </c>
      <c r="AH30" s="440">
        <f>100%-(+AF30+AG30)</f>
        <v>0</v>
      </c>
      <c r="AJ30" s="442">
        <f t="shared" si="36"/>
        <v>1</v>
      </c>
      <c r="AK30" s="441">
        <f t="shared" si="37"/>
        <v>0</v>
      </c>
      <c r="AL30" s="440">
        <f>100%-(+AJ30+AK30)</f>
        <v>0</v>
      </c>
      <c r="AN30" s="442">
        <f>+$AB30</f>
        <v>1</v>
      </c>
      <c r="AO30" s="441">
        <f>+$AC30</f>
        <v>0</v>
      </c>
      <c r="AP30" s="440">
        <f>100%-(+AN30+AO30)</f>
        <v>0</v>
      </c>
      <c r="AR30" s="442">
        <f>+$AB30</f>
        <v>1</v>
      </c>
      <c r="AS30" s="441">
        <f>+$AC30</f>
        <v>0</v>
      </c>
      <c r="AT30" s="440">
        <f>100%-(+AR30+AS30)</f>
        <v>0</v>
      </c>
    </row>
    <row r="31" spans="1:46" x14ac:dyDescent="0.2">
      <c r="A31" s="10" t="str">
        <f>+'Lead Budget'!A16</f>
        <v>Undergraduate Student(s)</v>
      </c>
      <c r="B31" s="12">
        <f t="shared" si="38"/>
        <v>0</v>
      </c>
      <c r="C31" s="12">
        <f t="shared" si="39"/>
        <v>0</v>
      </c>
      <c r="D31" s="12">
        <f t="shared" si="40"/>
        <v>0</v>
      </c>
      <c r="E31" s="443">
        <f>+'Lead Budget'!B16+Stedman!B16+'Co PI 2'!B16+'Co PI 3'!B16+'Co-PI Budget (4)'!B16+'Co-PI Budget (5)'!B16</f>
        <v>0</v>
      </c>
      <c r="F31" s="12">
        <f t="shared" si="41"/>
        <v>0</v>
      </c>
      <c r="G31" s="12">
        <f t="shared" si="42"/>
        <v>0</v>
      </c>
      <c r="H31" s="12">
        <f t="shared" si="43"/>
        <v>0</v>
      </c>
      <c r="I31" s="443">
        <f>+'Lead Budget'!C16+Stedman!C16+'Co PI 2'!C16+'Co PI 3'!C16+'Co-PI Budget (4)'!C16+'Co-PI Budget (5)'!C16</f>
        <v>0</v>
      </c>
      <c r="J31" s="12">
        <f t="shared" si="44"/>
        <v>0</v>
      </c>
      <c r="K31" s="12">
        <f t="shared" si="45"/>
        <v>0</v>
      </c>
      <c r="L31" s="12">
        <f t="shared" si="46"/>
        <v>0</v>
      </c>
      <c r="M31" s="443">
        <f>+'Lead Budget'!D16+Stedman!D16+'Co PI 2'!D16+'Co PI 3'!D16+'Co-PI Budget (4)'!D16+'Co-PI Budget (5)'!D16</f>
        <v>0</v>
      </c>
      <c r="N31" s="12">
        <f t="shared" si="47"/>
        <v>0</v>
      </c>
      <c r="O31" s="12">
        <f t="shared" si="48"/>
        <v>0</v>
      </c>
      <c r="P31" s="12">
        <f t="shared" si="49"/>
        <v>0</v>
      </c>
      <c r="Q31" s="443">
        <f>+'Lead Budget'!E16+Stedman!E16+'Co PI 2'!E16+'Co PI 3'!E16+'Co-PI Budget (4)'!E16+'Co-PI Budget (5)'!E16</f>
        <v>0</v>
      </c>
      <c r="R31" s="12">
        <f>ROUND(AR31*U31,0)</f>
        <v>0</v>
      </c>
      <c r="S31" s="12">
        <f>ROUND(AS31*U31,0)</f>
        <v>0</v>
      </c>
      <c r="T31" s="12">
        <f>+U31-(R31+S31)</f>
        <v>0</v>
      </c>
      <c r="U31" s="443">
        <f>+'Lead Budget'!F16+Stedman!F16+'Co PI 2'!F16+'Co PI 3'!F16+'Co-PI Budget (4)'!F16+'Co-PI Budget (5)'!F16</f>
        <v>0</v>
      </c>
      <c r="W31" s="444">
        <f t="shared" si="33"/>
        <v>0</v>
      </c>
      <c r="X31" s="12">
        <f t="shared" si="33"/>
        <v>0</v>
      </c>
      <c r="Y31" s="12">
        <f t="shared" si="33"/>
        <v>0</v>
      </c>
      <c r="Z31" s="443">
        <f>SUM(W31:Y31)</f>
        <v>0</v>
      </c>
      <c r="AB31" s="442">
        <v>1</v>
      </c>
      <c r="AC31" s="441">
        <v>0</v>
      </c>
      <c r="AD31" s="440">
        <f>100%-(+AB31+AC31)</f>
        <v>0</v>
      </c>
      <c r="AF31" s="442">
        <f t="shared" si="34"/>
        <v>1</v>
      </c>
      <c r="AG31" s="441">
        <f t="shared" si="35"/>
        <v>0</v>
      </c>
      <c r="AH31" s="440">
        <f>100%-(+AF31+AG31)</f>
        <v>0</v>
      </c>
      <c r="AJ31" s="442">
        <f t="shared" si="36"/>
        <v>1</v>
      </c>
      <c r="AK31" s="441">
        <f t="shared" si="37"/>
        <v>0</v>
      </c>
      <c r="AL31" s="440">
        <f>100%-(+AJ31+AK31)</f>
        <v>0</v>
      </c>
      <c r="AN31" s="442">
        <f>+$AB31</f>
        <v>1</v>
      </c>
      <c r="AO31" s="441">
        <f>+$AC31</f>
        <v>0</v>
      </c>
      <c r="AP31" s="440">
        <f>100%-(+AN31+AO31)</f>
        <v>0</v>
      </c>
      <c r="AR31" s="442">
        <f>+$AB31</f>
        <v>1</v>
      </c>
      <c r="AS31" s="441">
        <f>+$AC31</f>
        <v>0</v>
      </c>
      <c r="AT31" s="440">
        <f>100%-(+AR31+AS31)</f>
        <v>0</v>
      </c>
    </row>
    <row r="32" spans="1:46" x14ac:dyDescent="0.2">
      <c r="A32" s="10" t="str">
        <f>+'Lead Budget'!A17</f>
        <v>Research Associate: Sungwook Wi</v>
      </c>
      <c r="B32" s="12">
        <f t="shared" si="38"/>
        <v>10382</v>
      </c>
      <c r="C32" s="12">
        <f t="shared" si="39"/>
        <v>0</v>
      </c>
      <c r="D32" s="12">
        <f t="shared" si="40"/>
        <v>0</v>
      </c>
      <c r="E32" s="443">
        <f>+'Lead Budget'!B17+Stedman!B17+'Co PI 2'!B17+'Co PI 3'!B17+'Co-PI Budget (4)'!B17+'Co-PI Budget (5)'!B17</f>
        <v>10382</v>
      </c>
      <c r="F32" s="12">
        <f t="shared" si="41"/>
        <v>0</v>
      </c>
      <c r="G32" s="12">
        <f t="shared" si="42"/>
        <v>0</v>
      </c>
      <c r="H32" s="12">
        <f t="shared" si="43"/>
        <v>0</v>
      </c>
      <c r="I32" s="443">
        <f>+'Lead Budget'!C17+Stedman!C17+'Co PI 2'!C17+'Co PI 3'!C17+'Co-PI Budget (4)'!C17+'Co-PI Budget (5)'!C17</f>
        <v>0</v>
      </c>
      <c r="J32" s="12">
        <f t="shared" si="44"/>
        <v>0</v>
      </c>
      <c r="K32" s="12">
        <f t="shared" si="45"/>
        <v>0</v>
      </c>
      <c r="L32" s="12">
        <f t="shared" si="46"/>
        <v>0</v>
      </c>
      <c r="M32" s="443">
        <f>+'Lead Budget'!D17+Stedman!D17+'Co PI 2'!D17+'Co PI 3'!D17+'Co-PI Budget (4)'!D17+'Co-PI Budget (5)'!D17</f>
        <v>0</v>
      </c>
      <c r="N32" s="12">
        <f t="shared" si="47"/>
        <v>0</v>
      </c>
      <c r="O32" s="12">
        <f t="shared" si="48"/>
        <v>0</v>
      </c>
      <c r="P32" s="12">
        <f t="shared" si="49"/>
        <v>0</v>
      </c>
      <c r="Q32" s="443">
        <f>+'Lead Budget'!E17+Stedman!E17+'Co PI 2'!E17+'Co PI 3'!E17+'Co-PI Budget (4)'!E17+'Co-PI Budget (5)'!E17</f>
        <v>0</v>
      </c>
      <c r="R32" s="12">
        <f>ROUND(AR32*U32,0)</f>
        <v>0</v>
      </c>
      <c r="S32" s="12">
        <f>ROUND(AS32*U32,0)</f>
        <v>0</v>
      </c>
      <c r="T32" s="12">
        <f>+U32-(R32+S32)</f>
        <v>0</v>
      </c>
      <c r="U32" s="443">
        <f>+'Lead Budget'!F17+Stedman!F17+'Co PI 2'!F17+'Co PI 3'!F17+'Co-PI Budget (4)'!F17+'Co-PI Budget (5)'!F17</f>
        <v>0</v>
      </c>
      <c r="W32" s="444">
        <f t="shared" si="33"/>
        <v>10382</v>
      </c>
      <c r="X32" s="12">
        <f t="shared" si="33"/>
        <v>0</v>
      </c>
      <c r="Y32" s="12">
        <f t="shared" si="33"/>
        <v>0</v>
      </c>
      <c r="Z32" s="443">
        <f>SUM(W32:Y32)</f>
        <v>10382</v>
      </c>
      <c r="AB32" s="442">
        <v>1</v>
      </c>
      <c r="AC32" s="441">
        <v>0</v>
      </c>
      <c r="AD32" s="440">
        <f>100%-(+AB32+AC32)</f>
        <v>0</v>
      </c>
      <c r="AF32" s="442">
        <f t="shared" si="34"/>
        <v>1</v>
      </c>
      <c r="AG32" s="441">
        <f t="shared" si="35"/>
        <v>0</v>
      </c>
      <c r="AH32" s="440">
        <f>100%-(+AF32+AG32)</f>
        <v>0</v>
      </c>
      <c r="AJ32" s="442">
        <f t="shared" si="36"/>
        <v>1</v>
      </c>
      <c r="AK32" s="441">
        <f t="shared" si="37"/>
        <v>0</v>
      </c>
      <c r="AL32" s="440">
        <f>100%-(+AJ32+AK32)</f>
        <v>0</v>
      </c>
      <c r="AN32" s="442">
        <f>+$AB32</f>
        <v>1</v>
      </c>
      <c r="AO32" s="441">
        <f>+$AC32</f>
        <v>0</v>
      </c>
      <c r="AP32" s="440">
        <f>100%-(+AN32+AO32)</f>
        <v>0</v>
      </c>
      <c r="AR32" s="442">
        <f>+$AB32</f>
        <v>1</v>
      </c>
      <c r="AS32" s="441">
        <f>+$AC32</f>
        <v>0</v>
      </c>
      <c r="AT32" s="440">
        <f>100%-(+AR32+AS32)</f>
        <v>0</v>
      </c>
    </row>
    <row r="33" spans="1:46" x14ac:dyDescent="0.2">
      <c r="A33" s="10"/>
      <c r="B33" s="12"/>
      <c r="C33" s="12"/>
      <c r="D33" s="12"/>
      <c r="E33" s="458"/>
      <c r="I33" s="458"/>
      <c r="M33" s="458"/>
      <c r="Q33" s="458"/>
      <c r="U33" s="458"/>
      <c r="W33" s="396"/>
      <c r="Z33" s="458"/>
      <c r="AB33" s="457"/>
      <c r="AC33" s="422"/>
      <c r="AD33" s="440"/>
      <c r="AF33" s="457"/>
      <c r="AG33" s="422"/>
      <c r="AH33" s="440"/>
      <c r="AJ33" s="457"/>
      <c r="AK33" s="422"/>
      <c r="AL33" s="440"/>
      <c r="AN33" s="457"/>
      <c r="AO33" s="422"/>
      <c r="AP33" s="440"/>
      <c r="AR33" s="457"/>
      <c r="AS33" s="422"/>
      <c r="AT33" s="440"/>
    </row>
    <row r="34" spans="1:46" ht="12" thickBot="1" x14ac:dyDescent="0.25">
      <c r="A34" s="15" t="str">
        <f>CONCATENATE("Total ",A27)</f>
        <v>Total Other Personnel Salary</v>
      </c>
      <c r="B34" s="447">
        <f t="shared" ref="B34:U34" si="50">SUM(B27:B33)</f>
        <v>43700</v>
      </c>
      <c r="C34" s="447">
        <f t="shared" si="50"/>
        <v>0</v>
      </c>
      <c r="D34" s="447">
        <f t="shared" si="50"/>
        <v>0</v>
      </c>
      <c r="E34" s="438">
        <f t="shared" si="50"/>
        <v>43700</v>
      </c>
      <c r="F34" s="447">
        <f t="shared" si="50"/>
        <v>37042</v>
      </c>
      <c r="G34" s="447">
        <f t="shared" si="50"/>
        <v>0</v>
      </c>
      <c r="H34" s="447">
        <f t="shared" si="50"/>
        <v>0</v>
      </c>
      <c r="I34" s="438">
        <f t="shared" si="50"/>
        <v>37042</v>
      </c>
      <c r="J34" s="447">
        <f t="shared" si="50"/>
        <v>0</v>
      </c>
      <c r="K34" s="447">
        <f t="shared" si="50"/>
        <v>0</v>
      </c>
      <c r="L34" s="447">
        <f t="shared" si="50"/>
        <v>0</v>
      </c>
      <c r="M34" s="438">
        <f t="shared" si="50"/>
        <v>0</v>
      </c>
      <c r="N34" s="447">
        <f t="shared" si="50"/>
        <v>0</v>
      </c>
      <c r="O34" s="447">
        <f t="shared" si="50"/>
        <v>0</v>
      </c>
      <c r="P34" s="447">
        <f t="shared" si="50"/>
        <v>0</v>
      </c>
      <c r="Q34" s="438">
        <f t="shared" si="50"/>
        <v>0</v>
      </c>
      <c r="R34" s="447">
        <f t="shared" si="50"/>
        <v>0</v>
      </c>
      <c r="S34" s="447">
        <f t="shared" si="50"/>
        <v>0</v>
      </c>
      <c r="T34" s="447">
        <f t="shared" si="50"/>
        <v>0</v>
      </c>
      <c r="U34" s="438">
        <f t="shared" si="50"/>
        <v>0</v>
      </c>
      <c r="W34" s="448">
        <f>SUM(W27:W33)</f>
        <v>80742</v>
      </c>
      <c r="X34" s="447">
        <f>SUM(X27:X33)</f>
        <v>0</v>
      </c>
      <c r="Y34" s="447">
        <f>SUM(Y27:Y33)</f>
        <v>0</v>
      </c>
      <c r="Z34" s="438">
        <f>SUM(Z27:Z33)</f>
        <v>80742</v>
      </c>
      <c r="AB34" s="437"/>
      <c r="AC34" s="436"/>
      <c r="AD34" s="435"/>
      <c r="AF34" s="437"/>
      <c r="AG34" s="436"/>
      <c r="AH34" s="435"/>
      <c r="AJ34" s="437"/>
      <c r="AK34" s="436"/>
      <c r="AL34" s="435"/>
      <c r="AN34" s="437"/>
      <c r="AO34" s="436"/>
      <c r="AP34" s="435"/>
      <c r="AR34" s="437"/>
      <c r="AS34" s="436"/>
      <c r="AT34" s="435"/>
    </row>
    <row r="35" spans="1:46" ht="12" thickBot="1" x14ac:dyDescent="0.25">
      <c r="A35" s="473" t="s">
        <v>143</v>
      </c>
      <c r="B35" s="477">
        <f>+B26+B34</f>
        <v>59673</v>
      </c>
      <c r="C35" s="477">
        <f t="shared" ref="C35:D35" si="51">+C26+C34</f>
        <v>0</v>
      </c>
      <c r="D35" s="477">
        <f t="shared" si="51"/>
        <v>0</v>
      </c>
      <c r="E35" s="478">
        <f>SUM(B35:D35)</f>
        <v>59673</v>
      </c>
      <c r="F35" s="477">
        <f>+F26+F34</f>
        <v>58672</v>
      </c>
      <c r="G35" s="477">
        <f t="shared" ref="G35" si="52">+G26+G34</f>
        <v>0</v>
      </c>
      <c r="H35" s="477">
        <f t="shared" ref="H35" si="53">+H26+H34</f>
        <v>0</v>
      </c>
      <c r="I35" s="478">
        <f>SUM(F35:H35)</f>
        <v>58672</v>
      </c>
      <c r="J35" s="477">
        <f>+J26+J34</f>
        <v>0</v>
      </c>
      <c r="K35" s="477">
        <f t="shared" ref="K35" si="54">+K26+K34</f>
        <v>0</v>
      </c>
      <c r="L35" s="477">
        <f t="shared" ref="L35" si="55">+L26+L34</f>
        <v>0</v>
      </c>
      <c r="M35" s="478">
        <f>SUM(J35:L35)</f>
        <v>0</v>
      </c>
      <c r="N35" s="477">
        <f>+N26+N34</f>
        <v>0</v>
      </c>
      <c r="O35" s="477">
        <f t="shared" ref="O35" si="56">+O26+O34</f>
        <v>0</v>
      </c>
      <c r="P35" s="477">
        <f t="shared" ref="P35" si="57">+P26+P34</f>
        <v>0</v>
      </c>
      <c r="Q35" s="478">
        <f>SUM(N35:P35)</f>
        <v>0</v>
      </c>
      <c r="R35" s="477">
        <f>+R26+R34</f>
        <v>0</v>
      </c>
      <c r="S35" s="477">
        <f t="shared" ref="S35" si="58">+S26+S34</f>
        <v>0</v>
      </c>
      <c r="T35" s="477">
        <f t="shared" ref="T35" si="59">+T26+T34</f>
        <v>0</v>
      </c>
      <c r="U35" s="478">
        <f>SUM(R35:T35)</f>
        <v>0</v>
      </c>
      <c r="W35" s="477">
        <f>+W26+W34</f>
        <v>118345</v>
      </c>
      <c r="X35" s="477">
        <f t="shared" ref="X35" si="60">+X26+X34</f>
        <v>0</v>
      </c>
      <c r="Y35" s="477">
        <f t="shared" ref="Y35" si="61">+Y26+Y34</f>
        <v>0</v>
      </c>
      <c r="Z35" s="478">
        <f>SUM(W35:Y35)</f>
        <v>118345</v>
      </c>
      <c r="AB35" s="475"/>
      <c r="AC35" s="474"/>
      <c r="AD35" s="476"/>
      <c r="AF35" s="475"/>
      <c r="AG35" s="474"/>
      <c r="AH35" s="476"/>
      <c r="AJ35" s="475"/>
      <c r="AK35" s="474"/>
      <c r="AL35" s="476"/>
      <c r="AN35" s="475"/>
      <c r="AO35" s="474"/>
      <c r="AP35" s="476"/>
      <c r="AR35" s="475"/>
      <c r="AS35" s="474"/>
      <c r="AT35" s="476"/>
    </row>
    <row r="36" spans="1:46" x14ac:dyDescent="0.2">
      <c r="A36" s="17" t="s">
        <v>7</v>
      </c>
      <c r="B36" s="22"/>
      <c r="C36" s="22"/>
      <c r="D36" s="22"/>
      <c r="E36" s="443" t="s">
        <v>6</v>
      </c>
      <c r="F36" s="22"/>
      <c r="G36" s="22"/>
      <c r="H36" s="22"/>
      <c r="I36" s="443"/>
      <c r="J36" s="22"/>
      <c r="K36" s="22"/>
      <c r="L36" s="22"/>
      <c r="M36" s="443"/>
      <c r="N36" s="22"/>
      <c r="O36" s="22"/>
      <c r="P36" s="22"/>
      <c r="Q36" s="443"/>
      <c r="R36" s="22"/>
      <c r="S36" s="22"/>
      <c r="T36" s="22"/>
      <c r="U36" s="443"/>
      <c r="W36" s="398"/>
      <c r="X36" s="22"/>
      <c r="Y36" s="22"/>
      <c r="Z36" s="443"/>
      <c r="AB36" s="446"/>
      <c r="AC36" s="421"/>
      <c r="AD36" s="445"/>
      <c r="AF36" s="446"/>
      <c r="AG36" s="421"/>
      <c r="AH36" s="445"/>
      <c r="AJ36" s="446"/>
      <c r="AK36" s="421"/>
      <c r="AL36" s="445"/>
      <c r="AN36" s="446"/>
      <c r="AO36" s="421"/>
      <c r="AP36" s="445"/>
      <c r="AR36" s="446"/>
      <c r="AS36" s="421"/>
      <c r="AT36" s="445"/>
    </row>
    <row r="37" spans="1:46" x14ac:dyDescent="0.2">
      <c r="A37" s="10" t="str">
        <f>+A8</f>
        <v>Vivek Srikrishnan</v>
      </c>
      <c r="B37" s="12">
        <f>ROUND(AB37*E37,0)</f>
        <v>4026</v>
      </c>
      <c r="C37" s="12">
        <f>ROUND(AC37*E37,0)</f>
        <v>0</v>
      </c>
      <c r="D37" s="12">
        <f>+E37-(B37+C37)</f>
        <v>0</v>
      </c>
      <c r="E37" s="443">
        <f>+'Lead Budget'!B21</f>
        <v>4026</v>
      </c>
      <c r="F37" s="12">
        <f>ROUND(AF37*I37,0)</f>
        <v>4146</v>
      </c>
      <c r="G37" s="12">
        <f>ROUND(AG37*I37,0)</f>
        <v>0</v>
      </c>
      <c r="H37" s="12">
        <f>+I37-(F37+G37)</f>
        <v>0</v>
      </c>
      <c r="I37" s="443">
        <f>+'Lead Budget'!C21</f>
        <v>4146</v>
      </c>
      <c r="J37" s="12">
        <f>ROUND(AJ37*M37,0)</f>
        <v>0</v>
      </c>
      <c r="K37" s="12">
        <f>ROUND(AK37*M37,0)</f>
        <v>0</v>
      </c>
      <c r="L37" s="12">
        <f>+M37-(J37+K37)</f>
        <v>0</v>
      </c>
      <c r="M37" s="443">
        <f>+'Lead Budget'!D21</f>
        <v>0</v>
      </c>
      <c r="N37" s="12">
        <f>ROUND(AN37*Q37,0)</f>
        <v>0</v>
      </c>
      <c r="O37" s="12">
        <f>ROUND(AO37*Q37,0)</f>
        <v>0</v>
      </c>
      <c r="P37" s="12">
        <f>+Q37-(N37+O37)</f>
        <v>0</v>
      </c>
      <c r="Q37" s="443">
        <f>+'Lead Budget'!E21</f>
        <v>0</v>
      </c>
      <c r="R37" s="12">
        <f>ROUND(AR37*U37,0)</f>
        <v>0</v>
      </c>
      <c r="S37" s="12">
        <f>ROUND(AS37*U37,0)</f>
        <v>0</v>
      </c>
      <c r="T37" s="12">
        <f>+U37-(R37+S37)</f>
        <v>0</v>
      </c>
      <c r="U37" s="443">
        <f>+'Lead Budget'!U21</f>
        <v>0</v>
      </c>
      <c r="W37" s="444">
        <f>+B37+F37+J37+N37+R37</f>
        <v>8172</v>
      </c>
      <c r="X37" s="12">
        <f>+C37+G37+K37+O37+S37</f>
        <v>0</v>
      </c>
      <c r="Y37" s="12">
        <f>+D37+H37+L37+P37+T37</f>
        <v>0</v>
      </c>
      <c r="Z37" s="443">
        <f>SUM(W37:Y37)</f>
        <v>8172</v>
      </c>
      <c r="AB37" s="456">
        <f>+AB8</f>
        <v>1</v>
      </c>
      <c r="AC37" s="455">
        <f>+AC8</f>
        <v>0</v>
      </c>
      <c r="AD37" s="440">
        <f>100%-(+AB37+AC37)</f>
        <v>0</v>
      </c>
      <c r="AF37" s="456">
        <f>+AF8</f>
        <v>1</v>
      </c>
      <c r="AG37" s="455">
        <f>+AG8</f>
        <v>0</v>
      </c>
      <c r="AH37" s="440">
        <f>100%-(+AF37+AG37)</f>
        <v>0</v>
      </c>
      <c r="AJ37" s="456">
        <f>+AJ8</f>
        <v>1</v>
      </c>
      <c r="AK37" s="455">
        <f>+AK8</f>
        <v>0</v>
      </c>
      <c r="AL37" s="440">
        <f>100%-(+AJ37+AK37)</f>
        <v>0</v>
      </c>
      <c r="AN37" s="456">
        <f>+AN8</f>
        <v>1</v>
      </c>
      <c r="AO37" s="455">
        <f>+AO8</f>
        <v>0</v>
      </c>
      <c r="AP37" s="440">
        <f>100%-(+AN37+AO37)</f>
        <v>0</v>
      </c>
      <c r="AR37" s="456">
        <f>+AR8</f>
        <v>1</v>
      </c>
      <c r="AS37" s="455">
        <f>+AS8</f>
        <v>0</v>
      </c>
      <c r="AT37" s="440">
        <f>100%-(+AR37+AS37)</f>
        <v>0</v>
      </c>
    </row>
    <row r="38" spans="1:46" x14ac:dyDescent="0.2">
      <c r="A38" s="10" t="str">
        <f t="shared" ref="A38:A54" si="62">+A9</f>
        <v>S. Steinschneider</v>
      </c>
      <c r="B38" s="12">
        <f t="shared" ref="B38:B57" si="63">ROUND(AB38*E38,0)</f>
        <v>2205</v>
      </c>
      <c r="C38" s="12">
        <f t="shared" ref="C38:C57" si="64">ROUND(AC38*E38,0)</f>
        <v>0</v>
      </c>
      <c r="D38" s="12">
        <f t="shared" ref="D38:D57" si="65">+E38-(B38+C38)</f>
        <v>0</v>
      </c>
      <c r="E38" s="443">
        <f>+'Lead Budget'!B22</f>
        <v>2205</v>
      </c>
      <c r="F38" s="12">
        <f t="shared" ref="F38:F57" si="66">ROUND(AF38*I38,0)</f>
        <v>2271</v>
      </c>
      <c r="G38" s="12">
        <f t="shared" ref="G38:G57" si="67">ROUND(AG38*I38,0)</f>
        <v>0</v>
      </c>
      <c r="H38" s="12">
        <f t="shared" ref="H38:H57" si="68">+I38-(F38+G38)</f>
        <v>0</v>
      </c>
      <c r="I38" s="443">
        <f>+'Lead Budget'!C22</f>
        <v>2271</v>
      </c>
      <c r="J38" s="12">
        <f t="shared" ref="J38:J57" si="69">ROUND(AJ38*M38,0)</f>
        <v>0</v>
      </c>
      <c r="K38" s="12">
        <f t="shared" ref="K38:K57" si="70">ROUND(AK38*M38,0)</f>
        <v>0</v>
      </c>
      <c r="L38" s="12">
        <f t="shared" ref="L38:L57" si="71">+M38-(J38+K38)</f>
        <v>0</v>
      </c>
      <c r="M38" s="443">
        <f>+'Lead Budget'!D22</f>
        <v>0</v>
      </c>
      <c r="N38" s="12">
        <f t="shared" ref="N38:N57" si="72">ROUND(AN38*Q38,0)</f>
        <v>0</v>
      </c>
      <c r="O38" s="12">
        <f t="shared" ref="O38:O57" si="73">ROUND(AO38*Q38,0)</f>
        <v>0</v>
      </c>
      <c r="P38" s="12">
        <f t="shared" ref="P38:P57" si="74">+Q38-(N38+O38)</f>
        <v>0</v>
      </c>
      <c r="Q38" s="443">
        <f>+'Lead Budget'!E22</f>
        <v>0</v>
      </c>
      <c r="R38" s="12">
        <f t="shared" ref="R38:R57" si="75">ROUND(AR38*U38,0)</f>
        <v>0</v>
      </c>
      <c r="S38" s="12">
        <f t="shared" ref="S38:S57" si="76">ROUND(AS38*U38,0)</f>
        <v>0</v>
      </c>
      <c r="T38" s="12">
        <f t="shared" ref="T38:T57" si="77">+U38-(R38+S38)</f>
        <v>0</v>
      </c>
      <c r="U38" s="443">
        <f>+'Lead Budget'!U22</f>
        <v>0</v>
      </c>
      <c r="W38" s="444">
        <f t="shared" ref="W38:W57" si="78">+B38+F38+J38+N38+R38</f>
        <v>4476</v>
      </c>
      <c r="X38" s="12">
        <f t="shared" ref="X38:X57" si="79">+C38+G38+K38+O38+S38</f>
        <v>0</v>
      </c>
      <c r="Y38" s="12">
        <f t="shared" ref="Y38:Y57" si="80">+D38+H38+L38+P38+T38</f>
        <v>0</v>
      </c>
      <c r="Z38" s="443">
        <f t="shared" ref="Z38:Z57" si="81">SUM(W38:Y38)</f>
        <v>4476</v>
      </c>
      <c r="AB38" s="456">
        <f t="shared" ref="AB38:AC38" si="82">+AB9</f>
        <v>1</v>
      </c>
      <c r="AC38" s="455">
        <f t="shared" si="82"/>
        <v>0</v>
      </c>
      <c r="AD38" s="440">
        <f t="shared" ref="AD38:AD54" si="83">100%-(+AB38+AC38)</f>
        <v>0</v>
      </c>
      <c r="AF38" s="456">
        <f t="shared" ref="AF38:AG38" si="84">+AF9</f>
        <v>1</v>
      </c>
      <c r="AG38" s="455">
        <f t="shared" si="84"/>
        <v>0</v>
      </c>
      <c r="AH38" s="440">
        <f t="shared" ref="AH38:AH54" si="85">100%-(+AF38+AG38)</f>
        <v>0</v>
      </c>
      <c r="AJ38" s="456">
        <f t="shared" ref="AJ38:AK38" si="86">+AJ9</f>
        <v>1</v>
      </c>
      <c r="AK38" s="455">
        <f t="shared" si="86"/>
        <v>0</v>
      </c>
      <c r="AL38" s="440">
        <f t="shared" ref="AL38:AL54" si="87">100%-(+AJ38+AK38)</f>
        <v>0</v>
      </c>
      <c r="AN38" s="456">
        <f t="shared" ref="AN38:AO38" si="88">+AN9</f>
        <v>1</v>
      </c>
      <c r="AO38" s="455">
        <f t="shared" si="88"/>
        <v>0</v>
      </c>
      <c r="AP38" s="440">
        <f t="shared" ref="AP38:AP54" si="89">100%-(+AN38+AO38)</f>
        <v>0</v>
      </c>
      <c r="AR38" s="456">
        <f t="shared" ref="AR38:AS38" si="90">+AR9</f>
        <v>1</v>
      </c>
      <c r="AS38" s="455">
        <f t="shared" si="90"/>
        <v>0</v>
      </c>
      <c r="AT38" s="440">
        <f t="shared" ref="AT38:AT54" si="91">100%-(+AR38+AS38)</f>
        <v>0</v>
      </c>
    </row>
    <row r="39" spans="1:46" x14ac:dyDescent="0.2">
      <c r="A39" s="10" t="str">
        <f t="shared" si="62"/>
        <v>Co-PI</v>
      </c>
      <c r="B39" s="12">
        <f t="shared" si="63"/>
        <v>0</v>
      </c>
      <c r="C39" s="12">
        <f t="shared" si="64"/>
        <v>0</v>
      </c>
      <c r="D39" s="12">
        <f t="shared" si="65"/>
        <v>0</v>
      </c>
      <c r="E39" s="443">
        <f>+'Lead Budget'!B23</f>
        <v>0</v>
      </c>
      <c r="F39" s="12">
        <f t="shared" si="66"/>
        <v>0</v>
      </c>
      <c r="G39" s="12">
        <f t="shared" si="67"/>
        <v>0</v>
      </c>
      <c r="H39" s="12">
        <f t="shared" si="68"/>
        <v>0</v>
      </c>
      <c r="I39" s="443">
        <f>+'Lead Budget'!C23</f>
        <v>0</v>
      </c>
      <c r="J39" s="12">
        <f t="shared" si="69"/>
        <v>0</v>
      </c>
      <c r="K39" s="12">
        <f t="shared" si="70"/>
        <v>0</v>
      </c>
      <c r="L39" s="12">
        <f t="shared" si="71"/>
        <v>0</v>
      </c>
      <c r="M39" s="443">
        <f>+'Lead Budget'!D23</f>
        <v>0</v>
      </c>
      <c r="N39" s="12">
        <f t="shared" si="72"/>
        <v>0</v>
      </c>
      <c r="O39" s="12">
        <f t="shared" si="73"/>
        <v>0</v>
      </c>
      <c r="P39" s="12">
        <f t="shared" si="74"/>
        <v>0</v>
      </c>
      <c r="Q39" s="443">
        <f>+'Lead Budget'!E23</f>
        <v>0</v>
      </c>
      <c r="R39" s="12">
        <f t="shared" si="75"/>
        <v>0</v>
      </c>
      <c r="S39" s="12">
        <f t="shared" si="76"/>
        <v>0</v>
      </c>
      <c r="T39" s="12">
        <f t="shared" si="77"/>
        <v>0</v>
      </c>
      <c r="U39" s="443">
        <f>+'Lead Budget'!U23</f>
        <v>0</v>
      </c>
      <c r="W39" s="444">
        <f t="shared" si="78"/>
        <v>0</v>
      </c>
      <c r="X39" s="12">
        <f t="shared" si="79"/>
        <v>0</v>
      </c>
      <c r="Y39" s="12">
        <f t="shared" si="80"/>
        <v>0</v>
      </c>
      <c r="Z39" s="443">
        <f t="shared" si="81"/>
        <v>0</v>
      </c>
      <c r="AB39" s="456">
        <f t="shared" ref="AB39:AC39" si="92">+AB10</f>
        <v>1</v>
      </c>
      <c r="AC39" s="455">
        <f t="shared" si="92"/>
        <v>0</v>
      </c>
      <c r="AD39" s="440">
        <f t="shared" si="83"/>
        <v>0</v>
      </c>
      <c r="AF39" s="456">
        <f t="shared" ref="AF39:AG39" si="93">+AF10</f>
        <v>1</v>
      </c>
      <c r="AG39" s="455">
        <f t="shared" si="93"/>
        <v>0</v>
      </c>
      <c r="AH39" s="440">
        <f t="shared" si="85"/>
        <v>0</v>
      </c>
      <c r="AJ39" s="456">
        <f t="shared" ref="AJ39:AK39" si="94">+AJ10</f>
        <v>1</v>
      </c>
      <c r="AK39" s="455">
        <f t="shared" si="94"/>
        <v>0</v>
      </c>
      <c r="AL39" s="440">
        <f t="shared" si="87"/>
        <v>0</v>
      </c>
      <c r="AN39" s="456">
        <f t="shared" ref="AN39:AO39" si="95">+AN10</f>
        <v>1</v>
      </c>
      <c r="AO39" s="455">
        <f t="shared" si="95"/>
        <v>0</v>
      </c>
      <c r="AP39" s="440">
        <f t="shared" si="89"/>
        <v>0</v>
      </c>
      <c r="AR39" s="456">
        <f t="shared" ref="AR39:AS39" si="96">+AR10</f>
        <v>1</v>
      </c>
      <c r="AS39" s="455">
        <f t="shared" si="96"/>
        <v>0</v>
      </c>
      <c r="AT39" s="440">
        <f t="shared" si="91"/>
        <v>0</v>
      </c>
    </row>
    <row r="40" spans="1:46" x14ac:dyDescent="0.2">
      <c r="A40" s="10" t="str">
        <f t="shared" si="62"/>
        <v>R Stedman</v>
      </c>
      <c r="B40" s="12">
        <f t="shared" si="63"/>
        <v>2341</v>
      </c>
      <c r="C40" s="12">
        <f t="shared" si="64"/>
        <v>0</v>
      </c>
      <c r="D40" s="12">
        <f t="shared" si="65"/>
        <v>0</v>
      </c>
      <c r="E40" s="443">
        <f>+Stedman!B21</f>
        <v>2341</v>
      </c>
      <c r="F40" s="12">
        <f t="shared" si="66"/>
        <v>4220</v>
      </c>
      <c r="G40" s="12">
        <f t="shared" si="67"/>
        <v>0</v>
      </c>
      <c r="H40" s="12">
        <f t="shared" si="68"/>
        <v>0</v>
      </c>
      <c r="I40" s="443">
        <f>+Stedman!C21</f>
        <v>4220</v>
      </c>
      <c r="J40" s="12">
        <f t="shared" si="69"/>
        <v>0</v>
      </c>
      <c r="K40" s="12">
        <f t="shared" si="70"/>
        <v>0</v>
      </c>
      <c r="L40" s="12">
        <f t="shared" si="71"/>
        <v>0</v>
      </c>
      <c r="M40" s="443">
        <f>+Stedman!D21</f>
        <v>0</v>
      </c>
      <c r="N40" s="12">
        <f t="shared" si="72"/>
        <v>0</v>
      </c>
      <c r="O40" s="12">
        <f t="shared" si="73"/>
        <v>0</v>
      </c>
      <c r="P40" s="12">
        <f t="shared" si="74"/>
        <v>0</v>
      </c>
      <c r="Q40" s="443">
        <f>+Stedman!E21</f>
        <v>0</v>
      </c>
      <c r="R40" s="12">
        <f t="shared" si="75"/>
        <v>0</v>
      </c>
      <c r="S40" s="12">
        <f t="shared" si="76"/>
        <v>0</v>
      </c>
      <c r="T40" s="12">
        <f t="shared" si="77"/>
        <v>0</v>
      </c>
      <c r="U40" s="443">
        <f>+Stedman!U21</f>
        <v>0</v>
      </c>
      <c r="W40" s="444">
        <f t="shared" si="78"/>
        <v>6561</v>
      </c>
      <c r="X40" s="12">
        <f t="shared" si="79"/>
        <v>0</v>
      </c>
      <c r="Y40" s="12">
        <f t="shared" si="80"/>
        <v>0</v>
      </c>
      <c r="Z40" s="443">
        <f t="shared" si="81"/>
        <v>6561</v>
      </c>
      <c r="AB40" s="456">
        <f t="shared" ref="AB40:AC40" si="97">+AB11</f>
        <v>1</v>
      </c>
      <c r="AC40" s="455">
        <f t="shared" si="97"/>
        <v>0</v>
      </c>
      <c r="AD40" s="440">
        <f t="shared" si="83"/>
        <v>0</v>
      </c>
      <c r="AF40" s="456">
        <f t="shared" ref="AF40:AG40" si="98">+AF11</f>
        <v>1</v>
      </c>
      <c r="AG40" s="455">
        <f t="shared" si="98"/>
        <v>0</v>
      </c>
      <c r="AH40" s="440">
        <f t="shared" si="85"/>
        <v>0</v>
      </c>
      <c r="AJ40" s="456">
        <f t="shared" ref="AJ40:AK40" si="99">+AJ11</f>
        <v>1</v>
      </c>
      <c r="AK40" s="455">
        <f t="shared" si="99"/>
        <v>0</v>
      </c>
      <c r="AL40" s="440">
        <f t="shared" si="87"/>
        <v>0</v>
      </c>
      <c r="AN40" s="456">
        <f t="shared" ref="AN40:AO40" si="100">+AN11</f>
        <v>1</v>
      </c>
      <c r="AO40" s="455">
        <f t="shared" si="100"/>
        <v>0</v>
      </c>
      <c r="AP40" s="440">
        <f t="shared" si="89"/>
        <v>0</v>
      </c>
      <c r="AR40" s="456">
        <f t="shared" ref="AR40:AS40" si="101">+AR11</f>
        <v>1</v>
      </c>
      <c r="AS40" s="455">
        <f t="shared" si="101"/>
        <v>0</v>
      </c>
      <c r="AT40" s="440">
        <f t="shared" si="91"/>
        <v>0</v>
      </c>
    </row>
    <row r="41" spans="1:46" x14ac:dyDescent="0.2">
      <c r="A41" s="10" t="str">
        <f t="shared" si="62"/>
        <v>T. B. Lauber</v>
      </c>
      <c r="B41" s="12">
        <f t="shared" si="63"/>
        <v>2337</v>
      </c>
      <c r="C41" s="12">
        <f t="shared" si="64"/>
        <v>0</v>
      </c>
      <c r="D41" s="12">
        <f t="shared" si="65"/>
        <v>0</v>
      </c>
      <c r="E41" s="443">
        <f>+Stedman!B22</f>
        <v>2337</v>
      </c>
      <c r="F41" s="12">
        <f t="shared" si="66"/>
        <v>4136</v>
      </c>
      <c r="G41" s="12">
        <f t="shared" si="67"/>
        <v>0</v>
      </c>
      <c r="H41" s="12">
        <f t="shared" si="68"/>
        <v>0</v>
      </c>
      <c r="I41" s="443">
        <f>+Stedman!C22</f>
        <v>4136</v>
      </c>
      <c r="J41" s="12">
        <f t="shared" si="69"/>
        <v>0</v>
      </c>
      <c r="K41" s="12">
        <f t="shared" si="70"/>
        <v>0</v>
      </c>
      <c r="L41" s="12">
        <f t="shared" si="71"/>
        <v>0</v>
      </c>
      <c r="M41" s="443">
        <f>+Stedman!D22</f>
        <v>0</v>
      </c>
      <c r="N41" s="12">
        <f t="shared" si="72"/>
        <v>0</v>
      </c>
      <c r="O41" s="12">
        <f t="shared" si="73"/>
        <v>0</v>
      </c>
      <c r="P41" s="12">
        <f t="shared" si="74"/>
        <v>0</v>
      </c>
      <c r="Q41" s="443">
        <f>+Stedman!E22</f>
        <v>0</v>
      </c>
      <c r="R41" s="12">
        <f t="shared" si="75"/>
        <v>0</v>
      </c>
      <c r="S41" s="12">
        <f t="shared" si="76"/>
        <v>0</v>
      </c>
      <c r="T41" s="12">
        <f t="shared" si="77"/>
        <v>0</v>
      </c>
      <c r="U41" s="443">
        <f>+Stedman!U22</f>
        <v>0</v>
      </c>
      <c r="W41" s="444">
        <f t="shared" si="78"/>
        <v>6473</v>
      </c>
      <c r="X41" s="12">
        <f t="shared" si="79"/>
        <v>0</v>
      </c>
      <c r="Y41" s="12">
        <f t="shared" si="80"/>
        <v>0</v>
      </c>
      <c r="Z41" s="443">
        <f t="shared" si="81"/>
        <v>6473</v>
      </c>
      <c r="AB41" s="456">
        <f t="shared" ref="AB41:AC41" si="102">+AB12</f>
        <v>1</v>
      </c>
      <c r="AC41" s="455">
        <f t="shared" si="102"/>
        <v>0</v>
      </c>
      <c r="AD41" s="440">
        <f t="shared" si="83"/>
        <v>0</v>
      </c>
      <c r="AF41" s="456">
        <f t="shared" ref="AF41:AG41" si="103">+AF12</f>
        <v>1</v>
      </c>
      <c r="AG41" s="455">
        <f t="shared" si="103"/>
        <v>0</v>
      </c>
      <c r="AH41" s="440">
        <f t="shared" si="85"/>
        <v>0</v>
      </c>
      <c r="AJ41" s="456">
        <f t="shared" ref="AJ41:AK41" si="104">+AJ12</f>
        <v>1</v>
      </c>
      <c r="AK41" s="455">
        <f t="shared" si="104"/>
        <v>0</v>
      </c>
      <c r="AL41" s="440">
        <f t="shared" si="87"/>
        <v>0</v>
      </c>
      <c r="AN41" s="456">
        <f t="shared" ref="AN41:AO41" si="105">+AN12</f>
        <v>1</v>
      </c>
      <c r="AO41" s="455">
        <f t="shared" si="105"/>
        <v>0</v>
      </c>
      <c r="AP41" s="440">
        <f t="shared" si="89"/>
        <v>0</v>
      </c>
      <c r="AR41" s="456">
        <f t="shared" ref="AR41:AS41" si="106">+AR12</f>
        <v>1</v>
      </c>
      <c r="AS41" s="455">
        <f t="shared" si="106"/>
        <v>0</v>
      </c>
      <c r="AT41" s="440">
        <f t="shared" si="91"/>
        <v>0</v>
      </c>
    </row>
    <row r="42" spans="1:46" x14ac:dyDescent="0.2">
      <c r="A42" s="10" t="str">
        <f t="shared" si="62"/>
        <v>Co-PI</v>
      </c>
      <c r="B42" s="12">
        <f t="shared" si="63"/>
        <v>0</v>
      </c>
      <c r="C42" s="12">
        <f t="shared" si="64"/>
        <v>0</v>
      </c>
      <c r="D42" s="12">
        <f t="shared" si="65"/>
        <v>0</v>
      </c>
      <c r="E42" s="443">
        <f>+Stedman!B23</f>
        <v>0</v>
      </c>
      <c r="F42" s="12">
        <f t="shared" si="66"/>
        <v>0</v>
      </c>
      <c r="G42" s="12">
        <f t="shared" si="67"/>
        <v>0</v>
      </c>
      <c r="H42" s="12">
        <f t="shared" si="68"/>
        <v>0</v>
      </c>
      <c r="I42" s="443">
        <f>+Stedman!C23</f>
        <v>0</v>
      </c>
      <c r="J42" s="12">
        <f t="shared" si="69"/>
        <v>0</v>
      </c>
      <c r="K42" s="12">
        <f t="shared" si="70"/>
        <v>0</v>
      </c>
      <c r="L42" s="12">
        <f t="shared" si="71"/>
        <v>0</v>
      </c>
      <c r="M42" s="443">
        <f>+Stedman!D23</f>
        <v>0</v>
      </c>
      <c r="N42" s="12">
        <f t="shared" si="72"/>
        <v>0</v>
      </c>
      <c r="O42" s="12">
        <f t="shared" si="73"/>
        <v>0</v>
      </c>
      <c r="P42" s="12">
        <f t="shared" si="74"/>
        <v>0</v>
      </c>
      <c r="Q42" s="443">
        <f>+Stedman!E23</f>
        <v>0</v>
      </c>
      <c r="R42" s="12">
        <f t="shared" si="75"/>
        <v>0</v>
      </c>
      <c r="S42" s="12">
        <f t="shared" si="76"/>
        <v>0</v>
      </c>
      <c r="T42" s="12">
        <f t="shared" si="77"/>
        <v>0</v>
      </c>
      <c r="U42" s="443">
        <f>+Stedman!U23</f>
        <v>0</v>
      </c>
      <c r="W42" s="444">
        <f t="shared" si="78"/>
        <v>0</v>
      </c>
      <c r="X42" s="12">
        <f t="shared" si="79"/>
        <v>0</v>
      </c>
      <c r="Y42" s="12">
        <f t="shared" si="80"/>
        <v>0</v>
      </c>
      <c r="Z42" s="443">
        <f t="shared" si="81"/>
        <v>0</v>
      </c>
      <c r="AB42" s="456">
        <f t="shared" ref="AB42:AC42" si="107">+AB13</f>
        <v>1</v>
      </c>
      <c r="AC42" s="455">
        <f t="shared" si="107"/>
        <v>0</v>
      </c>
      <c r="AD42" s="440">
        <f t="shared" si="83"/>
        <v>0</v>
      </c>
      <c r="AF42" s="456">
        <f t="shared" ref="AF42:AG42" si="108">+AF13</f>
        <v>1</v>
      </c>
      <c r="AG42" s="455">
        <f t="shared" si="108"/>
        <v>0</v>
      </c>
      <c r="AH42" s="440">
        <f t="shared" si="85"/>
        <v>0</v>
      </c>
      <c r="AJ42" s="456">
        <f t="shared" ref="AJ42:AK42" si="109">+AJ13</f>
        <v>1</v>
      </c>
      <c r="AK42" s="455">
        <f t="shared" si="109"/>
        <v>0</v>
      </c>
      <c r="AL42" s="440">
        <f t="shared" si="87"/>
        <v>0</v>
      </c>
      <c r="AN42" s="456">
        <f t="shared" ref="AN42:AO42" si="110">+AN13</f>
        <v>1</v>
      </c>
      <c r="AO42" s="455">
        <f t="shared" si="110"/>
        <v>0</v>
      </c>
      <c r="AP42" s="440">
        <f t="shared" si="89"/>
        <v>0</v>
      </c>
      <c r="AR42" s="456">
        <f t="shared" ref="AR42:AS42" si="111">+AR13</f>
        <v>1</v>
      </c>
      <c r="AS42" s="455">
        <f t="shared" si="111"/>
        <v>0</v>
      </c>
      <c r="AT42" s="440">
        <f t="shared" si="91"/>
        <v>0</v>
      </c>
    </row>
    <row r="43" spans="1:46" x14ac:dyDescent="0.2">
      <c r="A43" s="10" t="str">
        <f t="shared" si="62"/>
        <v>Co-PI</v>
      </c>
      <c r="B43" s="12">
        <f t="shared" si="63"/>
        <v>0</v>
      </c>
      <c r="C43" s="12">
        <f t="shared" si="64"/>
        <v>0</v>
      </c>
      <c r="D43" s="12">
        <f t="shared" si="65"/>
        <v>0</v>
      </c>
      <c r="E43" s="443">
        <f>+'Co PI 2'!B21</f>
        <v>0</v>
      </c>
      <c r="F43" s="12">
        <f t="shared" si="66"/>
        <v>0</v>
      </c>
      <c r="G43" s="12">
        <f t="shared" si="67"/>
        <v>0</v>
      </c>
      <c r="H43" s="12">
        <f t="shared" si="68"/>
        <v>0</v>
      </c>
      <c r="I43" s="443">
        <f>+'Co PI 2'!C21</f>
        <v>0</v>
      </c>
      <c r="J43" s="12">
        <f t="shared" si="69"/>
        <v>0</v>
      </c>
      <c r="K43" s="12">
        <f t="shared" si="70"/>
        <v>0</v>
      </c>
      <c r="L43" s="12">
        <f t="shared" si="71"/>
        <v>0</v>
      </c>
      <c r="M43" s="443">
        <f>+'Co PI 2'!D21</f>
        <v>0</v>
      </c>
      <c r="N43" s="12">
        <f t="shared" si="72"/>
        <v>0</v>
      </c>
      <c r="O43" s="12">
        <f t="shared" si="73"/>
        <v>0</v>
      </c>
      <c r="P43" s="12">
        <f t="shared" si="74"/>
        <v>0</v>
      </c>
      <c r="Q43" s="443">
        <f>+'Co PI 2'!E21</f>
        <v>0</v>
      </c>
      <c r="R43" s="12">
        <f t="shared" si="75"/>
        <v>0</v>
      </c>
      <c r="S43" s="12">
        <f t="shared" si="76"/>
        <v>0</v>
      </c>
      <c r="T43" s="12">
        <f t="shared" si="77"/>
        <v>0</v>
      </c>
      <c r="U43" s="443">
        <f>+'Co PI 2'!U21</f>
        <v>0</v>
      </c>
      <c r="W43" s="444">
        <f t="shared" si="78"/>
        <v>0</v>
      </c>
      <c r="X43" s="12">
        <f t="shared" si="79"/>
        <v>0</v>
      </c>
      <c r="Y43" s="12">
        <f t="shared" si="80"/>
        <v>0</v>
      </c>
      <c r="Z43" s="443">
        <f t="shared" si="81"/>
        <v>0</v>
      </c>
      <c r="AB43" s="456">
        <f t="shared" ref="AB43:AC43" si="112">+AB14</f>
        <v>1</v>
      </c>
      <c r="AC43" s="455">
        <f t="shared" si="112"/>
        <v>0</v>
      </c>
      <c r="AD43" s="440">
        <f t="shared" si="83"/>
        <v>0</v>
      </c>
      <c r="AF43" s="456">
        <f t="shared" ref="AF43:AG43" si="113">+AF14</f>
        <v>1</v>
      </c>
      <c r="AG43" s="455">
        <f t="shared" si="113"/>
        <v>0</v>
      </c>
      <c r="AH43" s="440">
        <f t="shared" si="85"/>
        <v>0</v>
      </c>
      <c r="AJ43" s="456">
        <f t="shared" ref="AJ43:AK43" si="114">+AJ14</f>
        <v>1</v>
      </c>
      <c r="AK43" s="455">
        <f t="shared" si="114"/>
        <v>0</v>
      </c>
      <c r="AL43" s="440">
        <f t="shared" si="87"/>
        <v>0</v>
      </c>
      <c r="AN43" s="456">
        <f t="shared" ref="AN43:AO43" si="115">+AN14</f>
        <v>1</v>
      </c>
      <c r="AO43" s="455">
        <f t="shared" si="115"/>
        <v>0</v>
      </c>
      <c r="AP43" s="440">
        <f t="shared" si="89"/>
        <v>0</v>
      </c>
      <c r="AR43" s="456">
        <f t="shared" ref="AR43:AS43" si="116">+AR14</f>
        <v>1</v>
      </c>
      <c r="AS43" s="455">
        <f t="shared" si="116"/>
        <v>0</v>
      </c>
      <c r="AT43" s="440">
        <f t="shared" si="91"/>
        <v>0</v>
      </c>
    </row>
    <row r="44" spans="1:46" x14ac:dyDescent="0.2">
      <c r="A44" s="10" t="str">
        <f t="shared" si="62"/>
        <v>Co-PI</v>
      </c>
      <c r="B44" s="12">
        <f t="shared" si="63"/>
        <v>0</v>
      </c>
      <c r="C44" s="12">
        <f t="shared" si="64"/>
        <v>0</v>
      </c>
      <c r="D44" s="12">
        <f t="shared" si="65"/>
        <v>0</v>
      </c>
      <c r="E44" s="443">
        <f>+'Co PI 2'!B22</f>
        <v>0</v>
      </c>
      <c r="F44" s="12">
        <f t="shared" si="66"/>
        <v>0</v>
      </c>
      <c r="G44" s="12">
        <f t="shared" si="67"/>
        <v>0</v>
      </c>
      <c r="H44" s="12">
        <f t="shared" si="68"/>
        <v>0</v>
      </c>
      <c r="I44" s="443">
        <f>+'Co PI 2'!C22</f>
        <v>0</v>
      </c>
      <c r="J44" s="12">
        <f t="shared" si="69"/>
        <v>0</v>
      </c>
      <c r="K44" s="12">
        <f t="shared" si="70"/>
        <v>0</v>
      </c>
      <c r="L44" s="12">
        <f t="shared" si="71"/>
        <v>0</v>
      </c>
      <c r="M44" s="443">
        <f>+'Co PI 2'!D22</f>
        <v>0</v>
      </c>
      <c r="N44" s="12">
        <f t="shared" si="72"/>
        <v>0</v>
      </c>
      <c r="O44" s="12">
        <f t="shared" si="73"/>
        <v>0</v>
      </c>
      <c r="P44" s="12">
        <f t="shared" si="74"/>
        <v>0</v>
      </c>
      <c r="Q44" s="443">
        <f>+'Co PI 2'!E22</f>
        <v>0</v>
      </c>
      <c r="R44" s="12">
        <f t="shared" si="75"/>
        <v>0</v>
      </c>
      <c r="S44" s="12">
        <f t="shared" si="76"/>
        <v>0</v>
      </c>
      <c r="T44" s="12">
        <f t="shared" si="77"/>
        <v>0</v>
      </c>
      <c r="U44" s="443">
        <f>+'Co PI 2'!U22</f>
        <v>0</v>
      </c>
      <c r="W44" s="444">
        <f t="shared" si="78"/>
        <v>0</v>
      </c>
      <c r="X44" s="12">
        <f t="shared" si="79"/>
        <v>0</v>
      </c>
      <c r="Y44" s="12">
        <f t="shared" si="80"/>
        <v>0</v>
      </c>
      <c r="Z44" s="443">
        <f t="shared" si="81"/>
        <v>0</v>
      </c>
      <c r="AB44" s="456">
        <f t="shared" ref="AB44:AC44" si="117">+AB15</f>
        <v>1</v>
      </c>
      <c r="AC44" s="455">
        <f t="shared" si="117"/>
        <v>0</v>
      </c>
      <c r="AD44" s="440">
        <f t="shared" si="83"/>
        <v>0</v>
      </c>
      <c r="AF44" s="456">
        <f t="shared" ref="AF44:AG44" si="118">+AF15</f>
        <v>1</v>
      </c>
      <c r="AG44" s="455">
        <f t="shared" si="118"/>
        <v>0</v>
      </c>
      <c r="AH44" s="440">
        <f t="shared" si="85"/>
        <v>0</v>
      </c>
      <c r="AJ44" s="456">
        <f t="shared" ref="AJ44:AK44" si="119">+AJ15</f>
        <v>1</v>
      </c>
      <c r="AK44" s="455">
        <f t="shared" si="119"/>
        <v>0</v>
      </c>
      <c r="AL44" s="440">
        <f t="shared" si="87"/>
        <v>0</v>
      </c>
      <c r="AN44" s="456">
        <f t="shared" ref="AN44:AO44" si="120">+AN15</f>
        <v>1</v>
      </c>
      <c r="AO44" s="455">
        <f t="shared" si="120"/>
        <v>0</v>
      </c>
      <c r="AP44" s="440">
        <f t="shared" si="89"/>
        <v>0</v>
      </c>
      <c r="AR44" s="456">
        <f t="shared" ref="AR44:AS44" si="121">+AR15</f>
        <v>1</v>
      </c>
      <c r="AS44" s="455">
        <f t="shared" si="121"/>
        <v>0</v>
      </c>
      <c r="AT44" s="440">
        <f t="shared" si="91"/>
        <v>0</v>
      </c>
    </row>
    <row r="45" spans="1:46" x14ac:dyDescent="0.2">
      <c r="A45" s="10" t="str">
        <f t="shared" si="62"/>
        <v>Co-PI</v>
      </c>
      <c r="B45" s="12">
        <f t="shared" si="63"/>
        <v>0</v>
      </c>
      <c r="C45" s="12">
        <f t="shared" si="64"/>
        <v>0</v>
      </c>
      <c r="D45" s="12">
        <f t="shared" si="65"/>
        <v>0</v>
      </c>
      <c r="E45" s="443">
        <f>+'Co PI 2'!B23</f>
        <v>0</v>
      </c>
      <c r="F45" s="12">
        <f t="shared" si="66"/>
        <v>0</v>
      </c>
      <c r="G45" s="12">
        <f t="shared" si="67"/>
        <v>0</v>
      </c>
      <c r="H45" s="12">
        <f t="shared" si="68"/>
        <v>0</v>
      </c>
      <c r="I45" s="443">
        <f>+'Co PI 2'!C23</f>
        <v>0</v>
      </c>
      <c r="J45" s="12">
        <f t="shared" si="69"/>
        <v>0</v>
      </c>
      <c r="K45" s="12">
        <f t="shared" si="70"/>
        <v>0</v>
      </c>
      <c r="L45" s="12">
        <f t="shared" si="71"/>
        <v>0</v>
      </c>
      <c r="M45" s="443">
        <f>+'Co PI 2'!D23</f>
        <v>0</v>
      </c>
      <c r="N45" s="12">
        <f t="shared" si="72"/>
        <v>0</v>
      </c>
      <c r="O45" s="12">
        <f t="shared" si="73"/>
        <v>0</v>
      </c>
      <c r="P45" s="12">
        <f t="shared" si="74"/>
        <v>0</v>
      </c>
      <c r="Q45" s="443">
        <f>+'Co PI 2'!E23</f>
        <v>0</v>
      </c>
      <c r="R45" s="12">
        <f t="shared" si="75"/>
        <v>0</v>
      </c>
      <c r="S45" s="12">
        <f t="shared" si="76"/>
        <v>0</v>
      </c>
      <c r="T45" s="12">
        <f t="shared" si="77"/>
        <v>0</v>
      </c>
      <c r="U45" s="443">
        <f>+'Co PI 2'!U23</f>
        <v>0</v>
      </c>
      <c r="W45" s="444">
        <f t="shared" si="78"/>
        <v>0</v>
      </c>
      <c r="X45" s="12">
        <f t="shared" si="79"/>
        <v>0</v>
      </c>
      <c r="Y45" s="12">
        <f t="shared" si="80"/>
        <v>0</v>
      </c>
      <c r="Z45" s="443">
        <f t="shared" si="81"/>
        <v>0</v>
      </c>
      <c r="AB45" s="456">
        <f t="shared" ref="AB45:AC45" si="122">+AB16</f>
        <v>1</v>
      </c>
      <c r="AC45" s="455">
        <f t="shared" si="122"/>
        <v>0</v>
      </c>
      <c r="AD45" s="440">
        <f t="shared" si="83"/>
        <v>0</v>
      </c>
      <c r="AF45" s="456">
        <f t="shared" ref="AF45:AG45" si="123">+AF16</f>
        <v>1</v>
      </c>
      <c r="AG45" s="455">
        <f t="shared" si="123"/>
        <v>0</v>
      </c>
      <c r="AH45" s="440">
        <f t="shared" si="85"/>
        <v>0</v>
      </c>
      <c r="AJ45" s="456">
        <f t="shared" ref="AJ45:AK45" si="124">+AJ16</f>
        <v>1</v>
      </c>
      <c r="AK45" s="455">
        <f t="shared" si="124"/>
        <v>0</v>
      </c>
      <c r="AL45" s="440">
        <f t="shared" si="87"/>
        <v>0</v>
      </c>
      <c r="AN45" s="456">
        <f t="shared" ref="AN45:AO45" si="125">+AN16</f>
        <v>1</v>
      </c>
      <c r="AO45" s="455">
        <f t="shared" si="125"/>
        <v>0</v>
      </c>
      <c r="AP45" s="440">
        <f t="shared" si="89"/>
        <v>0</v>
      </c>
      <c r="AR45" s="456">
        <f t="shared" ref="AR45:AS45" si="126">+AR16</f>
        <v>1</v>
      </c>
      <c r="AS45" s="455">
        <f t="shared" si="126"/>
        <v>0</v>
      </c>
      <c r="AT45" s="440">
        <f t="shared" si="91"/>
        <v>0</v>
      </c>
    </row>
    <row r="46" spans="1:46" x14ac:dyDescent="0.2">
      <c r="A46" s="10" t="str">
        <f t="shared" si="62"/>
        <v>Co-PI</v>
      </c>
      <c r="B46" s="12">
        <f t="shared" si="63"/>
        <v>0</v>
      </c>
      <c r="C46" s="12">
        <f t="shared" si="64"/>
        <v>0</v>
      </c>
      <c r="D46" s="12">
        <f t="shared" si="65"/>
        <v>0</v>
      </c>
      <c r="E46" s="443">
        <f>+'Co PI 3'!B21</f>
        <v>0</v>
      </c>
      <c r="F46" s="12">
        <f t="shared" si="66"/>
        <v>0</v>
      </c>
      <c r="G46" s="12">
        <f t="shared" si="67"/>
        <v>0</v>
      </c>
      <c r="H46" s="12">
        <f t="shared" si="68"/>
        <v>0</v>
      </c>
      <c r="I46" s="443">
        <f>+'Co PI 3'!C21</f>
        <v>0</v>
      </c>
      <c r="J46" s="12">
        <f t="shared" si="69"/>
        <v>0</v>
      </c>
      <c r="K46" s="12">
        <f t="shared" si="70"/>
        <v>0</v>
      </c>
      <c r="L46" s="12">
        <f t="shared" si="71"/>
        <v>0</v>
      </c>
      <c r="M46" s="443">
        <f>+'Co PI 3'!D21</f>
        <v>0</v>
      </c>
      <c r="N46" s="12">
        <f t="shared" si="72"/>
        <v>0</v>
      </c>
      <c r="O46" s="12">
        <f t="shared" si="73"/>
        <v>0</v>
      </c>
      <c r="P46" s="12">
        <f t="shared" si="74"/>
        <v>0</v>
      </c>
      <c r="Q46" s="443">
        <f>+'Co PI 3'!E21</f>
        <v>0</v>
      </c>
      <c r="R46" s="12">
        <f t="shared" si="75"/>
        <v>0</v>
      </c>
      <c r="S46" s="12">
        <f t="shared" si="76"/>
        <v>0</v>
      </c>
      <c r="T46" s="12">
        <f t="shared" si="77"/>
        <v>0</v>
      </c>
      <c r="U46" s="443">
        <f>+'Co PI 3'!U21</f>
        <v>0</v>
      </c>
      <c r="W46" s="444">
        <f t="shared" si="78"/>
        <v>0</v>
      </c>
      <c r="X46" s="12">
        <f t="shared" si="79"/>
        <v>0</v>
      </c>
      <c r="Y46" s="12">
        <f t="shared" si="80"/>
        <v>0</v>
      </c>
      <c r="Z46" s="443">
        <f t="shared" si="81"/>
        <v>0</v>
      </c>
      <c r="AB46" s="456">
        <f t="shared" ref="AB46:AC46" si="127">+AB17</f>
        <v>1</v>
      </c>
      <c r="AC46" s="455">
        <f t="shared" si="127"/>
        <v>0</v>
      </c>
      <c r="AD46" s="440">
        <f t="shared" si="83"/>
        <v>0</v>
      </c>
      <c r="AF46" s="456">
        <f t="shared" ref="AF46:AG46" si="128">+AF17</f>
        <v>1</v>
      </c>
      <c r="AG46" s="455">
        <f t="shared" si="128"/>
        <v>0</v>
      </c>
      <c r="AH46" s="440">
        <f t="shared" si="85"/>
        <v>0</v>
      </c>
      <c r="AJ46" s="456">
        <f t="shared" ref="AJ46:AK46" si="129">+AJ17</f>
        <v>1</v>
      </c>
      <c r="AK46" s="455">
        <f t="shared" si="129"/>
        <v>0</v>
      </c>
      <c r="AL46" s="440">
        <f t="shared" si="87"/>
        <v>0</v>
      </c>
      <c r="AN46" s="456">
        <f t="shared" ref="AN46:AO46" si="130">+AN17</f>
        <v>1</v>
      </c>
      <c r="AO46" s="455">
        <f t="shared" si="130"/>
        <v>0</v>
      </c>
      <c r="AP46" s="440">
        <f t="shared" si="89"/>
        <v>0</v>
      </c>
      <c r="AR46" s="456">
        <f t="shared" ref="AR46:AS46" si="131">+AR17</f>
        <v>1</v>
      </c>
      <c r="AS46" s="455">
        <f t="shared" si="131"/>
        <v>0</v>
      </c>
      <c r="AT46" s="440">
        <f t="shared" si="91"/>
        <v>0</v>
      </c>
    </row>
    <row r="47" spans="1:46" x14ac:dyDescent="0.2">
      <c r="A47" s="10" t="str">
        <f t="shared" si="62"/>
        <v>Co-PI</v>
      </c>
      <c r="B47" s="12">
        <f t="shared" si="63"/>
        <v>0</v>
      </c>
      <c r="C47" s="12">
        <f t="shared" si="64"/>
        <v>0</v>
      </c>
      <c r="D47" s="12">
        <f t="shared" si="65"/>
        <v>0</v>
      </c>
      <c r="E47" s="443">
        <f>+'Co PI 3'!B22</f>
        <v>0</v>
      </c>
      <c r="F47" s="12">
        <f t="shared" si="66"/>
        <v>0</v>
      </c>
      <c r="G47" s="12">
        <f t="shared" si="67"/>
        <v>0</v>
      </c>
      <c r="H47" s="12">
        <f t="shared" si="68"/>
        <v>0</v>
      </c>
      <c r="I47" s="443">
        <f>+'Co PI 3'!C22</f>
        <v>0</v>
      </c>
      <c r="J47" s="12">
        <f t="shared" si="69"/>
        <v>0</v>
      </c>
      <c r="K47" s="12">
        <f t="shared" si="70"/>
        <v>0</v>
      </c>
      <c r="L47" s="12">
        <f t="shared" si="71"/>
        <v>0</v>
      </c>
      <c r="M47" s="443">
        <f>+'Co PI 3'!D22</f>
        <v>0</v>
      </c>
      <c r="N47" s="12">
        <f t="shared" si="72"/>
        <v>0</v>
      </c>
      <c r="O47" s="12">
        <f t="shared" si="73"/>
        <v>0</v>
      </c>
      <c r="P47" s="12">
        <f t="shared" si="74"/>
        <v>0</v>
      </c>
      <c r="Q47" s="443">
        <f>+'Co PI 3'!E22</f>
        <v>0</v>
      </c>
      <c r="R47" s="12">
        <f t="shared" si="75"/>
        <v>0</v>
      </c>
      <c r="S47" s="12">
        <f t="shared" si="76"/>
        <v>0</v>
      </c>
      <c r="T47" s="12">
        <f t="shared" si="77"/>
        <v>0</v>
      </c>
      <c r="U47" s="443">
        <f>+'Co PI 3'!U22</f>
        <v>0</v>
      </c>
      <c r="W47" s="444">
        <f t="shared" si="78"/>
        <v>0</v>
      </c>
      <c r="X47" s="12">
        <f t="shared" si="79"/>
        <v>0</v>
      </c>
      <c r="Y47" s="12">
        <f t="shared" si="80"/>
        <v>0</v>
      </c>
      <c r="Z47" s="443">
        <f t="shared" si="81"/>
        <v>0</v>
      </c>
      <c r="AB47" s="456">
        <f t="shared" ref="AB47:AC47" si="132">+AB18</f>
        <v>1</v>
      </c>
      <c r="AC47" s="455">
        <f t="shared" si="132"/>
        <v>0</v>
      </c>
      <c r="AD47" s="440">
        <f t="shared" si="83"/>
        <v>0</v>
      </c>
      <c r="AF47" s="456">
        <f t="shared" ref="AF47:AG47" si="133">+AF18</f>
        <v>1</v>
      </c>
      <c r="AG47" s="455">
        <f t="shared" si="133"/>
        <v>0</v>
      </c>
      <c r="AH47" s="440">
        <f t="shared" si="85"/>
        <v>0</v>
      </c>
      <c r="AJ47" s="456">
        <f t="shared" ref="AJ47:AK47" si="134">+AJ18</f>
        <v>1</v>
      </c>
      <c r="AK47" s="455">
        <f t="shared" si="134"/>
        <v>0</v>
      </c>
      <c r="AL47" s="440">
        <f t="shared" si="87"/>
        <v>0</v>
      </c>
      <c r="AN47" s="456">
        <f t="shared" ref="AN47:AO47" si="135">+AN18</f>
        <v>1</v>
      </c>
      <c r="AO47" s="455">
        <f t="shared" si="135"/>
        <v>0</v>
      </c>
      <c r="AP47" s="440">
        <f t="shared" si="89"/>
        <v>0</v>
      </c>
      <c r="AR47" s="456">
        <f t="shared" ref="AR47:AS47" si="136">+AR18</f>
        <v>1</v>
      </c>
      <c r="AS47" s="455">
        <f t="shared" si="136"/>
        <v>0</v>
      </c>
      <c r="AT47" s="440">
        <f t="shared" si="91"/>
        <v>0</v>
      </c>
    </row>
    <row r="48" spans="1:46" x14ac:dyDescent="0.2">
      <c r="A48" s="10" t="str">
        <f t="shared" si="62"/>
        <v>Co-PI</v>
      </c>
      <c r="B48" s="12">
        <f t="shared" si="63"/>
        <v>0</v>
      </c>
      <c r="C48" s="12">
        <f t="shared" si="64"/>
        <v>0</v>
      </c>
      <c r="D48" s="12">
        <f t="shared" si="65"/>
        <v>0</v>
      </c>
      <c r="E48" s="443">
        <f>+'Co PI 3'!B23</f>
        <v>0</v>
      </c>
      <c r="F48" s="12">
        <f t="shared" si="66"/>
        <v>0</v>
      </c>
      <c r="G48" s="12">
        <f t="shared" si="67"/>
        <v>0</v>
      </c>
      <c r="H48" s="12">
        <f t="shared" si="68"/>
        <v>0</v>
      </c>
      <c r="I48" s="443">
        <f>+'Co PI 3'!C23</f>
        <v>0</v>
      </c>
      <c r="J48" s="12">
        <f t="shared" si="69"/>
        <v>0</v>
      </c>
      <c r="K48" s="12">
        <f t="shared" si="70"/>
        <v>0</v>
      </c>
      <c r="L48" s="12">
        <f t="shared" si="71"/>
        <v>0</v>
      </c>
      <c r="M48" s="443">
        <f>+'Co PI 3'!D23</f>
        <v>0</v>
      </c>
      <c r="N48" s="12">
        <f t="shared" si="72"/>
        <v>0</v>
      </c>
      <c r="O48" s="12">
        <f t="shared" si="73"/>
        <v>0</v>
      </c>
      <c r="P48" s="12">
        <f t="shared" si="74"/>
        <v>0</v>
      </c>
      <c r="Q48" s="443">
        <f>+'Co PI 3'!E23</f>
        <v>0</v>
      </c>
      <c r="R48" s="12">
        <f t="shared" si="75"/>
        <v>0</v>
      </c>
      <c r="S48" s="12">
        <f t="shared" si="76"/>
        <v>0</v>
      </c>
      <c r="T48" s="12">
        <f t="shared" si="77"/>
        <v>0</v>
      </c>
      <c r="U48" s="443">
        <f>+'Co PI 3'!U23</f>
        <v>0</v>
      </c>
      <c r="W48" s="444">
        <f t="shared" si="78"/>
        <v>0</v>
      </c>
      <c r="X48" s="12">
        <f t="shared" si="79"/>
        <v>0</v>
      </c>
      <c r="Y48" s="12">
        <f t="shared" si="80"/>
        <v>0</v>
      </c>
      <c r="Z48" s="443">
        <f t="shared" si="81"/>
        <v>0</v>
      </c>
      <c r="AB48" s="456">
        <f t="shared" ref="AB48:AC48" si="137">+AB19</f>
        <v>1</v>
      </c>
      <c r="AC48" s="455">
        <f t="shared" si="137"/>
        <v>0</v>
      </c>
      <c r="AD48" s="440">
        <f t="shared" si="83"/>
        <v>0</v>
      </c>
      <c r="AF48" s="456">
        <f t="shared" ref="AF48:AG48" si="138">+AF19</f>
        <v>1</v>
      </c>
      <c r="AG48" s="455">
        <f t="shared" si="138"/>
        <v>0</v>
      </c>
      <c r="AH48" s="440">
        <f t="shared" si="85"/>
        <v>0</v>
      </c>
      <c r="AJ48" s="456">
        <f t="shared" ref="AJ48:AK48" si="139">+AJ19</f>
        <v>1</v>
      </c>
      <c r="AK48" s="455">
        <f t="shared" si="139"/>
        <v>0</v>
      </c>
      <c r="AL48" s="440">
        <f t="shared" si="87"/>
        <v>0</v>
      </c>
      <c r="AN48" s="456">
        <f t="shared" ref="AN48:AO48" si="140">+AN19</f>
        <v>1</v>
      </c>
      <c r="AO48" s="455">
        <f t="shared" si="140"/>
        <v>0</v>
      </c>
      <c r="AP48" s="440">
        <f t="shared" si="89"/>
        <v>0</v>
      </c>
      <c r="AR48" s="456">
        <f t="shared" ref="AR48:AS48" si="141">+AR19</f>
        <v>1</v>
      </c>
      <c r="AS48" s="455">
        <f t="shared" si="141"/>
        <v>0</v>
      </c>
      <c r="AT48" s="440">
        <f t="shared" si="91"/>
        <v>0</v>
      </c>
    </row>
    <row r="49" spans="1:46" x14ac:dyDescent="0.2">
      <c r="A49" s="10" t="str">
        <f t="shared" si="62"/>
        <v>Co-PI</v>
      </c>
      <c r="B49" s="12">
        <f t="shared" si="63"/>
        <v>0</v>
      </c>
      <c r="C49" s="12">
        <f t="shared" si="64"/>
        <v>0</v>
      </c>
      <c r="D49" s="12">
        <f t="shared" si="65"/>
        <v>0</v>
      </c>
      <c r="E49" s="443">
        <f>+'Co-PI Budget (4)'!B21</f>
        <v>0</v>
      </c>
      <c r="F49" s="12">
        <f t="shared" si="66"/>
        <v>0</v>
      </c>
      <c r="G49" s="12">
        <f t="shared" si="67"/>
        <v>0</v>
      </c>
      <c r="H49" s="12">
        <f t="shared" si="68"/>
        <v>0</v>
      </c>
      <c r="I49" s="443">
        <f>+'Co-PI Budget (4)'!C21</f>
        <v>0</v>
      </c>
      <c r="J49" s="12">
        <f t="shared" si="69"/>
        <v>0</v>
      </c>
      <c r="K49" s="12">
        <f t="shared" si="70"/>
        <v>0</v>
      </c>
      <c r="L49" s="12">
        <f t="shared" si="71"/>
        <v>0</v>
      </c>
      <c r="M49" s="443">
        <f>+'Co-PI Budget (4)'!D21</f>
        <v>0</v>
      </c>
      <c r="N49" s="12">
        <f t="shared" si="72"/>
        <v>0</v>
      </c>
      <c r="O49" s="12">
        <f t="shared" si="73"/>
        <v>0</v>
      </c>
      <c r="P49" s="12">
        <f t="shared" si="74"/>
        <v>0</v>
      </c>
      <c r="Q49" s="443">
        <f>+'Co-PI Budget (4)'!E21</f>
        <v>0</v>
      </c>
      <c r="R49" s="12">
        <f t="shared" si="75"/>
        <v>0</v>
      </c>
      <c r="S49" s="12">
        <f t="shared" si="76"/>
        <v>0</v>
      </c>
      <c r="T49" s="12">
        <f t="shared" si="77"/>
        <v>0</v>
      </c>
      <c r="U49" s="443">
        <f>+'Co-PI Budget (4)'!U21</f>
        <v>0</v>
      </c>
      <c r="W49" s="444">
        <f t="shared" si="78"/>
        <v>0</v>
      </c>
      <c r="X49" s="12">
        <f t="shared" si="79"/>
        <v>0</v>
      </c>
      <c r="Y49" s="12">
        <f t="shared" si="80"/>
        <v>0</v>
      </c>
      <c r="Z49" s="443">
        <f t="shared" si="81"/>
        <v>0</v>
      </c>
      <c r="AB49" s="456">
        <f t="shared" ref="AB49:AC49" si="142">+AB20</f>
        <v>1</v>
      </c>
      <c r="AC49" s="455">
        <f t="shared" si="142"/>
        <v>0</v>
      </c>
      <c r="AD49" s="440">
        <f t="shared" si="83"/>
        <v>0</v>
      </c>
      <c r="AF49" s="456">
        <f t="shared" ref="AF49:AG49" si="143">+AF20</f>
        <v>1</v>
      </c>
      <c r="AG49" s="455">
        <f t="shared" si="143"/>
        <v>0</v>
      </c>
      <c r="AH49" s="440">
        <f t="shared" si="85"/>
        <v>0</v>
      </c>
      <c r="AJ49" s="456">
        <f t="shared" ref="AJ49:AK49" si="144">+AJ20</f>
        <v>1</v>
      </c>
      <c r="AK49" s="455">
        <f t="shared" si="144"/>
        <v>0</v>
      </c>
      <c r="AL49" s="440">
        <f t="shared" si="87"/>
        <v>0</v>
      </c>
      <c r="AN49" s="456">
        <f t="shared" ref="AN49:AO49" si="145">+AN20</f>
        <v>1</v>
      </c>
      <c r="AO49" s="455">
        <f t="shared" si="145"/>
        <v>0</v>
      </c>
      <c r="AP49" s="440">
        <f t="shared" si="89"/>
        <v>0</v>
      </c>
      <c r="AR49" s="456">
        <f t="shared" ref="AR49:AS49" si="146">+AR20</f>
        <v>1</v>
      </c>
      <c r="AS49" s="455">
        <f t="shared" si="146"/>
        <v>0</v>
      </c>
      <c r="AT49" s="440">
        <f t="shared" si="91"/>
        <v>0</v>
      </c>
    </row>
    <row r="50" spans="1:46" x14ac:dyDescent="0.2">
      <c r="A50" s="10" t="str">
        <f t="shared" si="62"/>
        <v>Co-PI</v>
      </c>
      <c r="B50" s="12">
        <f t="shared" si="63"/>
        <v>0</v>
      </c>
      <c r="C50" s="12">
        <f t="shared" si="64"/>
        <v>0</v>
      </c>
      <c r="D50" s="12">
        <f t="shared" si="65"/>
        <v>0</v>
      </c>
      <c r="E50" s="443">
        <f>+'Co-PI Budget (4)'!B22</f>
        <v>0</v>
      </c>
      <c r="F50" s="12">
        <f t="shared" si="66"/>
        <v>0</v>
      </c>
      <c r="G50" s="12">
        <f t="shared" si="67"/>
        <v>0</v>
      </c>
      <c r="H50" s="12">
        <f t="shared" si="68"/>
        <v>0</v>
      </c>
      <c r="I50" s="443">
        <f>+'Co-PI Budget (4)'!C22</f>
        <v>0</v>
      </c>
      <c r="J50" s="12">
        <f t="shared" si="69"/>
        <v>0</v>
      </c>
      <c r="K50" s="12">
        <f t="shared" si="70"/>
        <v>0</v>
      </c>
      <c r="L50" s="12">
        <f t="shared" si="71"/>
        <v>0</v>
      </c>
      <c r="M50" s="443">
        <f>+'Co-PI Budget (4)'!D22</f>
        <v>0</v>
      </c>
      <c r="N50" s="12">
        <f t="shared" si="72"/>
        <v>0</v>
      </c>
      <c r="O50" s="12">
        <f t="shared" si="73"/>
        <v>0</v>
      </c>
      <c r="P50" s="12">
        <f t="shared" si="74"/>
        <v>0</v>
      </c>
      <c r="Q50" s="443">
        <f>+'Co-PI Budget (4)'!E22</f>
        <v>0</v>
      </c>
      <c r="R50" s="12">
        <f t="shared" si="75"/>
        <v>0</v>
      </c>
      <c r="S50" s="12">
        <f t="shared" si="76"/>
        <v>0</v>
      </c>
      <c r="T50" s="12">
        <f t="shared" si="77"/>
        <v>0</v>
      </c>
      <c r="U50" s="443">
        <f>+'Co-PI Budget (4)'!U22</f>
        <v>0</v>
      </c>
      <c r="W50" s="444">
        <f t="shared" si="78"/>
        <v>0</v>
      </c>
      <c r="X50" s="12">
        <f t="shared" si="79"/>
        <v>0</v>
      </c>
      <c r="Y50" s="12">
        <f t="shared" si="80"/>
        <v>0</v>
      </c>
      <c r="Z50" s="443">
        <f t="shared" si="81"/>
        <v>0</v>
      </c>
      <c r="AB50" s="456">
        <f t="shared" ref="AB50:AC50" si="147">+AB21</f>
        <v>1</v>
      </c>
      <c r="AC50" s="455">
        <f t="shared" si="147"/>
        <v>0</v>
      </c>
      <c r="AD50" s="440">
        <f t="shared" si="83"/>
        <v>0</v>
      </c>
      <c r="AF50" s="456">
        <f t="shared" ref="AF50:AG50" si="148">+AF21</f>
        <v>1</v>
      </c>
      <c r="AG50" s="455">
        <f t="shared" si="148"/>
        <v>0</v>
      </c>
      <c r="AH50" s="440">
        <f t="shared" si="85"/>
        <v>0</v>
      </c>
      <c r="AJ50" s="456">
        <f t="shared" ref="AJ50:AK50" si="149">+AJ21</f>
        <v>1</v>
      </c>
      <c r="AK50" s="455">
        <f t="shared" si="149"/>
        <v>0</v>
      </c>
      <c r="AL50" s="440">
        <f t="shared" si="87"/>
        <v>0</v>
      </c>
      <c r="AN50" s="456">
        <f t="shared" ref="AN50:AO50" si="150">+AN21</f>
        <v>1</v>
      </c>
      <c r="AO50" s="455">
        <f t="shared" si="150"/>
        <v>0</v>
      </c>
      <c r="AP50" s="440">
        <f t="shared" si="89"/>
        <v>0</v>
      </c>
      <c r="AR50" s="456">
        <f t="shared" ref="AR50:AS50" si="151">+AR21</f>
        <v>1</v>
      </c>
      <c r="AS50" s="455">
        <f t="shared" si="151"/>
        <v>0</v>
      </c>
      <c r="AT50" s="440">
        <f t="shared" si="91"/>
        <v>0</v>
      </c>
    </row>
    <row r="51" spans="1:46" x14ac:dyDescent="0.2">
      <c r="A51" s="10" t="str">
        <f t="shared" si="62"/>
        <v>Co-PI</v>
      </c>
      <c r="B51" s="12">
        <f t="shared" si="63"/>
        <v>0</v>
      </c>
      <c r="C51" s="12">
        <f t="shared" si="64"/>
        <v>0</v>
      </c>
      <c r="D51" s="12">
        <f t="shared" si="65"/>
        <v>0</v>
      </c>
      <c r="E51" s="443">
        <f>+'Co-PI Budget (4)'!B23</f>
        <v>0</v>
      </c>
      <c r="F51" s="12">
        <f t="shared" si="66"/>
        <v>0</v>
      </c>
      <c r="G51" s="12">
        <f t="shared" si="67"/>
        <v>0</v>
      </c>
      <c r="H51" s="12">
        <f t="shared" si="68"/>
        <v>0</v>
      </c>
      <c r="I51" s="443">
        <f>+'Co-PI Budget (4)'!C23</f>
        <v>0</v>
      </c>
      <c r="J51" s="12">
        <f t="shared" si="69"/>
        <v>0</v>
      </c>
      <c r="K51" s="12">
        <f t="shared" si="70"/>
        <v>0</v>
      </c>
      <c r="L51" s="12">
        <f t="shared" si="71"/>
        <v>0</v>
      </c>
      <c r="M51" s="443">
        <f>+'Co-PI Budget (4)'!D23</f>
        <v>0</v>
      </c>
      <c r="N51" s="12">
        <f t="shared" si="72"/>
        <v>0</v>
      </c>
      <c r="O51" s="12">
        <f t="shared" si="73"/>
        <v>0</v>
      </c>
      <c r="P51" s="12">
        <f t="shared" si="74"/>
        <v>0</v>
      </c>
      <c r="Q51" s="443">
        <f>+'Co-PI Budget (4)'!E23</f>
        <v>0</v>
      </c>
      <c r="R51" s="12">
        <f t="shared" si="75"/>
        <v>0</v>
      </c>
      <c r="S51" s="12">
        <f t="shared" si="76"/>
        <v>0</v>
      </c>
      <c r="T51" s="12">
        <f t="shared" si="77"/>
        <v>0</v>
      </c>
      <c r="U51" s="443">
        <f>+'Co-PI Budget (4)'!U23</f>
        <v>0</v>
      </c>
      <c r="W51" s="444">
        <f t="shared" si="78"/>
        <v>0</v>
      </c>
      <c r="X51" s="12">
        <f t="shared" si="79"/>
        <v>0</v>
      </c>
      <c r="Y51" s="12">
        <f t="shared" si="80"/>
        <v>0</v>
      </c>
      <c r="Z51" s="443">
        <f t="shared" si="81"/>
        <v>0</v>
      </c>
      <c r="AB51" s="456">
        <f t="shared" ref="AB51:AC51" si="152">+AB22</f>
        <v>1</v>
      </c>
      <c r="AC51" s="455">
        <f t="shared" si="152"/>
        <v>0</v>
      </c>
      <c r="AD51" s="440">
        <f t="shared" si="83"/>
        <v>0</v>
      </c>
      <c r="AF51" s="456">
        <f t="shared" ref="AF51:AG51" si="153">+AF22</f>
        <v>1</v>
      </c>
      <c r="AG51" s="455">
        <f t="shared" si="153"/>
        <v>0</v>
      </c>
      <c r="AH51" s="440">
        <f t="shared" si="85"/>
        <v>0</v>
      </c>
      <c r="AJ51" s="456">
        <f t="shared" ref="AJ51:AK51" si="154">+AJ22</f>
        <v>1</v>
      </c>
      <c r="AK51" s="455">
        <f t="shared" si="154"/>
        <v>0</v>
      </c>
      <c r="AL51" s="440">
        <f t="shared" si="87"/>
        <v>0</v>
      </c>
      <c r="AN51" s="456">
        <f t="shared" ref="AN51:AO51" si="155">+AN22</f>
        <v>1</v>
      </c>
      <c r="AO51" s="455">
        <f t="shared" si="155"/>
        <v>0</v>
      </c>
      <c r="AP51" s="440">
        <f t="shared" si="89"/>
        <v>0</v>
      </c>
      <c r="AR51" s="456">
        <f t="shared" ref="AR51:AS51" si="156">+AR22</f>
        <v>1</v>
      </c>
      <c r="AS51" s="455">
        <f t="shared" si="156"/>
        <v>0</v>
      </c>
      <c r="AT51" s="440">
        <f t="shared" si="91"/>
        <v>0</v>
      </c>
    </row>
    <row r="52" spans="1:46" x14ac:dyDescent="0.2">
      <c r="A52" s="10" t="str">
        <f t="shared" si="62"/>
        <v>Co-PI</v>
      </c>
      <c r="B52" s="12">
        <f t="shared" si="63"/>
        <v>0</v>
      </c>
      <c r="C52" s="12">
        <f t="shared" si="64"/>
        <v>0</v>
      </c>
      <c r="D52" s="12">
        <f t="shared" si="65"/>
        <v>0</v>
      </c>
      <c r="E52" s="443">
        <f>+'Co-PI Budget (5)'!B21</f>
        <v>0</v>
      </c>
      <c r="F52" s="12">
        <f t="shared" si="66"/>
        <v>0</v>
      </c>
      <c r="G52" s="12">
        <f t="shared" si="67"/>
        <v>0</v>
      </c>
      <c r="H52" s="12">
        <f t="shared" si="68"/>
        <v>0</v>
      </c>
      <c r="I52" s="443">
        <f>+'Co-PI Budget (5)'!C21</f>
        <v>0</v>
      </c>
      <c r="J52" s="12">
        <f t="shared" si="69"/>
        <v>0</v>
      </c>
      <c r="K52" s="12">
        <f t="shared" si="70"/>
        <v>0</v>
      </c>
      <c r="L52" s="12">
        <f t="shared" si="71"/>
        <v>0</v>
      </c>
      <c r="M52" s="443">
        <f>+'Co-PI Budget (5)'!D21</f>
        <v>0</v>
      </c>
      <c r="N52" s="12">
        <f t="shared" si="72"/>
        <v>0</v>
      </c>
      <c r="O52" s="12">
        <f t="shared" si="73"/>
        <v>0</v>
      </c>
      <c r="P52" s="12">
        <f t="shared" si="74"/>
        <v>0</v>
      </c>
      <c r="Q52" s="443">
        <f>+'Co-PI Budget (5)'!E21</f>
        <v>0</v>
      </c>
      <c r="R52" s="12">
        <f t="shared" si="75"/>
        <v>0</v>
      </c>
      <c r="S52" s="12">
        <f t="shared" si="76"/>
        <v>0</v>
      </c>
      <c r="T52" s="12">
        <f t="shared" si="77"/>
        <v>0</v>
      </c>
      <c r="U52" s="443">
        <f>+'Co-PI Budget (5)'!U21</f>
        <v>0</v>
      </c>
      <c r="W52" s="444">
        <f t="shared" si="78"/>
        <v>0</v>
      </c>
      <c r="X52" s="12">
        <f t="shared" si="79"/>
        <v>0</v>
      </c>
      <c r="Y52" s="12">
        <f t="shared" si="80"/>
        <v>0</v>
      </c>
      <c r="Z52" s="443">
        <f t="shared" si="81"/>
        <v>0</v>
      </c>
      <c r="AB52" s="456">
        <f t="shared" ref="AB52:AC52" si="157">+AB23</f>
        <v>1</v>
      </c>
      <c r="AC52" s="455">
        <f t="shared" si="157"/>
        <v>0</v>
      </c>
      <c r="AD52" s="440">
        <f t="shared" si="83"/>
        <v>0</v>
      </c>
      <c r="AF52" s="456">
        <f t="shared" ref="AF52:AG52" si="158">+AF23</f>
        <v>1</v>
      </c>
      <c r="AG52" s="455">
        <f t="shared" si="158"/>
        <v>0</v>
      </c>
      <c r="AH52" s="440">
        <f t="shared" si="85"/>
        <v>0</v>
      </c>
      <c r="AJ52" s="456">
        <f t="shared" ref="AJ52:AK52" si="159">+AJ23</f>
        <v>1</v>
      </c>
      <c r="AK52" s="455">
        <f t="shared" si="159"/>
        <v>0</v>
      </c>
      <c r="AL52" s="440">
        <f t="shared" si="87"/>
        <v>0</v>
      </c>
      <c r="AN52" s="456">
        <f t="shared" ref="AN52:AO52" si="160">+AN23</f>
        <v>1</v>
      </c>
      <c r="AO52" s="455">
        <f t="shared" si="160"/>
        <v>0</v>
      </c>
      <c r="AP52" s="440">
        <f t="shared" si="89"/>
        <v>0</v>
      </c>
      <c r="AR52" s="456">
        <f t="shared" ref="AR52:AS52" si="161">+AR23</f>
        <v>1</v>
      </c>
      <c r="AS52" s="455">
        <f t="shared" si="161"/>
        <v>0</v>
      </c>
      <c r="AT52" s="440">
        <f t="shared" si="91"/>
        <v>0</v>
      </c>
    </row>
    <row r="53" spans="1:46" x14ac:dyDescent="0.2">
      <c r="A53" s="10" t="str">
        <f t="shared" si="62"/>
        <v>Co-PI</v>
      </c>
      <c r="B53" s="12">
        <f t="shared" si="63"/>
        <v>0</v>
      </c>
      <c r="C53" s="12">
        <f t="shared" si="64"/>
        <v>0</v>
      </c>
      <c r="D53" s="12">
        <f t="shared" si="65"/>
        <v>0</v>
      </c>
      <c r="E53" s="443">
        <f>+'Co-PI Budget (5)'!B22</f>
        <v>0</v>
      </c>
      <c r="F53" s="12">
        <f t="shared" si="66"/>
        <v>0</v>
      </c>
      <c r="G53" s="12">
        <f t="shared" si="67"/>
        <v>0</v>
      </c>
      <c r="H53" s="12">
        <f t="shared" si="68"/>
        <v>0</v>
      </c>
      <c r="I53" s="443">
        <f>+'Co-PI Budget (5)'!C22</f>
        <v>0</v>
      </c>
      <c r="J53" s="12">
        <f t="shared" si="69"/>
        <v>0</v>
      </c>
      <c r="K53" s="12">
        <f t="shared" si="70"/>
        <v>0</v>
      </c>
      <c r="L53" s="12">
        <f t="shared" si="71"/>
        <v>0</v>
      </c>
      <c r="M53" s="443">
        <f>+'Co-PI Budget (5)'!D22</f>
        <v>0</v>
      </c>
      <c r="N53" s="12">
        <f t="shared" si="72"/>
        <v>0</v>
      </c>
      <c r="O53" s="12">
        <f t="shared" si="73"/>
        <v>0</v>
      </c>
      <c r="P53" s="12">
        <f t="shared" si="74"/>
        <v>0</v>
      </c>
      <c r="Q53" s="443">
        <f>+'Co-PI Budget (5)'!E22</f>
        <v>0</v>
      </c>
      <c r="R53" s="12">
        <f t="shared" si="75"/>
        <v>0</v>
      </c>
      <c r="S53" s="12">
        <f t="shared" si="76"/>
        <v>0</v>
      </c>
      <c r="T53" s="12">
        <f t="shared" si="77"/>
        <v>0</v>
      </c>
      <c r="U53" s="443">
        <f>+'Co-PI Budget (5)'!U22</f>
        <v>0</v>
      </c>
      <c r="W53" s="444">
        <f t="shared" si="78"/>
        <v>0</v>
      </c>
      <c r="X53" s="12">
        <f t="shared" si="79"/>
        <v>0</v>
      </c>
      <c r="Y53" s="12">
        <f t="shared" si="80"/>
        <v>0</v>
      </c>
      <c r="Z53" s="443">
        <f t="shared" si="81"/>
        <v>0</v>
      </c>
      <c r="AB53" s="456">
        <f t="shared" ref="AB53:AC53" si="162">+AB24</f>
        <v>1</v>
      </c>
      <c r="AC53" s="455">
        <f t="shared" si="162"/>
        <v>0</v>
      </c>
      <c r="AD53" s="440">
        <f t="shared" si="83"/>
        <v>0</v>
      </c>
      <c r="AF53" s="456">
        <f t="shared" ref="AF53:AG53" si="163">+AF24</f>
        <v>1</v>
      </c>
      <c r="AG53" s="455">
        <f t="shared" si="163"/>
        <v>0</v>
      </c>
      <c r="AH53" s="440">
        <f t="shared" si="85"/>
        <v>0</v>
      </c>
      <c r="AJ53" s="456">
        <f t="shared" ref="AJ53:AK53" si="164">+AJ24</f>
        <v>1</v>
      </c>
      <c r="AK53" s="455">
        <f t="shared" si="164"/>
        <v>0</v>
      </c>
      <c r="AL53" s="440">
        <f t="shared" si="87"/>
        <v>0</v>
      </c>
      <c r="AN53" s="456">
        <f t="shared" ref="AN53:AO53" si="165">+AN24</f>
        <v>1</v>
      </c>
      <c r="AO53" s="455">
        <f t="shared" si="165"/>
        <v>0</v>
      </c>
      <c r="AP53" s="440">
        <f t="shared" si="89"/>
        <v>0</v>
      </c>
      <c r="AR53" s="456">
        <f t="shared" ref="AR53:AS53" si="166">+AR24</f>
        <v>1</v>
      </c>
      <c r="AS53" s="455">
        <f t="shared" si="166"/>
        <v>0</v>
      </c>
      <c r="AT53" s="440">
        <f t="shared" si="91"/>
        <v>0</v>
      </c>
    </row>
    <row r="54" spans="1:46" x14ac:dyDescent="0.2">
      <c r="A54" s="10" t="str">
        <f t="shared" si="62"/>
        <v>Co-PI</v>
      </c>
      <c r="B54" s="12">
        <f t="shared" si="63"/>
        <v>0</v>
      </c>
      <c r="C54" s="12">
        <f t="shared" si="64"/>
        <v>0</v>
      </c>
      <c r="D54" s="12">
        <f t="shared" si="65"/>
        <v>0</v>
      </c>
      <c r="E54" s="443">
        <f>+'Co-PI Budget (5)'!B23</f>
        <v>0</v>
      </c>
      <c r="F54" s="12">
        <f t="shared" si="66"/>
        <v>0</v>
      </c>
      <c r="G54" s="12">
        <f t="shared" si="67"/>
        <v>0</v>
      </c>
      <c r="H54" s="12">
        <f t="shared" si="68"/>
        <v>0</v>
      </c>
      <c r="I54" s="443">
        <f>+'Co-PI Budget (5)'!C23</f>
        <v>0</v>
      </c>
      <c r="J54" s="12">
        <f t="shared" si="69"/>
        <v>0</v>
      </c>
      <c r="K54" s="12">
        <f t="shared" si="70"/>
        <v>0</v>
      </c>
      <c r="L54" s="12">
        <f t="shared" si="71"/>
        <v>0</v>
      </c>
      <c r="M54" s="443">
        <f>+'Co-PI Budget (5)'!D23</f>
        <v>0</v>
      </c>
      <c r="N54" s="12">
        <f t="shared" si="72"/>
        <v>0</v>
      </c>
      <c r="O54" s="12">
        <f t="shared" si="73"/>
        <v>0</v>
      </c>
      <c r="P54" s="12">
        <f t="shared" si="74"/>
        <v>0</v>
      </c>
      <c r="Q54" s="443">
        <f>+'Co-PI Budget (5)'!E23</f>
        <v>0</v>
      </c>
      <c r="R54" s="12">
        <f t="shared" si="75"/>
        <v>0</v>
      </c>
      <c r="S54" s="12">
        <f t="shared" si="76"/>
        <v>0</v>
      </c>
      <c r="T54" s="12">
        <f t="shared" si="77"/>
        <v>0</v>
      </c>
      <c r="U54" s="443">
        <f>+'Co-PI Budget (5)'!U23</f>
        <v>0</v>
      </c>
      <c r="W54" s="444">
        <f t="shared" si="78"/>
        <v>0</v>
      </c>
      <c r="X54" s="12">
        <f t="shared" si="79"/>
        <v>0</v>
      </c>
      <c r="Y54" s="12">
        <f t="shared" si="80"/>
        <v>0</v>
      </c>
      <c r="Z54" s="443">
        <f t="shared" si="81"/>
        <v>0</v>
      </c>
      <c r="AB54" s="456">
        <f t="shared" ref="AB54:AC54" si="167">+AB25</f>
        <v>1</v>
      </c>
      <c r="AC54" s="455">
        <f t="shared" si="167"/>
        <v>0</v>
      </c>
      <c r="AD54" s="440">
        <f t="shared" si="83"/>
        <v>0</v>
      </c>
      <c r="AF54" s="456">
        <f t="shared" ref="AF54:AG54" si="168">+AF25</f>
        <v>1</v>
      </c>
      <c r="AG54" s="455">
        <f t="shared" si="168"/>
        <v>0</v>
      </c>
      <c r="AH54" s="440">
        <f t="shared" si="85"/>
        <v>0</v>
      </c>
      <c r="AJ54" s="456">
        <f t="shared" ref="AJ54:AK54" si="169">+AJ25</f>
        <v>1</v>
      </c>
      <c r="AK54" s="455">
        <f t="shared" si="169"/>
        <v>0</v>
      </c>
      <c r="AL54" s="440">
        <f t="shared" si="87"/>
        <v>0</v>
      </c>
      <c r="AN54" s="456">
        <f t="shared" ref="AN54:AO54" si="170">+AN25</f>
        <v>1</v>
      </c>
      <c r="AO54" s="455">
        <f t="shared" si="170"/>
        <v>0</v>
      </c>
      <c r="AP54" s="440">
        <f t="shared" si="89"/>
        <v>0</v>
      </c>
      <c r="AR54" s="456">
        <f t="shared" ref="AR54:AS54" si="171">+AR25</f>
        <v>1</v>
      </c>
      <c r="AS54" s="455">
        <f t="shared" si="171"/>
        <v>0</v>
      </c>
      <c r="AT54" s="440">
        <f t="shared" si="91"/>
        <v>0</v>
      </c>
    </row>
    <row r="55" spans="1:46" x14ac:dyDescent="0.2">
      <c r="A55" s="10" t="str">
        <f>+A28</f>
        <v>Post Doctoral Scholar(s)</v>
      </c>
      <c r="B55" s="12">
        <f t="shared" si="63"/>
        <v>15880</v>
      </c>
      <c r="C55" s="12">
        <f t="shared" si="64"/>
        <v>0</v>
      </c>
      <c r="D55" s="12">
        <f t="shared" si="65"/>
        <v>0</v>
      </c>
      <c r="E55" s="443">
        <f>+'Lead Budget'!B24+Stedman!B24+'Co PI 2'!B24+'Co PI 3'!B24+'Co-PI Budget (4)'!B24+'Co-PI Budget (5)'!B24</f>
        <v>15880</v>
      </c>
      <c r="F55" s="12">
        <f t="shared" si="66"/>
        <v>16436</v>
      </c>
      <c r="G55" s="12">
        <f t="shared" si="67"/>
        <v>0</v>
      </c>
      <c r="H55" s="12">
        <f t="shared" si="68"/>
        <v>0</v>
      </c>
      <c r="I55" s="443">
        <f>+'Lead Budget'!C24+Stedman!C24+'Co PI 2'!C24+'Co PI 3'!C24+'Co-PI Budget (4)'!C24+'Co-PI Budget (5)'!C24</f>
        <v>16436</v>
      </c>
      <c r="J55" s="12">
        <f t="shared" si="69"/>
        <v>0</v>
      </c>
      <c r="K55" s="12">
        <f t="shared" si="70"/>
        <v>0</v>
      </c>
      <c r="L55" s="12">
        <f t="shared" si="71"/>
        <v>0</v>
      </c>
      <c r="M55" s="443">
        <f>+'Lead Budget'!D24+Stedman!D24+'Co PI 2'!D24+'Co PI 3'!D24+'Co-PI Budget (4)'!D24+'Co-PI Budget (5)'!D24</f>
        <v>0</v>
      </c>
      <c r="N55" s="12">
        <f t="shared" si="72"/>
        <v>0</v>
      </c>
      <c r="O55" s="12">
        <f t="shared" si="73"/>
        <v>0</v>
      </c>
      <c r="P55" s="12">
        <f t="shared" si="74"/>
        <v>0</v>
      </c>
      <c r="Q55" s="443">
        <f>+'Lead Budget'!E24+Stedman!E24+'Co PI 2'!E24+'Co PI 3'!E24+'Co-PI Budget (4)'!E24+'Co-PI Budget (5)'!E24</f>
        <v>0</v>
      </c>
      <c r="R55" s="12">
        <f t="shared" si="75"/>
        <v>0</v>
      </c>
      <c r="S55" s="12">
        <f t="shared" si="76"/>
        <v>0</v>
      </c>
      <c r="T55" s="12">
        <f t="shared" si="77"/>
        <v>0</v>
      </c>
      <c r="U55" s="443">
        <f>+'Lead Budget'!U24+Stedman!U24+'Co PI 2'!U24+'Co PI 3'!U24+'Co-PI Budget (4)'!U24+'Co-PI Budget (5)'!U24</f>
        <v>0</v>
      </c>
      <c r="W55" s="444">
        <f t="shared" si="78"/>
        <v>32316</v>
      </c>
      <c r="X55" s="12">
        <f t="shared" si="79"/>
        <v>0</v>
      </c>
      <c r="Y55" s="12">
        <f t="shared" si="80"/>
        <v>0</v>
      </c>
      <c r="Z55" s="443">
        <f t="shared" si="81"/>
        <v>32316</v>
      </c>
      <c r="AB55" s="456">
        <f>+AB28</f>
        <v>1</v>
      </c>
      <c r="AC55" s="455">
        <f>+AC28</f>
        <v>0</v>
      </c>
      <c r="AD55" s="440">
        <f>100%-(+AB55+AC55)</f>
        <v>0</v>
      </c>
      <c r="AF55" s="456">
        <f>+AF28</f>
        <v>1</v>
      </c>
      <c r="AG55" s="455">
        <f>+AG28</f>
        <v>0</v>
      </c>
      <c r="AH55" s="440">
        <f>100%-(+AF55+AG55)</f>
        <v>0</v>
      </c>
      <c r="AJ55" s="456">
        <f>+AJ28</f>
        <v>1</v>
      </c>
      <c r="AK55" s="455">
        <f>+AK28</f>
        <v>0</v>
      </c>
      <c r="AL55" s="440">
        <f>100%-(+AJ55+AK55)</f>
        <v>0</v>
      </c>
      <c r="AN55" s="456">
        <f>+AN28</f>
        <v>1</v>
      </c>
      <c r="AO55" s="455">
        <f>+AO28</f>
        <v>0</v>
      </c>
      <c r="AP55" s="440">
        <f>100%-(+AN55+AO55)</f>
        <v>0</v>
      </c>
      <c r="AR55" s="456">
        <f>+AR28</f>
        <v>1</v>
      </c>
      <c r="AS55" s="455">
        <f>+AS28</f>
        <v>0</v>
      </c>
      <c r="AT55" s="440">
        <f>100%-(+AR55+AS55)</f>
        <v>0</v>
      </c>
    </row>
    <row r="56" spans="1:46" x14ac:dyDescent="0.2">
      <c r="A56" s="10" t="str">
        <f>+A29</f>
        <v>Research Associate (KB Walsh)</v>
      </c>
      <c r="B56" s="12">
        <f t="shared" si="63"/>
        <v>6876</v>
      </c>
      <c r="C56" s="12">
        <f t="shared" si="64"/>
        <v>0</v>
      </c>
      <c r="D56" s="12">
        <f t="shared" si="65"/>
        <v>0</v>
      </c>
      <c r="E56" s="443">
        <f>+'Lead Budget'!B25+Stedman!B25+'Co PI 2'!B25+'Co PI 3'!B25+'Co-PI Budget (4)'!B25+'Co-PI Budget (5)'!B25</f>
        <v>6876</v>
      </c>
      <c r="F56" s="12">
        <f t="shared" si="66"/>
        <v>8864</v>
      </c>
      <c r="G56" s="12">
        <f t="shared" si="67"/>
        <v>0</v>
      </c>
      <c r="H56" s="12">
        <f t="shared" si="68"/>
        <v>0</v>
      </c>
      <c r="I56" s="443">
        <f>+'Lead Budget'!C25+Stedman!C25+'Co PI 2'!C25+'Co PI 3'!C25+'Co-PI Budget (4)'!C25+'Co-PI Budget (5)'!C25</f>
        <v>8864</v>
      </c>
      <c r="J56" s="12">
        <f t="shared" si="69"/>
        <v>0</v>
      </c>
      <c r="K56" s="12">
        <f t="shared" si="70"/>
        <v>0</v>
      </c>
      <c r="L56" s="12">
        <f t="shared" si="71"/>
        <v>0</v>
      </c>
      <c r="M56" s="443">
        <f>+'Lead Budget'!D25+Stedman!D25+'Co PI 2'!D25+'Co PI 3'!D25+'Co-PI Budget (4)'!D25+'Co-PI Budget (5)'!D25</f>
        <v>0</v>
      </c>
      <c r="N56" s="12">
        <f t="shared" si="72"/>
        <v>0</v>
      </c>
      <c r="O56" s="12">
        <f t="shared" si="73"/>
        <v>0</v>
      </c>
      <c r="P56" s="12">
        <f t="shared" si="74"/>
        <v>0</v>
      </c>
      <c r="Q56" s="443">
        <f>+'Lead Budget'!E25+Stedman!E25+'Co PI 2'!E25+'Co PI 3'!E25+'Co-PI Budget (4)'!E25+'Co-PI Budget (5)'!E25</f>
        <v>0</v>
      </c>
      <c r="R56" s="12">
        <f t="shared" si="75"/>
        <v>0</v>
      </c>
      <c r="S56" s="12">
        <f t="shared" si="76"/>
        <v>0</v>
      </c>
      <c r="T56" s="12">
        <f t="shared" si="77"/>
        <v>0</v>
      </c>
      <c r="U56" s="443">
        <f>+'Lead Budget'!U25+Stedman!U25+'Co PI 2'!U25+'Co PI 3'!U25+'Co-PI Budget (4)'!U25+'Co-PI Budget (5)'!U25</f>
        <v>0</v>
      </c>
      <c r="W56" s="444">
        <f t="shared" si="78"/>
        <v>15740</v>
      </c>
      <c r="X56" s="12">
        <f t="shared" si="79"/>
        <v>0</v>
      </c>
      <c r="Y56" s="12">
        <f t="shared" si="80"/>
        <v>0</v>
      </c>
      <c r="Z56" s="443">
        <f t="shared" si="81"/>
        <v>15740</v>
      </c>
      <c r="AB56" s="456">
        <f>+AB29</f>
        <v>1</v>
      </c>
      <c r="AC56" s="455">
        <f>+AC29</f>
        <v>0</v>
      </c>
      <c r="AD56" s="440">
        <f>100%-(+AB56+AC56)</f>
        <v>0</v>
      </c>
      <c r="AF56" s="456">
        <f>+AF29</f>
        <v>1</v>
      </c>
      <c r="AG56" s="455">
        <f>+AG29</f>
        <v>0</v>
      </c>
      <c r="AH56" s="440">
        <f>100%-(+AF56+AG56)</f>
        <v>0</v>
      </c>
      <c r="AJ56" s="456">
        <f>+AJ29</f>
        <v>1</v>
      </c>
      <c r="AK56" s="455">
        <f>+AK29</f>
        <v>0</v>
      </c>
      <c r="AL56" s="440">
        <f>100%-(+AJ56+AK56)</f>
        <v>0</v>
      </c>
      <c r="AN56" s="456">
        <f>+AN29</f>
        <v>1</v>
      </c>
      <c r="AO56" s="455">
        <f>+AO29</f>
        <v>0</v>
      </c>
      <c r="AP56" s="440">
        <f>100%-(+AN56+AO56)</f>
        <v>0</v>
      </c>
      <c r="AR56" s="456">
        <f>+AR29</f>
        <v>1</v>
      </c>
      <c r="AS56" s="455">
        <f>+AS29</f>
        <v>0</v>
      </c>
      <c r="AT56" s="440">
        <f>100%-(+AR56+AS56)</f>
        <v>0</v>
      </c>
    </row>
    <row r="57" spans="1:46" x14ac:dyDescent="0.2">
      <c r="A57" s="10" t="str">
        <f>+A32</f>
        <v>Research Associate: Sungwook Wi</v>
      </c>
      <c r="B57" s="12">
        <f t="shared" si="63"/>
        <v>7091</v>
      </c>
      <c r="C57" s="12">
        <f t="shared" si="64"/>
        <v>0</v>
      </c>
      <c r="D57" s="12">
        <f t="shared" si="65"/>
        <v>0</v>
      </c>
      <c r="E57" s="443">
        <f>+'Lead Budget'!B26+Stedman!B26+'Co PI 2'!B26+'Co PI 3'!B26+'Co-PI Budget (4)'!B26+'Co-PI Budget (5)'!B26</f>
        <v>7091</v>
      </c>
      <c r="F57" s="12">
        <f t="shared" si="66"/>
        <v>0</v>
      </c>
      <c r="G57" s="12">
        <f t="shared" si="67"/>
        <v>0</v>
      </c>
      <c r="H57" s="12">
        <f t="shared" si="68"/>
        <v>0</v>
      </c>
      <c r="I57" s="443">
        <f>+'Lead Budget'!C26+Stedman!C26+'Co PI 2'!C26+'Co PI 3'!C26+'Co-PI Budget (4)'!C26+'Co-PI Budget (5)'!C26</f>
        <v>0</v>
      </c>
      <c r="J57" s="12">
        <f t="shared" si="69"/>
        <v>0</v>
      </c>
      <c r="K57" s="12">
        <f t="shared" si="70"/>
        <v>0</v>
      </c>
      <c r="L57" s="12">
        <f t="shared" si="71"/>
        <v>0</v>
      </c>
      <c r="M57" s="443">
        <f>+'Lead Budget'!D26+Stedman!D26+'Co PI 2'!D26+'Co PI 3'!D26+'Co-PI Budget (4)'!D26+'Co-PI Budget (5)'!D26</f>
        <v>0</v>
      </c>
      <c r="N57" s="12">
        <f t="shared" si="72"/>
        <v>0</v>
      </c>
      <c r="O57" s="12">
        <f t="shared" si="73"/>
        <v>0</v>
      </c>
      <c r="P57" s="12">
        <f t="shared" si="74"/>
        <v>0</v>
      </c>
      <c r="Q57" s="443">
        <f>+'Lead Budget'!E26+Stedman!E26+'Co PI 2'!E26+'Co PI 3'!E26+'Co-PI Budget (4)'!E26+'Co-PI Budget (5)'!E26</f>
        <v>0</v>
      </c>
      <c r="R57" s="12">
        <f t="shared" si="75"/>
        <v>0</v>
      </c>
      <c r="S57" s="12">
        <f t="shared" si="76"/>
        <v>0</v>
      </c>
      <c r="T57" s="12">
        <f t="shared" si="77"/>
        <v>0</v>
      </c>
      <c r="U57" s="443">
        <f>+'Lead Budget'!U26+Stedman!U26+'Co PI 2'!U26+'Co PI 3'!U26+'Co-PI Budget (4)'!U26+'Co-PI Budget (5)'!U26</f>
        <v>0</v>
      </c>
      <c r="W57" s="444">
        <f t="shared" si="78"/>
        <v>7091</v>
      </c>
      <c r="X57" s="12">
        <f t="shared" si="79"/>
        <v>0</v>
      </c>
      <c r="Y57" s="12">
        <f t="shared" si="80"/>
        <v>0</v>
      </c>
      <c r="Z57" s="443">
        <f t="shared" si="81"/>
        <v>7091</v>
      </c>
      <c r="AB57" s="456">
        <f>+AB32</f>
        <v>1</v>
      </c>
      <c r="AC57" s="455">
        <f>+AC32</f>
        <v>0</v>
      </c>
      <c r="AD57" s="440">
        <f>100%-(+AB57+AC57)</f>
        <v>0</v>
      </c>
      <c r="AF57" s="456">
        <f>+AF32</f>
        <v>1</v>
      </c>
      <c r="AG57" s="455">
        <f>+AG32</f>
        <v>0</v>
      </c>
      <c r="AH57" s="440">
        <f>100%-(+AF57+AG57)</f>
        <v>0</v>
      </c>
      <c r="AJ57" s="456">
        <f>+AJ32</f>
        <v>1</v>
      </c>
      <c r="AK57" s="455">
        <f>+AK32</f>
        <v>0</v>
      </c>
      <c r="AL57" s="440">
        <f>100%-(+AJ57+AK57)</f>
        <v>0</v>
      </c>
      <c r="AN57" s="456">
        <f>+AN32</f>
        <v>1</v>
      </c>
      <c r="AO57" s="455">
        <f>+AO32</f>
        <v>0</v>
      </c>
      <c r="AP57" s="440">
        <f>100%-(+AN57+AO57)</f>
        <v>0</v>
      </c>
      <c r="AR57" s="456">
        <f>+AR32</f>
        <v>1</v>
      </c>
      <c r="AS57" s="455">
        <f>+AS32</f>
        <v>0</v>
      </c>
      <c r="AT57" s="440">
        <f>100%-(+AR57+AS57)</f>
        <v>0</v>
      </c>
    </row>
    <row r="58" spans="1:46" ht="12" thickBot="1" x14ac:dyDescent="0.25">
      <c r="A58" s="15" t="str">
        <f>CONCATENATE("Total ",A36)</f>
        <v>Total Fringe Benefits</v>
      </c>
      <c r="B58" s="447">
        <f t="shared" ref="B58:U58" si="172">SUM(B36:B57)</f>
        <v>40756</v>
      </c>
      <c r="C58" s="447">
        <f t="shared" si="172"/>
        <v>0</v>
      </c>
      <c r="D58" s="447">
        <f t="shared" si="172"/>
        <v>0</v>
      </c>
      <c r="E58" s="438">
        <f t="shared" si="172"/>
        <v>40756</v>
      </c>
      <c r="F58" s="447">
        <f t="shared" si="172"/>
        <v>40073</v>
      </c>
      <c r="G58" s="447">
        <f t="shared" si="172"/>
        <v>0</v>
      </c>
      <c r="H58" s="447">
        <f t="shared" si="172"/>
        <v>0</v>
      </c>
      <c r="I58" s="438">
        <f t="shared" si="172"/>
        <v>40073</v>
      </c>
      <c r="J58" s="447">
        <f t="shared" si="172"/>
        <v>0</v>
      </c>
      <c r="K58" s="447">
        <f t="shared" si="172"/>
        <v>0</v>
      </c>
      <c r="L58" s="447">
        <f t="shared" si="172"/>
        <v>0</v>
      </c>
      <c r="M58" s="438">
        <f t="shared" si="172"/>
        <v>0</v>
      </c>
      <c r="N58" s="447">
        <f t="shared" si="172"/>
        <v>0</v>
      </c>
      <c r="O58" s="447">
        <f t="shared" si="172"/>
        <v>0</v>
      </c>
      <c r="P58" s="447">
        <f t="shared" si="172"/>
        <v>0</v>
      </c>
      <c r="Q58" s="438">
        <f t="shared" si="172"/>
        <v>0</v>
      </c>
      <c r="R58" s="447">
        <f t="shared" si="172"/>
        <v>0</v>
      </c>
      <c r="S58" s="447">
        <f t="shared" si="172"/>
        <v>0</v>
      </c>
      <c r="T58" s="447">
        <f t="shared" si="172"/>
        <v>0</v>
      </c>
      <c r="U58" s="438">
        <f t="shared" si="172"/>
        <v>0</v>
      </c>
      <c r="W58" s="448">
        <f>SUM(W36:W57)</f>
        <v>80829</v>
      </c>
      <c r="X58" s="447">
        <f>SUM(X36:X57)</f>
        <v>0</v>
      </c>
      <c r="Y58" s="447">
        <f>SUM(Y36:Y57)</f>
        <v>0</v>
      </c>
      <c r="Z58" s="438">
        <f>SUM(Z36:Z57)</f>
        <v>80829</v>
      </c>
      <c r="AB58" s="437"/>
      <c r="AC58" s="436"/>
      <c r="AD58" s="435"/>
      <c r="AF58" s="437"/>
      <c r="AG58" s="436"/>
      <c r="AH58" s="435"/>
      <c r="AJ58" s="437"/>
      <c r="AK58" s="436"/>
      <c r="AL58" s="435"/>
      <c r="AN58" s="437"/>
      <c r="AO58" s="436"/>
      <c r="AP58" s="435"/>
      <c r="AR58" s="437"/>
      <c r="AS58" s="436"/>
      <c r="AT58" s="435"/>
    </row>
    <row r="59" spans="1:46" ht="12" thickBot="1" x14ac:dyDescent="0.25">
      <c r="A59" s="143" t="s">
        <v>131</v>
      </c>
      <c r="B59" s="453">
        <f t="shared" ref="B59:U59" si="173">+B26+B34+B58</f>
        <v>100429</v>
      </c>
      <c r="C59" s="453">
        <f t="shared" si="173"/>
        <v>0</v>
      </c>
      <c r="D59" s="453">
        <f t="shared" si="173"/>
        <v>0</v>
      </c>
      <c r="E59" s="452">
        <f t="shared" si="173"/>
        <v>100429</v>
      </c>
      <c r="F59" s="453">
        <f t="shared" si="173"/>
        <v>98745</v>
      </c>
      <c r="G59" s="453">
        <f t="shared" si="173"/>
        <v>0</v>
      </c>
      <c r="H59" s="453">
        <f t="shared" si="173"/>
        <v>0</v>
      </c>
      <c r="I59" s="452">
        <f t="shared" si="173"/>
        <v>98745</v>
      </c>
      <c r="J59" s="453">
        <f t="shared" si="173"/>
        <v>0</v>
      </c>
      <c r="K59" s="453">
        <f t="shared" si="173"/>
        <v>0</v>
      </c>
      <c r="L59" s="453">
        <f t="shared" si="173"/>
        <v>0</v>
      </c>
      <c r="M59" s="452">
        <f t="shared" si="173"/>
        <v>0</v>
      </c>
      <c r="N59" s="453">
        <f t="shared" si="173"/>
        <v>0</v>
      </c>
      <c r="O59" s="453">
        <f t="shared" si="173"/>
        <v>0</v>
      </c>
      <c r="P59" s="453">
        <f t="shared" si="173"/>
        <v>0</v>
      </c>
      <c r="Q59" s="452">
        <f t="shared" si="173"/>
        <v>0</v>
      </c>
      <c r="R59" s="453">
        <f t="shared" si="173"/>
        <v>0</v>
      </c>
      <c r="S59" s="453">
        <f t="shared" si="173"/>
        <v>0</v>
      </c>
      <c r="T59" s="453">
        <f t="shared" si="173"/>
        <v>0</v>
      </c>
      <c r="U59" s="452">
        <f t="shared" si="173"/>
        <v>0</v>
      </c>
      <c r="W59" s="454">
        <f>+W26+W34+W58</f>
        <v>199174</v>
      </c>
      <c r="X59" s="453">
        <f>+X26+X34+X58</f>
        <v>0</v>
      </c>
      <c r="Y59" s="453">
        <f>+Y26+Y34+Y58</f>
        <v>0</v>
      </c>
      <c r="Z59" s="452">
        <f>+Z26+Z34+Z58</f>
        <v>199174</v>
      </c>
      <c r="AB59" s="451"/>
      <c r="AC59" s="450"/>
      <c r="AD59" s="449"/>
      <c r="AF59" s="451"/>
      <c r="AG59" s="450"/>
      <c r="AH59" s="449"/>
      <c r="AJ59" s="451"/>
      <c r="AK59" s="450"/>
      <c r="AL59" s="449"/>
      <c r="AN59" s="451"/>
      <c r="AO59" s="450"/>
      <c r="AP59" s="449"/>
      <c r="AR59" s="451"/>
      <c r="AS59" s="450"/>
      <c r="AT59" s="449"/>
    </row>
    <row r="60" spans="1:46" x14ac:dyDescent="0.2">
      <c r="A60" s="17" t="s">
        <v>25</v>
      </c>
      <c r="B60" s="22"/>
      <c r="C60" s="22"/>
      <c r="D60" s="22"/>
      <c r="E60" s="443"/>
      <c r="F60" s="22"/>
      <c r="G60" s="22"/>
      <c r="H60" s="22"/>
      <c r="I60" s="443"/>
      <c r="J60" s="22"/>
      <c r="K60" s="22"/>
      <c r="L60" s="22"/>
      <c r="M60" s="443"/>
      <c r="N60" s="22"/>
      <c r="O60" s="22"/>
      <c r="P60" s="22"/>
      <c r="Q60" s="443"/>
      <c r="R60" s="22"/>
      <c r="S60" s="22"/>
      <c r="T60" s="22"/>
      <c r="U60" s="443"/>
      <c r="W60" s="398"/>
      <c r="X60" s="22"/>
      <c r="Y60" s="22"/>
      <c r="Z60" s="443"/>
      <c r="AB60" s="446"/>
      <c r="AC60" s="421"/>
      <c r="AD60" s="445"/>
      <c r="AF60" s="446"/>
      <c r="AG60" s="421"/>
      <c r="AH60" s="445"/>
      <c r="AJ60" s="446"/>
      <c r="AK60" s="421"/>
      <c r="AL60" s="445"/>
      <c r="AN60" s="446"/>
      <c r="AO60" s="421"/>
      <c r="AP60" s="445"/>
      <c r="AR60" s="446"/>
      <c r="AS60" s="421"/>
      <c r="AT60" s="445"/>
    </row>
    <row r="61" spans="1:46" x14ac:dyDescent="0.2">
      <c r="A61" s="10" t="s">
        <v>66</v>
      </c>
      <c r="B61" s="12">
        <f>ROUND(AB61*E61,0)</f>
        <v>0</v>
      </c>
      <c r="C61" s="12">
        <f>ROUND(AC61*E61,0)</f>
        <v>0</v>
      </c>
      <c r="D61" s="12">
        <f>+E61-(B61+C61)</f>
        <v>0</v>
      </c>
      <c r="E61" s="443">
        <f>+'Lead Budget'!B31+Stedman!B31+'Co PI 2'!B31+'Co PI 3'!B31+'Co-PI Budget (4)'!B31+'Co-PI Budget (5)'!B31</f>
        <v>0</v>
      </c>
      <c r="F61" s="12">
        <f>ROUND(AF61*I61,0)</f>
        <v>0</v>
      </c>
      <c r="G61" s="12">
        <f>ROUND(AG61*I61,0)</f>
        <v>0</v>
      </c>
      <c r="H61" s="12">
        <f>+I61-(F61+G61)</f>
        <v>0</v>
      </c>
      <c r="I61" s="443">
        <f>+'Lead Budget'!C31+Stedman!C31+'Co PI 2'!C31+'Co PI 3'!C31+'Co-PI Budget (4)'!C31+'Co-PI Budget (5)'!C31</f>
        <v>0</v>
      </c>
      <c r="J61" s="12">
        <f>ROUND(AJ61*M61,0)</f>
        <v>0</v>
      </c>
      <c r="K61" s="12">
        <f>ROUND(AK61*M61,0)</f>
        <v>0</v>
      </c>
      <c r="L61" s="12">
        <f>+M61-(J61+K61)</f>
        <v>0</v>
      </c>
      <c r="M61" s="443">
        <f>+'Lead Budget'!D31+Stedman!D31+'Co PI 2'!D31+'Co PI 3'!D31+'Co-PI Budget (4)'!D31+'Co-PI Budget (5)'!D31</f>
        <v>0</v>
      </c>
      <c r="N61" s="12">
        <f>ROUND(AN61*Q61,0)</f>
        <v>0</v>
      </c>
      <c r="O61" s="12">
        <f>ROUND(AO61*Q61,0)</f>
        <v>0</v>
      </c>
      <c r="P61" s="12">
        <f>+Q61-(N61+O61)</f>
        <v>0</v>
      </c>
      <c r="Q61" s="443">
        <f>+'Lead Budget'!E31+Stedman!E31+'Co PI 2'!E31+'Co PI 3'!E31+'Co-PI Budget (4)'!E31+'Co-PI Budget (5)'!E31</f>
        <v>0</v>
      </c>
      <c r="R61" s="12">
        <f>ROUND(AR61*U61,0)</f>
        <v>0</v>
      </c>
      <c r="S61" s="12">
        <f>ROUND(AS61*U61,0)</f>
        <v>0</v>
      </c>
      <c r="T61" s="12">
        <f>+U61-(R61+S61)</f>
        <v>0</v>
      </c>
      <c r="U61" s="443">
        <f>+'Lead Budget'!F31+Stedman!F31+'Co PI 2'!F31+'Co PI 3'!F31+'Co-PI Budget (4)'!F31+'Co-PI Budget (5)'!F31</f>
        <v>0</v>
      </c>
      <c r="W61" s="444">
        <f>+B61+F61+J61+N61+R61</f>
        <v>0</v>
      </c>
      <c r="X61" s="12">
        <f>+C61+G61+K61+O61+S61</f>
        <v>0</v>
      </c>
      <c r="Y61" s="12">
        <f>+D61+H61+L61+P61+T61</f>
        <v>0</v>
      </c>
      <c r="Z61" s="443">
        <f>SUM(W61:Y61)</f>
        <v>0</v>
      </c>
      <c r="AB61" s="442">
        <v>1</v>
      </c>
      <c r="AC61" s="441">
        <v>0</v>
      </c>
      <c r="AD61" s="440">
        <f>100%-(+AB61+AC61)</f>
        <v>0</v>
      </c>
      <c r="AF61" s="442">
        <f t="shared" ref="AF61" si="174">+$AB61</f>
        <v>1</v>
      </c>
      <c r="AG61" s="441">
        <f t="shared" ref="AG61" si="175">+$AC61</f>
        <v>0</v>
      </c>
      <c r="AH61" s="440">
        <f>100%-(+AF61+AG61)</f>
        <v>0</v>
      </c>
      <c r="AJ61" s="442">
        <f t="shared" ref="AJ61" si="176">+$AB61</f>
        <v>1</v>
      </c>
      <c r="AK61" s="441">
        <f t="shared" ref="AK61" si="177">+$AC61</f>
        <v>0</v>
      </c>
      <c r="AL61" s="440">
        <f>100%-(+AJ61+AK61)</f>
        <v>0</v>
      </c>
      <c r="AN61" s="442">
        <f t="shared" ref="AN61" si="178">+$AB61</f>
        <v>1</v>
      </c>
      <c r="AO61" s="441">
        <f t="shared" ref="AO61" si="179">+$AC61</f>
        <v>0</v>
      </c>
      <c r="AP61" s="440">
        <f>100%-(+AN61+AO61)</f>
        <v>0</v>
      </c>
      <c r="AR61" s="442">
        <f t="shared" ref="AR61" si="180">+$AB61</f>
        <v>1</v>
      </c>
      <c r="AS61" s="441">
        <f t="shared" ref="AS61" si="181">+$AC61</f>
        <v>0</v>
      </c>
      <c r="AT61" s="440">
        <f>100%-(+AR61+AS61)</f>
        <v>0</v>
      </c>
    </row>
    <row r="62" spans="1:46" x14ac:dyDescent="0.2">
      <c r="A62" s="10"/>
      <c r="E62" s="443"/>
      <c r="I62" s="443"/>
      <c r="M62" s="443"/>
      <c r="Q62" s="443"/>
      <c r="U62" s="443"/>
      <c r="W62" s="396"/>
      <c r="Z62" s="443"/>
      <c r="AB62" s="442"/>
      <c r="AC62" s="441"/>
      <c r="AD62" s="440"/>
      <c r="AF62" s="442"/>
      <c r="AG62" s="441"/>
      <c r="AH62" s="440"/>
      <c r="AJ62" s="442"/>
      <c r="AK62" s="441"/>
      <c r="AL62" s="440"/>
      <c r="AN62" s="442"/>
      <c r="AO62" s="441"/>
      <c r="AP62" s="440"/>
      <c r="AR62" s="442"/>
      <c r="AS62" s="441"/>
      <c r="AT62" s="440"/>
    </row>
    <row r="63" spans="1:46" ht="12" thickBot="1" x14ac:dyDescent="0.25">
      <c r="A63" s="15" t="str">
        <f>CONCATENATE("Total ",A60)</f>
        <v>Total Equipment</v>
      </c>
      <c r="B63" s="447">
        <f t="shared" ref="B63:U63" si="182">SUM(B60:B62)</f>
        <v>0</v>
      </c>
      <c r="C63" s="447">
        <f t="shared" si="182"/>
        <v>0</v>
      </c>
      <c r="D63" s="447">
        <f t="shared" si="182"/>
        <v>0</v>
      </c>
      <c r="E63" s="438">
        <f t="shared" si="182"/>
        <v>0</v>
      </c>
      <c r="F63" s="447">
        <f t="shared" si="182"/>
        <v>0</v>
      </c>
      <c r="G63" s="447">
        <f t="shared" si="182"/>
        <v>0</v>
      </c>
      <c r="H63" s="447">
        <f t="shared" si="182"/>
        <v>0</v>
      </c>
      <c r="I63" s="438">
        <f t="shared" si="182"/>
        <v>0</v>
      </c>
      <c r="J63" s="447">
        <f t="shared" si="182"/>
        <v>0</v>
      </c>
      <c r="K63" s="447">
        <f t="shared" si="182"/>
        <v>0</v>
      </c>
      <c r="L63" s="447">
        <f t="shared" si="182"/>
        <v>0</v>
      </c>
      <c r="M63" s="438">
        <f t="shared" si="182"/>
        <v>0</v>
      </c>
      <c r="N63" s="447">
        <f t="shared" si="182"/>
        <v>0</v>
      </c>
      <c r="O63" s="447">
        <f t="shared" si="182"/>
        <v>0</v>
      </c>
      <c r="P63" s="447">
        <f t="shared" si="182"/>
        <v>0</v>
      </c>
      <c r="Q63" s="438">
        <f t="shared" si="182"/>
        <v>0</v>
      </c>
      <c r="R63" s="447">
        <f t="shared" si="182"/>
        <v>0</v>
      </c>
      <c r="S63" s="447">
        <f t="shared" si="182"/>
        <v>0</v>
      </c>
      <c r="T63" s="447">
        <f t="shared" si="182"/>
        <v>0</v>
      </c>
      <c r="U63" s="438">
        <f t="shared" si="182"/>
        <v>0</v>
      </c>
      <c r="W63" s="448">
        <f>SUM(W60:W62)</f>
        <v>0</v>
      </c>
      <c r="X63" s="447">
        <f>SUM(X60:X62)</f>
        <v>0</v>
      </c>
      <c r="Y63" s="447">
        <f>SUM(Y60:Y62)</f>
        <v>0</v>
      </c>
      <c r="Z63" s="438">
        <f>SUM(Z60:Z62)</f>
        <v>0</v>
      </c>
      <c r="AB63" s="437"/>
      <c r="AC63" s="436"/>
      <c r="AD63" s="435"/>
      <c r="AF63" s="437"/>
      <c r="AG63" s="436"/>
      <c r="AH63" s="435"/>
      <c r="AJ63" s="437"/>
      <c r="AK63" s="436"/>
      <c r="AL63" s="435"/>
      <c r="AN63" s="437"/>
      <c r="AO63" s="436"/>
      <c r="AP63" s="435"/>
      <c r="AR63" s="437"/>
      <c r="AS63" s="436"/>
      <c r="AT63" s="435"/>
    </row>
    <row r="64" spans="1:46" x14ac:dyDescent="0.2">
      <c r="A64" s="17" t="s">
        <v>34</v>
      </c>
      <c r="B64" s="22"/>
      <c r="C64" s="22"/>
      <c r="D64" s="22"/>
      <c r="E64" s="443"/>
      <c r="F64" s="22"/>
      <c r="G64" s="22"/>
      <c r="H64" s="22"/>
      <c r="I64" s="443"/>
      <c r="J64" s="22"/>
      <c r="K64" s="22"/>
      <c r="L64" s="22"/>
      <c r="M64" s="443"/>
      <c r="N64" s="22"/>
      <c r="O64" s="22"/>
      <c r="P64" s="22"/>
      <c r="Q64" s="443"/>
      <c r="R64" s="22"/>
      <c r="S64" s="22"/>
      <c r="T64" s="22"/>
      <c r="U64" s="443"/>
      <c r="W64" s="398"/>
      <c r="X64" s="22"/>
      <c r="Y64" s="22"/>
      <c r="Z64" s="443"/>
      <c r="AB64" s="446"/>
      <c r="AC64" s="421"/>
      <c r="AD64" s="445"/>
      <c r="AF64" s="446"/>
      <c r="AG64" s="421"/>
      <c r="AH64" s="445"/>
      <c r="AJ64" s="446"/>
      <c r="AK64" s="421"/>
      <c r="AL64" s="445"/>
      <c r="AN64" s="446"/>
      <c r="AO64" s="421"/>
      <c r="AP64" s="445"/>
      <c r="AR64" s="446"/>
      <c r="AS64" s="421"/>
      <c r="AT64" s="445"/>
    </row>
    <row r="65" spans="1:46" x14ac:dyDescent="0.2">
      <c r="A65" s="10" t="s">
        <v>10</v>
      </c>
      <c r="B65" s="12">
        <f>ROUND(AB65*E65,0)</f>
        <v>0</v>
      </c>
      <c r="C65" s="12">
        <f>ROUND(AC65*E65,0)</f>
        <v>0</v>
      </c>
      <c r="D65" s="12">
        <f>+E65-(B65+C65)</f>
        <v>0</v>
      </c>
      <c r="E65" s="443">
        <f>+'Lead Budget'!B35+Stedman!B35+'Co PI 2'!B35+'Co PI 3'!B35+'Co-PI Budget (4)'!B35+'Co-PI Budget (5)'!B35</f>
        <v>0</v>
      </c>
      <c r="F65" s="12">
        <f>ROUND(AF65*I65,0)</f>
        <v>523</v>
      </c>
      <c r="G65" s="12">
        <f>ROUND(AG65*I65,0)</f>
        <v>0</v>
      </c>
      <c r="H65" s="12">
        <f>+I65-(F65+G65)</f>
        <v>0</v>
      </c>
      <c r="I65" s="443">
        <f>+'Lead Budget'!C35+Stedman!C35+'Co PI 2'!C35+'Co PI 3'!C35+'Co-PI Budget (4)'!C35+'Co-PI Budget (5)'!C35</f>
        <v>523</v>
      </c>
      <c r="J65" s="12">
        <f>ROUND(AJ65*M65,0)</f>
        <v>0</v>
      </c>
      <c r="K65" s="12">
        <f>ROUND(AK65*M65,0)</f>
        <v>0</v>
      </c>
      <c r="L65" s="12">
        <f>+M65-(J65+K65)</f>
        <v>0</v>
      </c>
      <c r="M65" s="443">
        <f>+'Lead Budget'!D35+Stedman!D35+'Co PI 2'!D35+'Co PI 3'!D35+'Co-PI Budget (4)'!D35+'Co-PI Budget (5)'!D35</f>
        <v>0</v>
      </c>
      <c r="N65" s="12">
        <f>ROUND(AN65*Q65,0)</f>
        <v>0</v>
      </c>
      <c r="O65" s="12">
        <f>ROUND(AO65*Q65,0)</f>
        <v>0</v>
      </c>
      <c r="P65" s="12">
        <f>+Q65-(N65+O65)</f>
        <v>0</v>
      </c>
      <c r="Q65" s="443">
        <f>+'Lead Budget'!E35+Stedman!E35+'Co PI 2'!E35+'Co PI 3'!E35+'Co-PI Budget (4)'!E35+'Co-PI Budget (5)'!E35</f>
        <v>0</v>
      </c>
      <c r="R65" s="12">
        <f>ROUND(AR65*U65,0)</f>
        <v>0</v>
      </c>
      <c r="S65" s="12">
        <f>ROUND(AS65*U65,0)</f>
        <v>0</v>
      </c>
      <c r="T65" s="12">
        <f>+U65-(R65+S65)</f>
        <v>0</v>
      </c>
      <c r="U65" s="443">
        <f>+'Lead Budget'!F35+Stedman!F35+'Co PI 2'!F35+'Co PI 3'!F35+'Co-PI Budget (4)'!F35+'Co-PI Budget (5)'!F35</f>
        <v>0</v>
      </c>
      <c r="W65" s="444">
        <f t="shared" ref="W65:Y66" si="183">+B65+F65+J65+N65+R65</f>
        <v>523</v>
      </c>
      <c r="X65" s="12">
        <f t="shared" si="183"/>
        <v>0</v>
      </c>
      <c r="Y65" s="12">
        <f t="shared" si="183"/>
        <v>0</v>
      </c>
      <c r="Z65" s="443">
        <f>SUM(W65:Y65)</f>
        <v>523</v>
      </c>
      <c r="AB65" s="442">
        <v>1</v>
      </c>
      <c r="AC65" s="441">
        <v>0</v>
      </c>
      <c r="AD65" s="440">
        <f>100%-(+AB65+AC65)</f>
        <v>0</v>
      </c>
      <c r="AF65" s="442">
        <f t="shared" ref="AF65:AF66" si="184">+$AB65</f>
        <v>1</v>
      </c>
      <c r="AG65" s="441">
        <f t="shared" ref="AG65:AG66" si="185">+$AC65</f>
        <v>0</v>
      </c>
      <c r="AH65" s="440">
        <f>100%-(+AF65+AG65)</f>
        <v>0</v>
      </c>
      <c r="AJ65" s="442">
        <f t="shared" ref="AJ65:AJ66" si="186">+$AB65</f>
        <v>1</v>
      </c>
      <c r="AK65" s="441">
        <f t="shared" ref="AK65:AK66" si="187">+$AC65</f>
        <v>0</v>
      </c>
      <c r="AL65" s="440">
        <f>100%-(+AJ65+AK65)</f>
        <v>0</v>
      </c>
      <c r="AN65" s="442">
        <f>+$AB65</f>
        <v>1</v>
      </c>
      <c r="AO65" s="441">
        <f>+$AC65</f>
        <v>0</v>
      </c>
      <c r="AP65" s="440">
        <f>100%-(+AN65+AO65)</f>
        <v>0</v>
      </c>
      <c r="AR65" s="442">
        <f>+$AB65</f>
        <v>1</v>
      </c>
      <c r="AS65" s="441">
        <f>+$AC65</f>
        <v>0</v>
      </c>
      <c r="AT65" s="440">
        <f>100%-(+AR65+AS65)</f>
        <v>0</v>
      </c>
    </row>
    <row r="66" spans="1:46" x14ac:dyDescent="0.2">
      <c r="A66" s="10" t="s">
        <v>11</v>
      </c>
      <c r="B66" s="12">
        <f>ROUND(AB66*E66,0)</f>
        <v>0</v>
      </c>
      <c r="C66" s="12">
        <f>ROUND(AC66*E66,0)</f>
        <v>0</v>
      </c>
      <c r="D66" s="12">
        <f>+E66-(B66+C66)</f>
        <v>0</v>
      </c>
      <c r="E66" s="443">
        <f>+'Lead Budget'!B36+Stedman!B36+'Co PI 2'!B36+'Co PI 3'!B36+'Co-PI Budget (4)'!B36+'Co-PI Budget (5)'!B36</f>
        <v>0</v>
      </c>
      <c r="F66" s="12">
        <f>ROUND(AF66*I66,0)</f>
        <v>0</v>
      </c>
      <c r="G66" s="12">
        <f>ROUND(AG66*I66,0)</f>
        <v>0</v>
      </c>
      <c r="H66" s="12">
        <f>+I66-(F66+G66)</f>
        <v>0</v>
      </c>
      <c r="I66" s="443">
        <f>+'Lead Budget'!C36+Stedman!C36+'Co PI 2'!C36+'Co PI 3'!C36+'Co-PI Budget (4)'!C36+'Co-PI Budget (5)'!C36</f>
        <v>0</v>
      </c>
      <c r="J66" s="12">
        <f>ROUND(AJ66*M66,0)</f>
        <v>0</v>
      </c>
      <c r="K66" s="12">
        <f>ROUND(AK66*M66,0)</f>
        <v>0</v>
      </c>
      <c r="L66" s="12">
        <f>+M66-(J66+K66)</f>
        <v>0</v>
      </c>
      <c r="M66" s="443">
        <f>+'Lead Budget'!D36+Stedman!D36+'Co PI 2'!D36+'Co PI 3'!D36+'Co-PI Budget (4)'!D36+'Co-PI Budget (5)'!D36</f>
        <v>0</v>
      </c>
      <c r="N66" s="12">
        <f>ROUND(AN66*Q66,0)</f>
        <v>0</v>
      </c>
      <c r="O66" s="12">
        <f>ROUND(AO66*Q66,0)</f>
        <v>0</v>
      </c>
      <c r="P66" s="12">
        <f>+Q66-(N66+O66)</f>
        <v>0</v>
      </c>
      <c r="Q66" s="443">
        <f>+'Lead Budget'!E36+Stedman!E36+'Co PI 2'!E36+'Co PI 3'!E36+'Co-PI Budget (4)'!E36+'Co-PI Budget (5)'!E36</f>
        <v>0</v>
      </c>
      <c r="R66" s="12">
        <f>ROUND(AR66*U66,0)</f>
        <v>0</v>
      </c>
      <c r="S66" s="12">
        <f>ROUND(AS66*U66,0)</f>
        <v>0</v>
      </c>
      <c r="T66" s="12">
        <f>+U66-(R66+S66)</f>
        <v>0</v>
      </c>
      <c r="U66" s="443">
        <f>+'Lead Budget'!F36+Stedman!F36+'Co PI 2'!F36+'Co PI 3'!F36+'Co-PI Budget (4)'!F36+'Co-PI Budget (5)'!F36</f>
        <v>0</v>
      </c>
      <c r="W66" s="444">
        <f t="shared" si="183"/>
        <v>0</v>
      </c>
      <c r="X66" s="12">
        <f t="shared" si="183"/>
        <v>0</v>
      </c>
      <c r="Y66" s="12">
        <f t="shared" si="183"/>
        <v>0</v>
      </c>
      <c r="Z66" s="443">
        <f>SUM(W66:Y66)</f>
        <v>0</v>
      </c>
      <c r="AB66" s="442">
        <v>1</v>
      </c>
      <c r="AC66" s="441">
        <v>0</v>
      </c>
      <c r="AD66" s="440">
        <f>100%-(+AB66+AC66)</f>
        <v>0</v>
      </c>
      <c r="AF66" s="442">
        <f t="shared" si="184"/>
        <v>1</v>
      </c>
      <c r="AG66" s="441">
        <f t="shared" si="185"/>
        <v>0</v>
      </c>
      <c r="AH66" s="440">
        <f>100%-(+AF66+AG66)</f>
        <v>0</v>
      </c>
      <c r="AJ66" s="442">
        <f t="shared" si="186"/>
        <v>1</v>
      </c>
      <c r="AK66" s="441">
        <f t="shared" si="187"/>
        <v>0</v>
      </c>
      <c r="AL66" s="440">
        <f>100%-(+AJ66+AK66)</f>
        <v>0</v>
      </c>
      <c r="AN66" s="442">
        <f>+$AB66</f>
        <v>1</v>
      </c>
      <c r="AO66" s="441">
        <f>+$AC66</f>
        <v>0</v>
      </c>
      <c r="AP66" s="440">
        <f>100%-(+AN66+AO66)</f>
        <v>0</v>
      </c>
      <c r="AR66" s="442">
        <f>+$AB66</f>
        <v>1</v>
      </c>
      <c r="AS66" s="441">
        <f>+$AC66</f>
        <v>0</v>
      </c>
      <c r="AT66" s="440">
        <f>100%-(+AR66+AS66)</f>
        <v>0</v>
      </c>
    </row>
    <row r="67" spans="1:46" ht="12" thickBot="1" x14ac:dyDescent="0.25">
      <c r="A67" s="15" t="str">
        <f>CONCATENATE("Total ",A64)</f>
        <v>Total Travel</v>
      </c>
      <c r="B67" s="447">
        <f t="shared" ref="B67:U67" si="188">SUM(B64:B66)</f>
        <v>0</v>
      </c>
      <c r="C67" s="447">
        <f t="shared" si="188"/>
        <v>0</v>
      </c>
      <c r="D67" s="447">
        <f t="shared" si="188"/>
        <v>0</v>
      </c>
      <c r="E67" s="438">
        <f t="shared" si="188"/>
        <v>0</v>
      </c>
      <c r="F67" s="447">
        <f t="shared" si="188"/>
        <v>523</v>
      </c>
      <c r="G67" s="447">
        <f t="shared" si="188"/>
        <v>0</v>
      </c>
      <c r="H67" s="447">
        <f t="shared" si="188"/>
        <v>0</v>
      </c>
      <c r="I67" s="438">
        <f t="shared" si="188"/>
        <v>523</v>
      </c>
      <c r="J67" s="447">
        <f t="shared" si="188"/>
        <v>0</v>
      </c>
      <c r="K67" s="447">
        <f t="shared" si="188"/>
        <v>0</v>
      </c>
      <c r="L67" s="447">
        <f t="shared" si="188"/>
        <v>0</v>
      </c>
      <c r="M67" s="438">
        <f t="shared" si="188"/>
        <v>0</v>
      </c>
      <c r="N67" s="447">
        <f t="shared" si="188"/>
        <v>0</v>
      </c>
      <c r="O67" s="447">
        <f t="shared" si="188"/>
        <v>0</v>
      </c>
      <c r="P67" s="447">
        <f t="shared" si="188"/>
        <v>0</v>
      </c>
      <c r="Q67" s="438">
        <f t="shared" si="188"/>
        <v>0</v>
      </c>
      <c r="R67" s="447">
        <f t="shared" si="188"/>
        <v>0</v>
      </c>
      <c r="S67" s="447">
        <f t="shared" si="188"/>
        <v>0</v>
      </c>
      <c r="T67" s="447">
        <f t="shared" si="188"/>
        <v>0</v>
      </c>
      <c r="U67" s="438">
        <f t="shared" si="188"/>
        <v>0</v>
      </c>
      <c r="W67" s="448">
        <f>SUM(W64:W66)</f>
        <v>523</v>
      </c>
      <c r="X67" s="447">
        <f>SUM(X64:X66)</f>
        <v>0</v>
      </c>
      <c r="Y67" s="447">
        <f>SUM(Y64:Y66)</f>
        <v>0</v>
      </c>
      <c r="Z67" s="438">
        <f>SUM(Z64:Z66)</f>
        <v>523</v>
      </c>
      <c r="AB67" s="437"/>
      <c r="AC67" s="436"/>
      <c r="AD67" s="435"/>
      <c r="AF67" s="437"/>
      <c r="AG67" s="436"/>
      <c r="AH67" s="435"/>
      <c r="AJ67" s="437"/>
      <c r="AK67" s="436"/>
      <c r="AL67" s="435"/>
      <c r="AN67" s="437"/>
      <c r="AO67" s="436"/>
      <c r="AP67" s="435"/>
      <c r="AR67" s="437"/>
      <c r="AS67" s="436"/>
      <c r="AT67" s="435"/>
    </row>
    <row r="68" spans="1:46" x14ac:dyDescent="0.2">
      <c r="A68" s="17" t="s">
        <v>27</v>
      </c>
      <c r="B68" s="22"/>
      <c r="C68" s="22"/>
      <c r="D68" s="22"/>
      <c r="E68" s="443"/>
      <c r="F68" s="22"/>
      <c r="G68" s="22"/>
      <c r="H68" s="22"/>
      <c r="I68" s="443"/>
      <c r="J68" s="22"/>
      <c r="K68" s="22"/>
      <c r="L68" s="22"/>
      <c r="M68" s="443"/>
      <c r="N68" s="22"/>
      <c r="O68" s="22"/>
      <c r="P68" s="22"/>
      <c r="Q68" s="443"/>
      <c r="R68" s="22"/>
      <c r="S68" s="22"/>
      <c r="T68" s="22"/>
      <c r="U68" s="443"/>
      <c r="W68" s="398"/>
      <c r="X68" s="22"/>
      <c r="Y68" s="22"/>
      <c r="Z68" s="443"/>
      <c r="AB68" s="446"/>
      <c r="AC68" s="421"/>
      <c r="AD68" s="445"/>
      <c r="AF68" s="446"/>
      <c r="AG68" s="421"/>
      <c r="AH68" s="445"/>
      <c r="AJ68" s="446"/>
      <c r="AK68" s="421"/>
      <c r="AL68" s="445"/>
      <c r="AN68" s="446"/>
      <c r="AO68" s="421"/>
      <c r="AP68" s="445"/>
      <c r="AR68" s="446"/>
      <c r="AS68" s="421"/>
      <c r="AT68" s="445"/>
    </row>
    <row r="69" spans="1:46" x14ac:dyDescent="0.2">
      <c r="A69" s="10" t="s">
        <v>91</v>
      </c>
      <c r="B69" s="12">
        <f>ROUND(AB69*E69,0)</f>
        <v>0</v>
      </c>
      <c r="C69" s="12">
        <f>ROUND(AC69*E69,0)</f>
        <v>0</v>
      </c>
      <c r="D69" s="12">
        <f>+E69-(B69+C69)</f>
        <v>0</v>
      </c>
      <c r="E69" s="443">
        <f>+'Lead Budget'!B39+Stedman!B39+'Co PI 2'!B39+'Co PI 3'!B39+'Co-PI Budget (4)'!B39+'Co-PI Budget (5)'!B39</f>
        <v>0</v>
      </c>
      <c r="F69" s="12">
        <f>ROUND(AF69*I69,0)</f>
        <v>0</v>
      </c>
      <c r="G69" s="12">
        <f>ROUND(AG69*I69,0)</f>
        <v>0</v>
      </c>
      <c r="H69" s="12">
        <f>+I69-(F69+G69)</f>
        <v>0</v>
      </c>
      <c r="I69" s="443">
        <f>+'Lead Budget'!C39+Stedman!C39+'Co PI 2'!C39+'Co PI 3'!C39+'Co-PI Budget (4)'!C39+'Co-PI Budget (5)'!C39</f>
        <v>0</v>
      </c>
      <c r="J69" s="12">
        <f>ROUND(AJ69*M69,0)</f>
        <v>0</v>
      </c>
      <c r="K69" s="12">
        <f>ROUND(AK69*M69,0)</f>
        <v>0</v>
      </c>
      <c r="L69" s="12">
        <f>+M69-(J69+K69)</f>
        <v>0</v>
      </c>
      <c r="M69" s="443">
        <f>+'Lead Budget'!D39+Stedman!D39+'Co PI 2'!D39+'Co PI 3'!D39+'Co-PI Budget (4)'!D39+'Co-PI Budget (5)'!D39</f>
        <v>0</v>
      </c>
      <c r="N69" s="12">
        <f>ROUND(AN69*Q69,0)</f>
        <v>0</v>
      </c>
      <c r="O69" s="12">
        <f>ROUND(AO69*Q69,0)</f>
        <v>0</v>
      </c>
      <c r="P69" s="12">
        <f>+Q69-(N69+O69)</f>
        <v>0</v>
      </c>
      <c r="Q69" s="443">
        <f>+'Lead Budget'!E39+Stedman!E39+'Co PI 2'!E39+'Co PI 3'!E39+'Co-PI Budget (4)'!E39+'Co-PI Budget (5)'!E39</f>
        <v>0</v>
      </c>
      <c r="R69" s="12">
        <f>ROUND(AR69*U69,0)</f>
        <v>0</v>
      </c>
      <c r="S69" s="12">
        <f>ROUND(AS69*U69,0)</f>
        <v>0</v>
      </c>
      <c r="T69" s="12">
        <f>+U69-(R69+S69)</f>
        <v>0</v>
      </c>
      <c r="U69" s="443">
        <f>+'Lead Budget'!F39+Stedman!F39+'Co PI 2'!F39+'Co PI 3'!F39+'Co-PI Budget (4)'!F39+'Co-PI Budget (5)'!F39</f>
        <v>0</v>
      </c>
      <c r="W69" s="444">
        <f t="shared" ref="W69:Y73" si="189">+B69+F69+J69+N69+R69</f>
        <v>0</v>
      </c>
      <c r="X69" s="12">
        <f t="shared" si="189"/>
        <v>0</v>
      </c>
      <c r="Y69" s="12">
        <f t="shared" si="189"/>
        <v>0</v>
      </c>
      <c r="Z69" s="443">
        <f>SUM(W69:Y69)</f>
        <v>0</v>
      </c>
      <c r="AB69" s="442">
        <v>1</v>
      </c>
      <c r="AC69" s="441">
        <v>0</v>
      </c>
      <c r="AD69" s="440">
        <f t="shared" ref="AD69:AD73" si="190">100%-(+AB69+AC69)</f>
        <v>0</v>
      </c>
      <c r="AF69" s="442">
        <f t="shared" ref="AF69:AF73" si="191">+$AB69</f>
        <v>1</v>
      </c>
      <c r="AG69" s="441">
        <f t="shared" ref="AG69:AG73" si="192">+$AC69</f>
        <v>0</v>
      </c>
      <c r="AH69" s="440">
        <f t="shared" ref="AH69:AH73" si="193">100%-(+AF69+AG69)</f>
        <v>0</v>
      </c>
      <c r="AJ69" s="442">
        <f t="shared" ref="AJ69:AJ73" si="194">+$AB69</f>
        <v>1</v>
      </c>
      <c r="AK69" s="441">
        <f t="shared" ref="AK69:AK73" si="195">+$AC69</f>
        <v>0</v>
      </c>
      <c r="AL69" s="440">
        <f t="shared" ref="AL69:AL73" si="196">100%-(+AJ69+AK69)</f>
        <v>0</v>
      </c>
      <c r="AN69" s="442">
        <f t="shared" ref="AN69:AN73" si="197">+$AB69</f>
        <v>1</v>
      </c>
      <c r="AO69" s="441">
        <f t="shared" ref="AO69:AO73" si="198">+$AC69</f>
        <v>0</v>
      </c>
      <c r="AP69" s="440">
        <f t="shared" ref="AP69:AP73" si="199">100%-(+AN69+AO69)</f>
        <v>0</v>
      </c>
      <c r="AR69" s="442">
        <f t="shared" ref="AR69:AR73" si="200">+$AB69</f>
        <v>1</v>
      </c>
      <c r="AS69" s="441">
        <f t="shared" ref="AS69:AS73" si="201">+$AC69</f>
        <v>0</v>
      </c>
      <c r="AT69" s="440">
        <f t="shared" ref="AT69:AT73" si="202">100%-(+AR69+AS69)</f>
        <v>0</v>
      </c>
    </row>
    <row r="70" spans="1:46" x14ac:dyDescent="0.2">
      <c r="A70" s="10" t="s">
        <v>47</v>
      </c>
      <c r="B70" s="12">
        <f t="shared" ref="B70:B73" si="203">ROUND(AB70*E70,0)</f>
        <v>0</v>
      </c>
      <c r="C70" s="12">
        <f t="shared" ref="C70:C73" si="204">ROUND(AC70*E70,0)</f>
        <v>0</v>
      </c>
      <c r="D70" s="12">
        <f t="shared" ref="D70:D73" si="205">+E70-(B70+C70)</f>
        <v>0</v>
      </c>
      <c r="E70" s="443">
        <f>+'Lead Budget'!B40+Stedman!B40+'Co PI 2'!B40+'Co PI 3'!B40+'Co-PI Budget (4)'!B40+'Co-PI Budget (5)'!B40</f>
        <v>0</v>
      </c>
      <c r="F70" s="12">
        <f t="shared" ref="F70:F73" si="206">ROUND(AF70*I70,0)</f>
        <v>0</v>
      </c>
      <c r="G70" s="12">
        <f t="shared" ref="G70:G73" si="207">ROUND(AG70*I70,0)</f>
        <v>0</v>
      </c>
      <c r="H70" s="12">
        <f t="shared" ref="H70:H73" si="208">+I70-(F70+G70)</f>
        <v>0</v>
      </c>
      <c r="I70" s="443">
        <f>+'Lead Budget'!C40+Stedman!C40+'Co PI 2'!C40+'Co PI 3'!C40+'Co-PI Budget (4)'!C40+'Co-PI Budget (5)'!C40</f>
        <v>0</v>
      </c>
      <c r="J70" s="12">
        <f t="shared" ref="J70:J73" si="209">ROUND(AJ70*M70,0)</f>
        <v>0</v>
      </c>
      <c r="K70" s="12">
        <f t="shared" ref="K70:K73" si="210">ROUND(AK70*M70,0)</f>
        <v>0</v>
      </c>
      <c r="L70" s="12">
        <f t="shared" ref="L70:L73" si="211">+M70-(J70+K70)</f>
        <v>0</v>
      </c>
      <c r="M70" s="443">
        <f>+'Lead Budget'!D40+Stedman!D40+'Co PI 2'!D40+'Co PI 3'!D40+'Co-PI Budget (4)'!D40+'Co-PI Budget (5)'!D40</f>
        <v>0</v>
      </c>
      <c r="N70" s="12">
        <f t="shared" ref="N70:N73" si="212">ROUND(AN70*Q70,0)</f>
        <v>0</v>
      </c>
      <c r="O70" s="12">
        <f t="shared" ref="O70:O73" si="213">ROUND(AO70*Q70,0)</f>
        <v>0</v>
      </c>
      <c r="P70" s="12">
        <f t="shared" ref="P70:P73" si="214">+Q70-(N70+O70)</f>
        <v>0</v>
      </c>
      <c r="Q70" s="443">
        <f>+'Lead Budget'!E40+Stedman!E40+'Co PI 2'!E40+'Co PI 3'!E40+'Co-PI Budget (4)'!E40+'Co-PI Budget (5)'!E40</f>
        <v>0</v>
      </c>
      <c r="R70" s="12">
        <f t="shared" ref="R70:R73" si="215">ROUND(AR70*U70,0)</f>
        <v>0</v>
      </c>
      <c r="S70" s="12">
        <f t="shared" ref="S70:S73" si="216">ROUND(AS70*U70,0)</f>
        <v>0</v>
      </c>
      <c r="T70" s="12">
        <f t="shared" ref="T70:T73" si="217">+U70-(R70+S70)</f>
        <v>0</v>
      </c>
      <c r="U70" s="443">
        <f>+'Lead Budget'!F40+Stedman!F40+'Co PI 2'!F40+'Co PI 3'!F40+'Co-PI Budget (4)'!F40+'Co-PI Budget (5)'!F40</f>
        <v>0</v>
      </c>
      <c r="W70" s="444">
        <f t="shared" si="189"/>
        <v>0</v>
      </c>
      <c r="X70" s="12">
        <f t="shared" si="189"/>
        <v>0</v>
      </c>
      <c r="Y70" s="12">
        <f t="shared" si="189"/>
        <v>0</v>
      </c>
      <c r="Z70" s="443">
        <f>SUM(W70:Y70)</f>
        <v>0</v>
      </c>
      <c r="AB70" s="442">
        <v>1</v>
      </c>
      <c r="AC70" s="441">
        <v>0</v>
      </c>
      <c r="AD70" s="440">
        <f t="shared" si="190"/>
        <v>0</v>
      </c>
      <c r="AF70" s="442">
        <f t="shared" si="191"/>
        <v>1</v>
      </c>
      <c r="AG70" s="441">
        <f t="shared" si="192"/>
        <v>0</v>
      </c>
      <c r="AH70" s="440">
        <f t="shared" si="193"/>
        <v>0</v>
      </c>
      <c r="AJ70" s="442">
        <f t="shared" si="194"/>
        <v>1</v>
      </c>
      <c r="AK70" s="441">
        <f t="shared" si="195"/>
        <v>0</v>
      </c>
      <c r="AL70" s="440">
        <f t="shared" si="196"/>
        <v>0</v>
      </c>
      <c r="AN70" s="442">
        <f t="shared" si="197"/>
        <v>1</v>
      </c>
      <c r="AO70" s="441">
        <f t="shared" si="198"/>
        <v>0</v>
      </c>
      <c r="AP70" s="440">
        <f t="shared" si="199"/>
        <v>0</v>
      </c>
      <c r="AR70" s="442">
        <f t="shared" si="200"/>
        <v>1</v>
      </c>
      <c r="AS70" s="441">
        <f t="shared" si="201"/>
        <v>0</v>
      </c>
      <c r="AT70" s="440">
        <f t="shared" si="202"/>
        <v>0</v>
      </c>
    </row>
    <row r="71" spans="1:46" x14ac:dyDescent="0.2">
      <c r="A71" s="10" t="s">
        <v>34</v>
      </c>
      <c r="B71" s="12">
        <f t="shared" si="203"/>
        <v>0</v>
      </c>
      <c r="C71" s="12">
        <f t="shared" si="204"/>
        <v>0</v>
      </c>
      <c r="D71" s="12">
        <f t="shared" si="205"/>
        <v>0</v>
      </c>
      <c r="E71" s="443">
        <f>+'Lead Budget'!B41+Stedman!B41+'Co PI 2'!B41+'Co PI 3'!B41+'Co-PI Budget (4)'!B41+'Co-PI Budget (5)'!B41</f>
        <v>0</v>
      </c>
      <c r="F71" s="12">
        <f t="shared" si="206"/>
        <v>0</v>
      </c>
      <c r="G71" s="12">
        <f t="shared" si="207"/>
        <v>0</v>
      </c>
      <c r="H71" s="12">
        <f t="shared" si="208"/>
        <v>0</v>
      </c>
      <c r="I71" s="443">
        <f>+'Lead Budget'!C41+Stedman!C41+'Co PI 2'!C41+'Co PI 3'!C41+'Co-PI Budget (4)'!C41+'Co-PI Budget (5)'!C41</f>
        <v>0</v>
      </c>
      <c r="J71" s="12">
        <f t="shared" si="209"/>
        <v>0</v>
      </c>
      <c r="K71" s="12">
        <f t="shared" si="210"/>
        <v>0</v>
      </c>
      <c r="L71" s="12">
        <f t="shared" si="211"/>
        <v>0</v>
      </c>
      <c r="M71" s="443">
        <f>+'Lead Budget'!D41+Stedman!D41+'Co PI 2'!D41+'Co PI 3'!D41+'Co-PI Budget (4)'!D41+'Co-PI Budget (5)'!D41</f>
        <v>0</v>
      </c>
      <c r="N71" s="12">
        <f t="shared" si="212"/>
        <v>0</v>
      </c>
      <c r="O71" s="12">
        <f t="shared" si="213"/>
        <v>0</v>
      </c>
      <c r="P71" s="12">
        <f t="shared" si="214"/>
        <v>0</v>
      </c>
      <c r="Q71" s="443">
        <f>+'Lead Budget'!E41+Stedman!E41+'Co PI 2'!E41+'Co PI 3'!E41+'Co-PI Budget (4)'!E41+'Co-PI Budget (5)'!E41</f>
        <v>0</v>
      </c>
      <c r="R71" s="12">
        <f t="shared" si="215"/>
        <v>0</v>
      </c>
      <c r="S71" s="12">
        <f t="shared" si="216"/>
        <v>0</v>
      </c>
      <c r="T71" s="12">
        <f t="shared" si="217"/>
        <v>0</v>
      </c>
      <c r="U71" s="443">
        <f>+'Lead Budget'!F41+Stedman!F41+'Co PI 2'!F41+'Co PI 3'!F41+'Co-PI Budget (4)'!F41+'Co-PI Budget (5)'!F41</f>
        <v>0</v>
      </c>
      <c r="W71" s="444">
        <f t="shared" si="189"/>
        <v>0</v>
      </c>
      <c r="X71" s="12">
        <f t="shared" si="189"/>
        <v>0</v>
      </c>
      <c r="Y71" s="12">
        <f t="shared" si="189"/>
        <v>0</v>
      </c>
      <c r="Z71" s="443">
        <f>SUM(W71:Y71)</f>
        <v>0</v>
      </c>
      <c r="AB71" s="442">
        <v>1</v>
      </c>
      <c r="AC71" s="441">
        <v>0</v>
      </c>
      <c r="AD71" s="440">
        <f t="shared" si="190"/>
        <v>0</v>
      </c>
      <c r="AF71" s="442">
        <f t="shared" si="191"/>
        <v>1</v>
      </c>
      <c r="AG71" s="441">
        <f t="shared" si="192"/>
        <v>0</v>
      </c>
      <c r="AH71" s="440">
        <f t="shared" si="193"/>
        <v>0</v>
      </c>
      <c r="AJ71" s="442">
        <f t="shared" si="194"/>
        <v>1</v>
      </c>
      <c r="AK71" s="441">
        <f t="shared" si="195"/>
        <v>0</v>
      </c>
      <c r="AL71" s="440">
        <f t="shared" si="196"/>
        <v>0</v>
      </c>
      <c r="AN71" s="442">
        <f t="shared" si="197"/>
        <v>1</v>
      </c>
      <c r="AO71" s="441">
        <f t="shared" si="198"/>
        <v>0</v>
      </c>
      <c r="AP71" s="440">
        <f t="shared" si="199"/>
        <v>0</v>
      </c>
      <c r="AR71" s="442">
        <f t="shared" si="200"/>
        <v>1</v>
      </c>
      <c r="AS71" s="441">
        <f t="shared" si="201"/>
        <v>0</v>
      </c>
      <c r="AT71" s="440">
        <f t="shared" si="202"/>
        <v>0</v>
      </c>
    </row>
    <row r="72" spans="1:46" x14ac:dyDescent="0.2">
      <c r="A72" s="10" t="s">
        <v>48</v>
      </c>
      <c r="B72" s="12">
        <f t="shared" si="203"/>
        <v>0</v>
      </c>
      <c r="C72" s="12">
        <f t="shared" si="204"/>
        <v>0</v>
      </c>
      <c r="D72" s="12">
        <f t="shared" si="205"/>
        <v>0</v>
      </c>
      <c r="E72" s="443">
        <f>+'Lead Budget'!B42+Stedman!B42+'Co PI 2'!B42+'Co PI 3'!B42+'Co-PI Budget (4)'!B42+'Co-PI Budget (5)'!B42</f>
        <v>0</v>
      </c>
      <c r="F72" s="12">
        <f t="shared" si="206"/>
        <v>0</v>
      </c>
      <c r="G72" s="12">
        <f t="shared" si="207"/>
        <v>0</v>
      </c>
      <c r="H72" s="12">
        <f t="shared" si="208"/>
        <v>0</v>
      </c>
      <c r="I72" s="443">
        <f>+'Lead Budget'!C42+Stedman!C42+'Co PI 2'!C42+'Co PI 3'!C42+'Co-PI Budget (4)'!C42+'Co-PI Budget (5)'!C42</f>
        <v>0</v>
      </c>
      <c r="J72" s="12">
        <f t="shared" si="209"/>
        <v>0</v>
      </c>
      <c r="K72" s="12">
        <f t="shared" si="210"/>
        <v>0</v>
      </c>
      <c r="L72" s="12">
        <f t="shared" si="211"/>
        <v>0</v>
      </c>
      <c r="M72" s="443">
        <f>+'Lead Budget'!D42+Stedman!D42+'Co PI 2'!D42+'Co PI 3'!D42+'Co-PI Budget (4)'!D42+'Co-PI Budget (5)'!D42</f>
        <v>0</v>
      </c>
      <c r="N72" s="12">
        <f t="shared" si="212"/>
        <v>0</v>
      </c>
      <c r="O72" s="12">
        <f t="shared" si="213"/>
        <v>0</v>
      </c>
      <c r="P72" s="12">
        <f t="shared" si="214"/>
        <v>0</v>
      </c>
      <c r="Q72" s="443">
        <f>+'Lead Budget'!E42+Stedman!E42+'Co PI 2'!E42+'Co PI 3'!E42+'Co-PI Budget (4)'!E42+'Co-PI Budget (5)'!E42</f>
        <v>0</v>
      </c>
      <c r="R72" s="12">
        <f t="shared" si="215"/>
        <v>0</v>
      </c>
      <c r="S72" s="12">
        <f t="shared" si="216"/>
        <v>0</v>
      </c>
      <c r="T72" s="12">
        <f t="shared" si="217"/>
        <v>0</v>
      </c>
      <c r="U72" s="443">
        <f>+'Lead Budget'!F42+Stedman!F42+'Co PI 2'!F42+'Co PI 3'!F42+'Co-PI Budget (4)'!F42+'Co-PI Budget (5)'!F42</f>
        <v>0</v>
      </c>
      <c r="W72" s="444">
        <f t="shared" si="189"/>
        <v>0</v>
      </c>
      <c r="X72" s="12">
        <f t="shared" si="189"/>
        <v>0</v>
      </c>
      <c r="Y72" s="12">
        <f t="shared" si="189"/>
        <v>0</v>
      </c>
      <c r="Z72" s="443">
        <f>SUM(W72:Y72)</f>
        <v>0</v>
      </c>
      <c r="AB72" s="442">
        <v>1</v>
      </c>
      <c r="AC72" s="441">
        <v>0</v>
      </c>
      <c r="AD72" s="440">
        <f t="shared" si="190"/>
        <v>0</v>
      </c>
      <c r="AF72" s="442">
        <f t="shared" si="191"/>
        <v>1</v>
      </c>
      <c r="AG72" s="441">
        <f t="shared" si="192"/>
        <v>0</v>
      </c>
      <c r="AH72" s="440">
        <f t="shared" si="193"/>
        <v>0</v>
      </c>
      <c r="AJ72" s="442">
        <f t="shared" si="194"/>
        <v>1</v>
      </c>
      <c r="AK72" s="441">
        <f t="shared" si="195"/>
        <v>0</v>
      </c>
      <c r="AL72" s="440">
        <f t="shared" si="196"/>
        <v>0</v>
      </c>
      <c r="AN72" s="442">
        <f t="shared" si="197"/>
        <v>1</v>
      </c>
      <c r="AO72" s="441">
        <f t="shared" si="198"/>
        <v>0</v>
      </c>
      <c r="AP72" s="440">
        <f t="shared" si="199"/>
        <v>0</v>
      </c>
      <c r="AR72" s="442">
        <f t="shared" si="200"/>
        <v>1</v>
      </c>
      <c r="AS72" s="441">
        <f t="shared" si="201"/>
        <v>0</v>
      </c>
      <c r="AT72" s="440">
        <f t="shared" si="202"/>
        <v>0</v>
      </c>
    </row>
    <row r="73" spans="1:46" x14ac:dyDescent="0.2">
      <c r="A73" s="10" t="s">
        <v>29</v>
      </c>
      <c r="B73" s="12">
        <f t="shared" si="203"/>
        <v>0</v>
      </c>
      <c r="C73" s="12">
        <f t="shared" si="204"/>
        <v>0</v>
      </c>
      <c r="D73" s="12">
        <f t="shared" si="205"/>
        <v>0</v>
      </c>
      <c r="E73" s="443">
        <f>+'Lead Budget'!B43+Stedman!B43+'Co PI 2'!B43+'Co PI 3'!B43+'Co-PI Budget (4)'!B43+'Co-PI Budget (5)'!B43</f>
        <v>0</v>
      </c>
      <c r="F73" s="12">
        <f t="shared" si="206"/>
        <v>0</v>
      </c>
      <c r="G73" s="12">
        <f t="shared" si="207"/>
        <v>0</v>
      </c>
      <c r="H73" s="12">
        <f t="shared" si="208"/>
        <v>0</v>
      </c>
      <c r="I73" s="443">
        <f>+'Lead Budget'!C43+Stedman!C43+'Co PI 2'!C43+'Co PI 3'!C43+'Co-PI Budget (4)'!C43+'Co-PI Budget (5)'!C43</f>
        <v>0</v>
      </c>
      <c r="J73" s="12">
        <f t="shared" si="209"/>
        <v>0</v>
      </c>
      <c r="K73" s="12">
        <f t="shared" si="210"/>
        <v>0</v>
      </c>
      <c r="L73" s="12">
        <f t="shared" si="211"/>
        <v>0</v>
      </c>
      <c r="M73" s="443">
        <f>+'Lead Budget'!D43+Stedman!D43+'Co PI 2'!D43+'Co PI 3'!D43+'Co-PI Budget (4)'!D43+'Co-PI Budget (5)'!D43</f>
        <v>0</v>
      </c>
      <c r="N73" s="12">
        <f t="shared" si="212"/>
        <v>0</v>
      </c>
      <c r="O73" s="12">
        <f t="shared" si="213"/>
        <v>0</v>
      </c>
      <c r="P73" s="12">
        <f t="shared" si="214"/>
        <v>0</v>
      </c>
      <c r="Q73" s="443">
        <f>+'Lead Budget'!E43+Stedman!E43+'Co PI 2'!E43+'Co PI 3'!E43+'Co-PI Budget (4)'!E43+'Co-PI Budget (5)'!E43</f>
        <v>0</v>
      </c>
      <c r="R73" s="12">
        <f t="shared" si="215"/>
        <v>0</v>
      </c>
      <c r="S73" s="12">
        <f t="shared" si="216"/>
        <v>0</v>
      </c>
      <c r="T73" s="12">
        <f t="shared" si="217"/>
        <v>0</v>
      </c>
      <c r="U73" s="443">
        <f>+'Lead Budget'!F43+Stedman!F43+'Co PI 2'!F43+'Co PI 3'!F43+'Co-PI Budget (4)'!F43+'Co-PI Budget (5)'!F43</f>
        <v>0</v>
      </c>
      <c r="W73" s="444">
        <f t="shared" si="189"/>
        <v>0</v>
      </c>
      <c r="X73" s="12">
        <f t="shared" si="189"/>
        <v>0</v>
      </c>
      <c r="Y73" s="12">
        <f t="shared" si="189"/>
        <v>0</v>
      </c>
      <c r="Z73" s="443">
        <f>SUM(W73:Y73)</f>
        <v>0</v>
      </c>
      <c r="AB73" s="442">
        <v>1</v>
      </c>
      <c r="AC73" s="441">
        <v>0</v>
      </c>
      <c r="AD73" s="440">
        <f t="shared" si="190"/>
        <v>0</v>
      </c>
      <c r="AF73" s="442">
        <f t="shared" si="191"/>
        <v>1</v>
      </c>
      <c r="AG73" s="441">
        <f t="shared" si="192"/>
        <v>0</v>
      </c>
      <c r="AH73" s="440">
        <f t="shared" si="193"/>
        <v>0</v>
      </c>
      <c r="AJ73" s="442">
        <f t="shared" si="194"/>
        <v>1</v>
      </c>
      <c r="AK73" s="441">
        <f t="shared" si="195"/>
        <v>0</v>
      </c>
      <c r="AL73" s="440">
        <f t="shared" si="196"/>
        <v>0</v>
      </c>
      <c r="AN73" s="442">
        <f t="shared" si="197"/>
        <v>1</v>
      </c>
      <c r="AO73" s="441">
        <f t="shared" si="198"/>
        <v>0</v>
      </c>
      <c r="AP73" s="440">
        <f t="shared" si="199"/>
        <v>0</v>
      </c>
      <c r="AR73" s="442">
        <f t="shared" si="200"/>
        <v>1</v>
      </c>
      <c r="AS73" s="441">
        <f t="shared" si="201"/>
        <v>0</v>
      </c>
      <c r="AT73" s="440">
        <f t="shared" si="202"/>
        <v>0</v>
      </c>
    </row>
    <row r="74" spans="1:46" ht="12" thickBot="1" x14ac:dyDescent="0.25">
      <c r="A74" s="15" t="str">
        <f>CONCATENATE("Total ",A68)</f>
        <v>Total Participant Support Costs</v>
      </c>
      <c r="B74" s="447">
        <f t="shared" ref="B74:U74" si="218">SUM(B68:B73)</f>
        <v>0</v>
      </c>
      <c r="C74" s="447">
        <f t="shared" si="218"/>
        <v>0</v>
      </c>
      <c r="D74" s="447">
        <f t="shared" si="218"/>
        <v>0</v>
      </c>
      <c r="E74" s="438">
        <f t="shared" si="218"/>
        <v>0</v>
      </c>
      <c r="F74" s="447">
        <f t="shared" si="218"/>
        <v>0</v>
      </c>
      <c r="G74" s="447">
        <f t="shared" si="218"/>
        <v>0</v>
      </c>
      <c r="H74" s="447">
        <f t="shared" si="218"/>
        <v>0</v>
      </c>
      <c r="I74" s="438">
        <f t="shared" si="218"/>
        <v>0</v>
      </c>
      <c r="J74" s="447">
        <f t="shared" si="218"/>
        <v>0</v>
      </c>
      <c r="K74" s="447">
        <f t="shared" si="218"/>
        <v>0</v>
      </c>
      <c r="L74" s="447">
        <f t="shared" si="218"/>
        <v>0</v>
      </c>
      <c r="M74" s="438">
        <f t="shared" si="218"/>
        <v>0</v>
      </c>
      <c r="N74" s="447">
        <f t="shared" si="218"/>
        <v>0</v>
      </c>
      <c r="O74" s="447">
        <f t="shared" si="218"/>
        <v>0</v>
      </c>
      <c r="P74" s="447">
        <f t="shared" si="218"/>
        <v>0</v>
      </c>
      <c r="Q74" s="438">
        <f t="shared" si="218"/>
        <v>0</v>
      </c>
      <c r="R74" s="447">
        <f t="shared" si="218"/>
        <v>0</v>
      </c>
      <c r="S74" s="447">
        <f t="shared" si="218"/>
        <v>0</v>
      </c>
      <c r="T74" s="447">
        <f t="shared" si="218"/>
        <v>0</v>
      </c>
      <c r="U74" s="438">
        <f t="shared" si="218"/>
        <v>0</v>
      </c>
      <c r="W74" s="448">
        <f>SUM(W68:W73)</f>
        <v>0</v>
      </c>
      <c r="X74" s="447">
        <f>SUM(X68:X73)</f>
        <v>0</v>
      </c>
      <c r="Y74" s="447">
        <f>SUM(Y68:Y73)</f>
        <v>0</v>
      </c>
      <c r="Z74" s="438">
        <f>SUM(Z68:Z73)</f>
        <v>0</v>
      </c>
      <c r="AB74" s="437"/>
      <c r="AC74" s="436"/>
      <c r="AD74" s="435"/>
      <c r="AF74" s="437"/>
      <c r="AG74" s="436"/>
      <c r="AH74" s="435"/>
      <c r="AJ74" s="437"/>
      <c r="AK74" s="436"/>
      <c r="AL74" s="435"/>
      <c r="AN74" s="437"/>
      <c r="AO74" s="436"/>
      <c r="AP74" s="435"/>
      <c r="AR74" s="437"/>
      <c r="AS74" s="436"/>
      <c r="AT74" s="435"/>
    </row>
    <row r="75" spans="1:46" x14ac:dyDescent="0.2">
      <c r="A75" s="17" t="s">
        <v>13</v>
      </c>
      <c r="B75" s="22"/>
      <c r="C75" s="22"/>
      <c r="D75" s="22"/>
      <c r="E75" s="443"/>
      <c r="F75" s="22"/>
      <c r="G75" s="22"/>
      <c r="H75" s="22"/>
      <c r="I75" s="443"/>
      <c r="J75" s="22"/>
      <c r="K75" s="22"/>
      <c r="L75" s="22"/>
      <c r="M75" s="443"/>
      <c r="N75" s="22"/>
      <c r="O75" s="22"/>
      <c r="P75" s="22"/>
      <c r="Q75" s="443"/>
      <c r="R75" s="22"/>
      <c r="S75" s="22"/>
      <c r="T75" s="22"/>
      <c r="U75" s="443"/>
      <c r="W75" s="398"/>
      <c r="X75" s="22"/>
      <c r="Y75" s="22"/>
      <c r="Z75" s="443"/>
      <c r="AB75" s="446"/>
      <c r="AC75" s="421"/>
      <c r="AD75" s="445"/>
      <c r="AF75" s="446"/>
      <c r="AG75" s="421"/>
      <c r="AH75" s="445"/>
      <c r="AJ75" s="446"/>
      <c r="AK75" s="421"/>
      <c r="AL75" s="445"/>
      <c r="AN75" s="446"/>
      <c r="AO75" s="421"/>
      <c r="AP75" s="445"/>
      <c r="AR75" s="446"/>
      <c r="AS75" s="421"/>
      <c r="AT75" s="445"/>
    </row>
    <row r="76" spans="1:46" x14ac:dyDescent="0.2">
      <c r="A76" s="10" t="str">
        <f>+'Lead Budget'!A46</f>
        <v>Materials &amp; Supplies</v>
      </c>
      <c r="B76" s="12">
        <f t="shared" ref="B76" si="219">ROUND(AB76*E76,0)</f>
        <v>353</v>
      </c>
      <c r="C76" s="12">
        <f t="shared" ref="C76" si="220">ROUND(AC76*E76,0)</f>
        <v>0</v>
      </c>
      <c r="D76" s="12">
        <f t="shared" ref="D76" si="221">+E76-(B76+C76)</f>
        <v>0</v>
      </c>
      <c r="E76" s="443">
        <f>+'Lead Budget'!B46+Stedman!B46+'Co PI 2'!B46+'Co PI 3'!B46+'Co-PI Budget (4)'!B46+'Co-PI Budget (5)'!B46</f>
        <v>353</v>
      </c>
      <c r="F76" s="12">
        <f t="shared" ref="F76" si="222">ROUND(AF76*I76,0)</f>
        <v>0</v>
      </c>
      <c r="G76" s="12">
        <f t="shared" ref="G76" si="223">ROUND(AG76*I76,0)</f>
        <v>0</v>
      </c>
      <c r="H76" s="12">
        <f t="shared" ref="H76" si="224">+I76-(F76+G76)</f>
        <v>0</v>
      </c>
      <c r="I76" s="443">
        <f>+'Lead Budget'!C46+Stedman!C46+'Co PI 2'!C46+'Co PI 3'!C46+'Co-PI Budget (4)'!C46+'Co-PI Budget (5)'!C46</f>
        <v>0</v>
      </c>
      <c r="J76" s="12">
        <f t="shared" ref="J76" si="225">ROUND(AJ76*M76,0)</f>
        <v>0</v>
      </c>
      <c r="K76" s="12">
        <f t="shared" ref="K76" si="226">ROUND(AK76*M76,0)</f>
        <v>0</v>
      </c>
      <c r="L76" s="12">
        <f t="shared" ref="L76" si="227">+M76-(J76+K76)</f>
        <v>0</v>
      </c>
      <c r="M76" s="443">
        <f>+'Lead Budget'!D46+Stedman!D46+'Co PI 2'!D46+'Co PI 3'!D46+'Co-PI Budget (4)'!D46+'Co-PI Budget (5)'!D46</f>
        <v>0</v>
      </c>
      <c r="N76" s="12">
        <f t="shared" ref="N76" si="228">ROUND(AN76*Q76,0)</f>
        <v>0</v>
      </c>
      <c r="O76" s="12">
        <f t="shared" ref="O76" si="229">ROUND(AO76*Q76,0)</f>
        <v>0</v>
      </c>
      <c r="P76" s="12">
        <f t="shared" ref="P76" si="230">+Q76-(N76+O76)</f>
        <v>0</v>
      </c>
      <c r="Q76" s="443">
        <f>+'Lead Budget'!E46+Stedman!E46+'Co PI 2'!E46+'Co PI 3'!E46+'Co-PI Budget (4)'!E46+'Co-PI Budget (5)'!E46</f>
        <v>0</v>
      </c>
      <c r="R76" s="12">
        <f>ROUND(AR76*U76,0)</f>
        <v>0</v>
      </c>
      <c r="S76" s="12">
        <f>ROUND(AS76*U76,0)</f>
        <v>0</v>
      </c>
      <c r="T76" s="12">
        <f>+U76-(R76+S76)</f>
        <v>0</v>
      </c>
      <c r="U76" s="443">
        <f>+'Lead Budget'!F46+Stedman!F46+'Co PI 2'!F46+'Co PI 3'!F46+'Co-PI Budget (4)'!F46+'Co-PI Budget (5)'!F46</f>
        <v>0</v>
      </c>
      <c r="W76" s="444">
        <f t="shared" ref="W76:W84" si="231">+B76+F76+J76+N76+R76</f>
        <v>353</v>
      </c>
      <c r="X76" s="12">
        <f t="shared" ref="X76:X84" si="232">+C76+G76+K76+O76+S76</f>
        <v>0</v>
      </c>
      <c r="Y76" s="12">
        <f t="shared" ref="Y76:Y84" si="233">+D76+H76+L76+P76+T76</f>
        <v>0</v>
      </c>
      <c r="Z76" s="443">
        <f t="shared" ref="Z76:Z84" si="234">SUM(W76:Y76)</f>
        <v>353</v>
      </c>
      <c r="AB76" s="442">
        <v>1</v>
      </c>
      <c r="AC76" s="441">
        <v>0</v>
      </c>
      <c r="AD76" s="440">
        <f t="shared" ref="AD76:AD84" si="235">100%-(+AB76+AC76)</f>
        <v>0</v>
      </c>
      <c r="AF76" s="442">
        <f t="shared" ref="AF76:AF84" si="236">+$AB76</f>
        <v>1</v>
      </c>
      <c r="AG76" s="441">
        <f t="shared" ref="AG76:AG84" si="237">+$AC76</f>
        <v>0</v>
      </c>
      <c r="AH76" s="440">
        <f t="shared" ref="AH76:AH84" si="238">100%-(+AF76+AG76)</f>
        <v>0</v>
      </c>
      <c r="AJ76" s="442">
        <f t="shared" ref="AJ76:AJ84" si="239">+$AB76</f>
        <v>1</v>
      </c>
      <c r="AK76" s="441">
        <f t="shared" ref="AK76:AK84" si="240">+$AC76</f>
        <v>0</v>
      </c>
      <c r="AL76" s="440">
        <f t="shared" ref="AL76:AL84" si="241">100%-(+AJ76+AK76)</f>
        <v>0</v>
      </c>
      <c r="AN76" s="442">
        <f t="shared" ref="AN76:AN84" si="242">+$AB76</f>
        <v>1</v>
      </c>
      <c r="AO76" s="441">
        <f t="shared" ref="AO76:AO84" si="243">+$AC76</f>
        <v>0</v>
      </c>
      <c r="AP76" s="440">
        <f t="shared" ref="AP76:AP84" si="244">100%-(+AN76+AO76)</f>
        <v>0</v>
      </c>
      <c r="AR76" s="442">
        <f t="shared" ref="AR76:AR84" si="245">+$AB76</f>
        <v>1</v>
      </c>
      <c r="AS76" s="441">
        <f t="shared" ref="AS76:AS84" si="246">+$AC76</f>
        <v>0</v>
      </c>
      <c r="AT76" s="440">
        <f t="shared" ref="AT76:AT84" si="247">100%-(+AR76+AS76)</f>
        <v>0</v>
      </c>
    </row>
    <row r="77" spans="1:46" x14ac:dyDescent="0.2">
      <c r="A77" s="10" t="str">
        <f>+'Lead Budget'!A47</f>
        <v>Publication Costs</v>
      </c>
      <c r="B77" s="12">
        <f t="shared" ref="B77:B84" si="248">ROUND(AB77*E77,0)</f>
        <v>0</v>
      </c>
      <c r="C77" s="12">
        <f t="shared" ref="C77:C84" si="249">ROUND(AC77*E77,0)</f>
        <v>0</v>
      </c>
      <c r="D77" s="12">
        <f t="shared" ref="D77:D84" si="250">+E77-(B77+C77)</f>
        <v>0</v>
      </c>
      <c r="E77" s="443">
        <f>+'Lead Budget'!B47+Stedman!B47+'Co PI 2'!B47+'Co PI 3'!B47+'Co-PI Budget (4)'!B47+'Co-PI Budget (5)'!B47</f>
        <v>0</v>
      </c>
      <c r="F77" s="12">
        <f t="shared" ref="F77:F84" si="251">ROUND(AF77*I77,0)</f>
        <v>0</v>
      </c>
      <c r="G77" s="12">
        <f t="shared" ref="G77:G84" si="252">ROUND(AG77*I77,0)</f>
        <v>0</v>
      </c>
      <c r="H77" s="12">
        <f t="shared" ref="H77:H84" si="253">+I77-(F77+G77)</f>
        <v>0</v>
      </c>
      <c r="I77" s="443">
        <f>+'Lead Budget'!C47+Stedman!C47+'Co PI 2'!C47+'Co PI 3'!C47+'Co-PI Budget (4)'!C47+'Co-PI Budget (5)'!C47</f>
        <v>0</v>
      </c>
      <c r="J77" s="12">
        <f t="shared" ref="J77:J84" si="254">ROUND(AJ77*M77,0)</f>
        <v>0</v>
      </c>
      <c r="K77" s="12">
        <f t="shared" ref="K77:K84" si="255">ROUND(AK77*M77,0)</f>
        <v>0</v>
      </c>
      <c r="L77" s="12">
        <f t="shared" ref="L77:L84" si="256">+M77-(J77+K77)</f>
        <v>0</v>
      </c>
      <c r="M77" s="443">
        <f>+'Lead Budget'!D47+Stedman!D47+'Co PI 2'!D47+'Co PI 3'!D47+'Co-PI Budget (4)'!D47+'Co-PI Budget (5)'!D47</f>
        <v>0</v>
      </c>
      <c r="N77" s="12">
        <f t="shared" ref="N77:N84" si="257">ROUND(AN77*Q77,0)</f>
        <v>0</v>
      </c>
      <c r="O77" s="12">
        <f t="shared" ref="O77:O84" si="258">ROUND(AO77*Q77,0)</f>
        <v>0</v>
      </c>
      <c r="P77" s="12">
        <f t="shared" ref="P77:P84" si="259">+Q77-(N77+O77)</f>
        <v>0</v>
      </c>
      <c r="Q77" s="443">
        <f>+'Lead Budget'!E47+Stedman!E47+'Co PI 2'!E47+'Co PI 3'!E47+'Co-PI Budget (4)'!E47+'Co-PI Budget (5)'!E47</f>
        <v>0</v>
      </c>
      <c r="R77" s="12">
        <f t="shared" ref="R77:R84" si="260">ROUND(AR77*U77,0)</f>
        <v>0</v>
      </c>
      <c r="S77" s="12">
        <f t="shared" ref="S77:S84" si="261">ROUND(AS77*U77,0)</f>
        <v>0</v>
      </c>
      <c r="T77" s="12">
        <f t="shared" ref="T77:T84" si="262">+U77-(R77+S77)</f>
        <v>0</v>
      </c>
      <c r="U77" s="443">
        <f>+'Lead Budget'!F47+Stedman!F47+'Co PI 2'!F47+'Co PI 3'!F47+'Co-PI Budget (4)'!F47+'Co-PI Budget (5)'!F47</f>
        <v>0</v>
      </c>
      <c r="W77" s="444">
        <f t="shared" si="231"/>
        <v>0</v>
      </c>
      <c r="X77" s="12">
        <f t="shared" si="232"/>
        <v>0</v>
      </c>
      <c r="Y77" s="12">
        <f t="shared" si="233"/>
        <v>0</v>
      </c>
      <c r="Z77" s="443">
        <f t="shared" si="234"/>
        <v>0</v>
      </c>
      <c r="AB77" s="442">
        <v>1</v>
      </c>
      <c r="AC77" s="441">
        <v>0</v>
      </c>
      <c r="AD77" s="440">
        <f t="shared" si="235"/>
        <v>0</v>
      </c>
      <c r="AF77" s="442">
        <f t="shared" si="236"/>
        <v>1</v>
      </c>
      <c r="AG77" s="441">
        <f t="shared" si="237"/>
        <v>0</v>
      </c>
      <c r="AH77" s="440">
        <f t="shared" si="238"/>
        <v>0</v>
      </c>
      <c r="AJ77" s="442">
        <f t="shared" si="239"/>
        <v>1</v>
      </c>
      <c r="AK77" s="441">
        <f t="shared" si="240"/>
        <v>0</v>
      </c>
      <c r="AL77" s="440">
        <f t="shared" si="241"/>
        <v>0</v>
      </c>
      <c r="AN77" s="442">
        <f t="shared" si="242"/>
        <v>1</v>
      </c>
      <c r="AO77" s="441">
        <f t="shared" si="243"/>
        <v>0</v>
      </c>
      <c r="AP77" s="440">
        <f t="shared" si="244"/>
        <v>0</v>
      </c>
      <c r="AR77" s="442">
        <f t="shared" si="245"/>
        <v>1</v>
      </c>
      <c r="AS77" s="441">
        <f t="shared" si="246"/>
        <v>0</v>
      </c>
      <c r="AT77" s="440">
        <f t="shared" si="247"/>
        <v>0</v>
      </c>
    </row>
    <row r="78" spans="1:46" x14ac:dyDescent="0.2">
      <c r="A78" s="10" t="str">
        <f>+'Lead Budget'!A48</f>
        <v>Consultant Services</v>
      </c>
      <c r="B78" s="12">
        <f t="shared" si="248"/>
        <v>0</v>
      </c>
      <c r="C78" s="12">
        <f t="shared" si="249"/>
        <v>0</v>
      </c>
      <c r="D78" s="12">
        <f t="shared" si="250"/>
        <v>0</v>
      </c>
      <c r="E78" s="443">
        <f>+'Lead Budget'!B48+Stedman!B48+'Co PI 2'!B48+'Co PI 3'!B48+'Co-PI Budget (4)'!B48+'Co-PI Budget (5)'!B48</f>
        <v>0</v>
      </c>
      <c r="F78" s="12">
        <f t="shared" si="251"/>
        <v>0</v>
      </c>
      <c r="G78" s="12">
        <f t="shared" si="252"/>
        <v>0</v>
      </c>
      <c r="H78" s="12">
        <f t="shared" si="253"/>
        <v>0</v>
      </c>
      <c r="I78" s="443">
        <f>+'Lead Budget'!C48+Stedman!C48+'Co PI 2'!C48+'Co PI 3'!C48+'Co-PI Budget (4)'!C48+'Co-PI Budget (5)'!C48</f>
        <v>0</v>
      </c>
      <c r="J78" s="12">
        <f t="shared" si="254"/>
        <v>0</v>
      </c>
      <c r="K78" s="12">
        <f t="shared" si="255"/>
        <v>0</v>
      </c>
      <c r="L78" s="12">
        <f t="shared" si="256"/>
        <v>0</v>
      </c>
      <c r="M78" s="443">
        <f>+'Lead Budget'!D48+Stedman!D48+'Co PI 2'!D48+'Co PI 3'!D48+'Co-PI Budget (4)'!D48+'Co-PI Budget (5)'!D48</f>
        <v>0</v>
      </c>
      <c r="N78" s="12">
        <f t="shared" si="257"/>
        <v>0</v>
      </c>
      <c r="O78" s="12">
        <f t="shared" si="258"/>
        <v>0</v>
      </c>
      <c r="P78" s="12">
        <f t="shared" si="259"/>
        <v>0</v>
      </c>
      <c r="Q78" s="443">
        <f>+'Lead Budget'!E48+Stedman!E48+'Co PI 2'!E48+'Co PI 3'!E48+'Co-PI Budget (4)'!E48+'Co-PI Budget (5)'!E48</f>
        <v>0</v>
      </c>
      <c r="R78" s="12">
        <f t="shared" si="260"/>
        <v>0</v>
      </c>
      <c r="S78" s="12">
        <f t="shared" si="261"/>
        <v>0</v>
      </c>
      <c r="T78" s="12">
        <f t="shared" si="262"/>
        <v>0</v>
      </c>
      <c r="U78" s="443">
        <f>+'Lead Budget'!F48+Stedman!F48+'Co PI 2'!F48+'Co PI 3'!F48+'Co-PI Budget (4)'!F48+'Co-PI Budget (5)'!F48</f>
        <v>0</v>
      </c>
      <c r="W78" s="444">
        <f t="shared" si="231"/>
        <v>0</v>
      </c>
      <c r="X78" s="12">
        <f t="shared" si="232"/>
        <v>0</v>
      </c>
      <c r="Y78" s="12">
        <f t="shared" si="233"/>
        <v>0</v>
      </c>
      <c r="Z78" s="443">
        <f t="shared" si="234"/>
        <v>0</v>
      </c>
      <c r="AB78" s="442">
        <v>1</v>
      </c>
      <c r="AC78" s="441">
        <v>0</v>
      </c>
      <c r="AD78" s="440">
        <f t="shared" si="235"/>
        <v>0</v>
      </c>
      <c r="AF78" s="442">
        <f t="shared" si="236"/>
        <v>1</v>
      </c>
      <c r="AG78" s="441">
        <f t="shared" si="237"/>
        <v>0</v>
      </c>
      <c r="AH78" s="440">
        <f t="shared" si="238"/>
        <v>0</v>
      </c>
      <c r="AJ78" s="442">
        <f t="shared" si="239"/>
        <v>1</v>
      </c>
      <c r="AK78" s="441">
        <f t="shared" si="240"/>
        <v>0</v>
      </c>
      <c r="AL78" s="440">
        <f t="shared" si="241"/>
        <v>0</v>
      </c>
      <c r="AN78" s="442">
        <f t="shared" si="242"/>
        <v>1</v>
      </c>
      <c r="AO78" s="441">
        <f t="shared" si="243"/>
        <v>0</v>
      </c>
      <c r="AP78" s="440">
        <f t="shared" si="244"/>
        <v>0</v>
      </c>
      <c r="AR78" s="442">
        <f t="shared" si="245"/>
        <v>1</v>
      </c>
      <c r="AS78" s="441">
        <f t="shared" si="246"/>
        <v>0</v>
      </c>
      <c r="AT78" s="440">
        <f t="shared" si="247"/>
        <v>0</v>
      </c>
    </row>
    <row r="79" spans="1:46" x14ac:dyDescent="0.2">
      <c r="A79" s="10" t="str">
        <f>+'Lead Budget'!A49</f>
        <v>ADP/Computer Services</v>
      </c>
      <c r="B79" s="12">
        <f t="shared" si="248"/>
        <v>0</v>
      </c>
      <c r="C79" s="12">
        <f t="shared" si="249"/>
        <v>0</v>
      </c>
      <c r="D79" s="12">
        <f t="shared" si="250"/>
        <v>0</v>
      </c>
      <c r="E79" s="443">
        <f>+'Lead Budget'!B49+Stedman!B49+'Co PI 2'!B49+'Co PI 3'!B49+'Co-PI Budget (4)'!B49+'Co-PI Budget (5)'!B49</f>
        <v>0</v>
      </c>
      <c r="F79" s="12">
        <f t="shared" si="251"/>
        <v>0</v>
      </c>
      <c r="G79" s="12">
        <f t="shared" si="252"/>
        <v>0</v>
      </c>
      <c r="H79" s="12">
        <f t="shared" si="253"/>
        <v>0</v>
      </c>
      <c r="I79" s="443">
        <f>+'Lead Budget'!C49+Stedman!C49+'Co PI 2'!C49+'Co PI 3'!C49+'Co-PI Budget (4)'!C49+'Co-PI Budget (5)'!C49</f>
        <v>0</v>
      </c>
      <c r="J79" s="12">
        <f t="shared" si="254"/>
        <v>0</v>
      </c>
      <c r="K79" s="12">
        <f t="shared" si="255"/>
        <v>0</v>
      </c>
      <c r="L79" s="12">
        <f t="shared" si="256"/>
        <v>0</v>
      </c>
      <c r="M79" s="443">
        <f>+'Lead Budget'!D49+Stedman!D49+'Co PI 2'!D49+'Co PI 3'!D49+'Co-PI Budget (4)'!D49+'Co-PI Budget (5)'!D49</f>
        <v>0</v>
      </c>
      <c r="N79" s="12">
        <f t="shared" si="257"/>
        <v>0</v>
      </c>
      <c r="O79" s="12">
        <f t="shared" si="258"/>
        <v>0</v>
      </c>
      <c r="P79" s="12">
        <f t="shared" si="259"/>
        <v>0</v>
      </c>
      <c r="Q79" s="443">
        <f>+'Lead Budget'!E49+Stedman!E49+'Co PI 2'!E49+'Co PI 3'!E49+'Co-PI Budget (4)'!E49+'Co-PI Budget (5)'!E49</f>
        <v>0</v>
      </c>
      <c r="R79" s="12">
        <f t="shared" si="260"/>
        <v>0</v>
      </c>
      <c r="S79" s="12">
        <f t="shared" si="261"/>
        <v>0</v>
      </c>
      <c r="T79" s="12">
        <f t="shared" si="262"/>
        <v>0</v>
      </c>
      <c r="U79" s="443">
        <f>+'Lead Budget'!F49+Stedman!F49+'Co PI 2'!F49+'Co PI 3'!F49+'Co-PI Budget (4)'!F49+'Co-PI Budget (5)'!F49</f>
        <v>0</v>
      </c>
      <c r="W79" s="444">
        <f t="shared" si="231"/>
        <v>0</v>
      </c>
      <c r="X79" s="12">
        <f t="shared" si="232"/>
        <v>0</v>
      </c>
      <c r="Y79" s="12">
        <f t="shared" si="233"/>
        <v>0</v>
      </c>
      <c r="Z79" s="443">
        <f t="shared" si="234"/>
        <v>0</v>
      </c>
      <c r="AB79" s="442">
        <v>1</v>
      </c>
      <c r="AC79" s="441">
        <v>0</v>
      </c>
      <c r="AD79" s="440">
        <f t="shared" si="235"/>
        <v>0</v>
      </c>
      <c r="AF79" s="442">
        <f t="shared" si="236"/>
        <v>1</v>
      </c>
      <c r="AG79" s="441">
        <f t="shared" si="237"/>
        <v>0</v>
      </c>
      <c r="AH79" s="440">
        <f t="shared" si="238"/>
        <v>0</v>
      </c>
      <c r="AJ79" s="442">
        <f t="shared" si="239"/>
        <v>1</v>
      </c>
      <c r="AK79" s="441">
        <f t="shared" si="240"/>
        <v>0</v>
      </c>
      <c r="AL79" s="440">
        <f t="shared" si="241"/>
        <v>0</v>
      </c>
      <c r="AN79" s="442">
        <f t="shared" si="242"/>
        <v>1</v>
      </c>
      <c r="AO79" s="441">
        <f t="shared" si="243"/>
        <v>0</v>
      </c>
      <c r="AP79" s="440">
        <f t="shared" si="244"/>
        <v>0</v>
      </c>
      <c r="AR79" s="442">
        <f t="shared" si="245"/>
        <v>1</v>
      </c>
      <c r="AS79" s="441">
        <f t="shared" si="246"/>
        <v>0</v>
      </c>
      <c r="AT79" s="440">
        <f t="shared" si="247"/>
        <v>0</v>
      </c>
    </row>
    <row r="80" spans="1:46" x14ac:dyDescent="0.2">
      <c r="A80" s="10" t="str">
        <f>+'Lead Budget'!A50</f>
        <v xml:space="preserve">SubContracts </v>
      </c>
      <c r="B80" s="12">
        <f t="shared" si="248"/>
        <v>0</v>
      </c>
      <c r="C80" s="12">
        <f t="shared" si="249"/>
        <v>0</v>
      </c>
      <c r="D80" s="12">
        <f t="shared" si="250"/>
        <v>0</v>
      </c>
      <c r="E80" s="443">
        <f>+'Lead Budget'!B50+Stedman!B50+'Co PI 2'!B50+'Co PI 3'!B50+'Co-PI Budget (4)'!B50+'Co-PI Budget (5)'!B50</f>
        <v>0</v>
      </c>
      <c r="F80" s="12">
        <f t="shared" si="251"/>
        <v>0</v>
      </c>
      <c r="G80" s="12">
        <f t="shared" si="252"/>
        <v>0</v>
      </c>
      <c r="H80" s="12">
        <f t="shared" si="253"/>
        <v>0</v>
      </c>
      <c r="I80" s="443">
        <f>+'Lead Budget'!C50+Stedman!C50+'Co PI 2'!C50+'Co PI 3'!C50+'Co-PI Budget (4)'!C50+'Co-PI Budget (5)'!C50</f>
        <v>0</v>
      </c>
      <c r="J80" s="12">
        <f t="shared" si="254"/>
        <v>0</v>
      </c>
      <c r="K80" s="12">
        <f t="shared" si="255"/>
        <v>0</v>
      </c>
      <c r="L80" s="12">
        <f t="shared" si="256"/>
        <v>0</v>
      </c>
      <c r="M80" s="443">
        <f>+'Lead Budget'!D50+Stedman!D50+'Co PI 2'!D50+'Co PI 3'!D50+'Co-PI Budget (4)'!D50+'Co-PI Budget (5)'!D50</f>
        <v>0</v>
      </c>
      <c r="N80" s="12">
        <f t="shared" si="257"/>
        <v>0</v>
      </c>
      <c r="O80" s="12">
        <f t="shared" si="258"/>
        <v>0</v>
      </c>
      <c r="P80" s="12">
        <f t="shared" si="259"/>
        <v>0</v>
      </c>
      <c r="Q80" s="443">
        <f>+'Lead Budget'!E50+Stedman!E50+'Co PI 2'!E50+'Co PI 3'!E50+'Co-PI Budget (4)'!E50+'Co-PI Budget (5)'!E50</f>
        <v>0</v>
      </c>
      <c r="R80" s="12">
        <f t="shared" si="260"/>
        <v>0</v>
      </c>
      <c r="S80" s="12">
        <f t="shared" si="261"/>
        <v>0</v>
      </c>
      <c r="T80" s="12">
        <f t="shared" si="262"/>
        <v>0</v>
      </c>
      <c r="U80" s="443">
        <f>+'Lead Budget'!F50+Stedman!F50+'Co PI 2'!F50+'Co PI 3'!F50+'Co-PI Budget (4)'!F50+'Co-PI Budget (5)'!F50</f>
        <v>0</v>
      </c>
      <c r="W80" s="444">
        <f t="shared" si="231"/>
        <v>0</v>
      </c>
      <c r="X80" s="12">
        <f t="shared" si="232"/>
        <v>0</v>
      </c>
      <c r="Y80" s="12">
        <f t="shared" si="233"/>
        <v>0</v>
      </c>
      <c r="Z80" s="443">
        <f t="shared" si="234"/>
        <v>0</v>
      </c>
      <c r="AB80" s="442">
        <v>1</v>
      </c>
      <c r="AC80" s="441">
        <v>0</v>
      </c>
      <c r="AD80" s="440">
        <f t="shared" si="235"/>
        <v>0</v>
      </c>
      <c r="AF80" s="442">
        <f t="shared" si="236"/>
        <v>1</v>
      </c>
      <c r="AG80" s="441">
        <f t="shared" si="237"/>
        <v>0</v>
      </c>
      <c r="AH80" s="440">
        <f t="shared" si="238"/>
        <v>0</v>
      </c>
      <c r="AJ80" s="442">
        <f t="shared" si="239"/>
        <v>1</v>
      </c>
      <c r="AK80" s="441">
        <f t="shared" si="240"/>
        <v>0</v>
      </c>
      <c r="AL80" s="440">
        <f t="shared" si="241"/>
        <v>0</v>
      </c>
      <c r="AN80" s="442">
        <f t="shared" si="242"/>
        <v>1</v>
      </c>
      <c r="AO80" s="441">
        <f t="shared" si="243"/>
        <v>0</v>
      </c>
      <c r="AP80" s="440">
        <f t="shared" si="244"/>
        <v>0</v>
      </c>
      <c r="AR80" s="442">
        <f t="shared" si="245"/>
        <v>1</v>
      </c>
      <c r="AS80" s="441">
        <f t="shared" si="246"/>
        <v>0</v>
      </c>
      <c r="AT80" s="440">
        <f t="shared" si="247"/>
        <v>0</v>
      </c>
    </row>
    <row r="81" spans="1:56" x14ac:dyDescent="0.2">
      <c r="A81" s="10" t="str">
        <f>+'Lead Budget'!A51</f>
        <v xml:space="preserve">Equipment or Facility Rental/User Fees </v>
      </c>
      <c r="B81" s="12">
        <f t="shared" si="248"/>
        <v>0</v>
      </c>
      <c r="C81" s="12">
        <f t="shared" si="249"/>
        <v>0</v>
      </c>
      <c r="D81" s="12">
        <f t="shared" si="250"/>
        <v>0</v>
      </c>
      <c r="E81" s="443">
        <f>+'Lead Budget'!B51+Stedman!B51+'Co PI 2'!B51+'Co PI 3'!B51+'Co-PI Budget (4)'!B51+'Co-PI Budget (5)'!B51</f>
        <v>0</v>
      </c>
      <c r="F81" s="12">
        <f t="shared" si="251"/>
        <v>0</v>
      </c>
      <c r="G81" s="12">
        <f t="shared" si="252"/>
        <v>0</v>
      </c>
      <c r="H81" s="12">
        <f t="shared" si="253"/>
        <v>0</v>
      </c>
      <c r="I81" s="443">
        <f>+'Lead Budget'!C51+Stedman!C51+'Co PI 2'!C51+'Co PI 3'!C51+'Co-PI Budget (4)'!C51+'Co-PI Budget (5)'!C51</f>
        <v>0</v>
      </c>
      <c r="J81" s="12">
        <f t="shared" si="254"/>
        <v>0</v>
      </c>
      <c r="K81" s="12">
        <f t="shared" si="255"/>
        <v>0</v>
      </c>
      <c r="L81" s="12">
        <f t="shared" si="256"/>
        <v>0</v>
      </c>
      <c r="M81" s="443">
        <f>+'Lead Budget'!D51+Stedman!D51+'Co PI 2'!D51+'Co PI 3'!D51+'Co-PI Budget (4)'!D51+'Co-PI Budget (5)'!D51</f>
        <v>0</v>
      </c>
      <c r="N81" s="12">
        <f t="shared" si="257"/>
        <v>0</v>
      </c>
      <c r="O81" s="12">
        <f t="shared" si="258"/>
        <v>0</v>
      </c>
      <c r="P81" s="12">
        <f t="shared" si="259"/>
        <v>0</v>
      </c>
      <c r="Q81" s="443">
        <f>+'Lead Budget'!E51+Stedman!E51+'Co PI 2'!E51+'Co PI 3'!E51+'Co-PI Budget (4)'!E51+'Co-PI Budget (5)'!E51</f>
        <v>0</v>
      </c>
      <c r="R81" s="12">
        <f t="shared" si="260"/>
        <v>0</v>
      </c>
      <c r="S81" s="12">
        <f t="shared" si="261"/>
        <v>0</v>
      </c>
      <c r="T81" s="12">
        <f t="shared" si="262"/>
        <v>0</v>
      </c>
      <c r="U81" s="443">
        <f>+'Lead Budget'!F51+Stedman!F51+'Co PI 2'!F51+'Co PI 3'!F51+'Co-PI Budget (4)'!F51+'Co-PI Budget (5)'!F51</f>
        <v>0</v>
      </c>
      <c r="W81" s="444">
        <f t="shared" si="231"/>
        <v>0</v>
      </c>
      <c r="X81" s="12">
        <f t="shared" si="232"/>
        <v>0</v>
      </c>
      <c r="Y81" s="12">
        <f t="shared" si="233"/>
        <v>0</v>
      </c>
      <c r="Z81" s="443">
        <f t="shared" si="234"/>
        <v>0</v>
      </c>
      <c r="AB81" s="442">
        <v>1</v>
      </c>
      <c r="AC81" s="441">
        <v>0</v>
      </c>
      <c r="AD81" s="440">
        <f t="shared" si="235"/>
        <v>0</v>
      </c>
      <c r="AF81" s="442">
        <f t="shared" si="236"/>
        <v>1</v>
      </c>
      <c r="AG81" s="441">
        <f t="shared" si="237"/>
        <v>0</v>
      </c>
      <c r="AH81" s="440">
        <f t="shared" si="238"/>
        <v>0</v>
      </c>
      <c r="AJ81" s="442">
        <f t="shared" si="239"/>
        <v>1</v>
      </c>
      <c r="AK81" s="441">
        <f t="shared" si="240"/>
        <v>0</v>
      </c>
      <c r="AL81" s="440">
        <f t="shared" si="241"/>
        <v>0</v>
      </c>
      <c r="AN81" s="442">
        <f t="shared" si="242"/>
        <v>1</v>
      </c>
      <c r="AO81" s="441">
        <f t="shared" si="243"/>
        <v>0</v>
      </c>
      <c r="AP81" s="440">
        <f t="shared" si="244"/>
        <v>0</v>
      </c>
      <c r="AR81" s="442">
        <f t="shared" si="245"/>
        <v>1</v>
      </c>
      <c r="AS81" s="441">
        <f t="shared" si="246"/>
        <v>0</v>
      </c>
      <c r="AT81" s="440">
        <f t="shared" si="247"/>
        <v>0</v>
      </c>
    </row>
    <row r="82" spans="1:56" x14ac:dyDescent="0.2">
      <c r="A82" s="10" t="str">
        <f>+'Lead Budget'!A52</f>
        <v>Other: Tuition</v>
      </c>
      <c r="B82" s="12">
        <f t="shared" si="248"/>
        <v>0</v>
      </c>
      <c r="C82" s="12">
        <f t="shared" si="249"/>
        <v>0</v>
      </c>
      <c r="D82" s="12">
        <f t="shared" si="250"/>
        <v>0</v>
      </c>
      <c r="E82" s="443">
        <f>+'Lead Budget'!B52+Stedman!B52+'Co PI 2'!B52+'Co PI 3'!B52+'Co-PI Budget (4)'!B52+'Co-PI Budget (5)'!B52</f>
        <v>0</v>
      </c>
      <c r="F82" s="12">
        <f t="shared" si="251"/>
        <v>0</v>
      </c>
      <c r="G82" s="12">
        <f t="shared" si="252"/>
        <v>0</v>
      </c>
      <c r="H82" s="12">
        <f t="shared" si="253"/>
        <v>0</v>
      </c>
      <c r="I82" s="443">
        <f>+'Lead Budget'!C52+Stedman!C52+'Co PI 2'!C52+'Co PI 3'!C52+'Co-PI Budget (4)'!C52+'Co-PI Budget (5)'!C52</f>
        <v>0</v>
      </c>
      <c r="J82" s="12">
        <f t="shared" si="254"/>
        <v>0</v>
      </c>
      <c r="K82" s="12">
        <f t="shared" si="255"/>
        <v>0</v>
      </c>
      <c r="L82" s="12">
        <f t="shared" si="256"/>
        <v>0</v>
      </c>
      <c r="M82" s="443">
        <f>+'Lead Budget'!D52+Stedman!D52+'Co PI 2'!D52+'Co PI 3'!D52+'Co-PI Budget (4)'!D52+'Co-PI Budget (5)'!D52</f>
        <v>0</v>
      </c>
      <c r="N82" s="12">
        <f t="shared" si="257"/>
        <v>0</v>
      </c>
      <c r="O82" s="12">
        <f t="shared" si="258"/>
        <v>0</v>
      </c>
      <c r="P82" s="12">
        <f t="shared" si="259"/>
        <v>0</v>
      </c>
      <c r="Q82" s="443">
        <f>+'Lead Budget'!E52+Stedman!E52+'Co PI 2'!E52+'Co PI 3'!E52+'Co-PI Budget (4)'!E52+'Co-PI Budget (5)'!E52</f>
        <v>0</v>
      </c>
      <c r="R82" s="12">
        <f t="shared" si="260"/>
        <v>0</v>
      </c>
      <c r="S82" s="12">
        <f t="shared" si="261"/>
        <v>0</v>
      </c>
      <c r="T82" s="12">
        <f t="shared" si="262"/>
        <v>0</v>
      </c>
      <c r="U82" s="443">
        <f>+'Lead Budget'!F52+Stedman!F52+'Co PI 2'!F52+'Co PI 3'!F52+'Co-PI Budget (4)'!F52+'Co-PI Budget (5)'!F52</f>
        <v>0</v>
      </c>
      <c r="W82" s="444">
        <f t="shared" si="231"/>
        <v>0</v>
      </c>
      <c r="X82" s="12">
        <f t="shared" si="232"/>
        <v>0</v>
      </c>
      <c r="Y82" s="12">
        <f t="shared" si="233"/>
        <v>0</v>
      </c>
      <c r="Z82" s="443">
        <f t="shared" si="234"/>
        <v>0</v>
      </c>
      <c r="AB82" s="456">
        <f>+AB30</f>
        <v>1</v>
      </c>
      <c r="AC82" s="455">
        <f>+AC30</f>
        <v>0</v>
      </c>
      <c r="AD82" s="479">
        <f t="shared" si="235"/>
        <v>0</v>
      </c>
      <c r="AE82" s="68"/>
      <c r="AF82" s="456">
        <f>+AF30</f>
        <v>1</v>
      </c>
      <c r="AG82" s="455">
        <f>+AG30</f>
        <v>0</v>
      </c>
      <c r="AH82" s="479">
        <f t="shared" si="238"/>
        <v>0</v>
      </c>
      <c r="AI82" s="68"/>
      <c r="AJ82" s="456">
        <f>+AJ30</f>
        <v>1</v>
      </c>
      <c r="AK82" s="455">
        <f>+AK30</f>
        <v>0</v>
      </c>
      <c r="AL82" s="479">
        <f t="shared" si="241"/>
        <v>0</v>
      </c>
      <c r="AM82" s="68"/>
      <c r="AN82" s="456">
        <f>+AN30</f>
        <v>1</v>
      </c>
      <c r="AO82" s="455">
        <f>+AO30</f>
        <v>0</v>
      </c>
      <c r="AP82" s="479">
        <f t="shared" si="244"/>
        <v>0</v>
      </c>
      <c r="AQ82" s="68"/>
      <c r="AR82" s="456">
        <f>+AR30</f>
        <v>1</v>
      </c>
      <c r="AS82" s="455">
        <f>+AS30</f>
        <v>0</v>
      </c>
      <c r="AT82" s="479">
        <f t="shared" si="247"/>
        <v>0</v>
      </c>
      <c r="AU82" s="68"/>
      <c r="AV82" s="68"/>
      <c r="AW82" s="68"/>
      <c r="AX82" s="68"/>
      <c r="AY82" s="68"/>
      <c r="AZ82" s="68"/>
      <c r="BA82" s="68"/>
      <c r="BB82" s="68"/>
      <c r="BC82" s="68"/>
      <c r="BD82" s="68"/>
    </row>
    <row r="83" spans="1:56" x14ac:dyDescent="0.2">
      <c r="A83" s="10" t="str">
        <f>+'Lead Budget'!A53</f>
        <v>Other: Health Insurance</v>
      </c>
      <c r="B83" s="12">
        <f t="shared" si="248"/>
        <v>0</v>
      </c>
      <c r="C83" s="12">
        <f t="shared" si="249"/>
        <v>0</v>
      </c>
      <c r="D83" s="12">
        <f t="shared" si="250"/>
        <v>0</v>
      </c>
      <c r="E83" s="443">
        <f>+'Lead Budget'!B53+Stedman!B53+'Co PI 2'!B53+'Co PI 3'!B53+'Co-PI Budget (4)'!B53+'Co-PI Budget (5)'!B53</f>
        <v>0</v>
      </c>
      <c r="F83" s="12">
        <f t="shared" si="251"/>
        <v>0</v>
      </c>
      <c r="G83" s="12">
        <f t="shared" si="252"/>
        <v>0</v>
      </c>
      <c r="H83" s="12">
        <f t="shared" si="253"/>
        <v>0</v>
      </c>
      <c r="I83" s="443">
        <f>+'Lead Budget'!C53+Stedman!C53+'Co PI 2'!C53+'Co PI 3'!C53+'Co-PI Budget (4)'!C53+'Co-PI Budget (5)'!C53</f>
        <v>0</v>
      </c>
      <c r="J83" s="12">
        <f t="shared" si="254"/>
        <v>0</v>
      </c>
      <c r="K83" s="12">
        <f t="shared" si="255"/>
        <v>0</v>
      </c>
      <c r="L83" s="12">
        <f t="shared" si="256"/>
        <v>0</v>
      </c>
      <c r="M83" s="443">
        <f>+'Lead Budget'!D53+Stedman!D53+'Co PI 2'!D53+'Co PI 3'!D53+'Co-PI Budget (4)'!D53+'Co-PI Budget (5)'!D53</f>
        <v>0</v>
      </c>
      <c r="N83" s="12">
        <f t="shared" si="257"/>
        <v>0</v>
      </c>
      <c r="O83" s="12">
        <f t="shared" si="258"/>
        <v>0</v>
      </c>
      <c r="P83" s="12">
        <f t="shared" si="259"/>
        <v>0</v>
      </c>
      <c r="Q83" s="443">
        <f>+'Lead Budget'!E53+Stedman!E53+'Co PI 2'!E53+'Co PI 3'!E53+'Co-PI Budget (4)'!E53+'Co-PI Budget (5)'!E53</f>
        <v>0</v>
      </c>
      <c r="R83" s="12">
        <f t="shared" si="260"/>
        <v>0</v>
      </c>
      <c r="S83" s="12">
        <f t="shared" si="261"/>
        <v>0</v>
      </c>
      <c r="T83" s="12">
        <f t="shared" si="262"/>
        <v>0</v>
      </c>
      <c r="U83" s="443">
        <f>+'Lead Budget'!F53+Stedman!F53+'Co PI 2'!F53+'Co PI 3'!F53+'Co-PI Budget (4)'!F53+'Co-PI Budget (5)'!F53</f>
        <v>0</v>
      </c>
      <c r="W83" s="444">
        <f t="shared" si="231"/>
        <v>0</v>
      </c>
      <c r="X83" s="12">
        <f t="shared" si="232"/>
        <v>0</v>
      </c>
      <c r="Y83" s="12">
        <f t="shared" si="233"/>
        <v>0</v>
      </c>
      <c r="Z83" s="443">
        <f t="shared" si="234"/>
        <v>0</v>
      </c>
      <c r="AB83" s="456">
        <f>+AB30</f>
        <v>1</v>
      </c>
      <c r="AC83" s="455">
        <f>+AC30</f>
        <v>0</v>
      </c>
      <c r="AD83" s="479">
        <f t="shared" si="235"/>
        <v>0</v>
      </c>
      <c r="AE83" s="68"/>
      <c r="AF83" s="456">
        <f>+AF30</f>
        <v>1</v>
      </c>
      <c r="AG83" s="455">
        <f>+AG30</f>
        <v>0</v>
      </c>
      <c r="AH83" s="479">
        <f t="shared" si="238"/>
        <v>0</v>
      </c>
      <c r="AI83" s="68"/>
      <c r="AJ83" s="456">
        <f>+AJ30</f>
        <v>1</v>
      </c>
      <c r="AK83" s="455">
        <f>+AK30</f>
        <v>0</v>
      </c>
      <c r="AL83" s="479">
        <f t="shared" si="241"/>
        <v>0</v>
      </c>
      <c r="AM83" s="68"/>
      <c r="AN83" s="456">
        <f>+AN30</f>
        <v>1</v>
      </c>
      <c r="AO83" s="455">
        <f>+AO30</f>
        <v>0</v>
      </c>
      <c r="AP83" s="479">
        <f t="shared" si="244"/>
        <v>0</v>
      </c>
      <c r="AQ83" s="68"/>
      <c r="AR83" s="456">
        <f>+AR30</f>
        <v>1</v>
      </c>
      <c r="AS83" s="455">
        <f>+AS30</f>
        <v>0</v>
      </c>
      <c r="AT83" s="479">
        <f t="shared" si="247"/>
        <v>0</v>
      </c>
      <c r="AU83" s="68"/>
      <c r="AV83" s="68"/>
      <c r="AW83" s="68"/>
      <c r="AX83" s="68"/>
      <c r="AY83" s="68"/>
      <c r="AZ83" s="68"/>
      <c r="BA83" s="68"/>
      <c r="BB83" s="68"/>
      <c r="BC83" s="68"/>
      <c r="BD83" s="68"/>
    </row>
    <row r="84" spans="1:56" x14ac:dyDescent="0.2">
      <c r="A84" s="10" t="str">
        <f>+'Lead Budget'!A54</f>
        <v>Other</v>
      </c>
      <c r="B84" s="12">
        <f t="shared" si="248"/>
        <v>6033</v>
      </c>
      <c r="C84" s="12">
        <f t="shared" si="249"/>
        <v>0</v>
      </c>
      <c r="D84" s="12">
        <f t="shared" si="250"/>
        <v>0</v>
      </c>
      <c r="E84" s="443">
        <f>+'Lead Budget'!B54+Stedman!B54+'Co PI 2'!B54+'Co PI 3'!B54+'Co-PI Budget (4)'!B54+'Co-PI Budget (5)'!B54</f>
        <v>6033</v>
      </c>
      <c r="F84" s="12">
        <f t="shared" si="251"/>
        <v>889</v>
      </c>
      <c r="G84" s="12">
        <f t="shared" si="252"/>
        <v>0</v>
      </c>
      <c r="H84" s="12">
        <f t="shared" si="253"/>
        <v>0</v>
      </c>
      <c r="I84" s="443">
        <f>+'Lead Budget'!C54+Stedman!C54+'Co PI 2'!C54+'Co PI 3'!C54+'Co-PI Budget (4)'!C54+'Co-PI Budget (5)'!C54</f>
        <v>889</v>
      </c>
      <c r="J84" s="12">
        <f t="shared" si="254"/>
        <v>0</v>
      </c>
      <c r="K84" s="12">
        <f t="shared" si="255"/>
        <v>0</v>
      </c>
      <c r="L84" s="12">
        <f t="shared" si="256"/>
        <v>0</v>
      </c>
      <c r="M84" s="443">
        <f>+'Lead Budget'!D54+Stedman!D54+'Co PI 2'!D54+'Co PI 3'!D54+'Co-PI Budget (4)'!D54+'Co-PI Budget (5)'!D54</f>
        <v>0</v>
      </c>
      <c r="N84" s="12">
        <f t="shared" si="257"/>
        <v>0</v>
      </c>
      <c r="O84" s="12">
        <f t="shared" si="258"/>
        <v>0</v>
      </c>
      <c r="P84" s="12">
        <f t="shared" si="259"/>
        <v>0</v>
      </c>
      <c r="Q84" s="443">
        <f>+'Lead Budget'!E54+Stedman!E54+'Co PI 2'!E54+'Co PI 3'!E54+'Co-PI Budget (4)'!E54+'Co-PI Budget (5)'!E54</f>
        <v>0</v>
      </c>
      <c r="R84" s="12">
        <f t="shared" si="260"/>
        <v>0</v>
      </c>
      <c r="S84" s="12">
        <f t="shared" si="261"/>
        <v>0</v>
      </c>
      <c r="T84" s="12">
        <f t="shared" si="262"/>
        <v>0</v>
      </c>
      <c r="U84" s="443">
        <f>+'Lead Budget'!F54+Stedman!F54+'Co PI 2'!F54+'Co PI 3'!F54+'Co-PI Budget (4)'!F54+'Co-PI Budget (5)'!F54</f>
        <v>0</v>
      </c>
      <c r="W84" s="444">
        <f t="shared" si="231"/>
        <v>6922</v>
      </c>
      <c r="X84" s="12">
        <f t="shared" si="232"/>
        <v>0</v>
      </c>
      <c r="Y84" s="12">
        <f t="shared" si="233"/>
        <v>0</v>
      </c>
      <c r="Z84" s="443">
        <f t="shared" si="234"/>
        <v>6922</v>
      </c>
      <c r="AB84" s="442">
        <v>1</v>
      </c>
      <c r="AC84" s="441">
        <v>0</v>
      </c>
      <c r="AD84" s="440">
        <f t="shared" si="235"/>
        <v>0</v>
      </c>
      <c r="AF84" s="442">
        <f t="shared" si="236"/>
        <v>1</v>
      </c>
      <c r="AG84" s="441">
        <f t="shared" si="237"/>
        <v>0</v>
      </c>
      <c r="AH84" s="440">
        <f t="shared" si="238"/>
        <v>0</v>
      </c>
      <c r="AJ84" s="442">
        <f t="shared" si="239"/>
        <v>1</v>
      </c>
      <c r="AK84" s="441">
        <f t="shared" si="240"/>
        <v>0</v>
      </c>
      <c r="AL84" s="440">
        <f t="shared" si="241"/>
        <v>0</v>
      </c>
      <c r="AN84" s="442">
        <f t="shared" si="242"/>
        <v>1</v>
      </c>
      <c r="AO84" s="441">
        <f t="shared" si="243"/>
        <v>0</v>
      </c>
      <c r="AP84" s="440">
        <f t="shared" si="244"/>
        <v>0</v>
      </c>
      <c r="AR84" s="442">
        <f t="shared" si="245"/>
        <v>1</v>
      </c>
      <c r="AS84" s="441">
        <f t="shared" si="246"/>
        <v>0</v>
      </c>
      <c r="AT84" s="440">
        <f t="shared" si="247"/>
        <v>0</v>
      </c>
    </row>
    <row r="85" spans="1:56" ht="12" thickBot="1" x14ac:dyDescent="0.25">
      <c r="A85" s="15" t="str">
        <f>CONCATENATE("Total ",A75)</f>
        <v>Total Other Direct Costs</v>
      </c>
      <c r="B85" s="16">
        <f t="shared" ref="B85:U85" si="263">SUM(B75:B84)</f>
        <v>6386</v>
      </c>
      <c r="C85" s="16">
        <f t="shared" si="263"/>
        <v>0</v>
      </c>
      <c r="D85" s="16">
        <f t="shared" si="263"/>
        <v>0</v>
      </c>
      <c r="E85" s="438">
        <f t="shared" si="263"/>
        <v>6386</v>
      </c>
      <c r="F85" s="16">
        <f t="shared" si="263"/>
        <v>889</v>
      </c>
      <c r="G85" s="16">
        <f t="shared" si="263"/>
        <v>0</v>
      </c>
      <c r="H85" s="16">
        <f t="shared" si="263"/>
        <v>0</v>
      </c>
      <c r="I85" s="438">
        <f t="shared" si="263"/>
        <v>889</v>
      </c>
      <c r="J85" s="16">
        <f t="shared" si="263"/>
        <v>0</v>
      </c>
      <c r="K85" s="16">
        <f t="shared" si="263"/>
        <v>0</v>
      </c>
      <c r="L85" s="16">
        <f t="shared" si="263"/>
        <v>0</v>
      </c>
      <c r="M85" s="438">
        <f t="shared" si="263"/>
        <v>0</v>
      </c>
      <c r="N85" s="16">
        <f t="shared" si="263"/>
        <v>0</v>
      </c>
      <c r="O85" s="16">
        <f t="shared" si="263"/>
        <v>0</v>
      </c>
      <c r="P85" s="16">
        <f t="shared" si="263"/>
        <v>0</v>
      </c>
      <c r="Q85" s="438">
        <f t="shared" si="263"/>
        <v>0</v>
      </c>
      <c r="R85" s="16">
        <f t="shared" si="263"/>
        <v>0</v>
      </c>
      <c r="S85" s="16">
        <f t="shared" si="263"/>
        <v>0</v>
      </c>
      <c r="T85" s="16">
        <f t="shared" si="263"/>
        <v>0</v>
      </c>
      <c r="U85" s="438">
        <f t="shared" si="263"/>
        <v>0</v>
      </c>
      <c r="W85" s="439">
        <f>SUM(W75:W84)</f>
        <v>7275</v>
      </c>
      <c r="X85" s="16">
        <f>SUM(X75:X84)</f>
        <v>0</v>
      </c>
      <c r="Y85" s="16">
        <f>SUM(Y75:Y84)</f>
        <v>0</v>
      </c>
      <c r="Z85" s="438">
        <f>SUM(Z75:Z84)</f>
        <v>7275</v>
      </c>
      <c r="AB85" s="437"/>
      <c r="AC85" s="436"/>
      <c r="AD85" s="435"/>
      <c r="AF85" s="437"/>
      <c r="AG85" s="436"/>
      <c r="AH85" s="435"/>
      <c r="AJ85" s="437"/>
      <c r="AK85" s="436"/>
      <c r="AL85" s="435"/>
      <c r="AN85" s="437"/>
      <c r="AO85" s="436"/>
      <c r="AP85" s="435"/>
      <c r="AR85" s="437"/>
      <c r="AS85" s="436"/>
      <c r="AT85" s="435"/>
    </row>
    <row r="86" spans="1:56" ht="12" thickBot="1" x14ac:dyDescent="0.25">
      <c r="A86" s="99" t="s">
        <v>16</v>
      </c>
      <c r="B86" s="137">
        <f>SUM(B26+B34+B58+B63+B67+B74+B85)</f>
        <v>106815</v>
      </c>
      <c r="C86" s="137">
        <f>SUM(C26+C34+C58+C63+C67+C74+C85)</f>
        <v>0</v>
      </c>
      <c r="D86" s="137">
        <f>SUM(D26+D34+D58+D63+D67+D74+D85)</f>
        <v>0</v>
      </c>
      <c r="E86" s="434">
        <f>SUM(+E26+E34+E58+E63+E67+E74+E85)</f>
        <v>106815</v>
      </c>
      <c r="F86" s="137">
        <f>SUM(F26+F34+F58+F63+F67+F74+F85)</f>
        <v>100157</v>
      </c>
      <c r="G86" s="137">
        <f>SUM(G26+G34+G58+G63+G67+G74+G85)</f>
        <v>0</v>
      </c>
      <c r="H86" s="137">
        <f>SUM(H26+H34+H58+H63+H67+H74+H85)</f>
        <v>0</v>
      </c>
      <c r="I86" s="434">
        <f>SUM(+I26+I34+I58+I63+I67+I74+I85)</f>
        <v>100157</v>
      </c>
      <c r="J86" s="137">
        <f>SUM(J26+J34+J58+J63+J67+J74+J85)</f>
        <v>0</v>
      </c>
      <c r="K86" s="137">
        <f>SUM(K26+K34+K58+K63+K67+K74+K85)</f>
        <v>0</v>
      </c>
      <c r="L86" s="137">
        <f>SUM(L26+L34+L58+L63+L67+L74+L85)</f>
        <v>0</v>
      </c>
      <c r="M86" s="434">
        <f>SUM(+M26+M34+M58+M63+M67+M74+M85)</f>
        <v>0</v>
      </c>
      <c r="N86" s="137">
        <f>SUM(N26+N34+N58+N63+N67+N74+N85)</f>
        <v>0</v>
      </c>
      <c r="O86" s="137">
        <f>SUM(O26+O34+O58+O63+O67+O74+O85)</f>
        <v>0</v>
      </c>
      <c r="P86" s="137">
        <f>SUM(P26+P34+P58+P63+P67+P74+P85)</f>
        <v>0</v>
      </c>
      <c r="Q86" s="434">
        <f>SUM(+Q26+Q34+Q58+Q63+Q67+Q74+Q85)</f>
        <v>0</v>
      </c>
      <c r="R86" s="137">
        <f>SUM(R26+R34+R58+R63+R67+R74+R85)</f>
        <v>0</v>
      </c>
      <c r="S86" s="137">
        <f>SUM(S26+S34+S58+S63+S67+S74+S85)</f>
        <v>0</v>
      </c>
      <c r="T86" s="137">
        <f>SUM(T26+T34+T58+T63+T67+T74+T85)</f>
        <v>0</v>
      </c>
      <c r="U86" s="434">
        <f>SUM(+U26+U34+U58+U63+U67+U74+U85)</f>
        <v>0</v>
      </c>
      <c r="W86" s="427">
        <f>SUM(W26+W34+W58+W63+W67+W74+W85)</f>
        <v>206972</v>
      </c>
      <c r="X86" s="137">
        <f>SUM(X26+X34+X58+X63+X67+X74+X85)</f>
        <v>0</v>
      </c>
      <c r="Y86" s="137">
        <f>SUM(Y26+Y34+Y58+Y63+Y67+Y74+Y85)</f>
        <v>0</v>
      </c>
      <c r="Z86" s="433">
        <f>SUM(W86:Y86)</f>
        <v>206972</v>
      </c>
      <c r="AA86" s="420"/>
      <c r="AB86" s="432"/>
      <c r="AC86" s="432"/>
      <c r="AD86" s="432"/>
      <c r="AE86" s="420"/>
      <c r="AF86" s="432"/>
      <c r="AG86" s="432"/>
      <c r="AH86" s="432"/>
      <c r="AI86" s="420"/>
      <c r="AJ86" s="432"/>
      <c r="AK86" s="432"/>
      <c r="AL86" s="432"/>
    </row>
    <row r="87" spans="1:56" ht="12" thickBot="1" x14ac:dyDescent="0.25">
      <c r="A87" s="7" t="s">
        <v>17</v>
      </c>
      <c r="B87" s="430">
        <f>IF(E86&gt;0,ROUND((B86/E86)*E87,0),0)</f>
        <v>106815</v>
      </c>
      <c r="C87" s="430">
        <f>IF(E86&gt;0,ROUND((C86/E86)*E87,0),0)</f>
        <v>0</v>
      </c>
      <c r="D87" s="429">
        <f>+E87-(B87+C87)</f>
        <v>0</v>
      </c>
      <c r="E87" s="428">
        <f>+'Budget Summary'!B94+'Budget Summary'!B95+'Budget Summary'!B96+'Budget Summary'!B97</f>
        <v>106815</v>
      </c>
      <c r="F87" s="430">
        <f>IF(I86&gt;0,ROUND((F86/I86)*I87,0),0)</f>
        <v>100157</v>
      </c>
      <c r="G87" s="430">
        <f>IF(I86&gt;0,ROUND((G86/I86)*I87,0),0)</f>
        <v>0</v>
      </c>
      <c r="H87" s="429">
        <f>+I87-(F87+G87)</f>
        <v>0</v>
      </c>
      <c r="I87" s="428">
        <f>+'Budget Summary'!C94+'Budget Summary'!C95+'Budget Summary'!C96+'Budget Summary'!C97</f>
        <v>100157</v>
      </c>
      <c r="J87" s="430">
        <f>IF(M86&gt;0,ROUND((J86/M86)*M87,0),0)</f>
        <v>0</v>
      </c>
      <c r="K87" s="430">
        <f>IF(M86&gt;0,ROUND((K86/M86)*M87,0),0)</f>
        <v>0</v>
      </c>
      <c r="L87" s="429">
        <f>+M87-(J87+K87)</f>
        <v>0</v>
      </c>
      <c r="M87" s="428">
        <f>+'Budget Summary'!D94+'Budget Summary'!D95+'Budget Summary'!D96+'Budget Summary'!D97</f>
        <v>0</v>
      </c>
      <c r="N87" s="430">
        <f>IF(Q86&gt;0,ROUND((N86/Q86)*Q87,0),0)</f>
        <v>0</v>
      </c>
      <c r="O87" s="430">
        <f>IF(Q86&gt;0,ROUND((O86/Q86)*Q87,0),0)</f>
        <v>0</v>
      </c>
      <c r="P87" s="429">
        <f>+Q87-(N87+O87)</f>
        <v>0</v>
      </c>
      <c r="Q87" s="428">
        <f>+'Budget Summary'!E94+'Budget Summary'!E95+'Budget Summary'!E96+'Budget Summary'!E97</f>
        <v>0</v>
      </c>
      <c r="R87" s="430">
        <f>IF(U86&gt;0,ROUND((R86/U86)*U87,0),0)</f>
        <v>0</v>
      </c>
      <c r="S87" s="430">
        <f>IF(U86&gt;0,ROUND((S86/U86)*U87,0),0)</f>
        <v>0</v>
      </c>
      <c r="T87" s="429">
        <f>+U87-(R87+S87)</f>
        <v>0</v>
      </c>
      <c r="U87" s="428">
        <f>+'Budget Summary'!F94+'Budget Summary'!F95+'Budget Summary'!F96+'Budget Summary'!F97</f>
        <v>0</v>
      </c>
      <c r="W87" s="431">
        <f t="shared" ref="W87:Y88" si="264">+B87+F87+J87+N87+R87</f>
        <v>206972</v>
      </c>
      <c r="X87" s="430">
        <f t="shared" si="264"/>
        <v>0</v>
      </c>
      <c r="Y87" s="429">
        <f t="shared" si="264"/>
        <v>0</v>
      </c>
      <c r="Z87" s="428">
        <f>+'Budget Summary'!G94+'Budget Summary'!G95+'Budget Summary'!G96+'Budget Summary'!G97</f>
        <v>206972</v>
      </c>
      <c r="AA87" s="117"/>
      <c r="AB87" s="22"/>
      <c r="AC87" s="22"/>
      <c r="AD87" s="22"/>
      <c r="AF87" s="13"/>
      <c r="AG87" s="13"/>
    </row>
    <row r="88" spans="1:56" ht="12" thickBot="1" x14ac:dyDescent="0.25">
      <c r="A88" s="108" t="s">
        <v>18</v>
      </c>
      <c r="B88" s="137">
        <f>IF(E87&gt;0,ROUND((B87/E87)*E88,0),0)</f>
        <v>21363</v>
      </c>
      <c r="C88" s="137">
        <f>IF(E87&gt;0,ROUND((C87/E87)*E88,0),0)</f>
        <v>0</v>
      </c>
      <c r="D88" s="137">
        <f>+E88-(B88+C88)</f>
        <v>0</v>
      </c>
      <c r="E88" s="426">
        <f>+'Budget Summary'!B98</f>
        <v>21363</v>
      </c>
      <c r="F88" s="137">
        <f>IF(I87&gt;0,ROUND((F87/I87)*I88,0),0)</f>
        <v>20031</v>
      </c>
      <c r="G88" s="137">
        <f>IF(I87&gt;0,ROUND((G87/I87)*I88,0),0)</f>
        <v>0</v>
      </c>
      <c r="H88" s="137">
        <f>+I88-(F88+G88)</f>
        <v>0</v>
      </c>
      <c r="I88" s="426">
        <f>+'Budget Summary'!C98</f>
        <v>20031</v>
      </c>
      <c r="J88" s="137">
        <f>IF(M87&gt;0,ROUND((J87/M87)*M88,0),0)</f>
        <v>0</v>
      </c>
      <c r="K88" s="137">
        <f>IF(M87&gt;0,ROUND((K87/M87)*M88,0),0)</f>
        <v>0</v>
      </c>
      <c r="L88" s="137">
        <f>+M88-(J88+K88)</f>
        <v>0</v>
      </c>
      <c r="M88" s="426">
        <f>+'Budget Summary'!D98</f>
        <v>0</v>
      </c>
      <c r="N88" s="137">
        <f>IF(Q87&gt;0,ROUND((N87/Q87)*Q88,0),0)</f>
        <v>0</v>
      </c>
      <c r="O88" s="137">
        <f>IF(Q87&gt;0,ROUND((O87/Q87)*Q88,0),0)</f>
        <v>0</v>
      </c>
      <c r="P88" s="137">
        <f>+Q88-(N88+O88)</f>
        <v>0</v>
      </c>
      <c r="Q88" s="426">
        <f>+'Budget Summary'!E98</f>
        <v>0</v>
      </c>
      <c r="R88" s="137">
        <f>IF(U87&gt;0,ROUND((R87/U87)*U88,0),0)</f>
        <v>0</v>
      </c>
      <c r="S88" s="137">
        <f>IF(U87&gt;0,ROUND((S87/U87)*U88,0),0)</f>
        <v>0</v>
      </c>
      <c r="T88" s="137">
        <f>+U88-(R88+S88)</f>
        <v>0</v>
      </c>
      <c r="U88" s="426">
        <f>+'Budget Summary'!F98</f>
        <v>0</v>
      </c>
      <c r="W88" s="427">
        <f t="shared" si="264"/>
        <v>41394</v>
      </c>
      <c r="X88" s="137">
        <f t="shared" si="264"/>
        <v>0</v>
      </c>
      <c r="Y88" s="137">
        <f t="shared" si="264"/>
        <v>0</v>
      </c>
      <c r="Z88" s="426">
        <f>+'Budget Summary'!G98</f>
        <v>41394</v>
      </c>
      <c r="AA88" s="116"/>
      <c r="AB88" s="22"/>
      <c r="AC88" s="22"/>
      <c r="AD88" s="22"/>
      <c r="AF88" s="13"/>
      <c r="AG88" s="13"/>
    </row>
    <row r="89" spans="1:56" ht="12" thickBot="1" x14ac:dyDescent="0.25">
      <c r="A89" s="109" t="s">
        <v>19</v>
      </c>
      <c r="B89" s="424">
        <f t="shared" ref="B89:U89" si="265">+B86+B88</f>
        <v>128178</v>
      </c>
      <c r="C89" s="424">
        <f t="shared" si="265"/>
        <v>0</v>
      </c>
      <c r="D89" s="424">
        <f t="shared" si="265"/>
        <v>0</v>
      </c>
      <c r="E89" s="423">
        <f t="shared" si="265"/>
        <v>128178</v>
      </c>
      <c r="F89" s="424">
        <f t="shared" si="265"/>
        <v>120188</v>
      </c>
      <c r="G89" s="424">
        <f t="shared" si="265"/>
        <v>0</v>
      </c>
      <c r="H89" s="424">
        <f t="shared" si="265"/>
        <v>0</v>
      </c>
      <c r="I89" s="423">
        <f t="shared" si="265"/>
        <v>120188</v>
      </c>
      <c r="J89" s="424">
        <f t="shared" si="265"/>
        <v>0</v>
      </c>
      <c r="K89" s="424">
        <f t="shared" si="265"/>
        <v>0</v>
      </c>
      <c r="L89" s="424">
        <f t="shared" si="265"/>
        <v>0</v>
      </c>
      <c r="M89" s="423">
        <f t="shared" si="265"/>
        <v>0</v>
      </c>
      <c r="N89" s="424">
        <f t="shared" si="265"/>
        <v>0</v>
      </c>
      <c r="O89" s="424">
        <f t="shared" si="265"/>
        <v>0</v>
      </c>
      <c r="P89" s="424">
        <f t="shared" si="265"/>
        <v>0</v>
      </c>
      <c r="Q89" s="423">
        <f t="shared" si="265"/>
        <v>0</v>
      </c>
      <c r="R89" s="424">
        <f t="shared" si="265"/>
        <v>0</v>
      </c>
      <c r="S89" s="424">
        <f t="shared" si="265"/>
        <v>0</v>
      </c>
      <c r="T89" s="424">
        <f t="shared" si="265"/>
        <v>0</v>
      </c>
      <c r="U89" s="423">
        <f t="shared" si="265"/>
        <v>0</v>
      </c>
      <c r="W89" s="425">
        <f>+W86+W88</f>
        <v>248366</v>
      </c>
      <c r="X89" s="424">
        <f>+X86+X88</f>
        <v>0</v>
      </c>
      <c r="Y89" s="424">
        <f>+Y86+Y88</f>
        <v>0</v>
      </c>
      <c r="Z89" s="423">
        <f>+Z86+Z88</f>
        <v>248366</v>
      </c>
      <c r="AB89" s="22"/>
      <c r="AC89" s="22"/>
      <c r="AD89" s="22"/>
      <c r="AF89" s="13"/>
      <c r="AG89" s="13"/>
    </row>
    <row r="90" spans="1:56" x14ac:dyDescent="0.2">
      <c r="A90" s="22"/>
      <c r="B90" s="22"/>
      <c r="C90" s="22"/>
      <c r="D90" s="2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W90" s="12"/>
      <c r="X90" s="12"/>
      <c r="Y90" s="12"/>
      <c r="AB90" s="22"/>
      <c r="AC90" s="22"/>
      <c r="AD90" s="22"/>
      <c r="AF90" s="13"/>
      <c r="AG90" s="13"/>
    </row>
    <row r="91" spans="1:56" x14ac:dyDescent="0.2">
      <c r="A91" s="22"/>
      <c r="B91" s="421">
        <f>IF(E89&gt;0,+B89/E89,0)</f>
        <v>1</v>
      </c>
      <c r="C91" s="421">
        <f>IF(E89&gt;0,+C89/E89,0)</f>
        <v>0</v>
      </c>
      <c r="D91" s="421">
        <f>IF(E89&gt;0,100%-(B91+C91),0)</f>
        <v>0</v>
      </c>
      <c r="E91" s="422"/>
      <c r="F91" s="421">
        <f>IF(I89&gt;0,+F89/I89,0)</f>
        <v>1</v>
      </c>
      <c r="G91" s="421">
        <f>IF(I89&gt;0,+G89/I89,0)</f>
        <v>0</v>
      </c>
      <c r="H91" s="421">
        <f>IF(I89&gt;0,100%-(F91+G91),0)</f>
        <v>0</v>
      </c>
      <c r="I91" s="12"/>
      <c r="J91" s="421">
        <f>IF(M89&gt;0,+J89/M89,0)</f>
        <v>0</v>
      </c>
      <c r="K91" s="421">
        <f>IF(M89&gt;0,+K89/M89,0)</f>
        <v>0</v>
      </c>
      <c r="L91" s="421">
        <f>IF(M89&gt;0,100%-(J91+K91),0)</f>
        <v>0</v>
      </c>
      <c r="M91" s="12"/>
      <c r="N91" s="421">
        <f>IF(Q89&gt;0,+N89/Q89,0)</f>
        <v>0</v>
      </c>
      <c r="O91" s="421">
        <f>IF(Q89&gt;0,+O89/Q89,0)</f>
        <v>0</v>
      </c>
      <c r="P91" s="421">
        <f>IF(Q89&gt;0,100%-(N91+O91),0)</f>
        <v>0</v>
      </c>
      <c r="Q91" s="12"/>
      <c r="R91" s="421">
        <f>IF(U89&gt;0,+R89/U89,0)</f>
        <v>0</v>
      </c>
      <c r="S91" s="421">
        <f>IF(U89&gt;0,+S89/U89,0)</f>
        <v>0</v>
      </c>
      <c r="T91" s="421">
        <f>IF(U89&gt;0,100%-(R91+S91),0)</f>
        <v>0</v>
      </c>
      <c r="U91" s="12"/>
      <c r="W91" s="421">
        <f>IF(Z89&gt;0,+W89/Z89,0)</f>
        <v>1</v>
      </c>
      <c r="X91" s="421">
        <f>IF(Z89&gt;0,+X89/Z89,0)</f>
        <v>0</v>
      </c>
      <c r="Y91" s="421">
        <f>IF(Z89&gt;0,100%-(W91+X91),0)</f>
        <v>0</v>
      </c>
      <c r="AB91" s="22"/>
      <c r="AC91" s="22"/>
      <c r="AD91" s="22"/>
      <c r="AE91" s="39"/>
      <c r="AF91" s="13"/>
      <c r="AG91" s="13"/>
    </row>
    <row r="92" spans="1:56" s="3" customFormat="1" x14ac:dyDescent="0.2">
      <c r="A92" s="2"/>
      <c r="B92" s="419"/>
      <c r="C92" s="419"/>
      <c r="D92" s="2"/>
      <c r="E92" s="2"/>
      <c r="F92" s="419"/>
      <c r="G92" s="419"/>
      <c r="H92" s="2"/>
      <c r="I92" s="2"/>
      <c r="J92" s="420"/>
      <c r="K92" s="420"/>
      <c r="L92" s="420"/>
      <c r="M92" s="2"/>
      <c r="N92" s="419"/>
      <c r="O92" s="419"/>
      <c r="P92" s="2"/>
      <c r="Q92" s="2"/>
      <c r="R92" s="419"/>
      <c r="S92" s="419"/>
      <c r="T92" s="2"/>
      <c r="U92" s="2"/>
      <c r="V92" s="2"/>
      <c r="W92" s="12"/>
      <c r="X92" s="2"/>
      <c r="Y92" s="2"/>
      <c r="AB92" s="22"/>
      <c r="AC92" s="22"/>
      <c r="AD92" s="22"/>
      <c r="AE92" s="2"/>
      <c r="AF92" s="2"/>
      <c r="AG92" s="2"/>
      <c r="AH92" s="2"/>
      <c r="AI92" s="2"/>
    </row>
    <row r="93" spans="1:56" x14ac:dyDescent="0.2">
      <c r="B93" s="419"/>
      <c r="C93" s="419"/>
      <c r="F93" s="419"/>
      <c r="G93" s="419"/>
      <c r="J93" s="419"/>
      <c r="K93" s="419"/>
      <c r="N93" s="419"/>
      <c r="O93" s="419"/>
      <c r="R93" s="419"/>
      <c r="S93" s="419"/>
      <c r="W93" s="12"/>
      <c r="AB93" s="22"/>
      <c r="AC93" s="22"/>
      <c r="AD93" s="22"/>
    </row>
    <row r="94" spans="1:56" x14ac:dyDescent="0.2">
      <c r="B94" s="419"/>
      <c r="C94" s="419"/>
      <c r="F94" s="419"/>
      <c r="G94" s="419"/>
      <c r="J94" s="419"/>
      <c r="K94" s="419"/>
      <c r="N94" s="419"/>
      <c r="O94" s="419"/>
      <c r="R94" s="419"/>
      <c r="S94" s="419"/>
      <c r="W94" s="12"/>
    </row>
  </sheetData>
  <mergeCells count="5">
    <mergeCell ref="AN4:AP4"/>
    <mergeCell ref="AR4:AT4"/>
    <mergeCell ref="AB4:AD4"/>
    <mergeCell ref="AF4:AH4"/>
    <mergeCell ref="AJ4:AL4"/>
  </mergeCells>
  <pageMargins left="0.75" right="0.53" top="0.7" bottom="0.64" header="0.5" footer="0.5"/>
  <pageSetup scale="3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24</vt:i4>
      </vt:variant>
    </vt:vector>
  </HeadingPairs>
  <TitlesOfParts>
    <vt:vector size="54" baseType="lpstr">
      <vt:lpstr>rates, dates, etc</vt:lpstr>
      <vt:lpstr>RASS Input</vt:lpstr>
      <vt:lpstr>Budget Summary</vt:lpstr>
      <vt:lpstr>IDC Tab (NICRA)</vt:lpstr>
      <vt:lpstr>IDC Tab (TFF)</vt:lpstr>
      <vt:lpstr>Industry RollUp Budget</vt:lpstr>
      <vt:lpstr>NIH Modular</vt:lpstr>
      <vt:lpstr>Cost Share</vt:lpstr>
      <vt:lpstr>Budget Summary %</vt:lpstr>
      <vt:lpstr>Lead Budget</vt:lpstr>
      <vt:lpstr>Expense Details</vt:lpstr>
      <vt:lpstr>CALS Recovery</vt:lpstr>
      <vt:lpstr>Stedman</vt:lpstr>
      <vt:lpstr>Co PI 2</vt:lpstr>
      <vt:lpstr>Co PI 3</vt:lpstr>
      <vt:lpstr>Co-PI Budget (4)</vt:lpstr>
      <vt:lpstr>Co-PI Budget (5)</vt:lpstr>
      <vt:lpstr>Co-PI Budget (6)</vt:lpstr>
      <vt:lpstr>Consortium 1</vt:lpstr>
      <vt:lpstr>Consortium 2</vt:lpstr>
      <vt:lpstr>Consortium 3</vt:lpstr>
      <vt:lpstr>Consortium 4</vt:lpstr>
      <vt:lpstr>Consortium 5</vt:lpstr>
      <vt:lpstr>Consortium 6</vt:lpstr>
      <vt:lpstr>Consortium 7</vt:lpstr>
      <vt:lpstr>Consortium 8</vt:lpstr>
      <vt:lpstr>Consortium 9</vt:lpstr>
      <vt:lpstr>Consortium 10</vt:lpstr>
      <vt:lpstr>NSF Totals - Do not use</vt:lpstr>
      <vt:lpstr>Do not use-GRA CostShare calc</vt:lpstr>
      <vt:lpstr>'Budget Summary'!Print_Area</vt:lpstr>
      <vt:lpstr>'Budget Summary %'!Print_Area</vt:lpstr>
      <vt:lpstr>'Co PI 2'!Print_Area</vt:lpstr>
      <vt:lpstr>'Co PI 3'!Print_Area</vt:lpstr>
      <vt:lpstr>'Consortium 1'!Print_Area</vt:lpstr>
      <vt:lpstr>'Consortium 10'!Print_Area</vt:lpstr>
      <vt:lpstr>'Consortium 2'!Print_Area</vt:lpstr>
      <vt:lpstr>'Consortium 3'!Print_Area</vt:lpstr>
      <vt:lpstr>'Consortium 4'!Print_Area</vt:lpstr>
      <vt:lpstr>'Consortium 5'!Print_Area</vt:lpstr>
      <vt:lpstr>'Consortium 6'!Print_Area</vt:lpstr>
      <vt:lpstr>'Consortium 7'!Print_Area</vt:lpstr>
      <vt:lpstr>'Consortium 8'!Print_Area</vt:lpstr>
      <vt:lpstr>'Consortium 9'!Print_Area</vt:lpstr>
      <vt:lpstr>'Co-PI Budget (4)'!Print_Area</vt:lpstr>
      <vt:lpstr>'Co-PI Budget (5)'!Print_Area</vt:lpstr>
      <vt:lpstr>'Co-PI Budget (6)'!Print_Area</vt:lpstr>
      <vt:lpstr>'Cost Share'!Print_Area</vt:lpstr>
      <vt:lpstr>'Do not use-GRA CostShare calc'!Print_Area</vt:lpstr>
      <vt:lpstr>'Industry RollUp Budget'!Print_Area</vt:lpstr>
      <vt:lpstr>'Lead Budget'!Print_Area</vt:lpstr>
      <vt:lpstr>'rates, dates, etc'!Print_Area</vt:lpstr>
      <vt:lpstr>Stedman!Print_Area</vt:lpstr>
      <vt:lpstr>Stipend9Mo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rwh10@cornell.edu</dc:creator>
  <cp:lastModifiedBy>Amy Lynn Jackson</cp:lastModifiedBy>
  <cp:lastPrinted>2019-03-06T16:28:20Z</cp:lastPrinted>
  <dcterms:created xsi:type="dcterms:W3CDTF">2012-08-01T14:58:05Z</dcterms:created>
  <dcterms:modified xsi:type="dcterms:W3CDTF">2022-09-21T16:27:18Z</dcterms:modified>
</cp:coreProperties>
</file>