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9980" windowHeight="7305" activeTab="5"/>
  </bookViews>
  <sheets>
    <sheet name="Case 1" sheetId="1" r:id="rId1"/>
    <sheet name="Case 2" sheetId="2" r:id="rId2"/>
    <sheet name="Case 3" sheetId="3" r:id="rId3"/>
    <sheet name="Case 4" sheetId="5" r:id="rId4"/>
    <sheet name="List of Functions Tried" sheetId="4" r:id="rId5"/>
    <sheet name="1916 Case" sheetId="6" r:id="rId6"/>
    <sheet name="11216 Case" sheetId="7" r:id="rId7"/>
    <sheet name="13016 Case" sheetId="8" r:id="rId8"/>
  </sheets>
  <calcPr calcId="145621"/>
</workbook>
</file>

<file path=xl/calcChain.xml><?xml version="1.0" encoding="utf-8"?>
<calcChain xmlns="http://schemas.openxmlformats.org/spreadsheetml/2006/main">
  <c r="I35" i="8" l="1"/>
  <c r="I34" i="8"/>
  <c r="J34" i="8" s="1"/>
  <c r="I33" i="8"/>
  <c r="I32" i="8"/>
  <c r="I31" i="8"/>
  <c r="J31" i="8" s="1"/>
  <c r="I30" i="8"/>
  <c r="J30" i="8" s="1"/>
  <c r="I29" i="8"/>
  <c r="I28" i="8"/>
  <c r="M35" i="8"/>
  <c r="L35" i="8"/>
  <c r="J35" i="8"/>
  <c r="M34" i="8"/>
  <c r="L34" i="8"/>
  <c r="M33" i="8"/>
  <c r="L33" i="8"/>
  <c r="J33" i="8"/>
  <c r="M32" i="8"/>
  <c r="L32" i="8"/>
  <c r="J32" i="8"/>
  <c r="M31" i="8"/>
  <c r="L31" i="8"/>
  <c r="M30" i="8"/>
  <c r="L30" i="8"/>
  <c r="M29" i="8"/>
  <c r="L29" i="8"/>
  <c r="J29" i="8"/>
  <c r="O29" i="8" s="1"/>
  <c r="M28" i="8"/>
  <c r="L28" i="8"/>
  <c r="J28" i="8"/>
  <c r="M27" i="8"/>
  <c r="L27" i="8"/>
  <c r="I27" i="8"/>
  <c r="J27" i="8" s="1"/>
  <c r="M26" i="8"/>
  <c r="L26" i="8"/>
  <c r="I26" i="8"/>
  <c r="J26" i="8" s="1"/>
  <c r="M25" i="8"/>
  <c r="L25" i="8"/>
  <c r="I25" i="8"/>
  <c r="J25" i="8" s="1"/>
  <c r="M24" i="8"/>
  <c r="L24" i="8"/>
  <c r="I24" i="8"/>
  <c r="J24" i="8" s="1"/>
  <c r="I19" i="8"/>
  <c r="J19" i="8" s="1"/>
  <c r="I18" i="8"/>
  <c r="I17" i="8"/>
  <c r="J17" i="8" s="1"/>
  <c r="I16" i="8"/>
  <c r="I15" i="8"/>
  <c r="J15" i="8" s="1"/>
  <c r="I14" i="8"/>
  <c r="I13" i="8"/>
  <c r="J13" i="8" s="1"/>
  <c r="I12" i="8"/>
  <c r="I11" i="8"/>
  <c r="J11" i="8" s="1"/>
  <c r="I10" i="8"/>
  <c r="I9" i="8"/>
  <c r="J9" i="8" s="1"/>
  <c r="I8" i="8"/>
  <c r="I7" i="8"/>
  <c r="I6" i="8"/>
  <c r="I5" i="8"/>
  <c r="J5" i="8" s="1"/>
  <c r="L5" i="8"/>
  <c r="R5" i="8" s="1"/>
  <c r="M5" i="8"/>
  <c r="J6" i="8"/>
  <c r="L6" i="8"/>
  <c r="M6" i="8"/>
  <c r="N6" i="8"/>
  <c r="O6" i="8"/>
  <c r="J7" i="8"/>
  <c r="L7" i="8"/>
  <c r="M7" i="8"/>
  <c r="J8" i="8"/>
  <c r="N8" i="8" s="1"/>
  <c r="L8" i="8"/>
  <c r="M8" i="8"/>
  <c r="L9" i="8"/>
  <c r="M9" i="8"/>
  <c r="J10" i="8"/>
  <c r="N10" i="8" s="1"/>
  <c r="L10" i="8"/>
  <c r="M10" i="8"/>
  <c r="L11" i="8"/>
  <c r="M11" i="8"/>
  <c r="J12" i="8"/>
  <c r="N12" i="8" s="1"/>
  <c r="L12" i="8"/>
  <c r="M12" i="8"/>
  <c r="L13" i="8"/>
  <c r="M13" i="8"/>
  <c r="J14" i="8"/>
  <c r="L14" i="8"/>
  <c r="M14" i="8"/>
  <c r="N14" i="8"/>
  <c r="O14" i="8"/>
  <c r="L15" i="8"/>
  <c r="M15" i="8"/>
  <c r="J16" i="8"/>
  <c r="N16" i="8" s="1"/>
  <c r="L16" i="8"/>
  <c r="M16" i="8"/>
  <c r="L17" i="8"/>
  <c r="M17" i="8"/>
  <c r="J18" i="8"/>
  <c r="O18" i="8" s="1"/>
  <c r="L18" i="8"/>
  <c r="M18" i="8"/>
  <c r="N18" i="8"/>
  <c r="L19" i="8"/>
  <c r="M19" i="8"/>
  <c r="R4" i="8"/>
  <c r="I4" i="8"/>
  <c r="M4" i="8"/>
  <c r="L4" i="8"/>
  <c r="J4" i="8"/>
  <c r="K4" i="7"/>
  <c r="P4" i="7"/>
  <c r="Q4" i="7"/>
  <c r="N4" i="7"/>
  <c r="K53" i="6"/>
  <c r="L53" i="6" s="1"/>
  <c r="K52" i="6"/>
  <c r="L52" i="6" s="1"/>
  <c r="K51" i="6"/>
  <c r="K50" i="6"/>
  <c r="K49" i="6"/>
  <c r="K48" i="6"/>
  <c r="K47" i="6"/>
  <c r="K46" i="6"/>
  <c r="K44" i="6"/>
  <c r="L44" i="6"/>
  <c r="Q44" i="6" s="1"/>
  <c r="K43" i="6"/>
  <c r="L43" i="6" s="1"/>
  <c r="H43" i="6"/>
  <c r="K42" i="6"/>
  <c r="K41" i="6"/>
  <c r="Q39" i="6"/>
  <c r="Q40" i="6"/>
  <c r="Q42" i="6"/>
  <c r="T45" i="6"/>
  <c r="K40" i="6"/>
  <c r="L40" i="6" s="1"/>
  <c r="L39" i="6"/>
  <c r="T39" i="6" s="1"/>
  <c r="L41" i="6"/>
  <c r="Q41" i="6" s="1"/>
  <c r="L42" i="6"/>
  <c r="L46" i="6"/>
  <c r="Q46" i="6" s="1"/>
  <c r="L47" i="6"/>
  <c r="L48" i="6"/>
  <c r="Q48" i="6" s="1"/>
  <c r="L49" i="6"/>
  <c r="P49" i="6" s="1"/>
  <c r="L50" i="6"/>
  <c r="L51" i="6"/>
  <c r="P51" i="6" s="1"/>
  <c r="K39" i="6"/>
  <c r="T26" i="6"/>
  <c r="T38" i="6"/>
  <c r="T19" i="6"/>
  <c r="Q38" i="6"/>
  <c r="P48" i="6"/>
  <c r="P38" i="6"/>
  <c r="L38" i="6"/>
  <c r="K38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O38" i="6"/>
  <c r="N38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I42" i="6"/>
  <c r="H42" i="6"/>
  <c r="I41" i="6"/>
  <c r="H41" i="6"/>
  <c r="I40" i="6"/>
  <c r="H40" i="6"/>
  <c r="I39" i="6"/>
  <c r="H39" i="6"/>
  <c r="I38" i="6"/>
  <c r="H38" i="6"/>
  <c r="O31" i="8" l="1"/>
  <c r="N31" i="8"/>
  <c r="R31" i="8"/>
  <c r="O30" i="8"/>
  <c r="N30" i="8"/>
  <c r="R30" i="8"/>
  <c r="O24" i="8"/>
  <c r="R24" i="8" s="1"/>
  <c r="N24" i="8"/>
  <c r="O35" i="8"/>
  <c r="R35" i="8" s="1"/>
  <c r="N35" i="8"/>
  <c r="O27" i="8"/>
  <c r="R27" i="8" s="1"/>
  <c r="N27" i="8"/>
  <c r="R29" i="8"/>
  <c r="O26" i="8"/>
  <c r="R26" i="8" s="1"/>
  <c r="N26" i="8"/>
  <c r="N33" i="8"/>
  <c r="O33" i="8"/>
  <c r="R33" i="8" s="1"/>
  <c r="N32" i="8"/>
  <c r="O32" i="8"/>
  <c r="R32" i="8" s="1"/>
  <c r="N25" i="8"/>
  <c r="O25" i="8"/>
  <c r="R25" i="8" s="1"/>
  <c r="O28" i="8"/>
  <c r="R28" i="8" s="1"/>
  <c r="N28" i="8"/>
  <c r="O34" i="8"/>
  <c r="R34" i="8" s="1"/>
  <c r="N34" i="8"/>
  <c r="N29" i="8"/>
  <c r="R18" i="8"/>
  <c r="R14" i="8"/>
  <c r="O10" i="8"/>
  <c r="R10" i="8" s="1"/>
  <c r="R8" i="8"/>
  <c r="R6" i="8"/>
  <c r="O19" i="8"/>
  <c r="R19" i="8" s="1"/>
  <c r="N19" i="8"/>
  <c r="O15" i="8"/>
  <c r="R15" i="8" s="1"/>
  <c r="N15" i="8"/>
  <c r="O11" i="8"/>
  <c r="R11" i="8" s="1"/>
  <c r="N11" i="8"/>
  <c r="O7" i="8"/>
  <c r="R7" i="8" s="1"/>
  <c r="N7" i="8"/>
  <c r="O17" i="8"/>
  <c r="R17" i="8" s="1"/>
  <c r="N17" i="8"/>
  <c r="N13" i="8"/>
  <c r="O13" i="8"/>
  <c r="R13" i="8" s="1"/>
  <c r="O9" i="8"/>
  <c r="R9" i="8" s="1"/>
  <c r="N9" i="8"/>
  <c r="N5" i="8"/>
  <c r="O5" i="8"/>
  <c r="O16" i="8"/>
  <c r="R16" i="8" s="1"/>
  <c r="O12" i="8"/>
  <c r="R12" i="8" s="1"/>
  <c r="O8" i="8"/>
  <c r="O4" i="8"/>
  <c r="N4" i="8"/>
  <c r="P52" i="6"/>
  <c r="Q52" i="6"/>
  <c r="T52" i="6" s="1"/>
  <c r="P53" i="6"/>
  <c r="Q53" i="6"/>
  <c r="T53" i="6" s="1"/>
  <c r="T50" i="6"/>
  <c r="Q51" i="6"/>
  <c r="T51" i="6" s="1"/>
  <c r="Q50" i="6"/>
  <c r="Q49" i="6"/>
  <c r="T49" i="6" s="1"/>
  <c r="Q47" i="6"/>
  <c r="T47" i="6" s="1"/>
  <c r="P47" i="6"/>
  <c r="P46" i="6"/>
  <c r="P44" i="6"/>
  <c r="T44" i="6"/>
  <c r="P43" i="6"/>
  <c r="Q43" i="6"/>
  <c r="T43" i="6" s="1"/>
  <c r="T42" i="6"/>
  <c r="P41" i="6"/>
  <c r="T41" i="6"/>
  <c r="T46" i="6"/>
  <c r="T48" i="6"/>
  <c r="P40" i="6"/>
  <c r="T40" i="6"/>
  <c r="P42" i="6"/>
  <c r="P39" i="6"/>
  <c r="P50" i="6"/>
  <c r="Q5" i="7"/>
  <c r="Q6" i="7"/>
  <c r="Q7" i="7"/>
  <c r="Q8" i="7"/>
  <c r="Q9" i="7"/>
  <c r="Q10" i="7"/>
  <c r="Q11" i="7"/>
  <c r="Q12" i="7"/>
  <c r="Q13" i="7"/>
  <c r="Q14" i="7"/>
  <c r="Q15" i="7"/>
  <c r="T10" i="7" l="1"/>
  <c r="T11" i="7"/>
  <c r="T15" i="7"/>
  <c r="T6" i="7"/>
  <c r="T7" i="7"/>
  <c r="T8" i="7"/>
  <c r="T9" i="7"/>
  <c r="T4" i="7"/>
  <c r="T5" i="7"/>
  <c r="Q19" i="6"/>
  <c r="Q20" i="6"/>
  <c r="Q21" i="6"/>
  <c r="Q22" i="6"/>
  <c r="Q23" i="6"/>
  <c r="Q24" i="6"/>
  <c r="Q25" i="6"/>
  <c r="Q27" i="6"/>
  <c r="Q28" i="6"/>
  <c r="Q29" i="6"/>
  <c r="Q30" i="6"/>
  <c r="Q31" i="6"/>
  <c r="Q32" i="6"/>
  <c r="T32" i="6" s="1"/>
  <c r="Q33" i="6"/>
  <c r="T33" i="6" s="1"/>
  <c r="Q34" i="6"/>
  <c r="T34" i="6" s="1"/>
  <c r="T12" i="7"/>
  <c r="T13" i="7"/>
  <c r="T14" i="7"/>
  <c r="T3" i="6"/>
  <c r="K15" i="7"/>
  <c r="K14" i="7"/>
  <c r="K13" i="7"/>
  <c r="K12" i="7"/>
  <c r="K11" i="7"/>
  <c r="K10" i="7"/>
  <c r="L10" i="7" s="1"/>
  <c r="P10" i="7" s="1"/>
  <c r="K9" i="7"/>
  <c r="K8" i="7"/>
  <c r="K7" i="7"/>
  <c r="L7" i="7" s="1"/>
  <c r="P7" i="7" s="1"/>
  <c r="K6" i="7"/>
  <c r="K5" i="7"/>
  <c r="L5" i="7" s="1"/>
  <c r="P5" i="7" s="1"/>
  <c r="H5" i="7"/>
  <c r="I5" i="7"/>
  <c r="N5" i="7"/>
  <c r="O5" i="7"/>
  <c r="H6" i="7"/>
  <c r="I6" i="7"/>
  <c r="L6" i="7"/>
  <c r="P6" i="7" s="1"/>
  <c r="N6" i="7"/>
  <c r="O6" i="7"/>
  <c r="H7" i="7"/>
  <c r="I7" i="7"/>
  <c r="N7" i="7"/>
  <c r="O7" i="7"/>
  <c r="H8" i="7"/>
  <c r="I8" i="7"/>
  <c r="L8" i="7"/>
  <c r="P8" i="7" s="1"/>
  <c r="N8" i="7"/>
  <c r="O8" i="7"/>
  <c r="H9" i="7"/>
  <c r="I9" i="7"/>
  <c r="L9" i="7"/>
  <c r="P9" i="7" s="1"/>
  <c r="N9" i="7"/>
  <c r="O9" i="7"/>
  <c r="H10" i="7"/>
  <c r="I10" i="7"/>
  <c r="N10" i="7"/>
  <c r="O10" i="7"/>
  <c r="H11" i="7"/>
  <c r="I11" i="7"/>
  <c r="L11" i="7"/>
  <c r="P11" i="7" s="1"/>
  <c r="N11" i="7"/>
  <c r="O11" i="7"/>
  <c r="H12" i="7"/>
  <c r="I12" i="7"/>
  <c r="L12" i="7"/>
  <c r="P12" i="7" s="1"/>
  <c r="N12" i="7"/>
  <c r="O12" i="7"/>
  <c r="H13" i="7"/>
  <c r="I13" i="7"/>
  <c r="L13" i="7"/>
  <c r="P13" i="7" s="1"/>
  <c r="N13" i="7"/>
  <c r="O13" i="7"/>
  <c r="H14" i="7"/>
  <c r="I14" i="7"/>
  <c r="L14" i="7"/>
  <c r="P14" i="7" s="1"/>
  <c r="N14" i="7"/>
  <c r="O14" i="7"/>
  <c r="H15" i="7"/>
  <c r="I15" i="7"/>
  <c r="L15" i="7"/>
  <c r="P15" i="7" s="1"/>
  <c r="N15" i="7"/>
  <c r="O15" i="7"/>
  <c r="I4" i="7"/>
  <c r="H4" i="7"/>
  <c r="L4" i="7"/>
  <c r="O4" i="7"/>
  <c r="K34" i="6"/>
  <c r="L34" i="6" s="1"/>
  <c r="K32" i="6"/>
  <c r="L32" i="6" s="1"/>
  <c r="K31" i="6"/>
  <c r="K30" i="6"/>
  <c r="K29" i="6"/>
  <c r="L29" i="6" s="1"/>
  <c r="K28" i="6"/>
  <c r="K27" i="6"/>
  <c r="K25" i="6"/>
  <c r="K24" i="6"/>
  <c r="L24" i="6" s="1"/>
  <c r="K23" i="6"/>
  <c r="K22" i="6"/>
  <c r="K21" i="6"/>
  <c r="K33" i="6"/>
  <c r="H32" i="6"/>
  <c r="I32" i="6"/>
  <c r="N32" i="6"/>
  <c r="H33" i="6"/>
  <c r="I33" i="6"/>
  <c r="L33" i="6"/>
  <c r="N33" i="6"/>
  <c r="H34" i="6"/>
  <c r="I34" i="6"/>
  <c r="N34" i="6"/>
  <c r="N31" i="6"/>
  <c r="L31" i="6"/>
  <c r="I31" i="6"/>
  <c r="H31" i="6"/>
  <c r="N30" i="6"/>
  <c r="L30" i="6"/>
  <c r="I30" i="6"/>
  <c r="H30" i="6"/>
  <c r="N29" i="6"/>
  <c r="I29" i="6"/>
  <c r="H29" i="6"/>
  <c r="N28" i="6"/>
  <c r="L28" i="6"/>
  <c r="I28" i="6"/>
  <c r="H28" i="6"/>
  <c r="N27" i="6"/>
  <c r="L27" i="6"/>
  <c r="I27" i="6"/>
  <c r="H27" i="6"/>
  <c r="N26" i="6"/>
  <c r="I26" i="6"/>
  <c r="H26" i="6"/>
  <c r="N25" i="6"/>
  <c r="L25" i="6"/>
  <c r="I25" i="6"/>
  <c r="H25" i="6"/>
  <c r="N24" i="6"/>
  <c r="I24" i="6"/>
  <c r="H24" i="6"/>
  <c r="N23" i="6"/>
  <c r="L23" i="6"/>
  <c r="I23" i="6"/>
  <c r="H23" i="6"/>
  <c r="N22" i="6"/>
  <c r="L22" i="6"/>
  <c r="I22" i="6"/>
  <c r="H22" i="6"/>
  <c r="N21" i="6"/>
  <c r="L21" i="6"/>
  <c r="I21" i="6"/>
  <c r="H21" i="6"/>
  <c r="N20" i="6"/>
  <c r="K20" i="6"/>
  <c r="L20" i="6" s="1"/>
  <c r="I20" i="6"/>
  <c r="H20" i="6"/>
  <c r="O19" i="6"/>
  <c r="N19" i="6"/>
  <c r="K19" i="6"/>
  <c r="L19" i="6" s="1"/>
  <c r="I19" i="6"/>
  <c r="H19" i="6"/>
  <c r="P32" i="6" l="1"/>
  <c r="P33" i="6"/>
  <c r="P34" i="6"/>
  <c r="P20" i="6"/>
  <c r="P22" i="6"/>
  <c r="T24" i="6"/>
  <c r="P24" i="6"/>
  <c r="T28" i="6"/>
  <c r="P28" i="6"/>
  <c r="T30" i="6"/>
  <c r="P30" i="6"/>
  <c r="T20" i="6"/>
  <c r="T22" i="6"/>
  <c r="P19" i="6"/>
  <c r="T21" i="6"/>
  <c r="P21" i="6"/>
  <c r="P23" i="6"/>
  <c r="P25" i="6"/>
  <c r="P27" i="6"/>
  <c r="T27" i="6"/>
  <c r="T29" i="6"/>
  <c r="P29" i="6"/>
  <c r="T31" i="6"/>
  <c r="P31" i="6"/>
  <c r="T23" i="6"/>
  <c r="T25" i="6"/>
  <c r="Q3" i="6"/>
  <c r="Q5" i="6"/>
  <c r="Q9" i="6"/>
  <c r="Q13" i="6"/>
  <c r="Q14" i="6"/>
  <c r="K15" i="6"/>
  <c r="K14" i="6"/>
  <c r="L14" i="6" s="1"/>
  <c r="P14" i="6" s="1"/>
  <c r="K13" i="6"/>
  <c r="L13" i="6"/>
  <c r="P13" i="6" s="1"/>
  <c r="K12" i="6"/>
  <c r="L12" i="6" s="1"/>
  <c r="P12" i="6" s="1"/>
  <c r="K11" i="6"/>
  <c r="L11" i="6" s="1"/>
  <c r="K10" i="6"/>
  <c r="L10" i="6" s="1"/>
  <c r="P10" i="6" s="1"/>
  <c r="K9" i="6"/>
  <c r="L9" i="6" s="1"/>
  <c r="P9" i="6" s="1"/>
  <c r="K8" i="6"/>
  <c r="K7" i="6"/>
  <c r="L7" i="6" s="1"/>
  <c r="P7" i="6" s="1"/>
  <c r="K6" i="6"/>
  <c r="L6" i="6" s="1"/>
  <c r="P5" i="6"/>
  <c r="P8" i="6"/>
  <c r="P15" i="6"/>
  <c r="N5" i="6"/>
  <c r="N6" i="6"/>
  <c r="N7" i="6"/>
  <c r="N8" i="6"/>
  <c r="N9" i="6"/>
  <c r="T9" i="6" s="1"/>
  <c r="N10" i="6"/>
  <c r="N11" i="6"/>
  <c r="N12" i="6"/>
  <c r="N13" i="6"/>
  <c r="T13" i="6" s="1"/>
  <c r="N14" i="6"/>
  <c r="N15" i="6"/>
  <c r="K5" i="6"/>
  <c r="L5" i="6" s="1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L15" i="6"/>
  <c r="Q15" i="6" s="1"/>
  <c r="T15" i="6" s="1"/>
  <c r="N4" i="6"/>
  <c r="H4" i="6"/>
  <c r="I4" i="6"/>
  <c r="H5" i="6"/>
  <c r="I5" i="6"/>
  <c r="H6" i="6"/>
  <c r="I6" i="6"/>
  <c r="H7" i="6"/>
  <c r="I7" i="6"/>
  <c r="H8" i="6"/>
  <c r="I8" i="6"/>
  <c r="L4" i="6"/>
  <c r="P4" i="6" s="1"/>
  <c r="L8" i="6"/>
  <c r="Q8" i="6" s="1"/>
  <c r="K4" i="6"/>
  <c r="I3" i="6"/>
  <c r="H3" i="6"/>
  <c r="N3" i="6"/>
  <c r="O3" i="6"/>
  <c r="K3" i="6"/>
  <c r="L3" i="6" s="1"/>
  <c r="P3" i="6" s="1"/>
  <c r="T14" i="6" l="1"/>
  <c r="P11" i="6"/>
  <c r="Q11" i="6"/>
  <c r="T11" i="6" s="1"/>
  <c r="P6" i="6"/>
  <c r="Q6" i="6"/>
  <c r="T6" i="6" s="1"/>
  <c r="T8" i="6"/>
  <c r="T5" i="6"/>
  <c r="Q12" i="6"/>
  <c r="T12" i="6" s="1"/>
  <c r="Q4" i="6"/>
  <c r="T4" i="6" s="1"/>
  <c r="Q10" i="6"/>
  <c r="T10" i="6" s="1"/>
  <c r="Q7" i="6"/>
  <c r="T7" i="6" s="1"/>
  <c r="I3" i="3"/>
  <c r="D3" i="5"/>
  <c r="H3" i="5" s="1"/>
  <c r="I3" i="5" s="1"/>
  <c r="D4" i="5"/>
  <c r="H4" i="5" s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H14" i="5"/>
  <c r="I14" i="5" s="1"/>
  <c r="J14" i="5" s="1"/>
  <c r="F22" i="5"/>
  <c r="E22" i="5"/>
  <c r="H17" i="5"/>
  <c r="I17" i="5" s="1"/>
  <c r="H16" i="5"/>
  <c r="I16" i="5" s="1"/>
  <c r="H13" i="5"/>
  <c r="I13" i="5" s="1"/>
  <c r="H7" i="5"/>
  <c r="I7" i="5" s="1"/>
  <c r="J7" i="5" s="1"/>
  <c r="H6" i="5"/>
  <c r="I6" i="5" s="1"/>
  <c r="J4" i="3"/>
  <c r="I4" i="3"/>
  <c r="I5" i="3"/>
  <c r="I6" i="3"/>
  <c r="I7" i="3"/>
  <c r="I11" i="3"/>
  <c r="I13" i="3"/>
  <c r="I14" i="3"/>
  <c r="I16" i="3"/>
  <c r="I17" i="3"/>
  <c r="I19" i="3"/>
  <c r="I15" i="2"/>
  <c r="I4" i="2"/>
  <c r="I5" i="2"/>
  <c r="I6" i="2"/>
  <c r="I7" i="2"/>
  <c r="I10" i="2"/>
  <c r="I11" i="2"/>
  <c r="I13" i="2"/>
  <c r="I16" i="2"/>
  <c r="I18" i="2"/>
  <c r="I19" i="2"/>
  <c r="I3" i="2"/>
  <c r="I24" i="1"/>
  <c r="I4" i="1"/>
  <c r="I5" i="1"/>
  <c r="I6" i="1"/>
  <c r="I7" i="1"/>
  <c r="I8" i="1"/>
  <c r="I9" i="1"/>
  <c r="I12" i="1"/>
  <c r="I13" i="1"/>
  <c r="I14" i="1"/>
  <c r="I15" i="1"/>
  <c r="I17" i="1"/>
  <c r="I18" i="1"/>
  <c r="I20" i="1"/>
  <c r="I21" i="1"/>
  <c r="I23" i="1"/>
  <c r="I3" i="1"/>
  <c r="H27" i="1"/>
  <c r="F27" i="1"/>
  <c r="E27" i="1"/>
  <c r="H19" i="5" l="1"/>
  <c r="I19" i="5" s="1"/>
  <c r="J4" i="5"/>
  <c r="H11" i="5"/>
  <c r="I4" i="5"/>
  <c r="H5" i="5"/>
  <c r="I5" i="5" s="1"/>
  <c r="J17" i="5"/>
  <c r="J16" i="5"/>
  <c r="J6" i="5"/>
  <c r="J5" i="5"/>
  <c r="J13" i="5"/>
  <c r="J19" i="5"/>
  <c r="I22" i="3"/>
  <c r="I27" i="1"/>
  <c r="H22" i="3"/>
  <c r="F22" i="3"/>
  <c r="E22" i="3"/>
  <c r="H16" i="3"/>
  <c r="H11" i="3"/>
  <c r="J11" i="3" s="1"/>
  <c r="H19" i="3"/>
  <c r="J19" i="3" s="1"/>
  <c r="H17" i="3"/>
  <c r="J17" i="3" s="1"/>
  <c r="H14" i="3"/>
  <c r="J14" i="3" s="1"/>
  <c r="H13" i="3"/>
  <c r="J13" i="3" s="1"/>
  <c r="H7" i="3"/>
  <c r="J7" i="3" s="1"/>
  <c r="H6" i="3"/>
  <c r="J6" i="3" s="1"/>
  <c r="H5" i="3"/>
  <c r="J5" i="3" s="1"/>
  <c r="H4" i="3"/>
  <c r="H3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H22" i="2"/>
  <c r="F22" i="2"/>
  <c r="I22" i="2"/>
  <c r="E22" i="2"/>
  <c r="H10" i="2"/>
  <c r="J10" i="2"/>
  <c r="H11" i="2"/>
  <c r="J11" i="2" s="1"/>
  <c r="H16" i="2"/>
  <c r="J16" i="2"/>
  <c r="H19" i="2"/>
  <c r="J19" i="2"/>
  <c r="H18" i="2"/>
  <c r="J18" i="2" s="1"/>
  <c r="H15" i="2"/>
  <c r="J15" i="2" s="1"/>
  <c r="H13" i="2"/>
  <c r="J13" i="2" s="1"/>
  <c r="H7" i="2"/>
  <c r="J7" i="2" s="1"/>
  <c r="J6" i="2"/>
  <c r="H6" i="2"/>
  <c r="H5" i="2"/>
  <c r="J5" i="2" s="1"/>
  <c r="H4" i="2"/>
  <c r="J4" i="2" s="1"/>
  <c r="H3" i="2"/>
  <c r="J3" i="2" s="1"/>
  <c r="D19" i="2"/>
  <c r="D20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J12" i="1"/>
  <c r="J13" i="1"/>
  <c r="J14" i="1"/>
  <c r="J15" i="1"/>
  <c r="J17" i="1"/>
  <c r="J18" i="1"/>
  <c r="J20" i="1"/>
  <c r="J21" i="1"/>
  <c r="J23" i="1"/>
  <c r="J24" i="1"/>
  <c r="J4" i="1"/>
  <c r="J5" i="1"/>
  <c r="J6" i="1"/>
  <c r="J7" i="1"/>
  <c r="J8" i="1"/>
  <c r="J9" i="1"/>
  <c r="J3" i="1"/>
  <c r="H4" i="1"/>
  <c r="H5" i="1"/>
  <c r="H6" i="1"/>
  <c r="H7" i="1"/>
  <c r="H8" i="1"/>
  <c r="H9" i="1"/>
  <c r="H12" i="1"/>
  <c r="H13" i="1"/>
  <c r="H14" i="1"/>
  <c r="H15" i="1"/>
  <c r="H17" i="1"/>
  <c r="H18" i="1"/>
  <c r="H20" i="1"/>
  <c r="H21" i="1"/>
  <c r="H23" i="1"/>
  <c r="H24" i="1"/>
  <c r="H3" i="1"/>
  <c r="D22" i="1"/>
  <c r="D23" i="1"/>
  <c r="D24" i="1"/>
  <c r="D25" i="1"/>
  <c r="D18" i="1"/>
  <c r="D19" i="1"/>
  <c r="D20" i="1"/>
  <c r="D21" i="1"/>
  <c r="D14" i="1"/>
  <c r="D15" i="1"/>
  <c r="D16" i="1"/>
  <c r="D17" i="1"/>
  <c r="D4" i="1"/>
  <c r="D5" i="1"/>
  <c r="D6" i="1"/>
  <c r="D7" i="1"/>
  <c r="D8" i="1"/>
  <c r="D9" i="1"/>
  <c r="D10" i="1"/>
  <c r="D11" i="1"/>
  <c r="D12" i="1"/>
  <c r="D13" i="1"/>
  <c r="D3" i="1"/>
  <c r="H22" i="5" l="1"/>
  <c r="I11" i="5"/>
  <c r="I22" i="5" s="1"/>
  <c r="J3" i="5"/>
  <c r="J22" i="2"/>
  <c r="J27" i="1"/>
  <c r="J16" i="3"/>
  <c r="J3" i="3"/>
  <c r="J11" i="5" l="1"/>
  <c r="J22" i="5"/>
  <c r="J22" i="3"/>
</calcChain>
</file>

<file path=xl/sharedStrings.xml><?xml version="1.0" encoding="utf-8"?>
<sst xmlns="http://schemas.openxmlformats.org/spreadsheetml/2006/main" count="317" uniqueCount="71">
  <si>
    <t>Iteration #</t>
  </si>
  <si>
    <t>Evap Air Out</t>
  </si>
  <si>
    <t>HPSim Pwr</t>
  </si>
  <si>
    <t>GenOpt Pwr</t>
  </si>
  <si>
    <t>Evap Air In</t>
  </si>
  <si>
    <t>Setpoint Out</t>
  </si>
  <si>
    <t>NULL</t>
  </si>
  <si>
    <t>Setpoint-EvapAirOut</t>
  </si>
  <si>
    <t>Pwr Funct</t>
  </si>
  <si>
    <t>Pwr &amp; Fun Diff</t>
  </si>
  <si>
    <t>This shows that the optimal (lowest pwr) has the closest Temp to setpoint</t>
  </si>
  <si>
    <t>Inputs</t>
  </si>
  <si>
    <t xml:space="preserve">HPSimVariables,                                                                                                                                                                                         </t>
  </si>
  <si>
    <t xml:space="preserve">%CompMdot%, !1, !Compressor Mass Flow Rate                                                                                                                                                              </t>
  </si>
  <si>
    <t xml:space="preserve">!note This will be varied by the optimization engine                                                                                                                                                   </t>
  </si>
  <si>
    <t xml:space="preserve">3500, !%CndAirFlw%, !Condenser Air Flow Rate                                                                                                                                                            </t>
  </si>
  <si>
    <t xml:space="preserve">990; !Evaporator Air Flow Rate                                                                                                                                                                          </t>
  </si>
  <si>
    <t xml:space="preserve"> VariablesToPass,</t>
  </si>
  <si>
    <t xml:space="preserve">   1.509269     ,! XMaE</t>
  </si>
  <si>
    <t xml:space="preserve">   100499.0     ,! OutBaroPress</t>
  </si>
  <si>
    <t xml:space="preserve">   22.69729     ,! TWiC</t>
  </si>
  <si>
    <t xml:space="preserve">   30.60000     ,! TaiC</t>
  </si>
  <si>
    <t xml:space="preserve">   14.03993     ,! TWiE</t>
  </si>
  <si>
    <t xml:space="preserve">   14.23500     ;! TaiE</t>
  </si>
  <si>
    <t xml:space="preserve">                                                                                           </t>
  </si>
  <si>
    <t xml:space="preserve">%CompMdot%, !1, !Compressor Mass Flow Rate                                                                   </t>
  </si>
  <si>
    <t xml:space="preserve">  0.6965860     ,! XMaE</t>
  </si>
  <si>
    <t xml:space="preserve">   97600.00     ,! OutBaroPress</t>
  </si>
  <si>
    <t xml:space="preserve">   20.70470     ,! TWiC</t>
  </si>
  <si>
    <t xml:space="preserve">   29.00000     ,! TaiC</t>
  </si>
  <si>
    <t xml:space="preserve">   17.79770     ,! TWiE</t>
  </si>
  <si>
    <t xml:space="preserve">   32.51129     ;! TaiE</t>
  </si>
  <si>
    <t>!note This will be varied by the optimization engine</t>
  </si>
  <si>
    <t>HPSimVariables,</t>
  </si>
  <si>
    <t>3500, !%CndAirFlw%, !Condenser Air Flow Rate</t>
  </si>
  <si>
    <t>990; !Evaporator Air Flow Rate</t>
  </si>
  <si>
    <t>This case shows min pwr is not at closest temperature</t>
  </si>
  <si>
    <t>And neither is min function pwr</t>
  </si>
  <si>
    <t>%CompMdot%, !1, !Compressor Mass Flow Rate</t>
  </si>
  <si>
    <t>This case shows that the min pwr funct val doesn't match the closest to the setpoint</t>
  </si>
  <si>
    <t>But the difference between pwr and function does</t>
  </si>
  <si>
    <r>
      <t>1) Pwr=Pwr+(</t>
    </r>
    <r>
      <rPr>
        <sz val="11"/>
        <color theme="1"/>
        <rFont val="Calibri"/>
        <family val="2"/>
      </rPr>
      <t>ΔT)^2</t>
    </r>
  </si>
  <si>
    <r>
      <t>2) Pwr=Pwr+.5*(ABS(</t>
    </r>
    <r>
      <rPr>
        <sz val="11"/>
        <color theme="1"/>
        <rFont val="Calibri"/>
        <family val="2"/>
      </rPr>
      <t>ΔT))^3</t>
    </r>
  </si>
  <si>
    <t>N.B. It looks like although finding a min pwr based on delta T is hard, doing a delta Pwr based on the pwr function adjustment is more successful</t>
  </si>
  <si>
    <t>Consider minimizing with delta pwr?</t>
  </si>
  <si>
    <r>
      <t>3) Pwr=Pwr+.5*(ABS(</t>
    </r>
    <r>
      <rPr>
        <sz val="11"/>
        <color theme="1"/>
        <rFont val="Calibri"/>
        <family val="2"/>
      </rPr>
      <t>ΔT))^2</t>
    </r>
  </si>
  <si>
    <r>
      <t>4) Pwr=Pwr+(ABS(</t>
    </r>
    <r>
      <rPr>
        <sz val="11"/>
        <color theme="1"/>
        <rFont val="Calibri"/>
        <family val="2"/>
      </rPr>
      <t>ΔT)*Pwr/Setpoint)</t>
    </r>
  </si>
  <si>
    <t>Iteration</t>
  </si>
  <si>
    <t>Qevap</t>
  </si>
  <si>
    <t>QHPSim</t>
  </si>
  <si>
    <t>Delta Q</t>
  </si>
  <si>
    <t>Unit</t>
  </si>
  <si>
    <t>F</t>
  </si>
  <si>
    <t>W</t>
  </si>
  <si>
    <t>y1</t>
  </si>
  <si>
    <t>y2</t>
  </si>
  <si>
    <t>y3</t>
  </si>
  <si>
    <t>y4</t>
  </si>
  <si>
    <t>Cond Air In</t>
  </si>
  <si>
    <t>CondUpp</t>
  </si>
  <si>
    <t>CondLow</t>
  </si>
  <si>
    <t>Evap In Sat Temp</t>
  </si>
  <si>
    <t>Cond Out Sat Temp</t>
  </si>
  <si>
    <t>Test</t>
  </si>
  <si>
    <t>Pwr</t>
  </si>
  <si>
    <t>n/a</t>
  </si>
  <si>
    <t>y4's multiplier is 5</t>
  </si>
  <si>
    <t>y4's multiplier is 4</t>
  </si>
  <si>
    <t>Take 2 with above formula (y4's multiplier is 4)</t>
  </si>
  <si>
    <t>Take 3 with y4's multiplier being 5 (and change in delta Q and conversion 1/30/16)</t>
  </si>
  <si>
    <t>[15.89504,19.1,13.82345,24.32697,21598.102,21598.102,925.424,951.946,28.0,0.00581,0.8,3500.0,55.897,990.0,                               26606.854,                               21598.102;]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</si>
</sst>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0" borderId="0" xfId="0" applyFont="1"/>
    <xf numFmtId="0" fontId="0" fillId="4" borderId="0" xfId="0" applyFill="1"/>
    <xf numFmtId="0" fontId="0" fillId="5" borderId="0" xfId="0" applyFill="1"/>
    <xf numFmtId="3" fontId="0" fillId="0" borderId="0" xfId="0" applyNumberForma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 Q</c:v>
          </c:tx>
          <c:xVal>
            <c:numRef>
              <c:f>('1916 Case'!$B$19:$B$25,'1916 Case'!$B$27:$B$34)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('1916 Case'!$L$19:$L$25,'1916 Case'!$L$27:$L$34)</c:f>
              <c:numCache>
                <c:formatCode>General</c:formatCode>
                <c:ptCount val="15"/>
                <c:pt idx="0">
                  <c:v>-507.10780639999939</c:v>
                </c:pt>
                <c:pt idx="1">
                  <c:v>-331.87826819999918</c:v>
                </c:pt>
                <c:pt idx="2">
                  <c:v>-350.68658479999976</c:v>
                </c:pt>
                <c:pt idx="3">
                  <c:v>-60.428873599999861</c:v>
                </c:pt>
                <c:pt idx="4">
                  <c:v>-178.32462850000047</c:v>
                </c:pt>
                <c:pt idx="5">
                  <c:v>-129.75428319999992</c:v>
                </c:pt>
                <c:pt idx="6">
                  <c:v>-15.376489599999331</c:v>
                </c:pt>
                <c:pt idx="7">
                  <c:v>-106.05114449999928</c:v>
                </c:pt>
                <c:pt idx="8">
                  <c:v>-113.94145839999874</c:v>
                </c:pt>
                <c:pt idx="9">
                  <c:v>-50.14602990000003</c:v>
                </c:pt>
                <c:pt idx="10">
                  <c:v>-295.44180139999935</c:v>
                </c:pt>
                <c:pt idx="11">
                  <c:v>-57.295520099999521</c:v>
                </c:pt>
                <c:pt idx="12">
                  <c:v>-285.72080490000008</c:v>
                </c:pt>
                <c:pt idx="13">
                  <c:v>-14.588560299999699</c:v>
                </c:pt>
                <c:pt idx="14">
                  <c:v>-50.500664599999254</c:v>
                </c:pt>
              </c:numCache>
            </c:numRef>
          </c:yVal>
          <c:smooth val="0"/>
        </c:ser>
        <c:ser>
          <c:idx val="1"/>
          <c:order val="1"/>
          <c:tx>
            <c:v>GenOpt Power</c:v>
          </c:tx>
          <c:xVal>
            <c:numRef>
              <c:f>('1916 Case'!$B$19:$B$25,'1916 Case'!$B$27:$B$34)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('1916 Case'!$S$19:$S$25,'1916 Case'!$S$27:$S$34)</c:f>
              <c:numCache>
                <c:formatCode>General</c:formatCode>
                <c:ptCount val="15"/>
                <c:pt idx="0">
                  <c:v>1225.422</c:v>
                </c:pt>
                <c:pt idx="1">
                  <c:v>1179.769</c:v>
                </c:pt>
                <c:pt idx="2">
                  <c:v>1196.874</c:v>
                </c:pt>
                <c:pt idx="3">
                  <c:v>1163.7650000000001</c:v>
                </c:pt>
                <c:pt idx="4">
                  <c:v>1196.9490000000001</c:v>
                </c:pt>
                <c:pt idx="5">
                  <c:v>1203.095</c:v>
                </c:pt>
                <c:pt idx="6">
                  <c:v>1174.2429999999999</c:v>
                </c:pt>
                <c:pt idx="7">
                  <c:v>1172.3420000000001</c:v>
                </c:pt>
                <c:pt idx="8">
                  <c:v>1164.864</c:v>
                </c:pt>
                <c:pt idx="9">
                  <c:v>1166.422</c:v>
                </c:pt>
                <c:pt idx="10">
                  <c:v>1193.037</c:v>
                </c:pt>
                <c:pt idx="11">
                  <c:v>1165.463</c:v>
                </c:pt>
                <c:pt idx="12">
                  <c:v>1191.808</c:v>
                </c:pt>
                <c:pt idx="13">
                  <c:v>1162.8109999999999</c:v>
                </c:pt>
                <c:pt idx="14">
                  <c:v>1165.6010000000001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3648"/>
        <c:axId val="46122112"/>
      </c:scatterChart>
      <c:valAx>
        <c:axId val="4612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122112"/>
        <c:crosses val="autoZero"/>
        <c:crossBetween val="midCat"/>
      </c:valAx>
      <c:valAx>
        <c:axId val="4612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23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 Q</c:v>
          </c:tx>
          <c:xVal>
            <c:numRef>
              <c:f>('1916 Case'!$B$38:$B$44,'1916 Case'!$B$46:$B$53)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('1916 Case'!$L$38:$L$44,'1916 Case'!$L$46:$L$53)</c:f>
              <c:numCache>
                <c:formatCode>General</c:formatCode>
                <c:ptCount val="15"/>
                <c:pt idx="0">
                  <c:v>-507.10780639999939</c:v>
                </c:pt>
                <c:pt idx="1">
                  <c:v>-331.87826819999918</c:v>
                </c:pt>
                <c:pt idx="2">
                  <c:v>-350.68658479999976</c:v>
                </c:pt>
                <c:pt idx="3">
                  <c:v>-60.428873599999861</c:v>
                </c:pt>
                <c:pt idx="4">
                  <c:v>-178.32462850000047</c:v>
                </c:pt>
                <c:pt idx="5">
                  <c:v>-129.75428319999992</c:v>
                </c:pt>
                <c:pt idx="6">
                  <c:v>-15.376489599999331</c:v>
                </c:pt>
                <c:pt idx="7">
                  <c:v>-106.05114449999928</c:v>
                </c:pt>
                <c:pt idx="8">
                  <c:v>-113.94145839999874</c:v>
                </c:pt>
                <c:pt idx="9">
                  <c:v>-50.14602990000003</c:v>
                </c:pt>
                <c:pt idx="10">
                  <c:v>-295.44180139999935</c:v>
                </c:pt>
                <c:pt idx="11">
                  <c:v>-57.295520099999521</c:v>
                </c:pt>
                <c:pt idx="12">
                  <c:v>-285.72080490000008</c:v>
                </c:pt>
                <c:pt idx="13">
                  <c:v>-14.588560299999699</c:v>
                </c:pt>
                <c:pt idx="14">
                  <c:v>-50.500664599999254</c:v>
                </c:pt>
              </c:numCache>
            </c:numRef>
          </c:yVal>
          <c:smooth val="0"/>
        </c:ser>
        <c:ser>
          <c:idx val="1"/>
          <c:order val="1"/>
          <c:tx>
            <c:v>GenOpt Power</c:v>
          </c:tx>
          <c:xVal>
            <c:numRef>
              <c:f>('1916 Case'!$B$38:$B$44,'1916 Case'!$B$46:$B$53)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('1916 Case'!$S$38:$S$44,'1916 Case'!$S$46:$S$53)</c:f>
              <c:numCache>
                <c:formatCode>General</c:formatCode>
                <c:ptCount val="15"/>
                <c:pt idx="0">
                  <c:v>1251.1400000000001</c:v>
                </c:pt>
                <c:pt idx="1">
                  <c:v>1190.7850000000001</c:v>
                </c:pt>
                <c:pt idx="2">
                  <c:v>1209.173</c:v>
                </c:pt>
                <c:pt idx="3">
                  <c:v>1164.1310000000001</c:v>
                </c:pt>
                <c:pt idx="4">
                  <c:v>1200.1300000000001</c:v>
                </c:pt>
                <c:pt idx="5">
                  <c:v>1204.78</c:v>
                </c:pt>
                <c:pt idx="6">
                  <c:v>1174.2670000000001</c:v>
                </c:pt>
                <c:pt idx="7">
                  <c:v>1173.4670000000001</c:v>
                </c:pt>
                <c:pt idx="8">
                  <c:v>1166.163</c:v>
                </c:pt>
                <c:pt idx="9">
                  <c:v>1166.673</c:v>
                </c:pt>
                <c:pt idx="10">
                  <c:v>1201.7670000000001</c:v>
                </c:pt>
                <c:pt idx="11">
                  <c:v>1165.7919999999999</c:v>
                </c:pt>
                <c:pt idx="12">
                  <c:v>1200.03</c:v>
                </c:pt>
                <c:pt idx="13">
                  <c:v>1162.8389999999999</c:v>
                </c:pt>
                <c:pt idx="14">
                  <c:v>1165.8869999999999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8832"/>
        <c:axId val="48490368"/>
      </c:scatterChart>
      <c:valAx>
        <c:axId val="4848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90368"/>
        <c:crosses val="autoZero"/>
        <c:crossBetween val="midCat"/>
      </c:valAx>
      <c:valAx>
        <c:axId val="4849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88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 Q</c:v>
          </c:tx>
          <c:xVal>
            <c:numRef>
              <c:f>'13016 Case'!$B$4:$B$19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'13016 Case'!$J$4:$J$19</c:f>
              <c:numCache>
                <c:formatCode>General</c:formatCode>
                <c:ptCount val="16"/>
                <c:pt idx="0">
                  <c:v>-358.1533617999994</c:v>
                </c:pt>
                <c:pt idx="1">
                  <c:v>-261.37591189999966</c:v>
                </c:pt>
                <c:pt idx="2">
                  <c:v>-228.53643539999939</c:v>
                </c:pt>
                <c:pt idx="3">
                  <c:v>-108.0807262999997</c:v>
                </c:pt>
                <c:pt idx="4">
                  <c:v>-189.5028414999997</c:v>
                </c:pt>
                <c:pt idx="5">
                  <c:v>-100.81561959999999</c:v>
                </c:pt>
                <c:pt idx="6">
                  <c:v>-50.055292899999586</c:v>
                </c:pt>
                <c:pt idx="7">
                  <c:v>-341.60673809999935</c:v>
                </c:pt>
                <c:pt idx="8">
                  <c:v>-148.64250689999881</c:v>
                </c:pt>
                <c:pt idx="9">
                  <c:v>-242.1361554999994</c:v>
                </c:pt>
                <c:pt idx="10">
                  <c:v>-421.71843540000009</c:v>
                </c:pt>
                <c:pt idx="11">
                  <c:v>-245.64855549999993</c:v>
                </c:pt>
                <c:pt idx="12">
                  <c:v>-194.22467789999882</c:v>
                </c:pt>
                <c:pt idx="13">
                  <c:v>-381.2532457999996</c:v>
                </c:pt>
                <c:pt idx="14">
                  <c:v>-183.89617300000009</c:v>
                </c:pt>
                <c:pt idx="15">
                  <c:v>-220.59694789999958</c:v>
                </c:pt>
              </c:numCache>
            </c:numRef>
          </c:yVal>
          <c:smooth val="0"/>
        </c:ser>
        <c:ser>
          <c:idx val="1"/>
          <c:order val="1"/>
          <c:tx>
            <c:v>GenOpt Power</c:v>
          </c:tx>
          <c:xVal>
            <c:numRef>
              <c:f>'13016 Case'!$B$4:$B$19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'13016 Case'!$Q$4:$Q$19</c:f>
              <c:numCache>
                <c:formatCode>General</c:formatCode>
                <c:ptCount val="16"/>
                <c:pt idx="0">
                  <c:v>1144.4570000000001</c:v>
                </c:pt>
                <c:pt idx="1">
                  <c:v>1126.3510000000001</c:v>
                </c:pt>
                <c:pt idx="2">
                  <c:v>1130.0899999999999</c:v>
                </c:pt>
                <c:pt idx="3">
                  <c:v>1121.8399999999999</c:v>
                </c:pt>
                <c:pt idx="4">
                  <c:v>1155.963</c:v>
                </c:pt>
                <c:pt idx="5">
                  <c:v>1155.1890000000001</c:v>
                </c:pt>
                <c:pt idx="6">
                  <c:v>1129.3240000000001</c:v>
                </c:pt>
                <c:pt idx="7">
                  <c:v>1178.17</c:v>
                </c:pt>
                <c:pt idx="8">
                  <c:v>1121.07</c:v>
                </c:pt>
                <c:pt idx="9">
                  <c:v>1128.117</c:v>
                </c:pt>
                <c:pt idx="10">
                  <c:v>1193.9380000000001</c:v>
                </c:pt>
                <c:pt idx="11">
                  <c:v>1142.3320000000001</c:v>
                </c:pt>
                <c:pt idx="12">
                  <c:v>1127.297</c:v>
                </c:pt>
                <c:pt idx="13">
                  <c:v>1182.347</c:v>
                </c:pt>
                <c:pt idx="14">
                  <c:v>1126.076</c:v>
                </c:pt>
                <c:pt idx="15">
                  <c:v>1135.318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91808"/>
        <c:axId val="152427904"/>
      </c:scatterChart>
      <c:valAx>
        <c:axId val="15919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427904"/>
        <c:crosses val="autoZero"/>
        <c:crossBetween val="midCat"/>
      </c:valAx>
      <c:valAx>
        <c:axId val="15242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191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 Q</c:v>
          </c:tx>
          <c:xVal>
            <c:numRef>
              <c:f>'13016 Case'!$B$24:$B$35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'13016 Case'!$J$24:$J$35</c:f>
              <c:numCache>
                <c:formatCode>General</c:formatCode>
                <c:ptCount val="12"/>
                <c:pt idx="0">
                  <c:v>-358.1533617999994</c:v>
                </c:pt>
                <c:pt idx="1">
                  <c:v>-261.37591189999966</c:v>
                </c:pt>
                <c:pt idx="2">
                  <c:v>-228.53643539999939</c:v>
                </c:pt>
                <c:pt idx="3">
                  <c:v>-108.0807262999997</c:v>
                </c:pt>
                <c:pt idx="4">
                  <c:v>-242.1361554999994</c:v>
                </c:pt>
                <c:pt idx="5">
                  <c:v>-565.92352979999941</c:v>
                </c:pt>
                <c:pt idx="6">
                  <c:v>-263.16079649999938</c:v>
                </c:pt>
                <c:pt idx="7">
                  <c:v>-283.72531309999977</c:v>
                </c:pt>
                <c:pt idx="8">
                  <c:v>-509.56502289999935</c:v>
                </c:pt>
                <c:pt idx="9">
                  <c:v>-539.10664850000012</c:v>
                </c:pt>
                <c:pt idx="10">
                  <c:v>-255.49351999999908</c:v>
                </c:pt>
                <c:pt idx="11">
                  <c:v>-264.00523599999997</c:v>
                </c:pt>
              </c:numCache>
            </c:numRef>
          </c:yVal>
          <c:smooth val="0"/>
        </c:ser>
        <c:ser>
          <c:idx val="1"/>
          <c:order val="1"/>
          <c:tx>
            <c:v>GenOpt Power</c:v>
          </c:tx>
          <c:xVal>
            <c:numRef>
              <c:f>'13016 Case'!$B$24:$B$35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'13016 Case'!$Q$24:$Q$35</c:f>
              <c:numCache>
                <c:formatCode>General</c:formatCode>
                <c:ptCount val="12"/>
                <c:pt idx="0">
                  <c:v>1144.4570000000001</c:v>
                </c:pt>
                <c:pt idx="1">
                  <c:v>1119.519</c:v>
                </c:pt>
                <c:pt idx="2">
                  <c:v>1124.866</c:v>
                </c:pt>
                <c:pt idx="3">
                  <c:v>1120.672</c:v>
                </c:pt>
                <c:pt idx="4">
                  <c:v>1122.2539999999999</c:v>
                </c:pt>
                <c:pt idx="5">
                  <c:v>1212.462</c:v>
                </c:pt>
                <c:pt idx="6">
                  <c:v>1122.76</c:v>
                </c:pt>
                <c:pt idx="7">
                  <c:v>1121.414</c:v>
                </c:pt>
                <c:pt idx="8">
                  <c:v>1195.5889999999999</c:v>
                </c:pt>
                <c:pt idx="9">
                  <c:v>1205.0260000000001</c:v>
                </c:pt>
                <c:pt idx="10">
                  <c:v>1119.0450000000001</c:v>
                </c:pt>
                <c:pt idx="11">
                  <c:v>1122.231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8464"/>
        <c:axId val="45440000"/>
      </c:scatterChart>
      <c:valAx>
        <c:axId val="4543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440000"/>
        <c:crosses val="autoZero"/>
        <c:crossBetween val="midCat"/>
      </c:valAx>
      <c:valAx>
        <c:axId val="4544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38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219075</xdr:colOff>
      <xdr:row>18</xdr:row>
      <xdr:rowOff>166687</xdr:rowOff>
    </xdr:from>
    <xdr:to>
      <xdr:col>27</xdr:col>
      <xdr:colOff>523875</xdr:colOff>
      <xdr:row>33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36</xdr:row>
      <xdr:rowOff>0</xdr:rowOff>
    </xdr:from>
    <xdr:to>
      <xdr:col>28</xdr:col>
      <xdr:colOff>304800</xdr:colOff>
      <xdr:row>50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200025</xdr:colOff>
      <xdr:row>2</xdr:row>
      <xdr:rowOff>33337</xdr:rowOff>
    </xdr:from>
    <xdr:to>
      <xdr:col>25</xdr:col>
      <xdr:colOff>504825</xdr:colOff>
      <xdr:row>16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390525</xdr:colOff>
      <xdr:row>21</xdr:row>
      <xdr:rowOff>104775</xdr:rowOff>
    </xdr:from>
    <xdr:to>
      <xdr:col>26</xdr:col>
      <xdr:colOff>85725</xdr:colOff>
      <xdr:row>35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workbookViewId="0">
      <selection activeCell="C2" sqref="C2"/>
    </sheetView>
  </sheetViews>
  <sheetFormatPr defaultRowHeight="15" x14ac:dyDescent="0.25"/>
  <sheetData>
    <row r="2" spans="1:13" x14ac:dyDescent="0.25">
      <c r="A2" t="s">
        <v>0</v>
      </c>
      <c r="B2" t="s">
        <v>4</v>
      </c>
      <c r="C2" t="s">
        <v>1</v>
      </c>
      <c r="D2" t="s">
        <v>5</v>
      </c>
      <c r="E2" t="s">
        <v>2</v>
      </c>
      <c r="F2" t="s">
        <v>3</v>
      </c>
      <c r="H2" t="s">
        <v>7</v>
      </c>
      <c r="I2" t="s">
        <v>8</v>
      </c>
      <c r="J2" t="s">
        <v>9</v>
      </c>
      <c r="L2" s="1" t="s">
        <v>10</v>
      </c>
    </row>
    <row r="3" spans="1:13" x14ac:dyDescent="0.25">
      <c r="A3">
        <v>1</v>
      </c>
      <c r="B3">
        <v>57.685000000000002</v>
      </c>
      <c r="C3">
        <v>54.235999999999997</v>
      </c>
      <c r="D3">
        <f>CONVERT(13,"C","F")</f>
        <v>55.400000000000006</v>
      </c>
      <c r="E3">
        <v>1374.81</v>
      </c>
      <c r="F3">
        <v>1374.8119999999999</v>
      </c>
      <c r="H3">
        <f>D3-C3</f>
        <v>1.1640000000000086</v>
      </c>
      <c r="I3">
        <f>F3+(ABS(H3)*F3/D3)</f>
        <v>1403.69794166065</v>
      </c>
      <c r="J3">
        <f>I3-F3</f>
        <v>28.885941660650133</v>
      </c>
    </row>
    <row r="4" spans="1:13" x14ac:dyDescent="0.25">
      <c r="A4">
        <v>2</v>
      </c>
      <c r="B4">
        <v>57.392000000000003</v>
      </c>
      <c r="C4">
        <v>53.88</v>
      </c>
      <c r="D4">
        <f t="shared" ref="D4:D25" si="0">CONVERT(13,"C","F")</f>
        <v>55.400000000000006</v>
      </c>
      <c r="E4">
        <v>1390.8610000000001</v>
      </c>
      <c r="F4">
        <v>1390.8630000000001</v>
      </c>
      <c r="H4">
        <f t="shared" ref="H4:H24" si="1">D4-C4</f>
        <v>1.5200000000000031</v>
      </c>
      <c r="I4">
        <f t="shared" ref="I4:I24" si="2">F4+(ABS(H4)*F4/D4)</f>
        <v>1429.023862093863</v>
      </c>
      <c r="J4">
        <f t="shared" ref="J4:J24" si="3">I4-F4</f>
        <v>38.160862093862988</v>
      </c>
      <c r="L4" t="s">
        <v>11</v>
      </c>
    </row>
    <row r="5" spans="1:13" x14ac:dyDescent="0.25">
      <c r="A5">
        <v>3</v>
      </c>
      <c r="B5">
        <v>57.506999999999998</v>
      </c>
      <c r="C5">
        <v>54.173000000000002</v>
      </c>
      <c r="D5">
        <f t="shared" si="0"/>
        <v>55.400000000000006</v>
      </c>
      <c r="E5">
        <v>1358.558</v>
      </c>
      <c r="F5">
        <v>1358.56</v>
      </c>
      <c r="H5">
        <f t="shared" si="1"/>
        <v>1.2270000000000039</v>
      </c>
      <c r="I5">
        <f t="shared" si="2"/>
        <v>1388.649406498195</v>
      </c>
      <c r="J5">
        <f t="shared" si="3"/>
        <v>30.089406498195103</v>
      </c>
      <c r="L5" t="s">
        <v>12</v>
      </c>
    </row>
    <row r="6" spans="1:13" x14ac:dyDescent="0.25">
      <c r="A6">
        <v>4</v>
      </c>
      <c r="B6">
        <v>57.506999999999998</v>
      </c>
      <c r="C6">
        <v>54.171999999999997</v>
      </c>
      <c r="D6">
        <f t="shared" si="0"/>
        <v>55.400000000000006</v>
      </c>
      <c r="E6">
        <v>1340.31</v>
      </c>
      <c r="F6">
        <v>1343.3119999999999</v>
      </c>
      <c r="H6">
        <f t="shared" si="1"/>
        <v>1.2280000000000086</v>
      </c>
      <c r="I6">
        <f t="shared" si="2"/>
        <v>1373.0879410830325</v>
      </c>
      <c r="J6">
        <f t="shared" si="3"/>
        <v>29.775941083032649</v>
      </c>
      <c r="L6" t="s">
        <v>13</v>
      </c>
    </row>
    <row r="7" spans="1:13" x14ac:dyDescent="0.25">
      <c r="A7">
        <v>5</v>
      </c>
      <c r="B7">
        <v>54.506999999999998</v>
      </c>
      <c r="C7">
        <v>54.256999999999998</v>
      </c>
      <c r="D7">
        <f t="shared" si="0"/>
        <v>55.400000000000006</v>
      </c>
      <c r="E7">
        <v>1328.16</v>
      </c>
      <c r="F7">
        <v>1328.162</v>
      </c>
      <c r="H7">
        <f t="shared" si="1"/>
        <v>1.1430000000000078</v>
      </c>
      <c r="I7">
        <f t="shared" si="2"/>
        <v>1355.5643315162456</v>
      </c>
      <c r="J7">
        <f t="shared" si="3"/>
        <v>27.402331516245567</v>
      </c>
      <c r="M7" t="s">
        <v>14</v>
      </c>
    </row>
    <row r="8" spans="1:13" x14ac:dyDescent="0.25">
      <c r="A8">
        <v>6</v>
      </c>
      <c r="B8">
        <v>57.622999999999998</v>
      </c>
      <c r="C8">
        <v>54.554000000000002</v>
      </c>
      <c r="D8">
        <f t="shared" si="0"/>
        <v>55.400000000000006</v>
      </c>
      <c r="E8">
        <v>1292.6669999999999</v>
      </c>
      <c r="F8">
        <v>1292.67</v>
      </c>
      <c r="H8">
        <f t="shared" si="1"/>
        <v>0.84600000000000364</v>
      </c>
      <c r="I8">
        <f t="shared" si="2"/>
        <v>1312.4100509025272</v>
      </c>
      <c r="J8">
        <f t="shared" si="3"/>
        <v>19.740050902527173</v>
      </c>
      <c r="L8" t="s">
        <v>15</v>
      </c>
    </row>
    <row r="9" spans="1:13" x14ac:dyDescent="0.25">
      <c r="A9">
        <v>7</v>
      </c>
      <c r="B9">
        <v>57.622999999999998</v>
      </c>
      <c r="C9">
        <v>54.618000000000002</v>
      </c>
      <c r="D9">
        <f t="shared" si="0"/>
        <v>55.400000000000006</v>
      </c>
      <c r="E9">
        <v>1277.07</v>
      </c>
      <c r="F9">
        <v>1277.0740000000001</v>
      </c>
      <c r="H9">
        <f t="shared" si="1"/>
        <v>0.78200000000000358</v>
      </c>
      <c r="I9">
        <f t="shared" si="2"/>
        <v>1295.1005680144406</v>
      </c>
      <c r="J9">
        <f t="shared" si="3"/>
        <v>18.0265680144405</v>
      </c>
      <c r="M9" t="s">
        <v>14</v>
      </c>
    </row>
    <row r="10" spans="1:13" x14ac:dyDescent="0.25">
      <c r="A10">
        <v>8</v>
      </c>
      <c r="B10" t="s">
        <v>6</v>
      </c>
      <c r="D10">
        <f t="shared" si="0"/>
        <v>55.400000000000006</v>
      </c>
      <c r="L10" t="s">
        <v>16</v>
      </c>
    </row>
    <row r="11" spans="1:13" x14ac:dyDescent="0.25">
      <c r="A11">
        <v>9</v>
      </c>
      <c r="B11" t="s">
        <v>6</v>
      </c>
      <c r="D11">
        <f t="shared" si="0"/>
        <v>55.400000000000006</v>
      </c>
      <c r="M11" t="s">
        <v>14</v>
      </c>
    </row>
    <row r="12" spans="1:13" x14ac:dyDescent="0.25">
      <c r="A12">
        <v>10</v>
      </c>
      <c r="B12">
        <v>57.622999999999998</v>
      </c>
      <c r="C12">
        <v>54.728000000000002</v>
      </c>
      <c r="D12">
        <f t="shared" si="0"/>
        <v>55.400000000000006</v>
      </c>
      <c r="E12">
        <v>1246.675</v>
      </c>
      <c r="F12">
        <v>1246.6790000000001</v>
      </c>
      <c r="H12" s="2">
        <f t="shared" si="1"/>
        <v>0.67200000000000415</v>
      </c>
      <c r="I12">
        <f t="shared" si="2"/>
        <v>1261.801171263538</v>
      </c>
      <c r="J12" s="2">
        <f t="shared" si="3"/>
        <v>15.122171263537894</v>
      </c>
      <c r="L12" t="s">
        <v>17</v>
      </c>
    </row>
    <row r="13" spans="1:13" x14ac:dyDescent="0.25">
      <c r="A13">
        <v>11</v>
      </c>
      <c r="B13">
        <v>57.622999999999998</v>
      </c>
      <c r="C13">
        <v>54.531999999999996</v>
      </c>
      <c r="D13">
        <f t="shared" si="0"/>
        <v>55.400000000000006</v>
      </c>
      <c r="E13">
        <v>1267.2180000000001</v>
      </c>
      <c r="F13">
        <v>1267.221</v>
      </c>
      <c r="H13">
        <f t="shared" si="1"/>
        <v>0.86800000000000921</v>
      </c>
      <c r="I13">
        <f t="shared" si="2"/>
        <v>1287.0756539350182</v>
      </c>
      <c r="J13">
        <f t="shared" si="3"/>
        <v>19.854653935018177</v>
      </c>
      <c r="L13" t="s">
        <v>18</v>
      </c>
    </row>
    <row r="14" spans="1:13" x14ac:dyDescent="0.25">
      <c r="A14">
        <v>12</v>
      </c>
      <c r="B14">
        <v>57.622999999999998</v>
      </c>
      <c r="C14">
        <v>54.606000000000002</v>
      </c>
      <c r="D14">
        <f t="shared" si="0"/>
        <v>55.400000000000006</v>
      </c>
      <c r="E14">
        <v>1257.8040000000001</v>
      </c>
      <c r="F14">
        <v>1257.807</v>
      </c>
      <c r="H14">
        <f t="shared" si="1"/>
        <v>0.79400000000000404</v>
      </c>
      <c r="I14">
        <f t="shared" si="2"/>
        <v>1275.834053393502</v>
      </c>
      <c r="J14">
        <f t="shared" si="3"/>
        <v>18.027053393502001</v>
      </c>
      <c r="L14" t="s">
        <v>19</v>
      </c>
    </row>
    <row r="15" spans="1:13" x14ac:dyDescent="0.25">
      <c r="A15">
        <v>13</v>
      </c>
      <c r="B15">
        <v>57.622999999999998</v>
      </c>
      <c r="C15">
        <v>54.622999999999998</v>
      </c>
      <c r="D15">
        <f t="shared" si="0"/>
        <v>55.400000000000006</v>
      </c>
      <c r="E15">
        <v>1244.085</v>
      </c>
      <c r="F15">
        <v>1244.0889999999999</v>
      </c>
      <c r="H15">
        <f t="shared" si="1"/>
        <v>0.77700000000000813</v>
      </c>
      <c r="I15">
        <f t="shared" si="2"/>
        <v>1261.5376850722023</v>
      </c>
      <c r="J15">
        <f t="shared" si="3"/>
        <v>17.448685072202352</v>
      </c>
      <c r="L15" t="s">
        <v>20</v>
      </c>
    </row>
    <row r="16" spans="1:13" x14ac:dyDescent="0.25">
      <c r="A16">
        <v>14</v>
      </c>
      <c r="B16" t="s">
        <v>6</v>
      </c>
      <c r="D16">
        <f t="shared" si="0"/>
        <v>55.400000000000006</v>
      </c>
      <c r="L16" t="s">
        <v>21</v>
      </c>
    </row>
    <row r="17" spans="1:12" x14ac:dyDescent="0.25">
      <c r="A17">
        <v>15</v>
      </c>
      <c r="B17">
        <v>57.622999999999998</v>
      </c>
      <c r="C17">
        <v>54.601999999999997</v>
      </c>
      <c r="D17">
        <f t="shared" si="0"/>
        <v>55.400000000000006</v>
      </c>
      <c r="E17">
        <v>1248.127</v>
      </c>
      <c r="F17">
        <v>1248.1300000000001</v>
      </c>
      <c r="H17">
        <f t="shared" si="1"/>
        <v>0.79800000000000892</v>
      </c>
      <c r="I17">
        <f t="shared" si="2"/>
        <v>1266.1084790613722</v>
      </c>
      <c r="J17">
        <f t="shared" si="3"/>
        <v>17.978479061372127</v>
      </c>
      <c r="L17" t="s">
        <v>22</v>
      </c>
    </row>
    <row r="18" spans="1:12" x14ac:dyDescent="0.25">
      <c r="A18">
        <v>16</v>
      </c>
      <c r="B18">
        <v>57.622999999999998</v>
      </c>
      <c r="C18">
        <v>54.643000000000001</v>
      </c>
      <c r="D18">
        <f t="shared" si="0"/>
        <v>55.400000000000006</v>
      </c>
      <c r="E18">
        <v>1240.0640000000001</v>
      </c>
      <c r="F18">
        <v>1240.068</v>
      </c>
      <c r="H18">
        <f t="shared" si="1"/>
        <v>0.757000000000005</v>
      </c>
      <c r="I18">
        <f t="shared" si="2"/>
        <v>1257.0126114801444</v>
      </c>
      <c r="J18">
        <f t="shared" si="3"/>
        <v>16.944611480144431</v>
      </c>
      <c r="L18" t="s">
        <v>23</v>
      </c>
    </row>
    <row r="19" spans="1:12" x14ac:dyDescent="0.25">
      <c r="A19">
        <v>17</v>
      </c>
      <c r="B19" t="s">
        <v>6</v>
      </c>
      <c r="D19">
        <f t="shared" si="0"/>
        <v>55.400000000000006</v>
      </c>
    </row>
    <row r="20" spans="1:12" x14ac:dyDescent="0.25">
      <c r="A20">
        <v>18</v>
      </c>
      <c r="B20">
        <v>57.622999999999998</v>
      </c>
      <c r="C20">
        <v>54.634</v>
      </c>
      <c r="D20">
        <f t="shared" si="0"/>
        <v>55.400000000000006</v>
      </c>
      <c r="E20">
        <v>1242.067</v>
      </c>
      <c r="F20">
        <v>1242.0709999999999</v>
      </c>
      <c r="H20">
        <f t="shared" si="1"/>
        <v>0.76600000000000534</v>
      </c>
      <c r="I20">
        <f t="shared" si="2"/>
        <v>1259.2447614801445</v>
      </c>
      <c r="J20">
        <f t="shared" si="3"/>
        <v>17.173761480144549</v>
      </c>
    </row>
    <row r="21" spans="1:12" x14ac:dyDescent="0.25">
      <c r="A21">
        <v>19</v>
      </c>
      <c r="B21">
        <v>57.622999999999998</v>
      </c>
      <c r="C21">
        <v>54.646000000000001</v>
      </c>
      <c r="D21">
        <f t="shared" si="0"/>
        <v>55.400000000000006</v>
      </c>
      <c r="E21">
        <v>1238.3330000000001</v>
      </c>
      <c r="F21">
        <v>1238.337</v>
      </c>
      <c r="H21">
        <f t="shared" si="1"/>
        <v>0.75400000000000489</v>
      </c>
      <c r="I21">
        <f t="shared" si="2"/>
        <v>1255.1909006859207</v>
      </c>
      <c r="J21">
        <f t="shared" si="3"/>
        <v>16.853900685920735</v>
      </c>
    </row>
    <row r="22" spans="1:12" x14ac:dyDescent="0.25">
      <c r="A22">
        <v>20</v>
      </c>
      <c r="B22" t="s">
        <v>6</v>
      </c>
      <c r="D22">
        <f t="shared" si="0"/>
        <v>55.400000000000006</v>
      </c>
    </row>
    <row r="23" spans="1:12" x14ac:dyDescent="0.25">
      <c r="A23">
        <v>21</v>
      </c>
      <c r="B23">
        <v>57.622999999999998</v>
      </c>
      <c r="C23">
        <v>54.645000000000003</v>
      </c>
      <c r="D23">
        <f t="shared" si="0"/>
        <v>55.400000000000006</v>
      </c>
      <c r="E23">
        <v>1239.2070000000001</v>
      </c>
      <c r="F23">
        <v>1239.211</v>
      </c>
      <c r="H23">
        <f t="shared" si="1"/>
        <v>0.75500000000000256</v>
      </c>
      <c r="I23">
        <f t="shared" si="2"/>
        <v>1256.0991643501807</v>
      </c>
      <c r="J23">
        <f t="shared" si="3"/>
        <v>16.888164350180659</v>
      </c>
    </row>
    <row r="24" spans="1:12" x14ac:dyDescent="0.25">
      <c r="A24">
        <v>22</v>
      </c>
      <c r="B24">
        <v>57.622999999999998</v>
      </c>
      <c r="C24">
        <v>54.651000000000003</v>
      </c>
      <c r="D24">
        <f t="shared" si="0"/>
        <v>55.400000000000006</v>
      </c>
      <c r="E24" s="2">
        <v>1237.338</v>
      </c>
      <c r="F24" s="2">
        <v>1237.3420000000001</v>
      </c>
      <c r="H24">
        <f t="shared" si="1"/>
        <v>0.74900000000000233</v>
      </c>
      <c r="I24" s="2">
        <f t="shared" si="2"/>
        <v>1254.070685162455</v>
      </c>
      <c r="J24">
        <f t="shared" si="3"/>
        <v>16.728685162454894</v>
      </c>
    </row>
    <row r="25" spans="1:12" x14ac:dyDescent="0.25">
      <c r="A25">
        <v>23</v>
      </c>
      <c r="B25" t="s">
        <v>6</v>
      </c>
      <c r="D25">
        <f t="shared" si="0"/>
        <v>55.400000000000006</v>
      </c>
    </row>
    <row r="27" spans="1:12" x14ac:dyDescent="0.25">
      <c r="E27">
        <f>MIN(E3:E24)</f>
        <v>1237.338</v>
      </c>
      <c r="F27">
        <f>MIN(F3:F24)</f>
        <v>1237.3420000000001</v>
      </c>
      <c r="H27">
        <f>MIN(H3:H24)</f>
        <v>0.67200000000000415</v>
      </c>
      <c r="I27">
        <f>MIN(I3:I24)</f>
        <v>1254.070685162455</v>
      </c>
      <c r="J27">
        <f>MIN(J3:J24)</f>
        <v>15.122171263537894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workbookViewId="0">
      <selection activeCell="L24" sqref="L24"/>
    </sheetView>
  </sheetViews>
  <sheetFormatPr defaultRowHeight="15" x14ac:dyDescent="0.25"/>
  <sheetData>
    <row r="2" spans="1:13" x14ac:dyDescent="0.25">
      <c r="A2" t="s">
        <v>0</v>
      </c>
      <c r="B2" t="s">
        <v>4</v>
      </c>
      <c r="C2" t="s">
        <v>1</v>
      </c>
      <c r="D2" t="s">
        <v>5</v>
      </c>
      <c r="E2" t="s">
        <v>2</v>
      </c>
      <c r="F2" t="s">
        <v>3</v>
      </c>
      <c r="H2" t="s">
        <v>7</v>
      </c>
      <c r="I2" t="s">
        <v>8</v>
      </c>
      <c r="J2" t="s">
        <v>9</v>
      </c>
      <c r="L2" s="1" t="s">
        <v>36</v>
      </c>
    </row>
    <row r="3" spans="1:13" x14ac:dyDescent="0.25">
      <c r="A3">
        <v>1</v>
      </c>
      <c r="B3">
        <v>90.338999999999999</v>
      </c>
      <c r="C3">
        <v>69.781999999999996</v>
      </c>
      <c r="D3">
        <f>CONVERT(13,"C","F")</f>
        <v>55.400000000000006</v>
      </c>
      <c r="E3">
        <v>1325.9929999999999</v>
      </c>
      <c r="F3">
        <v>1326.009</v>
      </c>
      <c r="H3">
        <f>D3-C3</f>
        <v>-14.381999999999991</v>
      </c>
      <c r="I3">
        <f>F3+(ABS(H3)*F3/D3)</f>
        <v>1670.2447660288806</v>
      </c>
      <c r="J3">
        <f>I3-F3</f>
        <v>344.23576602888056</v>
      </c>
      <c r="L3" s="1" t="s">
        <v>37</v>
      </c>
    </row>
    <row r="4" spans="1:13" x14ac:dyDescent="0.25">
      <c r="A4">
        <v>2</v>
      </c>
      <c r="B4">
        <v>90.084999999999994</v>
      </c>
      <c r="C4" s="2">
        <v>69.325999999999993</v>
      </c>
      <c r="D4">
        <f t="shared" ref="D4:D20" si="0">CONVERT(13,"C","F")</f>
        <v>55.400000000000006</v>
      </c>
      <c r="E4">
        <v>1341.79</v>
      </c>
      <c r="F4">
        <v>1341.8040000000001</v>
      </c>
      <c r="H4" s="2">
        <f t="shared" ref="H4:H18" si="1">D4-C4</f>
        <v>-13.925999999999988</v>
      </c>
      <c r="I4">
        <f t="shared" ref="I4:I19" si="2">F4+(ABS(H4)*F4/D4)</f>
        <v>1679.0957419494582</v>
      </c>
      <c r="J4" s="2">
        <f t="shared" ref="J4:J18" si="3">I4-F4</f>
        <v>337.29174194945813</v>
      </c>
      <c r="L4" t="s">
        <v>11</v>
      </c>
    </row>
    <row r="5" spans="1:13" x14ac:dyDescent="0.25">
      <c r="A5">
        <v>3</v>
      </c>
      <c r="B5">
        <v>90.701999999999998</v>
      </c>
      <c r="C5">
        <v>70.132999999999996</v>
      </c>
      <c r="D5">
        <f t="shared" si="0"/>
        <v>55.400000000000006</v>
      </c>
      <c r="E5">
        <v>1311.7380000000001</v>
      </c>
      <c r="F5">
        <v>1311.7550000000001</v>
      </c>
      <c r="H5">
        <f t="shared" si="1"/>
        <v>-14.73299999999999</v>
      </c>
      <c r="I5">
        <f t="shared" si="2"/>
        <v>1660.6013251805052</v>
      </c>
      <c r="J5">
        <f t="shared" si="3"/>
        <v>348.84632518050512</v>
      </c>
      <c r="L5" t="s">
        <v>33</v>
      </c>
    </row>
    <row r="6" spans="1:13" x14ac:dyDescent="0.25">
      <c r="A6">
        <v>4</v>
      </c>
      <c r="B6">
        <v>90.338999999999999</v>
      </c>
      <c r="C6">
        <v>70.325000000000003</v>
      </c>
      <c r="D6">
        <f t="shared" si="0"/>
        <v>55.400000000000006</v>
      </c>
      <c r="E6">
        <v>1294.0419999999999</v>
      </c>
      <c r="F6">
        <v>1294.0609999999999</v>
      </c>
      <c r="H6">
        <f t="shared" si="1"/>
        <v>-14.924999999999997</v>
      </c>
      <c r="I6">
        <f t="shared" si="2"/>
        <v>1642.6866394404331</v>
      </c>
      <c r="J6">
        <f t="shared" si="3"/>
        <v>348.62563944043313</v>
      </c>
      <c r="L6" t="s">
        <v>25</v>
      </c>
    </row>
    <row r="7" spans="1:13" x14ac:dyDescent="0.25">
      <c r="A7">
        <v>5</v>
      </c>
      <c r="B7">
        <v>90.073999999999998</v>
      </c>
      <c r="C7">
        <v>70.394000000000005</v>
      </c>
      <c r="D7">
        <f t="shared" si="0"/>
        <v>55.400000000000006</v>
      </c>
      <c r="E7">
        <v>1278.7090000000001</v>
      </c>
      <c r="F7">
        <v>1278.729</v>
      </c>
      <c r="H7">
        <f t="shared" si="1"/>
        <v>-14.994</v>
      </c>
      <c r="I7">
        <f t="shared" si="2"/>
        <v>1624.816773032491</v>
      </c>
      <c r="J7">
        <f t="shared" si="3"/>
        <v>346.08777303249099</v>
      </c>
      <c r="L7" t="s">
        <v>24</v>
      </c>
      <c r="M7" t="s">
        <v>32</v>
      </c>
    </row>
    <row r="8" spans="1:13" x14ac:dyDescent="0.25">
      <c r="A8">
        <v>6</v>
      </c>
      <c r="B8" t="s">
        <v>6</v>
      </c>
      <c r="D8">
        <f t="shared" si="0"/>
        <v>55.400000000000006</v>
      </c>
      <c r="L8" t="s">
        <v>34</v>
      </c>
    </row>
    <row r="9" spans="1:13" x14ac:dyDescent="0.25">
      <c r="A9">
        <v>7</v>
      </c>
      <c r="B9" t="s">
        <v>6</v>
      </c>
      <c r="D9">
        <f t="shared" si="0"/>
        <v>55.400000000000006</v>
      </c>
      <c r="M9" t="s">
        <v>32</v>
      </c>
    </row>
    <row r="10" spans="1:13" x14ac:dyDescent="0.25">
      <c r="A10">
        <v>8</v>
      </c>
      <c r="B10">
        <v>90.701999999999998</v>
      </c>
      <c r="C10">
        <v>70.884</v>
      </c>
      <c r="D10">
        <f t="shared" si="0"/>
        <v>55.400000000000006</v>
      </c>
      <c r="E10">
        <v>1265.3589999999999</v>
      </c>
      <c r="F10">
        <v>1265.3810000000001</v>
      </c>
      <c r="H10">
        <f t="shared" ref="H10:H11" si="4">D10-C10</f>
        <v>-15.483999999999995</v>
      </c>
      <c r="I10">
        <f t="shared" si="2"/>
        <v>1619.0481372563177</v>
      </c>
      <c r="J10">
        <f t="shared" ref="J10:J11" si="5">I10-F10</f>
        <v>353.66713725631757</v>
      </c>
      <c r="L10" t="s">
        <v>35</v>
      </c>
    </row>
    <row r="11" spans="1:13" x14ac:dyDescent="0.25">
      <c r="A11">
        <v>9</v>
      </c>
      <c r="B11">
        <v>90.701999999999998</v>
      </c>
      <c r="C11">
        <v>70.741</v>
      </c>
      <c r="D11">
        <f t="shared" si="0"/>
        <v>55.400000000000006</v>
      </c>
      <c r="E11">
        <v>1273.1880000000001</v>
      </c>
      <c r="F11">
        <v>1273.2090000000001</v>
      </c>
      <c r="H11">
        <f t="shared" si="4"/>
        <v>-15.340999999999994</v>
      </c>
      <c r="I11">
        <f t="shared" si="2"/>
        <v>1625.7775788628157</v>
      </c>
      <c r="J11">
        <f t="shared" si="5"/>
        <v>352.56857886281568</v>
      </c>
      <c r="M11" t="s">
        <v>32</v>
      </c>
    </row>
    <row r="12" spans="1:13" x14ac:dyDescent="0.25">
      <c r="A12">
        <v>10</v>
      </c>
      <c r="B12" t="s">
        <v>6</v>
      </c>
      <c r="D12">
        <f t="shared" si="0"/>
        <v>55.400000000000006</v>
      </c>
      <c r="L12" t="s">
        <v>17</v>
      </c>
    </row>
    <row r="13" spans="1:13" x14ac:dyDescent="0.25">
      <c r="A13">
        <v>11</v>
      </c>
      <c r="B13">
        <v>90.137</v>
      </c>
      <c r="C13">
        <v>70.631</v>
      </c>
      <c r="D13">
        <f t="shared" si="0"/>
        <v>55.400000000000006</v>
      </c>
      <c r="E13">
        <v>1267.277</v>
      </c>
      <c r="F13">
        <v>1267.299</v>
      </c>
      <c r="H13">
        <f t="shared" si="1"/>
        <v>-15.230999999999995</v>
      </c>
      <c r="I13" s="2">
        <f t="shared" si="2"/>
        <v>1615.7147232671477</v>
      </c>
      <c r="J13">
        <f t="shared" si="3"/>
        <v>348.41572326714777</v>
      </c>
      <c r="L13" t="s">
        <v>26</v>
      </c>
    </row>
    <row r="14" spans="1:13" x14ac:dyDescent="0.25">
      <c r="A14">
        <v>12</v>
      </c>
      <c r="B14" t="s">
        <v>6</v>
      </c>
      <c r="D14">
        <f t="shared" si="0"/>
        <v>55.400000000000006</v>
      </c>
      <c r="L14" t="s">
        <v>27</v>
      </c>
    </row>
    <row r="15" spans="1:13" x14ac:dyDescent="0.25">
      <c r="A15">
        <v>13</v>
      </c>
      <c r="B15">
        <v>91.116</v>
      </c>
      <c r="C15">
        <v>70.816999999999993</v>
      </c>
      <c r="D15">
        <f t="shared" si="0"/>
        <v>55.400000000000006</v>
      </c>
      <c r="E15">
        <v>1270.9970000000001</v>
      </c>
      <c r="F15">
        <v>1271.0170000000001</v>
      </c>
      <c r="H15">
        <f t="shared" si="1"/>
        <v>-15.416999999999987</v>
      </c>
      <c r="I15">
        <f t="shared" si="2"/>
        <v>1624.722218212996</v>
      </c>
      <c r="J15">
        <f t="shared" si="3"/>
        <v>353.70521821299599</v>
      </c>
      <c r="L15" t="s">
        <v>28</v>
      </c>
    </row>
    <row r="16" spans="1:13" x14ac:dyDescent="0.25">
      <c r="A16">
        <v>14</v>
      </c>
      <c r="B16">
        <v>90.701999999999998</v>
      </c>
      <c r="C16">
        <v>70.924000000000007</v>
      </c>
      <c r="D16">
        <f t="shared" si="0"/>
        <v>55.400000000000006</v>
      </c>
      <c r="E16">
        <v>1263.4079999999999</v>
      </c>
      <c r="F16">
        <v>1263.43</v>
      </c>
      <c r="H16">
        <f t="shared" ref="H16" si="6">D16-C16</f>
        <v>-15.524000000000001</v>
      </c>
      <c r="I16">
        <f t="shared" si="2"/>
        <v>1617.4640671480145</v>
      </c>
      <c r="J16">
        <f t="shared" ref="J16" si="7">I16-F16</f>
        <v>354.0340671480144</v>
      </c>
      <c r="L16" t="s">
        <v>29</v>
      </c>
    </row>
    <row r="17" spans="1:12" x14ac:dyDescent="0.25">
      <c r="A17">
        <v>15</v>
      </c>
      <c r="B17" t="s">
        <v>6</v>
      </c>
      <c r="D17">
        <f t="shared" si="0"/>
        <v>55.400000000000006</v>
      </c>
      <c r="L17" t="s">
        <v>30</v>
      </c>
    </row>
    <row r="18" spans="1:12" x14ac:dyDescent="0.25">
      <c r="A18">
        <v>16</v>
      </c>
      <c r="B18">
        <v>90.701999999999998</v>
      </c>
      <c r="C18">
        <v>70.988</v>
      </c>
      <c r="D18">
        <f t="shared" si="0"/>
        <v>55.400000000000006</v>
      </c>
      <c r="E18">
        <v>1263.54</v>
      </c>
      <c r="F18">
        <v>1263.5630000000001</v>
      </c>
      <c r="H18">
        <f t="shared" si="1"/>
        <v>-15.587999999999994</v>
      </c>
      <c r="I18">
        <f t="shared" si="2"/>
        <v>1619.0940477256318</v>
      </c>
      <c r="J18">
        <f t="shared" si="3"/>
        <v>355.53104772563165</v>
      </c>
      <c r="L18" t="s">
        <v>31</v>
      </c>
    </row>
    <row r="19" spans="1:12" x14ac:dyDescent="0.25">
      <c r="A19">
        <v>17</v>
      </c>
      <c r="B19">
        <v>90.701999999999998</v>
      </c>
      <c r="C19">
        <v>70.951999999999998</v>
      </c>
      <c r="D19">
        <f>CONVERT(13,"C","F")</f>
        <v>55.400000000000006</v>
      </c>
      <c r="E19" s="2">
        <v>1262.384</v>
      </c>
      <c r="F19" s="2">
        <v>1262.4059999999999</v>
      </c>
      <c r="H19">
        <f t="shared" ref="H19" si="8">D19-C19</f>
        <v>-15.551999999999992</v>
      </c>
      <c r="I19">
        <f t="shared" si="2"/>
        <v>1616.791164476534</v>
      </c>
      <c r="J19">
        <f t="shared" ref="J19" si="9">I19-F19</f>
        <v>354.3851644765341</v>
      </c>
    </row>
    <row r="20" spans="1:12" x14ac:dyDescent="0.25">
      <c r="A20">
        <v>18</v>
      </c>
      <c r="B20" t="s">
        <v>6</v>
      </c>
      <c r="D20">
        <f t="shared" si="0"/>
        <v>55.400000000000006</v>
      </c>
    </row>
    <row r="22" spans="1:12" x14ac:dyDescent="0.25">
      <c r="E22">
        <f>MIN(E3:E19)</f>
        <v>1262.384</v>
      </c>
      <c r="F22">
        <f t="shared" ref="F22:J22" si="10">MIN(F3:F19)</f>
        <v>1262.4059999999999</v>
      </c>
      <c r="H22">
        <f>MAX(H3:H19)</f>
        <v>-13.925999999999988</v>
      </c>
      <c r="I22">
        <f t="shared" si="10"/>
        <v>1615.7147232671477</v>
      </c>
      <c r="J22">
        <f t="shared" si="10"/>
        <v>337.29174194945813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workbookViewId="0">
      <selection activeCell="B40" sqref="B40"/>
    </sheetView>
  </sheetViews>
  <sheetFormatPr defaultRowHeight="15" x14ac:dyDescent="0.25"/>
  <sheetData>
    <row r="2" spans="1:13" x14ac:dyDescent="0.25">
      <c r="A2" t="s">
        <v>0</v>
      </c>
      <c r="B2" t="s">
        <v>4</v>
      </c>
      <c r="C2" t="s">
        <v>1</v>
      </c>
      <c r="D2" t="s">
        <v>5</v>
      </c>
      <c r="E2" t="s">
        <v>2</v>
      </c>
      <c r="F2" t="s">
        <v>3</v>
      </c>
      <c r="H2" t="s">
        <v>7</v>
      </c>
      <c r="I2" t="s">
        <v>8</v>
      </c>
      <c r="J2" t="s">
        <v>9</v>
      </c>
      <c r="L2" s="1" t="s">
        <v>39</v>
      </c>
    </row>
    <row r="3" spans="1:13" x14ac:dyDescent="0.25">
      <c r="A3">
        <v>1</v>
      </c>
      <c r="B3">
        <v>74.158000000000001</v>
      </c>
      <c r="C3">
        <v>66.400000000000006</v>
      </c>
      <c r="D3">
        <f>CONVERT(13,"C","F")</f>
        <v>55.400000000000006</v>
      </c>
      <c r="E3">
        <v>1335.34</v>
      </c>
      <c r="F3">
        <v>1335.3440000000001</v>
      </c>
      <c r="H3">
        <f>D3-C3</f>
        <v>-11</v>
      </c>
      <c r="I3">
        <f>F3+(ABS(H3)*F3/D3)</f>
        <v>1600.4845054151624</v>
      </c>
      <c r="J3">
        <f>I3-F3</f>
        <v>265.14050541516235</v>
      </c>
      <c r="L3" s="1" t="s">
        <v>40</v>
      </c>
    </row>
    <row r="4" spans="1:13" x14ac:dyDescent="0.25">
      <c r="A4">
        <v>2</v>
      </c>
      <c r="B4">
        <v>73.968000000000004</v>
      </c>
      <c r="C4">
        <v>66.207999999999998</v>
      </c>
      <c r="D4">
        <f t="shared" ref="D4:D20" si="0">CONVERT(13,"C","F")</f>
        <v>55.400000000000006</v>
      </c>
      <c r="E4">
        <v>1350.0350000000001</v>
      </c>
      <c r="F4">
        <v>1350.038</v>
      </c>
      <c r="H4" s="2">
        <f t="shared" ref="H4:H17" si="1">D4-C4</f>
        <v>-10.807999999999993</v>
      </c>
      <c r="I4">
        <f t="shared" ref="I4:I19" si="2">F4+(ABS(H4)*F4/D4)</f>
        <v>1613.4172545848373</v>
      </c>
      <c r="J4">
        <f>I4-F4</f>
        <v>263.37925458483733</v>
      </c>
      <c r="L4" t="s">
        <v>11</v>
      </c>
    </row>
    <row r="5" spans="1:13" x14ac:dyDescent="0.25">
      <c r="A5">
        <v>3</v>
      </c>
      <c r="B5">
        <v>73.707999999999998</v>
      </c>
      <c r="C5">
        <v>66.254000000000005</v>
      </c>
      <c r="D5">
        <f t="shared" si="0"/>
        <v>55.400000000000006</v>
      </c>
      <c r="E5">
        <v>1318.09</v>
      </c>
      <c r="F5">
        <v>1318.0940000000001</v>
      </c>
      <c r="H5">
        <f t="shared" si="1"/>
        <v>-10.853999999999999</v>
      </c>
      <c r="I5">
        <f t="shared" si="2"/>
        <v>1576.3357378339351</v>
      </c>
      <c r="J5">
        <f t="shared" ref="J5:J17" si="3">I5-F5</f>
        <v>258.24173783393508</v>
      </c>
      <c r="L5" t="s">
        <v>33</v>
      </c>
    </row>
    <row r="6" spans="1:13" x14ac:dyDescent="0.25">
      <c r="A6">
        <v>4</v>
      </c>
      <c r="B6">
        <v>73.28</v>
      </c>
      <c r="C6">
        <v>66.471000000000004</v>
      </c>
      <c r="D6">
        <f t="shared" si="0"/>
        <v>55.400000000000006</v>
      </c>
      <c r="E6">
        <v>1302.26</v>
      </c>
      <c r="F6">
        <v>1302.2650000000001</v>
      </c>
      <c r="H6">
        <f t="shared" si="1"/>
        <v>-11.070999999999998</v>
      </c>
      <c r="I6">
        <f t="shared" si="2"/>
        <v>1562.5064407039711</v>
      </c>
      <c r="J6">
        <f t="shared" si="3"/>
        <v>260.24144070397097</v>
      </c>
      <c r="L6" t="s">
        <v>38</v>
      </c>
    </row>
    <row r="7" spans="1:13" x14ac:dyDescent="0.25">
      <c r="A7">
        <v>5</v>
      </c>
      <c r="B7">
        <v>73.819999999999993</v>
      </c>
      <c r="C7">
        <v>66.516000000000005</v>
      </c>
      <c r="D7">
        <f t="shared" si="0"/>
        <v>55.400000000000006</v>
      </c>
      <c r="E7">
        <v>1288.1510000000001</v>
      </c>
      <c r="F7">
        <v>1288.1559999999999</v>
      </c>
      <c r="H7">
        <f t="shared" si="1"/>
        <v>-11.116</v>
      </c>
      <c r="I7">
        <f t="shared" si="2"/>
        <v>1546.6242688808663</v>
      </c>
      <c r="J7">
        <f t="shared" si="3"/>
        <v>258.46826888086639</v>
      </c>
      <c r="M7" t="s">
        <v>32</v>
      </c>
    </row>
    <row r="8" spans="1:13" x14ac:dyDescent="0.25">
      <c r="A8">
        <v>6</v>
      </c>
      <c r="B8" t="s">
        <v>6</v>
      </c>
      <c r="D8">
        <f t="shared" si="0"/>
        <v>55.400000000000006</v>
      </c>
      <c r="L8" t="s">
        <v>34</v>
      </c>
    </row>
    <row r="9" spans="1:13" x14ac:dyDescent="0.25">
      <c r="A9">
        <v>7</v>
      </c>
      <c r="B9" t="s">
        <v>6</v>
      </c>
      <c r="D9">
        <f t="shared" si="0"/>
        <v>55.400000000000006</v>
      </c>
      <c r="M9" t="s">
        <v>32</v>
      </c>
    </row>
    <row r="10" spans="1:13" x14ac:dyDescent="0.25">
      <c r="A10">
        <v>8</v>
      </c>
      <c r="B10" t="s">
        <v>6</v>
      </c>
      <c r="D10">
        <f t="shared" si="0"/>
        <v>55.400000000000006</v>
      </c>
      <c r="L10" t="s">
        <v>35</v>
      </c>
    </row>
    <row r="11" spans="1:13" x14ac:dyDescent="0.25">
      <c r="A11">
        <v>9</v>
      </c>
      <c r="B11">
        <v>73.546999999999997</v>
      </c>
      <c r="C11">
        <v>66.399000000000001</v>
      </c>
      <c r="D11">
        <f t="shared" si="0"/>
        <v>55.400000000000006</v>
      </c>
      <c r="E11">
        <v>1280.405</v>
      </c>
      <c r="F11">
        <v>1280.4100000000001</v>
      </c>
      <c r="H11">
        <f t="shared" ref="H11" si="4">D11-C11</f>
        <v>-10.998999999999995</v>
      </c>
      <c r="I11">
        <f t="shared" si="2"/>
        <v>1534.6199203971119</v>
      </c>
      <c r="J11" s="2">
        <f t="shared" ref="J11" si="5">I11-F11</f>
        <v>254.20992039711177</v>
      </c>
      <c r="M11" t="s">
        <v>32</v>
      </c>
    </row>
    <row r="12" spans="1:13" x14ac:dyDescent="0.25">
      <c r="A12">
        <v>10</v>
      </c>
      <c r="B12" t="s">
        <v>6</v>
      </c>
      <c r="D12">
        <f t="shared" si="0"/>
        <v>55.400000000000006</v>
      </c>
      <c r="L12" t="s">
        <v>17</v>
      </c>
    </row>
    <row r="13" spans="1:13" x14ac:dyDescent="0.25">
      <c r="A13">
        <v>11</v>
      </c>
      <c r="B13">
        <v>74.241</v>
      </c>
      <c r="C13">
        <v>66.727000000000004</v>
      </c>
      <c r="D13">
        <f t="shared" si="0"/>
        <v>55.400000000000006</v>
      </c>
      <c r="E13">
        <v>1286.01</v>
      </c>
      <c r="F13">
        <v>1286.0150000000001</v>
      </c>
      <c r="H13">
        <f t="shared" si="1"/>
        <v>-11.326999999999998</v>
      </c>
      <c r="I13">
        <f t="shared" si="2"/>
        <v>1548.9516769855595</v>
      </c>
      <c r="J13">
        <f t="shared" si="3"/>
        <v>262.93667698555942</v>
      </c>
      <c r="L13" t="s">
        <v>26</v>
      </c>
    </row>
    <row r="14" spans="1:13" x14ac:dyDescent="0.25">
      <c r="A14">
        <v>12</v>
      </c>
      <c r="B14">
        <v>73.968000000000004</v>
      </c>
      <c r="C14">
        <v>66.716999999999999</v>
      </c>
      <c r="D14">
        <f t="shared" si="0"/>
        <v>55.400000000000006</v>
      </c>
      <c r="E14">
        <v>1277.175</v>
      </c>
      <c r="F14">
        <v>1277.181</v>
      </c>
      <c r="H14">
        <f t="shared" si="1"/>
        <v>-11.316999999999993</v>
      </c>
      <c r="I14">
        <f t="shared" si="2"/>
        <v>1538.0809526534294</v>
      </c>
      <c r="J14">
        <f t="shared" si="3"/>
        <v>260.89995265342941</v>
      </c>
      <c r="L14" t="s">
        <v>27</v>
      </c>
    </row>
    <row r="15" spans="1:13" x14ac:dyDescent="0.25">
      <c r="A15">
        <v>13</v>
      </c>
      <c r="B15" t="s">
        <v>6</v>
      </c>
      <c r="D15">
        <f t="shared" si="0"/>
        <v>55.400000000000006</v>
      </c>
      <c r="L15" t="s">
        <v>28</v>
      </c>
    </row>
    <row r="16" spans="1:13" x14ac:dyDescent="0.25">
      <c r="A16">
        <v>14</v>
      </c>
      <c r="B16">
        <v>73.819999999999993</v>
      </c>
      <c r="C16">
        <v>66.590999999999994</v>
      </c>
      <c r="D16">
        <f t="shared" si="0"/>
        <v>55.400000000000006</v>
      </c>
      <c r="E16">
        <v>1279.44</v>
      </c>
      <c r="F16">
        <v>1279.4449999999999</v>
      </c>
      <c r="H16">
        <f t="shared" ref="H16" si="6">D16-C16</f>
        <v>-11.190999999999988</v>
      </c>
      <c r="I16">
        <f t="shared" si="2"/>
        <v>1537.8975089350176</v>
      </c>
      <c r="J16">
        <f t="shared" ref="J16" si="7">I16-F16</f>
        <v>258.4525089350177</v>
      </c>
      <c r="L16" t="s">
        <v>29</v>
      </c>
    </row>
    <row r="17" spans="1:12" x14ac:dyDescent="0.25">
      <c r="A17">
        <v>15</v>
      </c>
      <c r="B17">
        <v>73.555999999999997</v>
      </c>
      <c r="C17">
        <v>66.492999999999995</v>
      </c>
      <c r="D17">
        <f t="shared" si="0"/>
        <v>55.400000000000006</v>
      </c>
      <c r="E17" s="2">
        <v>1274.751</v>
      </c>
      <c r="F17" s="2">
        <v>1274.7560000000001</v>
      </c>
      <c r="H17">
        <f t="shared" si="1"/>
        <v>-11.092999999999989</v>
      </c>
      <c r="I17" s="2">
        <f t="shared" si="2"/>
        <v>1530.006330469314</v>
      </c>
      <c r="J17">
        <f t="shared" si="3"/>
        <v>255.25033046931389</v>
      </c>
      <c r="L17" t="s">
        <v>30</v>
      </c>
    </row>
    <row r="18" spans="1:12" x14ac:dyDescent="0.25">
      <c r="A18">
        <v>16</v>
      </c>
      <c r="B18" t="s">
        <v>6</v>
      </c>
      <c r="D18">
        <f t="shared" si="0"/>
        <v>55.400000000000006</v>
      </c>
      <c r="L18" t="s">
        <v>31</v>
      </c>
    </row>
    <row r="19" spans="1:12" x14ac:dyDescent="0.25">
      <c r="A19">
        <v>17</v>
      </c>
      <c r="B19">
        <v>74.150999999999996</v>
      </c>
      <c r="C19">
        <v>66.787999999999997</v>
      </c>
      <c r="D19">
        <f>CONVERT(13,"C","F")</f>
        <v>55.400000000000006</v>
      </c>
      <c r="E19">
        <v>1275.748</v>
      </c>
      <c r="F19">
        <v>1275.7539999999999</v>
      </c>
      <c r="H19">
        <f t="shared" ref="H19" si="8">D19-C19</f>
        <v>-11.387999999999991</v>
      </c>
      <c r="I19">
        <f t="shared" si="2"/>
        <v>1537.9974395667866</v>
      </c>
      <c r="J19">
        <f t="shared" ref="J19" si="9">I19-F19</f>
        <v>262.24343956678672</v>
      </c>
    </row>
    <row r="20" spans="1:12" x14ac:dyDescent="0.25">
      <c r="A20">
        <v>18</v>
      </c>
      <c r="B20" t="s">
        <v>6</v>
      </c>
      <c r="D20">
        <f t="shared" si="0"/>
        <v>55.400000000000006</v>
      </c>
    </row>
    <row r="22" spans="1:12" x14ac:dyDescent="0.25">
      <c r="E22">
        <f>MIN(E3:E20)</f>
        <v>1274.751</v>
      </c>
      <c r="F22">
        <f>MIN(F3:F20)</f>
        <v>1274.7560000000001</v>
      </c>
      <c r="H22">
        <f>MAX(H3:H20)</f>
        <v>-10.807999999999993</v>
      </c>
      <c r="I22">
        <f>MIN(I3:I20)</f>
        <v>1530.006330469314</v>
      </c>
      <c r="J22">
        <f>MIN(J3:J20)</f>
        <v>254.20992039711177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workbookViewId="0">
      <selection activeCell="G38" sqref="G38"/>
    </sheetView>
  </sheetViews>
  <sheetFormatPr defaultRowHeight="15" x14ac:dyDescent="0.25"/>
  <sheetData>
    <row r="2" spans="1:13" x14ac:dyDescent="0.25">
      <c r="A2" t="s">
        <v>0</v>
      </c>
      <c r="B2" t="s">
        <v>4</v>
      </c>
      <c r="C2" t="s">
        <v>1</v>
      </c>
      <c r="D2" t="s">
        <v>5</v>
      </c>
      <c r="E2" t="s">
        <v>2</v>
      </c>
      <c r="F2" t="s">
        <v>3</v>
      </c>
      <c r="H2" t="s">
        <v>7</v>
      </c>
      <c r="I2" t="s">
        <v>8</v>
      </c>
      <c r="J2" t="s">
        <v>9</v>
      </c>
      <c r="L2" s="1" t="s">
        <v>39</v>
      </c>
    </row>
    <row r="3" spans="1:13" x14ac:dyDescent="0.25">
      <c r="A3">
        <v>1</v>
      </c>
      <c r="B3">
        <v>74.158000000000001</v>
      </c>
      <c r="C3">
        <v>66.400000000000006</v>
      </c>
      <c r="D3">
        <f>CONVERT(13,"C","F")</f>
        <v>55.400000000000006</v>
      </c>
      <c r="E3">
        <v>1335.34</v>
      </c>
      <c r="F3">
        <v>1335.3440000000001</v>
      </c>
      <c r="H3">
        <f>D3-C3</f>
        <v>-11</v>
      </c>
      <c r="I3">
        <f>F3+(0.5*ABS(H3)*F3/D3) +(ABS(H3)^2)</f>
        <v>1588.9142527075812</v>
      </c>
      <c r="J3">
        <f>I3-F3</f>
        <v>253.57025270758118</v>
      </c>
      <c r="L3" s="1" t="s">
        <v>40</v>
      </c>
    </row>
    <row r="4" spans="1:13" x14ac:dyDescent="0.25">
      <c r="A4">
        <v>2</v>
      </c>
      <c r="B4">
        <v>73.968000000000004</v>
      </c>
      <c r="C4">
        <v>66.207999999999998</v>
      </c>
      <c r="D4">
        <f t="shared" ref="D4:D20" si="0">CONVERT(13,"C","F")</f>
        <v>55.400000000000006</v>
      </c>
      <c r="E4">
        <v>1350.0350000000001</v>
      </c>
      <c r="F4">
        <v>1350.038</v>
      </c>
      <c r="H4" s="2">
        <f t="shared" ref="H4:H17" si="1">D4-C4</f>
        <v>-10.807999999999993</v>
      </c>
      <c r="I4">
        <f t="shared" ref="I4:I19" si="2">F4+(0.5*ABS(H4)*F4/D4) +(ABS(H4)^2)</f>
        <v>1598.5404912924184</v>
      </c>
      <c r="J4">
        <f>I4-F4</f>
        <v>248.50249129241843</v>
      </c>
      <c r="L4" t="s">
        <v>11</v>
      </c>
    </row>
    <row r="5" spans="1:13" x14ac:dyDescent="0.25">
      <c r="A5">
        <v>3</v>
      </c>
      <c r="B5">
        <v>73.707999999999998</v>
      </c>
      <c r="C5">
        <v>66.254000000000005</v>
      </c>
      <c r="D5">
        <f t="shared" si="0"/>
        <v>55.400000000000006</v>
      </c>
      <c r="E5">
        <v>1318.09</v>
      </c>
      <c r="F5">
        <v>1318.0940000000001</v>
      </c>
      <c r="H5">
        <f t="shared" si="1"/>
        <v>-10.853999999999999</v>
      </c>
      <c r="I5">
        <f t="shared" si="2"/>
        <v>1565.0241849169677</v>
      </c>
      <c r="J5" s="2">
        <f t="shared" ref="J5:J17" si="3">I5-F5</f>
        <v>246.93018491696762</v>
      </c>
      <c r="L5" t="s">
        <v>33</v>
      </c>
    </row>
    <row r="6" spans="1:13" x14ac:dyDescent="0.25">
      <c r="A6">
        <v>4</v>
      </c>
      <c r="B6">
        <v>73.28</v>
      </c>
      <c r="C6">
        <v>66.471000000000004</v>
      </c>
      <c r="D6">
        <f t="shared" si="0"/>
        <v>55.400000000000006</v>
      </c>
      <c r="E6">
        <v>1302.26</v>
      </c>
      <c r="F6">
        <v>1302.2650000000001</v>
      </c>
      <c r="H6">
        <f t="shared" si="1"/>
        <v>-11.070999999999998</v>
      </c>
      <c r="I6">
        <f t="shared" si="2"/>
        <v>1554.9527613519856</v>
      </c>
      <c r="J6">
        <f t="shared" si="3"/>
        <v>252.6877613519855</v>
      </c>
      <c r="L6" t="s">
        <v>38</v>
      </c>
    </row>
    <row r="7" spans="1:13" x14ac:dyDescent="0.25">
      <c r="A7">
        <v>5</v>
      </c>
      <c r="B7">
        <v>73.819999999999993</v>
      </c>
      <c r="C7">
        <v>66.516000000000005</v>
      </c>
      <c r="D7">
        <f t="shared" si="0"/>
        <v>55.400000000000006</v>
      </c>
      <c r="E7">
        <v>1288.1510000000001</v>
      </c>
      <c r="F7">
        <v>1288.1559999999999</v>
      </c>
      <c r="H7">
        <f t="shared" si="1"/>
        <v>-11.116</v>
      </c>
      <c r="I7">
        <f t="shared" si="2"/>
        <v>1540.9555904404331</v>
      </c>
      <c r="J7">
        <f t="shared" si="3"/>
        <v>252.79959044043312</v>
      </c>
      <c r="M7" t="s">
        <v>32</v>
      </c>
    </row>
    <row r="8" spans="1:13" x14ac:dyDescent="0.25">
      <c r="A8">
        <v>6</v>
      </c>
      <c r="B8" t="s">
        <v>6</v>
      </c>
      <c r="D8">
        <f t="shared" si="0"/>
        <v>55.400000000000006</v>
      </c>
      <c r="L8" t="s">
        <v>34</v>
      </c>
    </row>
    <row r="9" spans="1:13" x14ac:dyDescent="0.25">
      <c r="A9">
        <v>7</v>
      </c>
      <c r="B9" t="s">
        <v>6</v>
      </c>
      <c r="D9">
        <f t="shared" si="0"/>
        <v>55.400000000000006</v>
      </c>
      <c r="M9" t="s">
        <v>32</v>
      </c>
    </row>
    <row r="10" spans="1:13" x14ac:dyDescent="0.25">
      <c r="A10">
        <v>8</v>
      </c>
      <c r="B10" t="s">
        <v>6</v>
      </c>
      <c r="D10">
        <f t="shared" si="0"/>
        <v>55.400000000000006</v>
      </c>
      <c r="L10" t="s">
        <v>35</v>
      </c>
    </row>
    <row r="11" spans="1:13" x14ac:dyDescent="0.25">
      <c r="A11">
        <v>9</v>
      </c>
      <c r="B11">
        <v>73.546999999999997</v>
      </c>
      <c r="C11">
        <v>66.399000000000001</v>
      </c>
      <c r="D11">
        <f t="shared" si="0"/>
        <v>55.400000000000006</v>
      </c>
      <c r="E11">
        <v>1280.405</v>
      </c>
      <c r="F11">
        <v>1280.4100000000001</v>
      </c>
      <c r="H11">
        <f t="shared" ref="H11" si="4">D11-C11</f>
        <v>-10.998999999999995</v>
      </c>
      <c r="I11">
        <f t="shared" si="2"/>
        <v>1528.492961198556</v>
      </c>
      <c r="J11" s="3">
        <f t="shared" ref="J11" si="5">I11-F11</f>
        <v>248.08296119855595</v>
      </c>
      <c r="M11" t="s">
        <v>32</v>
      </c>
    </row>
    <row r="12" spans="1:13" x14ac:dyDescent="0.25">
      <c r="A12">
        <v>10</v>
      </c>
      <c r="B12" t="s">
        <v>6</v>
      </c>
      <c r="D12">
        <f t="shared" si="0"/>
        <v>55.400000000000006</v>
      </c>
      <c r="L12" t="s">
        <v>17</v>
      </c>
    </row>
    <row r="13" spans="1:13" x14ac:dyDescent="0.25">
      <c r="A13">
        <v>11</v>
      </c>
      <c r="B13">
        <v>74.241</v>
      </c>
      <c r="C13">
        <v>66.727000000000004</v>
      </c>
      <c r="D13">
        <f t="shared" si="0"/>
        <v>55.400000000000006</v>
      </c>
      <c r="E13">
        <v>1286.01</v>
      </c>
      <c r="F13">
        <v>1286.0150000000001</v>
      </c>
      <c r="H13">
        <f t="shared" si="1"/>
        <v>-11.326999999999998</v>
      </c>
      <c r="I13">
        <f t="shared" si="2"/>
        <v>1545.7842674927799</v>
      </c>
      <c r="J13">
        <f t="shared" si="3"/>
        <v>259.76926749277982</v>
      </c>
      <c r="L13" t="s">
        <v>26</v>
      </c>
    </row>
    <row r="14" spans="1:13" x14ac:dyDescent="0.25">
      <c r="A14">
        <v>12</v>
      </c>
      <c r="B14">
        <v>73.968000000000004</v>
      </c>
      <c r="C14">
        <v>66.716999999999999</v>
      </c>
      <c r="D14">
        <f t="shared" si="0"/>
        <v>55.400000000000006</v>
      </c>
      <c r="E14">
        <v>1277.175</v>
      </c>
      <c r="F14">
        <v>1277.181</v>
      </c>
      <c r="H14">
        <f t="shared" si="1"/>
        <v>-11.316999999999993</v>
      </c>
      <c r="I14">
        <f t="shared" si="2"/>
        <v>1535.7054653267146</v>
      </c>
      <c r="J14">
        <f t="shared" si="3"/>
        <v>258.52446532671456</v>
      </c>
      <c r="L14" t="s">
        <v>27</v>
      </c>
    </row>
    <row r="15" spans="1:13" x14ac:dyDescent="0.25">
      <c r="A15">
        <v>13</v>
      </c>
      <c r="B15" t="s">
        <v>6</v>
      </c>
      <c r="D15">
        <f t="shared" si="0"/>
        <v>55.400000000000006</v>
      </c>
      <c r="L15" t="s">
        <v>28</v>
      </c>
    </row>
    <row r="16" spans="1:13" x14ac:dyDescent="0.25">
      <c r="A16">
        <v>14</v>
      </c>
      <c r="B16">
        <v>73.819999999999993</v>
      </c>
      <c r="C16">
        <v>66.590999999999994</v>
      </c>
      <c r="D16">
        <f t="shared" si="0"/>
        <v>55.400000000000006</v>
      </c>
      <c r="E16">
        <v>1279.44</v>
      </c>
      <c r="F16">
        <v>1279.4449999999999</v>
      </c>
      <c r="H16">
        <f t="shared" ref="H16" si="6">D16-C16</f>
        <v>-11.190999999999988</v>
      </c>
      <c r="I16">
        <f t="shared" si="2"/>
        <v>1533.9097354675084</v>
      </c>
      <c r="J16">
        <f t="shared" ref="J16" si="7">I16-F16</f>
        <v>254.46473546750849</v>
      </c>
      <c r="L16" t="s">
        <v>29</v>
      </c>
    </row>
    <row r="17" spans="1:12" x14ac:dyDescent="0.25">
      <c r="A17">
        <v>15</v>
      </c>
      <c r="B17">
        <v>73.555999999999997</v>
      </c>
      <c r="C17">
        <v>66.492999999999995</v>
      </c>
      <c r="D17">
        <f t="shared" si="0"/>
        <v>55.400000000000006</v>
      </c>
      <c r="E17" s="2">
        <v>1274.751</v>
      </c>
      <c r="F17" s="2">
        <v>1274.7560000000001</v>
      </c>
      <c r="H17">
        <f t="shared" si="1"/>
        <v>-11.092999999999989</v>
      </c>
      <c r="I17" s="2">
        <f t="shared" si="2"/>
        <v>1525.4358142346566</v>
      </c>
      <c r="J17">
        <f t="shared" si="3"/>
        <v>250.67981423465653</v>
      </c>
      <c r="L17" t="s">
        <v>30</v>
      </c>
    </row>
    <row r="18" spans="1:12" x14ac:dyDescent="0.25">
      <c r="A18">
        <v>16</v>
      </c>
      <c r="B18" t="s">
        <v>6</v>
      </c>
      <c r="D18">
        <f t="shared" si="0"/>
        <v>55.400000000000006</v>
      </c>
      <c r="L18" t="s">
        <v>31</v>
      </c>
    </row>
    <row r="19" spans="1:12" x14ac:dyDescent="0.25">
      <c r="A19">
        <v>17</v>
      </c>
      <c r="B19">
        <v>74.150999999999996</v>
      </c>
      <c r="C19">
        <v>66.787999999999997</v>
      </c>
      <c r="D19">
        <f>CONVERT(13,"C","F")</f>
        <v>55.400000000000006</v>
      </c>
      <c r="E19">
        <v>1275.748</v>
      </c>
      <c r="F19">
        <v>1275.7539999999999</v>
      </c>
      <c r="H19">
        <f t="shared" ref="H19" si="8">D19-C19</f>
        <v>-11.387999999999991</v>
      </c>
      <c r="I19">
        <f t="shared" si="2"/>
        <v>1536.5622637833931</v>
      </c>
      <c r="J19">
        <f t="shared" ref="J19" si="9">I19-F19</f>
        <v>260.80826378339316</v>
      </c>
    </row>
    <row r="20" spans="1:12" x14ac:dyDescent="0.25">
      <c r="A20">
        <v>18</v>
      </c>
      <c r="B20" t="s">
        <v>6</v>
      </c>
      <c r="D20">
        <f t="shared" si="0"/>
        <v>55.400000000000006</v>
      </c>
    </row>
    <row r="22" spans="1:12" x14ac:dyDescent="0.25">
      <c r="E22">
        <f>MIN(E3:E20)</f>
        <v>1274.751</v>
      </c>
      <c r="F22">
        <f>MIN(F3:F20)</f>
        <v>1274.7560000000001</v>
      </c>
      <c r="H22">
        <f>MAX(H3:H20)</f>
        <v>-10.807999999999993</v>
      </c>
      <c r="I22">
        <f>MIN(I3:I20)</f>
        <v>1525.4358142346566</v>
      </c>
      <c r="J22">
        <f>MIN(J3:J20)</f>
        <v>246.93018491696762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6" sqref="A6"/>
    </sheetView>
  </sheetViews>
  <sheetFormatPr defaultRowHeight="15" x14ac:dyDescent="0.25"/>
  <sheetData>
    <row r="2" spans="1:4" x14ac:dyDescent="0.25">
      <c r="A2" t="s">
        <v>41</v>
      </c>
      <c r="D2" t="s">
        <v>43</v>
      </c>
    </row>
    <row r="3" spans="1:4" x14ac:dyDescent="0.25">
      <c r="A3" t="s">
        <v>42</v>
      </c>
      <c r="D3" t="s">
        <v>44</v>
      </c>
    </row>
    <row r="4" spans="1:4" x14ac:dyDescent="0.25">
      <c r="A4" t="s">
        <v>45</v>
      </c>
    </row>
    <row r="5" spans="1:4" x14ac:dyDescent="0.25">
      <c r="A5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abSelected="1" topLeftCell="E22" workbookViewId="0">
      <selection activeCell="V55" sqref="V55"/>
    </sheetView>
  </sheetViews>
  <sheetFormatPr defaultRowHeight="15" x14ac:dyDescent="0.25"/>
  <sheetData>
    <row r="1" spans="2:21" x14ac:dyDescent="0.25">
      <c r="B1" t="s">
        <v>51</v>
      </c>
      <c r="C1" t="s">
        <v>52</v>
      </c>
      <c r="D1" t="s">
        <v>52</v>
      </c>
      <c r="E1" t="s">
        <v>52</v>
      </c>
      <c r="F1" t="s">
        <v>52</v>
      </c>
      <c r="G1" t="s">
        <v>52</v>
      </c>
      <c r="H1" t="s">
        <v>52</v>
      </c>
      <c r="I1" t="s">
        <v>52</v>
      </c>
      <c r="J1" t="s">
        <v>53</v>
      </c>
      <c r="K1" t="s">
        <v>53</v>
      </c>
      <c r="L1" t="s">
        <v>53</v>
      </c>
      <c r="Q1" t="s">
        <v>63</v>
      </c>
      <c r="R1" t="s">
        <v>53</v>
      </c>
      <c r="S1" t="s">
        <v>53</v>
      </c>
      <c r="T1" t="s">
        <v>63</v>
      </c>
      <c r="U1" t="s">
        <v>67</v>
      </c>
    </row>
    <row r="2" spans="2:21" x14ac:dyDescent="0.25">
      <c r="B2" t="s">
        <v>47</v>
      </c>
      <c r="C2" t="s">
        <v>61</v>
      </c>
      <c r="D2" t="s">
        <v>62</v>
      </c>
      <c r="E2" t="s">
        <v>4</v>
      </c>
      <c r="F2" t="s">
        <v>1</v>
      </c>
      <c r="G2" t="s">
        <v>58</v>
      </c>
      <c r="H2" t="s">
        <v>59</v>
      </c>
      <c r="I2" t="s">
        <v>60</v>
      </c>
      <c r="J2" t="s">
        <v>48</v>
      </c>
      <c r="K2" t="s">
        <v>49</v>
      </c>
      <c r="L2" t="s">
        <v>50</v>
      </c>
      <c r="M2" t="s">
        <v>54</v>
      </c>
      <c r="N2" t="s">
        <v>55</v>
      </c>
      <c r="O2" t="s">
        <v>56</v>
      </c>
      <c r="P2" t="s">
        <v>57</v>
      </c>
      <c r="Q2" t="s">
        <v>57</v>
      </c>
      <c r="R2" t="s">
        <v>2</v>
      </c>
      <c r="S2" t="s">
        <v>3</v>
      </c>
      <c r="T2" t="s">
        <v>64</v>
      </c>
    </row>
    <row r="3" spans="2:21" x14ac:dyDescent="0.25">
      <c r="B3">
        <v>1</v>
      </c>
      <c r="C3">
        <v>48.875999999999998</v>
      </c>
      <c r="D3">
        <v>76.417000000000002</v>
      </c>
      <c r="E3">
        <v>77.195999999999998</v>
      </c>
      <c r="F3">
        <v>54.651000000000003</v>
      </c>
      <c r="G3">
        <v>69.8</v>
      </c>
      <c r="H3">
        <f>G3+25</f>
        <v>94.8</v>
      </c>
      <c r="I3">
        <f>G3-10</f>
        <v>59.8</v>
      </c>
      <c r="J3" s="4">
        <v>-7447.835</v>
      </c>
      <c r="K3">
        <f>23712.768*0.2927</f>
        <v>6940.7271936000006</v>
      </c>
      <c r="L3">
        <f>K3+J3</f>
        <v>-507.10780639999939</v>
      </c>
      <c r="M3">
        <v>0</v>
      </c>
      <c r="N3">
        <f t="shared" ref="N3:N15" si="0">R3</f>
        <v>1113.5940000000001</v>
      </c>
      <c r="O3">
        <f>0.9*((0))</f>
        <v>0</v>
      </c>
      <c r="P3">
        <f>0.01*ABS(L3)</f>
        <v>5.0710780639999937</v>
      </c>
      <c r="Q3">
        <f>4*(0.01*ABS(L3))^2</f>
        <v>102.86333092472769</v>
      </c>
      <c r="R3">
        <v>1113.5940000000001</v>
      </c>
      <c r="S3">
        <v>1127.6289999999999</v>
      </c>
      <c r="T3">
        <f>N3+M3+O3+Q3</f>
        <v>1216.4573309247278</v>
      </c>
    </row>
    <row r="4" spans="2:21" x14ac:dyDescent="0.25">
      <c r="B4">
        <v>2</v>
      </c>
      <c r="C4">
        <v>48.337000000000003</v>
      </c>
      <c r="D4">
        <v>76.843000000000004</v>
      </c>
      <c r="E4">
        <v>77.350999999999999</v>
      </c>
      <c r="F4">
        <v>54.247</v>
      </c>
      <c r="G4">
        <v>69.8</v>
      </c>
      <c r="H4">
        <f t="shared" ref="H4:H15" si="1">G4+25</f>
        <v>94.8</v>
      </c>
      <c r="I4">
        <f t="shared" ref="I4:I8" si="2">G4-10</f>
        <v>59.8</v>
      </c>
      <c r="J4" s="4">
        <v>-7447.835</v>
      </c>
      <c r="K4">
        <f>24311.434*0.2927</f>
        <v>7115.9567318000009</v>
      </c>
      <c r="L4">
        <f t="shared" ref="L4:L8" si="3">K4+J4</f>
        <v>-331.87826819999918</v>
      </c>
      <c r="M4">
        <v>0</v>
      </c>
      <c r="N4">
        <f t="shared" si="0"/>
        <v>1127.8420000000001</v>
      </c>
      <c r="P4">
        <f>0.01*ABS(L4)</f>
        <v>3.3187826819999917</v>
      </c>
      <c r="Q4">
        <f t="shared" ref="Q4:Q15" si="4">4*(0.01*ABS(L4))^2</f>
        <v>44.057273961372232</v>
      </c>
      <c r="R4">
        <v>1127.8420000000001</v>
      </c>
      <c r="S4">
        <v>1139.03</v>
      </c>
      <c r="T4">
        <f t="shared" ref="T4:T15" si="5">N4+M4+O4+Q4</f>
        <v>1171.8992739613723</v>
      </c>
    </row>
    <row r="5" spans="2:21" x14ac:dyDescent="0.25">
      <c r="B5">
        <v>3</v>
      </c>
      <c r="C5">
        <v>48.753</v>
      </c>
      <c r="D5">
        <v>76.622</v>
      </c>
      <c r="E5">
        <v>76.802000000000007</v>
      </c>
      <c r="F5">
        <v>54.537999999999997</v>
      </c>
      <c r="G5">
        <v>69.8</v>
      </c>
      <c r="H5">
        <f t="shared" si="1"/>
        <v>94.8</v>
      </c>
      <c r="I5">
        <f t="shared" si="2"/>
        <v>59.8</v>
      </c>
      <c r="J5" s="4">
        <v>-7447.835</v>
      </c>
      <c r="K5">
        <f>23418.539*0.2927</f>
        <v>6854.606365300001</v>
      </c>
      <c r="L5">
        <f t="shared" si="3"/>
        <v>-593.22863469999902</v>
      </c>
      <c r="M5">
        <v>0</v>
      </c>
      <c r="N5">
        <f t="shared" si="0"/>
        <v>1101.6079999999999</v>
      </c>
      <c r="P5">
        <f t="shared" ref="P5:P15" si="6">0.01*ABS(L5)</f>
        <v>5.93228634699999</v>
      </c>
      <c r="Q5">
        <f t="shared" si="4"/>
        <v>140.76808521120995</v>
      </c>
      <c r="R5">
        <v>1101.6079999999999</v>
      </c>
      <c r="S5">
        <v>1116.6300000000001</v>
      </c>
      <c r="T5">
        <f t="shared" si="5"/>
        <v>1242.37608521121</v>
      </c>
    </row>
    <row r="6" spans="2:21" x14ac:dyDescent="0.25">
      <c r="B6">
        <v>4</v>
      </c>
      <c r="C6">
        <v>48.929000000000002</v>
      </c>
      <c r="D6">
        <v>72.432000000000002</v>
      </c>
      <c r="E6">
        <v>77.646000000000001</v>
      </c>
      <c r="F6">
        <v>54.942999999999998</v>
      </c>
      <c r="G6">
        <v>69.8</v>
      </c>
      <c r="H6">
        <f t="shared" si="1"/>
        <v>94.8</v>
      </c>
      <c r="I6">
        <f t="shared" si="2"/>
        <v>59.8</v>
      </c>
      <c r="J6" s="4">
        <v>-7447.835</v>
      </c>
      <c r="K6">
        <f>23882.109*0.2927</f>
        <v>6990.2933043000003</v>
      </c>
      <c r="L6">
        <f t="shared" si="3"/>
        <v>-457.54169569999976</v>
      </c>
      <c r="M6">
        <v>0</v>
      </c>
      <c r="N6">
        <f t="shared" si="0"/>
        <v>1092.173</v>
      </c>
      <c r="P6">
        <f t="shared" si="6"/>
        <v>4.5754169569999981</v>
      </c>
      <c r="Q6">
        <f t="shared" si="4"/>
        <v>83.737761321612481</v>
      </c>
      <c r="R6">
        <v>1092.173</v>
      </c>
      <c r="S6">
        <v>1104.655</v>
      </c>
      <c r="T6">
        <f t="shared" si="5"/>
        <v>1175.9107613216124</v>
      </c>
    </row>
    <row r="7" spans="2:21" x14ac:dyDescent="0.25">
      <c r="B7">
        <v>5</v>
      </c>
      <c r="C7">
        <v>48.881</v>
      </c>
      <c r="D7">
        <v>72.222999999999999</v>
      </c>
      <c r="E7">
        <v>77.040999999999997</v>
      </c>
      <c r="F7">
        <v>54.792999999999999</v>
      </c>
      <c r="G7">
        <v>69.8</v>
      </c>
      <c r="H7">
        <f t="shared" si="1"/>
        <v>94.8</v>
      </c>
      <c r="I7">
        <f t="shared" si="2"/>
        <v>59.8</v>
      </c>
      <c r="J7" s="4">
        <v>-7447.835</v>
      </c>
      <c r="K7">
        <f>23393.656*0.2927</f>
        <v>6847.3231112000003</v>
      </c>
      <c r="L7">
        <f t="shared" si="3"/>
        <v>-600.51188879999972</v>
      </c>
      <c r="M7">
        <v>0</v>
      </c>
      <c r="N7">
        <f t="shared" si="0"/>
        <v>1080.5160000000001</v>
      </c>
      <c r="P7">
        <f t="shared" si="6"/>
        <v>6.0051188879999975</v>
      </c>
      <c r="Q7">
        <f t="shared" si="4"/>
        <v>144.24581143605729</v>
      </c>
      <c r="R7">
        <v>1080.5160000000001</v>
      </c>
      <c r="S7">
        <v>1094.412</v>
      </c>
      <c r="T7">
        <f t="shared" si="5"/>
        <v>1224.7618114360573</v>
      </c>
    </row>
    <row r="8" spans="2:21" x14ac:dyDescent="0.25">
      <c r="B8">
        <v>6</v>
      </c>
      <c r="C8">
        <v>49.704000000000001</v>
      </c>
      <c r="D8">
        <v>76.198999999999998</v>
      </c>
      <c r="E8">
        <v>76.435000000000002</v>
      </c>
      <c r="F8">
        <v>55.497999999999998</v>
      </c>
      <c r="G8">
        <v>69.8</v>
      </c>
      <c r="H8">
        <f t="shared" si="1"/>
        <v>94.8</v>
      </c>
      <c r="I8">
        <f t="shared" si="2"/>
        <v>59.8</v>
      </c>
      <c r="J8" s="4">
        <v>-7447.835</v>
      </c>
      <c r="K8">
        <f>22025.678*0.2927</f>
        <v>6446.9159506000005</v>
      </c>
      <c r="L8">
        <f t="shared" si="3"/>
        <v>-1000.9190493999995</v>
      </c>
      <c r="M8">
        <v>0</v>
      </c>
      <c r="N8">
        <f t="shared" si="0"/>
        <v>1049.914</v>
      </c>
      <c r="P8">
        <f t="shared" si="6"/>
        <v>10.009190493999995</v>
      </c>
      <c r="Q8">
        <f t="shared" si="4"/>
        <v>400.73557738071946</v>
      </c>
      <c r="R8">
        <v>1049.914</v>
      </c>
      <c r="S8">
        <v>1071.5940000000001</v>
      </c>
      <c r="T8">
        <f t="shared" si="5"/>
        <v>1450.6495773807194</v>
      </c>
    </row>
    <row r="9" spans="2:21" x14ac:dyDescent="0.25">
      <c r="B9">
        <v>7</v>
      </c>
      <c r="C9">
        <v>49.807000000000002</v>
      </c>
      <c r="D9">
        <v>73.938000000000002</v>
      </c>
      <c r="E9">
        <v>77.195999999999998</v>
      </c>
      <c r="F9">
        <v>55.773000000000003</v>
      </c>
      <c r="G9">
        <v>69.8</v>
      </c>
      <c r="H9">
        <f t="shared" si="1"/>
        <v>94.8</v>
      </c>
      <c r="I9">
        <f t="shared" ref="I9:I15" si="7">G9-10</f>
        <v>59.8</v>
      </c>
      <c r="J9" s="4">
        <v>-7447.835</v>
      </c>
      <c r="K9">
        <f>22541.828*0.2927</f>
        <v>6597.9930556000008</v>
      </c>
      <c r="L9">
        <f t="shared" ref="L9:L15" si="8">K9+J9</f>
        <v>-849.84194439999919</v>
      </c>
      <c r="M9">
        <v>0</v>
      </c>
      <c r="N9">
        <f t="shared" si="0"/>
        <v>1041.3969999999999</v>
      </c>
      <c r="P9">
        <f t="shared" si="6"/>
        <v>8.4984194439999925</v>
      </c>
      <c r="Q9">
        <f t="shared" si="4"/>
        <v>288.89253218462858</v>
      </c>
      <c r="R9">
        <v>1041.3969999999999</v>
      </c>
      <c r="S9">
        <v>1059.7560000000001</v>
      </c>
      <c r="T9">
        <f t="shared" si="5"/>
        <v>1330.2895321846286</v>
      </c>
    </row>
    <row r="10" spans="2:21" x14ac:dyDescent="0.25">
      <c r="B10">
        <v>8</v>
      </c>
      <c r="C10">
        <v>50.481999999999999</v>
      </c>
      <c r="D10">
        <v>72.149000000000001</v>
      </c>
      <c r="E10">
        <v>77.350999999999999</v>
      </c>
      <c r="F10">
        <v>56.557000000000002</v>
      </c>
      <c r="G10">
        <v>69.8</v>
      </c>
      <c r="H10">
        <f t="shared" si="1"/>
        <v>94.8</v>
      </c>
      <c r="I10">
        <f t="shared" si="7"/>
        <v>59.8</v>
      </c>
      <c r="J10" s="4">
        <v>-7447.835</v>
      </c>
      <c r="K10">
        <f>21893.387*0.2927</f>
        <v>6408.1943749000002</v>
      </c>
      <c r="L10">
        <f t="shared" si="8"/>
        <v>-1039.6406250999999</v>
      </c>
      <c r="M10">
        <v>0</v>
      </c>
      <c r="N10">
        <f t="shared" si="0"/>
        <v>1004.845</v>
      </c>
      <c r="P10">
        <f t="shared" si="6"/>
        <v>10.396406250999998</v>
      </c>
      <c r="Q10">
        <f t="shared" si="4"/>
        <v>432.34105174332734</v>
      </c>
      <c r="R10">
        <v>1004.845</v>
      </c>
      <c r="S10">
        <v>1026.0219999999999</v>
      </c>
      <c r="T10">
        <f t="shared" si="5"/>
        <v>1437.1860517433274</v>
      </c>
    </row>
    <row r="11" spans="2:21" x14ac:dyDescent="0.25">
      <c r="B11">
        <v>9</v>
      </c>
      <c r="C11">
        <v>50.823999999999998</v>
      </c>
      <c r="D11">
        <v>73.272999999999996</v>
      </c>
      <c r="E11">
        <v>77.350999999999999</v>
      </c>
      <c r="F11">
        <v>56.874000000000002</v>
      </c>
      <c r="G11">
        <v>69.8</v>
      </c>
      <c r="H11">
        <f t="shared" si="1"/>
        <v>94.8</v>
      </c>
      <c r="I11">
        <f t="shared" si="7"/>
        <v>59.8</v>
      </c>
      <c r="J11" s="4">
        <v>-7447.835</v>
      </c>
      <c r="K11">
        <f>21562.254*0.2927</f>
        <v>6311.2717458000006</v>
      </c>
      <c r="L11">
        <f t="shared" si="8"/>
        <v>-1136.5632541999994</v>
      </c>
      <c r="M11">
        <v>0</v>
      </c>
      <c r="N11">
        <f t="shared" si="0"/>
        <v>992.06899999999996</v>
      </c>
      <c r="P11">
        <f t="shared" si="6"/>
        <v>11.365632541999995</v>
      </c>
      <c r="Q11">
        <f t="shared" si="4"/>
        <v>516.71041231907702</v>
      </c>
      <c r="R11">
        <v>992.06899999999996</v>
      </c>
      <c r="S11" s="5">
        <v>1014.867</v>
      </c>
      <c r="T11">
        <f t="shared" si="5"/>
        <v>1508.779412319077</v>
      </c>
    </row>
    <row r="12" spans="2:21" x14ac:dyDescent="0.25">
      <c r="B12">
        <v>10</v>
      </c>
      <c r="C12">
        <v>59.789000000000001</v>
      </c>
      <c r="D12">
        <v>73.338999999999999</v>
      </c>
      <c r="E12">
        <v>77.350999999999999</v>
      </c>
      <c r="F12">
        <v>56.738</v>
      </c>
      <c r="G12">
        <v>69.8</v>
      </c>
      <c r="H12">
        <f t="shared" si="1"/>
        <v>94.8</v>
      </c>
      <c r="I12">
        <f t="shared" si="7"/>
        <v>59.8</v>
      </c>
      <c r="J12" s="4">
        <v>-7447.835</v>
      </c>
      <c r="K12">
        <f>21703.508*0.2927</f>
        <v>6352.6167916000004</v>
      </c>
      <c r="L12">
        <f t="shared" si="8"/>
        <v>-1095.2182083999996</v>
      </c>
      <c r="M12">
        <v>0</v>
      </c>
      <c r="N12">
        <f t="shared" si="0"/>
        <v>998.22199999999998</v>
      </c>
      <c r="P12">
        <f t="shared" si="6"/>
        <v>10.952182083999997</v>
      </c>
      <c r="Q12">
        <f t="shared" si="4"/>
        <v>479.80116960436203</v>
      </c>
      <c r="R12">
        <v>998.22199999999998</v>
      </c>
      <c r="S12">
        <v>1020.402</v>
      </c>
      <c r="T12">
        <f t="shared" si="5"/>
        <v>1478.023169604362</v>
      </c>
    </row>
    <row r="13" spans="2:21" x14ac:dyDescent="0.25">
      <c r="B13">
        <v>11</v>
      </c>
      <c r="C13">
        <v>50.713999999999999</v>
      </c>
      <c r="D13">
        <v>73.311000000000007</v>
      </c>
      <c r="E13">
        <v>77.195999999999998</v>
      </c>
      <c r="F13">
        <v>56.722999999999999</v>
      </c>
      <c r="G13">
        <v>69.8</v>
      </c>
      <c r="H13">
        <f t="shared" si="1"/>
        <v>94.8</v>
      </c>
      <c r="I13">
        <f t="shared" si="7"/>
        <v>59.8</v>
      </c>
      <c r="J13" s="4">
        <v>-7447.835</v>
      </c>
      <c r="K13">
        <f>21543.574*0.2927</f>
        <v>6305.8041098000003</v>
      </c>
      <c r="L13">
        <f t="shared" si="8"/>
        <v>-1142.0308901999997</v>
      </c>
      <c r="M13">
        <v>0</v>
      </c>
      <c r="N13">
        <f t="shared" si="0"/>
        <v>995.14099999999996</v>
      </c>
      <c r="P13">
        <f t="shared" si="6"/>
        <v>11.420308901999997</v>
      </c>
      <c r="Q13">
        <f t="shared" si="4"/>
        <v>521.69382166840148</v>
      </c>
      <c r="R13">
        <v>995.14099999999996</v>
      </c>
      <c r="S13">
        <v>1017.91</v>
      </c>
      <c r="T13">
        <f t="shared" si="5"/>
        <v>1516.8348216684014</v>
      </c>
    </row>
    <row r="14" spans="2:21" x14ac:dyDescent="0.25">
      <c r="B14">
        <v>12</v>
      </c>
      <c r="C14">
        <v>50.667999999999999</v>
      </c>
      <c r="D14">
        <v>76.106999999999999</v>
      </c>
      <c r="E14">
        <v>77.195999999999998</v>
      </c>
      <c r="F14">
        <v>58.158000000000001</v>
      </c>
      <c r="G14">
        <v>69.8</v>
      </c>
      <c r="H14">
        <f t="shared" si="1"/>
        <v>94.8</v>
      </c>
      <c r="I14">
        <f t="shared" si="7"/>
        <v>59.8</v>
      </c>
      <c r="J14" s="4">
        <v>-7447.835</v>
      </c>
      <c r="K14">
        <f>21184.234*0.2927</f>
        <v>6200.6252918</v>
      </c>
      <c r="L14">
        <f t="shared" si="8"/>
        <v>-1247.2097082</v>
      </c>
      <c r="M14">
        <v>0</v>
      </c>
      <c r="N14">
        <f t="shared" si="0"/>
        <v>992.24199999999996</v>
      </c>
      <c r="P14">
        <f t="shared" si="6"/>
        <v>12.472097082000001</v>
      </c>
      <c r="Q14">
        <f t="shared" si="4"/>
        <v>622.21282249133174</v>
      </c>
      <c r="R14">
        <v>992.24199999999996</v>
      </c>
      <c r="S14">
        <v>1016.989</v>
      </c>
      <c r="T14">
        <f t="shared" si="5"/>
        <v>1614.4548224913317</v>
      </c>
    </row>
    <row r="15" spans="2:21" x14ac:dyDescent="0.25">
      <c r="B15">
        <v>13</v>
      </c>
      <c r="C15">
        <v>50.746000000000002</v>
      </c>
      <c r="D15">
        <v>72.555999999999997</v>
      </c>
      <c r="E15">
        <v>77.350999999999999</v>
      </c>
      <c r="F15">
        <v>56.811</v>
      </c>
      <c r="G15">
        <v>69.8</v>
      </c>
      <c r="H15">
        <f t="shared" si="1"/>
        <v>94.8</v>
      </c>
      <c r="I15">
        <f t="shared" si="7"/>
        <v>59.8</v>
      </c>
      <c r="J15" s="4">
        <v>-7447.835</v>
      </c>
      <c r="K15">
        <f>21628.045*0.2927</f>
        <v>6330.5287714999995</v>
      </c>
      <c r="L15">
        <f t="shared" si="8"/>
        <v>-1117.3062285000005</v>
      </c>
      <c r="M15">
        <v>0</v>
      </c>
      <c r="N15">
        <f t="shared" si="0"/>
        <v>993.101</v>
      </c>
      <c r="P15">
        <f t="shared" si="6"/>
        <v>11.173062285000006</v>
      </c>
      <c r="Q15">
        <f t="shared" si="4"/>
        <v>499.34928329795821</v>
      </c>
      <c r="R15">
        <v>993.101</v>
      </c>
      <c r="S15">
        <v>1015.546</v>
      </c>
      <c r="T15">
        <f t="shared" si="5"/>
        <v>1492.4502832979583</v>
      </c>
    </row>
    <row r="17" spans="1:20" x14ac:dyDescent="0.25">
      <c r="A17" t="s">
        <v>68</v>
      </c>
      <c r="Q17" t="s">
        <v>63</v>
      </c>
      <c r="T17" t="s">
        <v>63</v>
      </c>
    </row>
    <row r="18" spans="1:20" x14ac:dyDescent="0.25">
      <c r="B18" t="s">
        <v>47</v>
      </c>
      <c r="C18" t="s">
        <v>61</v>
      </c>
      <c r="D18" t="s">
        <v>62</v>
      </c>
      <c r="E18" t="s">
        <v>4</v>
      </c>
      <c r="F18" t="s">
        <v>1</v>
      </c>
      <c r="G18" t="s">
        <v>58</v>
      </c>
      <c r="H18" t="s">
        <v>59</v>
      </c>
      <c r="I18" t="s">
        <v>60</v>
      </c>
      <c r="J18" t="s">
        <v>48</v>
      </c>
      <c r="K18" t="s">
        <v>49</v>
      </c>
      <c r="L18" t="s">
        <v>50</v>
      </c>
      <c r="M18" t="s">
        <v>54</v>
      </c>
      <c r="N18" t="s">
        <v>55</v>
      </c>
      <c r="O18" t="s">
        <v>56</v>
      </c>
      <c r="P18" t="s">
        <v>57</v>
      </c>
      <c r="Q18" t="s">
        <v>57</v>
      </c>
      <c r="R18" t="s">
        <v>2</v>
      </c>
      <c r="S18" t="s">
        <v>3</v>
      </c>
      <c r="T18" t="s">
        <v>64</v>
      </c>
    </row>
    <row r="19" spans="1:20" x14ac:dyDescent="0.25">
      <c r="B19" s="6">
        <v>1</v>
      </c>
      <c r="C19">
        <v>48.875999999999998</v>
      </c>
      <c r="D19">
        <v>76.417000000000002</v>
      </c>
      <c r="E19">
        <v>77.195999999999998</v>
      </c>
      <c r="F19">
        <v>54.651000000000003</v>
      </c>
      <c r="G19">
        <v>69.8</v>
      </c>
      <c r="H19">
        <f>G19+25</f>
        <v>94.8</v>
      </c>
      <c r="I19">
        <f>G19-10</f>
        <v>59.8</v>
      </c>
      <c r="J19" s="4">
        <v>-7447.835</v>
      </c>
      <c r="K19">
        <f>23712.768*0.2927</f>
        <v>6940.7271936000006</v>
      </c>
      <c r="L19">
        <f>K19+J19</f>
        <v>-507.10780639999939</v>
      </c>
      <c r="M19">
        <v>0</v>
      </c>
      <c r="N19">
        <f t="shared" ref="N19:N31" si="9">R19</f>
        <v>1113.5940000000001</v>
      </c>
      <c r="O19">
        <f>0.9*((0))</f>
        <v>0</v>
      </c>
      <c r="P19">
        <f>0.01*ABS(L19)</f>
        <v>5.0710780639999937</v>
      </c>
      <c r="Q19">
        <f>4*(0.01*ABS(L19))^2</f>
        <v>102.86333092472769</v>
      </c>
      <c r="R19">
        <v>1113.5940000000001</v>
      </c>
      <c r="S19">
        <v>1225.422</v>
      </c>
      <c r="T19">
        <f>N19+M19+O19+Q19</f>
        <v>1216.4573309247278</v>
      </c>
    </row>
    <row r="20" spans="1:20" x14ac:dyDescent="0.25">
      <c r="B20" s="6">
        <v>2</v>
      </c>
      <c r="C20">
        <v>48.337000000000003</v>
      </c>
      <c r="D20">
        <v>76.843000000000004</v>
      </c>
      <c r="E20">
        <v>77.350999999999999</v>
      </c>
      <c r="F20">
        <v>54.247</v>
      </c>
      <c r="G20">
        <v>69.8</v>
      </c>
      <c r="H20">
        <f t="shared" ref="H20:H31" si="10">G20+25</f>
        <v>94.8</v>
      </c>
      <c r="I20">
        <f t="shared" ref="I20:I31" si="11">G20-10</f>
        <v>59.8</v>
      </c>
      <c r="J20" s="4">
        <v>-7447.835</v>
      </c>
      <c r="K20">
        <f>24311.434*0.2927</f>
        <v>7115.9567318000009</v>
      </c>
      <c r="L20">
        <f t="shared" ref="L20:L31" si="12">K20+J20</f>
        <v>-331.87826819999918</v>
      </c>
      <c r="M20">
        <v>0</v>
      </c>
      <c r="N20">
        <f t="shared" si="9"/>
        <v>1127.8420000000001</v>
      </c>
      <c r="P20">
        <f>0.01*ABS(L20)</f>
        <v>3.3187826819999917</v>
      </c>
      <c r="Q20">
        <f t="shared" ref="Q20:Q31" si="13">4*(0.01*ABS(L20))^2</f>
        <v>44.057273961372232</v>
      </c>
      <c r="R20">
        <v>1127.8420000000001</v>
      </c>
      <c r="S20">
        <v>1179.769</v>
      </c>
      <c r="T20">
        <f t="shared" ref="T19:T34" si="14">N20+M20+O20+Q20</f>
        <v>1171.8992739613723</v>
      </c>
    </row>
    <row r="21" spans="1:20" x14ac:dyDescent="0.25">
      <c r="B21" s="6">
        <v>3</v>
      </c>
      <c r="C21">
        <v>47.924999999999997</v>
      </c>
      <c r="D21">
        <v>76.840999999999994</v>
      </c>
      <c r="E21">
        <v>76.762</v>
      </c>
      <c r="F21">
        <v>53.706000000000003</v>
      </c>
      <c r="G21">
        <v>69.8</v>
      </c>
      <c r="H21">
        <f t="shared" si="10"/>
        <v>94.8</v>
      </c>
      <c r="I21">
        <f t="shared" si="11"/>
        <v>59.8</v>
      </c>
      <c r="J21" s="4">
        <v>-7447.835</v>
      </c>
      <c r="K21">
        <f>24247.176*0.2927</f>
        <v>7097.1484152000003</v>
      </c>
      <c r="L21">
        <f t="shared" si="12"/>
        <v>-350.68658479999976</v>
      </c>
      <c r="M21">
        <v>0</v>
      </c>
      <c r="N21">
        <f t="shared" si="9"/>
        <v>1139.8009999999999</v>
      </c>
      <c r="P21">
        <f t="shared" ref="P21:P31" si="15">0.01*ABS(L21)</f>
        <v>3.5068658479999977</v>
      </c>
      <c r="Q21">
        <f t="shared" si="13"/>
        <v>49.192432303474973</v>
      </c>
      <c r="R21">
        <v>1139.8009999999999</v>
      </c>
      <c r="S21">
        <v>1196.874</v>
      </c>
      <c r="T21">
        <f t="shared" si="14"/>
        <v>1188.9934323034749</v>
      </c>
    </row>
    <row r="22" spans="1:20" x14ac:dyDescent="0.25">
      <c r="B22" s="6">
        <v>4</v>
      </c>
      <c r="C22">
        <v>47.676000000000002</v>
      </c>
      <c r="D22">
        <v>72.421000000000006</v>
      </c>
      <c r="E22">
        <v>77.644000000000005</v>
      </c>
      <c r="F22">
        <v>53.643999999999998</v>
      </c>
      <c r="G22">
        <v>69.8</v>
      </c>
      <c r="H22">
        <f t="shared" si="10"/>
        <v>94.8</v>
      </c>
      <c r="I22">
        <f t="shared" si="11"/>
        <v>59.8</v>
      </c>
      <c r="J22" s="4">
        <v>-7447.835</v>
      </c>
      <c r="K22">
        <f>25238.832*0.2927</f>
        <v>7387.4061264000002</v>
      </c>
      <c r="L22">
        <f t="shared" si="12"/>
        <v>-60.428873599999861</v>
      </c>
      <c r="M22">
        <v>0</v>
      </c>
      <c r="N22">
        <f t="shared" si="9"/>
        <v>1156.42</v>
      </c>
      <c r="P22">
        <f t="shared" si="15"/>
        <v>0.60428873599999866</v>
      </c>
      <c r="Q22">
        <f t="shared" si="13"/>
        <v>1.4606595058259042</v>
      </c>
      <c r="R22">
        <v>1156.42</v>
      </c>
      <c r="S22">
        <v>1163.7650000000001</v>
      </c>
      <c r="T22">
        <f t="shared" si="14"/>
        <v>1157.8806595058261</v>
      </c>
    </row>
    <row r="23" spans="1:20" x14ac:dyDescent="0.25">
      <c r="B23" s="6">
        <v>5</v>
      </c>
      <c r="C23">
        <v>47.298000000000002</v>
      </c>
      <c r="D23">
        <v>76.927999999999997</v>
      </c>
      <c r="E23">
        <v>76.641000000000005</v>
      </c>
      <c r="F23">
        <v>53.021999999999998</v>
      </c>
      <c r="G23">
        <v>69.8</v>
      </c>
      <c r="H23">
        <f t="shared" si="10"/>
        <v>94.8</v>
      </c>
      <c r="I23">
        <f t="shared" si="11"/>
        <v>59.8</v>
      </c>
      <c r="J23" s="4">
        <v>-7447.835</v>
      </c>
      <c r="K23">
        <f>24836.045*0.2927</f>
        <v>7269.5103714999996</v>
      </c>
      <c r="L23">
        <f t="shared" si="12"/>
        <v>-178.32462850000047</v>
      </c>
      <c r="M23">
        <v>0</v>
      </c>
      <c r="N23">
        <f t="shared" si="9"/>
        <v>1176.806</v>
      </c>
      <c r="P23">
        <f t="shared" si="15"/>
        <v>1.7832462850000048</v>
      </c>
      <c r="Q23">
        <f t="shared" si="13"/>
        <v>12.719869251865273</v>
      </c>
      <c r="R23">
        <v>1176.806</v>
      </c>
      <c r="S23">
        <v>1196.9490000000001</v>
      </c>
      <c r="T23">
        <f t="shared" si="14"/>
        <v>1189.5258692518653</v>
      </c>
    </row>
    <row r="24" spans="1:20" x14ac:dyDescent="0.25">
      <c r="B24" s="6">
        <v>6</v>
      </c>
      <c r="C24">
        <v>47.119</v>
      </c>
      <c r="D24">
        <v>76.938000000000002</v>
      </c>
      <c r="E24">
        <v>76.594999999999999</v>
      </c>
      <c r="F24">
        <v>52.816000000000003</v>
      </c>
      <c r="G24">
        <v>69.8</v>
      </c>
      <c r="H24">
        <f t="shared" si="10"/>
        <v>94.8</v>
      </c>
      <c r="I24">
        <f t="shared" si="11"/>
        <v>59.8</v>
      </c>
      <c r="J24" s="4">
        <v>-7447.835</v>
      </c>
      <c r="K24">
        <f>25001.984*0.2927</f>
        <v>7318.0807168000001</v>
      </c>
      <c r="L24">
        <f t="shared" si="12"/>
        <v>-129.75428319999992</v>
      </c>
      <c r="M24">
        <v>0</v>
      </c>
      <c r="N24">
        <f t="shared" si="9"/>
        <v>1188.989</v>
      </c>
      <c r="P24">
        <f t="shared" si="15"/>
        <v>1.2975428319999993</v>
      </c>
      <c r="Q24">
        <f t="shared" si="13"/>
        <v>6.7344696034983134</v>
      </c>
      <c r="R24">
        <v>1188.989</v>
      </c>
      <c r="S24">
        <v>1203.095</v>
      </c>
      <c r="T24">
        <f t="shared" si="14"/>
        <v>1195.7234696034984</v>
      </c>
    </row>
    <row r="25" spans="1:20" x14ac:dyDescent="0.25">
      <c r="B25" s="6">
        <v>7</v>
      </c>
      <c r="C25">
        <v>47.253</v>
      </c>
      <c r="D25">
        <v>72.947999999999993</v>
      </c>
      <c r="E25">
        <v>77.350999999999999</v>
      </c>
      <c r="F25">
        <v>53.213000000000001</v>
      </c>
      <c r="G25">
        <v>69.8</v>
      </c>
      <c r="H25">
        <f t="shared" si="10"/>
        <v>94.8</v>
      </c>
      <c r="I25">
        <f t="shared" si="11"/>
        <v>59.8</v>
      </c>
      <c r="J25" s="4">
        <v>-7447.835</v>
      </c>
      <c r="K25">
        <f>25392.752*0.2927</f>
        <v>7432.4585104000007</v>
      </c>
      <c r="L25">
        <f t="shared" si="12"/>
        <v>-15.376489599999331</v>
      </c>
      <c r="M25">
        <v>0</v>
      </c>
      <c r="N25">
        <f t="shared" si="9"/>
        <v>1168.1020000000001</v>
      </c>
      <c r="P25">
        <f t="shared" si="15"/>
        <v>0.15376489599999332</v>
      </c>
      <c r="Q25">
        <f t="shared" si="13"/>
        <v>9.4574572967555046E-2</v>
      </c>
      <c r="R25">
        <v>1168.1020000000001</v>
      </c>
      <c r="S25">
        <v>1174.2429999999999</v>
      </c>
      <c r="T25">
        <f t="shared" si="14"/>
        <v>1168.1965745729676</v>
      </c>
    </row>
    <row r="26" spans="1:20" x14ac:dyDescent="0.25">
      <c r="B26" s="6">
        <v>8</v>
      </c>
      <c r="G26">
        <v>69.8</v>
      </c>
      <c r="H26">
        <f t="shared" si="10"/>
        <v>94.8</v>
      </c>
      <c r="I26">
        <f t="shared" si="11"/>
        <v>59.8</v>
      </c>
      <c r="J26" s="4">
        <v>-7447.835</v>
      </c>
      <c r="K26" t="s">
        <v>65</v>
      </c>
      <c r="L26" t="s">
        <v>65</v>
      </c>
      <c r="M26">
        <v>0</v>
      </c>
      <c r="N26">
        <f t="shared" si="9"/>
        <v>0</v>
      </c>
      <c r="S26">
        <v>9999</v>
      </c>
      <c r="T26">
        <f>N26+M26+O26+Q26</f>
        <v>0</v>
      </c>
    </row>
    <row r="27" spans="1:20" x14ac:dyDescent="0.25">
      <c r="B27" s="6">
        <v>9</v>
      </c>
      <c r="C27">
        <v>47.322000000000003</v>
      </c>
      <c r="D27">
        <v>73.072000000000003</v>
      </c>
      <c r="E27">
        <v>77.040999999999997</v>
      </c>
      <c r="F27">
        <v>53.177999999999997</v>
      </c>
      <c r="G27">
        <v>69.8</v>
      </c>
      <c r="H27">
        <f t="shared" si="10"/>
        <v>94.8</v>
      </c>
      <c r="I27">
        <f t="shared" si="11"/>
        <v>59.8</v>
      </c>
      <c r="J27" s="4">
        <v>-7447.835</v>
      </c>
      <c r="K27">
        <f>25082.965*0.2927</f>
        <v>7341.7838555000008</v>
      </c>
      <c r="L27">
        <f t="shared" si="12"/>
        <v>-106.05114449999928</v>
      </c>
      <c r="M27">
        <v>0</v>
      </c>
      <c r="N27">
        <f t="shared" si="9"/>
        <v>1161.5940000000001</v>
      </c>
      <c r="P27">
        <f t="shared" si="15"/>
        <v>1.0605114449999928</v>
      </c>
      <c r="Q27">
        <f t="shared" si="13"/>
        <v>4.4987380999038917</v>
      </c>
      <c r="R27">
        <v>1161.5940000000001</v>
      </c>
      <c r="S27" s="3">
        <v>1172.3420000000001</v>
      </c>
      <c r="T27">
        <f t="shared" si="14"/>
        <v>1166.092738099904</v>
      </c>
    </row>
    <row r="28" spans="1:20" x14ac:dyDescent="0.25">
      <c r="B28" s="6">
        <v>10</v>
      </c>
      <c r="C28">
        <v>47.595999999999997</v>
      </c>
      <c r="D28">
        <v>72.393000000000001</v>
      </c>
      <c r="E28">
        <v>77.350999999999999</v>
      </c>
      <c r="F28">
        <v>53.534999999999997</v>
      </c>
      <c r="G28">
        <v>69.8</v>
      </c>
      <c r="H28">
        <f t="shared" si="10"/>
        <v>94.8</v>
      </c>
      <c r="I28">
        <f t="shared" si="11"/>
        <v>59.8</v>
      </c>
      <c r="J28" s="4">
        <v>-7447.835</v>
      </c>
      <c r="K28">
        <f>25056.008*0.2927</f>
        <v>7333.8935416000013</v>
      </c>
      <c r="L28">
        <f t="shared" si="12"/>
        <v>-113.94145839999874</v>
      </c>
      <c r="M28">
        <v>0</v>
      </c>
      <c r="N28">
        <f t="shared" si="9"/>
        <v>1153.9870000000001</v>
      </c>
      <c r="P28">
        <f t="shared" si="15"/>
        <v>1.1394145839999874</v>
      </c>
      <c r="Q28">
        <f t="shared" si="13"/>
        <v>5.1930623769274575</v>
      </c>
      <c r="R28">
        <v>1153.9870000000001</v>
      </c>
      <c r="S28">
        <v>1164.864</v>
      </c>
      <c r="T28">
        <f t="shared" si="14"/>
        <v>1159.1800623769275</v>
      </c>
    </row>
    <row r="29" spans="1:20" x14ac:dyDescent="0.25">
      <c r="B29" s="6">
        <v>11</v>
      </c>
      <c r="C29">
        <v>47.488</v>
      </c>
      <c r="D29">
        <v>72.423000000000002</v>
      </c>
      <c r="E29">
        <v>77.507000000000005</v>
      </c>
      <c r="F29">
        <v>53.472999999999999</v>
      </c>
      <c r="G29">
        <v>69.8</v>
      </c>
      <c r="H29">
        <f t="shared" si="10"/>
        <v>94.8</v>
      </c>
      <c r="I29">
        <f t="shared" si="11"/>
        <v>59.8</v>
      </c>
      <c r="J29" s="4">
        <v>-7447.835</v>
      </c>
      <c r="K29">
        <f>25273.963*0.2927</f>
        <v>7397.6889701</v>
      </c>
      <c r="L29">
        <f t="shared" si="12"/>
        <v>-50.14602990000003</v>
      </c>
      <c r="M29">
        <v>0</v>
      </c>
      <c r="N29">
        <f t="shared" si="9"/>
        <v>1159.568</v>
      </c>
      <c r="P29">
        <f t="shared" si="15"/>
        <v>0.50146029900000033</v>
      </c>
      <c r="Q29">
        <f t="shared" si="13"/>
        <v>1.0058497258926788</v>
      </c>
      <c r="R29">
        <v>1159.568</v>
      </c>
      <c r="S29">
        <v>1166.422</v>
      </c>
      <c r="T29">
        <f t="shared" si="14"/>
        <v>1160.5738497258926</v>
      </c>
    </row>
    <row r="30" spans="1:20" x14ac:dyDescent="0.25">
      <c r="B30" s="6">
        <v>12</v>
      </c>
      <c r="C30">
        <v>48.088000000000001</v>
      </c>
      <c r="D30">
        <v>76.852000000000004</v>
      </c>
      <c r="E30">
        <v>77.040999999999997</v>
      </c>
      <c r="F30">
        <v>53.796999999999997</v>
      </c>
      <c r="G30">
        <v>69.8</v>
      </c>
      <c r="H30">
        <f t="shared" si="10"/>
        <v>94.8</v>
      </c>
      <c r="I30">
        <f t="shared" si="11"/>
        <v>59.8</v>
      </c>
      <c r="J30" s="4">
        <v>-7447.835</v>
      </c>
      <c r="K30">
        <f>24435.918*0.2927</f>
        <v>7152.3931986000007</v>
      </c>
      <c r="L30">
        <f t="shared" si="12"/>
        <v>-295.44180139999935</v>
      </c>
      <c r="M30">
        <v>0</v>
      </c>
      <c r="N30">
        <f t="shared" si="9"/>
        <v>1150.3009999999999</v>
      </c>
      <c r="P30">
        <f t="shared" si="15"/>
        <v>2.9544180139999936</v>
      </c>
      <c r="Q30">
        <f t="shared" si="13"/>
        <v>34.914343205790665</v>
      </c>
      <c r="R30">
        <v>1150.3009999999999</v>
      </c>
      <c r="S30">
        <v>1193.037</v>
      </c>
      <c r="T30">
        <f t="shared" si="14"/>
        <v>1185.2153432057905</v>
      </c>
    </row>
    <row r="31" spans="1:20" x14ac:dyDescent="0.25">
      <c r="B31" s="6">
        <v>13</v>
      </c>
      <c r="C31" s="7">
        <v>47.594000000000001</v>
      </c>
      <c r="D31">
        <v>72.412999999999997</v>
      </c>
      <c r="E31">
        <v>77.543000000000006</v>
      </c>
      <c r="F31">
        <v>53.531999999999996</v>
      </c>
      <c r="G31">
        <v>69.8</v>
      </c>
      <c r="H31">
        <f t="shared" si="10"/>
        <v>94.8</v>
      </c>
      <c r="I31">
        <f t="shared" si="11"/>
        <v>59.8</v>
      </c>
      <c r="J31" s="4">
        <v>-7447.835</v>
      </c>
      <c r="K31">
        <f>25249.537*0.2927</f>
        <v>7390.5394799000005</v>
      </c>
      <c r="L31">
        <f t="shared" si="12"/>
        <v>-57.295520099999521</v>
      </c>
      <c r="M31">
        <v>0</v>
      </c>
      <c r="N31">
        <f t="shared" si="9"/>
        <v>1158.462</v>
      </c>
      <c r="P31">
        <f t="shared" si="15"/>
        <v>0.5729552009999952</v>
      </c>
      <c r="Q31">
        <f t="shared" si="13"/>
        <v>1.3131106494117797</v>
      </c>
      <c r="R31">
        <v>1158.462</v>
      </c>
      <c r="S31">
        <v>1165.463</v>
      </c>
      <c r="T31">
        <f t="shared" si="14"/>
        <v>1159.7751106494118</v>
      </c>
    </row>
    <row r="32" spans="1:20" x14ac:dyDescent="0.25">
      <c r="B32" s="6">
        <v>14</v>
      </c>
      <c r="C32">
        <v>48.051000000000002</v>
      </c>
      <c r="D32">
        <v>76.86</v>
      </c>
      <c r="E32">
        <v>77.040999999999997</v>
      </c>
      <c r="F32">
        <v>53.768000000000001</v>
      </c>
      <c r="G32">
        <v>69.8</v>
      </c>
      <c r="H32">
        <f t="shared" ref="H32:H34" si="16">G32+25</f>
        <v>94.8</v>
      </c>
      <c r="I32">
        <f t="shared" ref="I32:I34" si="17">G32-10</f>
        <v>59.8</v>
      </c>
      <c r="J32" s="4">
        <v>-7446.835</v>
      </c>
      <c r="K32">
        <f>24465.713*0.2927</f>
        <v>7161.1141951</v>
      </c>
      <c r="L32">
        <f t="shared" ref="L32:L34" si="18">K32+J32</f>
        <v>-285.72080490000008</v>
      </c>
      <c r="M32">
        <v>0</v>
      </c>
      <c r="N32">
        <f t="shared" ref="N32:N34" si="19">R32</f>
        <v>1151.145</v>
      </c>
      <c r="P32">
        <f t="shared" ref="P32:P34" si="20">0.01*ABS(L32)</f>
        <v>2.8572080490000009</v>
      </c>
      <c r="Q32">
        <f t="shared" ref="Q32:Q34" si="21">4*(0.01*ABS(L32))^2</f>
        <v>32.654551341081564</v>
      </c>
      <c r="R32">
        <v>1151.145</v>
      </c>
      <c r="S32">
        <v>1191.808</v>
      </c>
      <c r="T32">
        <f t="shared" si="14"/>
        <v>1183.7995513410815</v>
      </c>
    </row>
    <row r="33" spans="1:20" x14ac:dyDescent="0.25">
      <c r="B33" s="6">
        <v>15</v>
      </c>
      <c r="C33">
        <v>47.911999999999999</v>
      </c>
      <c r="D33">
        <v>72.421999999999997</v>
      </c>
      <c r="E33">
        <v>78.039000000000001</v>
      </c>
      <c r="F33">
        <v>53.899000000000001</v>
      </c>
      <c r="G33">
        <v>69.8</v>
      </c>
      <c r="H33">
        <f t="shared" si="16"/>
        <v>94.8</v>
      </c>
      <c r="I33">
        <f t="shared" si="17"/>
        <v>59.8</v>
      </c>
      <c r="J33" s="4">
        <v>-7445.835</v>
      </c>
      <c r="K33">
        <f>25388.611*0.2927</f>
        <v>7431.2464397000003</v>
      </c>
      <c r="L33" s="6">
        <f t="shared" si="18"/>
        <v>-14.588560299999699</v>
      </c>
      <c r="M33">
        <v>0</v>
      </c>
      <c r="N33">
        <f t="shared" si="19"/>
        <v>1156.636</v>
      </c>
      <c r="P33">
        <f t="shared" si="20"/>
        <v>0.145885602999997</v>
      </c>
      <c r="Q33">
        <f t="shared" si="21"/>
        <v>8.5130436650690935E-2</v>
      </c>
      <c r="R33">
        <v>1156.636</v>
      </c>
      <c r="S33" s="6">
        <v>1162.8109999999999</v>
      </c>
      <c r="T33">
        <f t="shared" si="14"/>
        <v>1156.7211304366506</v>
      </c>
    </row>
    <row r="34" spans="1:20" x14ac:dyDescent="0.25">
      <c r="B34" s="6">
        <v>16</v>
      </c>
      <c r="C34">
        <v>47.524000000000001</v>
      </c>
      <c r="D34">
        <v>72.426000000000002</v>
      </c>
      <c r="E34">
        <v>77.53</v>
      </c>
      <c r="F34">
        <v>53.508000000000003</v>
      </c>
      <c r="G34">
        <v>69.8</v>
      </c>
      <c r="H34">
        <f t="shared" si="16"/>
        <v>94.8</v>
      </c>
      <c r="I34">
        <f t="shared" si="17"/>
        <v>59.8</v>
      </c>
      <c r="J34" s="4">
        <v>-7444.835</v>
      </c>
      <c r="K34">
        <f>25262.502*0.2927</f>
        <v>7394.3343354000008</v>
      </c>
      <c r="L34">
        <f t="shared" si="18"/>
        <v>-50.500664599999254</v>
      </c>
      <c r="M34">
        <v>0</v>
      </c>
      <c r="N34">
        <f t="shared" si="19"/>
        <v>1158.479</v>
      </c>
      <c r="P34">
        <f t="shared" si="20"/>
        <v>0.50500664599999256</v>
      </c>
      <c r="Q34">
        <f t="shared" si="21"/>
        <v>1.0201268500166472</v>
      </c>
      <c r="R34">
        <v>1158.479</v>
      </c>
      <c r="S34">
        <v>1165.6010000000001</v>
      </c>
      <c r="T34">
        <f t="shared" si="14"/>
        <v>1159.4991268500166</v>
      </c>
    </row>
    <row r="36" spans="1:20" x14ac:dyDescent="0.25">
      <c r="A36" t="s">
        <v>69</v>
      </c>
      <c r="Q36" t="s">
        <v>63</v>
      </c>
      <c r="T36" t="s">
        <v>63</v>
      </c>
    </row>
    <row r="37" spans="1:20" x14ac:dyDescent="0.25">
      <c r="B37" t="s">
        <v>47</v>
      </c>
      <c r="C37" t="s">
        <v>61</v>
      </c>
      <c r="D37" t="s">
        <v>62</v>
      </c>
      <c r="E37" t="s">
        <v>4</v>
      </c>
      <c r="F37" t="s">
        <v>1</v>
      </c>
      <c r="G37" t="s">
        <v>58</v>
      </c>
      <c r="H37" t="s">
        <v>59</v>
      </c>
      <c r="I37" t="s">
        <v>60</v>
      </c>
      <c r="J37" t="s">
        <v>48</v>
      </c>
      <c r="K37" t="s">
        <v>49</v>
      </c>
      <c r="L37" t="s">
        <v>50</v>
      </c>
      <c r="M37" t="s">
        <v>54</v>
      </c>
      <c r="N37" t="s">
        <v>55</v>
      </c>
      <c r="O37" t="s">
        <v>56</v>
      </c>
      <c r="P37" t="s">
        <v>57</v>
      </c>
      <c r="Q37" t="s">
        <v>57</v>
      </c>
      <c r="R37" t="s">
        <v>2</v>
      </c>
      <c r="S37" t="s">
        <v>3</v>
      </c>
      <c r="T37" t="s">
        <v>64</v>
      </c>
    </row>
    <row r="38" spans="1:20" x14ac:dyDescent="0.25">
      <c r="B38">
        <v>1</v>
      </c>
      <c r="C38">
        <v>48.875999999999998</v>
      </c>
      <c r="D38">
        <v>76.417000000000002</v>
      </c>
      <c r="E38">
        <v>77.195999999999998</v>
      </c>
      <c r="F38">
        <v>54.651000000000003</v>
      </c>
      <c r="G38">
        <v>69.8</v>
      </c>
      <c r="H38">
        <f>G38+25</f>
        <v>94.8</v>
      </c>
      <c r="I38">
        <f>G38-10</f>
        <v>59.8</v>
      </c>
      <c r="J38" s="4">
        <v>-7447.835</v>
      </c>
      <c r="K38">
        <f>23712.768*0.2927</f>
        <v>6940.7271936000006</v>
      </c>
      <c r="L38">
        <f>K38+J38</f>
        <v>-507.10780639999939</v>
      </c>
      <c r="M38">
        <v>0</v>
      </c>
      <c r="N38">
        <f t="shared" ref="N38:N53" si="22">R38</f>
        <v>1113.5940000000001</v>
      </c>
      <c r="O38">
        <f>0.9*((0))</f>
        <v>0</v>
      </c>
      <c r="P38">
        <f>0.01*ABS(L38)</f>
        <v>5.0710780639999937</v>
      </c>
      <c r="Q38">
        <f>5*(0.01*ABS(L38))^2</f>
        <v>128.57916365590961</v>
      </c>
      <c r="R38">
        <v>1113.5940000000001</v>
      </c>
      <c r="S38">
        <v>1251.1400000000001</v>
      </c>
      <c r="T38">
        <f>N38+M38+O38+Q38</f>
        <v>1242.1731636559098</v>
      </c>
    </row>
    <row r="39" spans="1:20" x14ac:dyDescent="0.25">
      <c r="B39">
        <v>2</v>
      </c>
      <c r="C39">
        <v>48.337000000000003</v>
      </c>
      <c r="D39">
        <v>76.843000000000004</v>
      </c>
      <c r="E39">
        <v>77.350999999999999</v>
      </c>
      <c r="F39">
        <v>54.247</v>
      </c>
      <c r="G39">
        <v>69.8</v>
      </c>
      <c r="H39">
        <f t="shared" ref="H39:H53" si="23">G39+25</f>
        <v>94.8</v>
      </c>
      <c r="I39">
        <f t="shared" ref="I39:I53" si="24">G39-10</f>
        <v>59.8</v>
      </c>
      <c r="J39" s="4">
        <v>-7447.835</v>
      </c>
      <c r="K39">
        <f>24311.434*0.2927</f>
        <v>7115.9567318000009</v>
      </c>
      <c r="L39">
        <f t="shared" ref="L39:L53" si="25">K39+J39</f>
        <v>-331.87826819999918</v>
      </c>
      <c r="M39">
        <v>0</v>
      </c>
      <c r="N39">
        <f t="shared" si="22"/>
        <v>1127.8420000000001</v>
      </c>
      <c r="P39">
        <f>0.01*ABS(L39)</f>
        <v>3.3187826819999917</v>
      </c>
      <c r="Q39">
        <f t="shared" ref="Q39:Q53" si="26">5*(0.01*ABS(L39))^2</f>
        <v>55.07159245171529</v>
      </c>
      <c r="R39">
        <v>1127.8420000000001</v>
      </c>
      <c r="S39">
        <v>1190.7850000000001</v>
      </c>
      <c r="T39">
        <f t="shared" ref="T39:T53" si="27">N39+M39+O39+Q39</f>
        <v>1182.9135924517154</v>
      </c>
    </row>
    <row r="40" spans="1:20" x14ac:dyDescent="0.25">
      <c r="B40">
        <v>3</v>
      </c>
      <c r="C40">
        <v>47.924999999999997</v>
      </c>
      <c r="D40">
        <v>76.840999999999994</v>
      </c>
      <c r="E40">
        <v>76.762</v>
      </c>
      <c r="F40">
        <v>53.706000000000003</v>
      </c>
      <c r="G40">
        <v>69.8</v>
      </c>
      <c r="H40">
        <f t="shared" si="23"/>
        <v>94.8</v>
      </c>
      <c r="I40">
        <f t="shared" si="24"/>
        <v>59.8</v>
      </c>
      <c r="J40" s="4">
        <v>-7447.835</v>
      </c>
      <c r="K40">
        <f>24247.176*0.2927</f>
        <v>7097.1484152000003</v>
      </c>
      <c r="L40">
        <f t="shared" si="25"/>
        <v>-350.68658479999976</v>
      </c>
      <c r="M40">
        <v>0</v>
      </c>
      <c r="N40">
        <f t="shared" si="22"/>
        <v>1139.8009999999999</v>
      </c>
      <c r="P40">
        <f t="shared" ref="P40:P50" si="28">0.01*ABS(L40)</f>
        <v>3.5068658479999977</v>
      </c>
      <c r="Q40">
        <f t="shared" si="26"/>
        <v>61.490540379343713</v>
      </c>
      <c r="R40">
        <v>1139.8009999999999</v>
      </c>
      <c r="S40">
        <v>1209.173</v>
      </c>
      <c r="T40">
        <f t="shared" si="27"/>
        <v>1201.2915403793436</v>
      </c>
    </row>
    <row r="41" spans="1:20" x14ac:dyDescent="0.25">
      <c r="B41">
        <v>4</v>
      </c>
      <c r="C41">
        <v>47.676000000000002</v>
      </c>
      <c r="D41">
        <v>72.421000000000006</v>
      </c>
      <c r="E41">
        <v>77.644000000000005</v>
      </c>
      <c r="F41">
        <v>53.643999999999998</v>
      </c>
      <c r="G41">
        <v>69.8</v>
      </c>
      <c r="H41">
        <f t="shared" si="23"/>
        <v>94.8</v>
      </c>
      <c r="I41">
        <f t="shared" si="24"/>
        <v>59.8</v>
      </c>
      <c r="J41" s="4">
        <v>-7447.835</v>
      </c>
      <c r="K41">
        <f>25238.832*0.2927</f>
        <v>7387.4061264000002</v>
      </c>
      <c r="L41">
        <f t="shared" si="25"/>
        <v>-60.428873599999861</v>
      </c>
      <c r="M41">
        <v>0</v>
      </c>
      <c r="N41">
        <f t="shared" si="22"/>
        <v>1156.42</v>
      </c>
      <c r="P41">
        <f t="shared" si="28"/>
        <v>0.60428873599999866</v>
      </c>
      <c r="Q41">
        <f t="shared" si="26"/>
        <v>1.8258243822823803</v>
      </c>
      <c r="R41">
        <v>1156.42</v>
      </c>
      <c r="S41">
        <v>1164.1310000000001</v>
      </c>
      <c r="T41">
        <f t="shared" si="27"/>
        <v>1158.2458243822825</v>
      </c>
    </row>
    <row r="42" spans="1:20" x14ac:dyDescent="0.25">
      <c r="B42">
        <v>5</v>
      </c>
      <c r="C42">
        <v>47.298000000000002</v>
      </c>
      <c r="D42">
        <v>76.927999999999997</v>
      </c>
      <c r="E42">
        <v>76.641000000000005</v>
      </c>
      <c r="F42">
        <v>53.021999999999998</v>
      </c>
      <c r="G42">
        <v>69.8</v>
      </c>
      <c r="H42">
        <f t="shared" si="23"/>
        <v>94.8</v>
      </c>
      <c r="I42">
        <f t="shared" si="24"/>
        <v>59.8</v>
      </c>
      <c r="J42" s="4">
        <v>-7447.835</v>
      </c>
      <c r="K42">
        <f>24836.045*0.2927</f>
        <v>7269.5103714999996</v>
      </c>
      <c r="L42">
        <f t="shared" si="25"/>
        <v>-178.32462850000047</v>
      </c>
      <c r="M42">
        <v>0</v>
      </c>
      <c r="N42">
        <f t="shared" si="22"/>
        <v>1176.806</v>
      </c>
      <c r="P42">
        <f t="shared" si="28"/>
        <v>1.7832462850000048</v>
      </c>
      <c r="Q42">
        <f t="shared" si="26"/>
        <v>15.899836564831592</v>
      </c>
      <c r="R42">
        <v>1176.806</v>
      </c>
      <c r="S42">
        <v>1200.1300000000001</v>
      </c>
      <c r="T42">
        <f t="shared" si="27"/>
        <v>1192.7058365648315</v>
      </c>
    </row>
    <row r="43" spans="1:20" x14ac:dyDescent="0.25">
      <c r="B43">
        <v>6</v>
      </c>
      <c r="C43">
        <v>47.119</v>
      </c>
      <c r="D43">
        <v>76.938000000000002</v>
      </c>
      <c r="E43">
        <v>76.594999999999999</v>
      </c>
      <c r="F43">
        <v>52.816000000000003</v>
      </c>
      <c r="G43">
        <v>69.8</v>
      </c>
      <c r="H43">
        <f t="shared" si="23"/>
        <v>94.8</v>
      </c>
      <c r="I43">
        <f t="shared" si="24"/>
        <v>59.8</v>
      </c>
      <c r="J43" s="4">
        <v>-7447.835</v>
      </c>
      <c r="K43">
        <f>25001.984*0.2927</f>
        <v>7318.0807168000001</v>
      </c>
      <c r="L43">
        <f t="shared" si="25"/>
        <v>-129.75428319999992</v>
      </c>
      <c r="M43">
        <v>0</v>
      </c>
      <c r="N43">
        <f t="shared" si="22"/>
        <v>1188.989</v>
      </c>
      <c r="P43">
        <f t="shared" si="28"/>
        <v>1.2975428319999993</v>
      </c>
      <c r="Q43">
        <f t="shared" si="26"/>
        <v>8.4180870043728913</v>
      </c>
      <c r="R43">
        <v>1188.989</v>
      </c>
      <c r="S43">
        <v>1204.78</v>
      </c>
      <c r="T43">
        <f t="shared" si="27"/>
        <v>1197.4070870043729</v>
      </c>
    </row>
    <row r="44" spans="1:20" x14ac:dyDescent="0.25">
      <c r="B44">
        <v>7</v>
      </c>
      <c r="C44">
        <v>47.253</v>
      </c>
      <c r="D44">
        <v>72.947999999999993</v>
      </c>
      <c r="E44">
        <v>77.350999999999999</v>
      </c>
      <c r="F44">
        <v>53.213000000000001</v>
      </c>
      <c r="G44">
        <v>69.8</v>
      </c>
      <c r="H44">
        <f t="shared" si="23"/>
        <v>94.8</v>
      </c>
      <c r="I44">
        <f t="shared" si="24"/>
        <v>59.8</v>
      </c>
      <c r="J44" s="4">
        <v>-7447.835</v>
      </c>
      <c r="K44">
        <f>25392.752*0.2927</f>
        <v>7432.4585104000007</v>
      </c>
      <c r="L44">
        <f t="shared" si="25"/>
        <v>-15.376489599999331</v>
      </c>
      <c r="M44">
        <v>0</v>
      </c>
      <c r="N44">
        <f t="shared" si="22"/>
        <v>1168.1020000000001</v>
      </c>
      <c r="P44">
        <f t="shared" si="28"/>
        <v>0.15376489599999332</v>
      </c>
      <c r="Q44">
        <f t="shared" si="26"/>
        <v>0.11821821620944381</v>
      </c>
      <c r="R44">
        <v>1168.1020000000001</v>
      </c>
      <c r="S44">
        <v>1174.2670000000001</v>
      </c>
      <c r="T44">
        <f t="shared" si="27"/>
        <v>1168.2202182162096</v>
      </c>
    </row>
    <row r="45" spans="1:20" x14ac:dyDescent="0.25">
      <c r="B45">
        <v>8</v>
      </c>
      <c r="G45">
        <v>69.8</v>
      </c>
      <c r="H45">
        <f t="shared" si="23"/>
        <v>94.8</v>
      </c>
      <c r="I45">
        <f t="shared" si="24"/>
        <v>59.8</v>
      </c>
      <c r="J45" s="4">
        <v>-7447.835</v>
      </c>
      <c r="K45" t="s">
        <v>65</v>
      </c>
      <c r="L45" t="s">
        <v>65</v>
      </c>
      <c r="M45">
        <v>0</v>
      </c>
      <c r="N45">
        <f t="shared" si="22"/>
        <v>0</v>
      </c>
      <c r="S45">
        <v>9999</v>
      </c>
      <c r="T45">
        <f t="shared" si="27"/>
        <v>0</v>
      </c>
    </row>
    <row r="46" spans="1:20" x14ac:dyDescent="0.25">
      <c r="B46">
        <v>9</v>
      </c>
      <c r="C46">
        <v>47.322000000000003</v>
      </c>
      <c r="D46">
        <v>73.072000000000003</v>
      </c>
      <c r="E46">
        <v>77.040999999999997</v>
      </c>
      <c r="F46">
        <v>53.177999999999997</v>
      </c>
      <c r="G46">
        <v>69.8</v>
      </c>
      <c r="H46">
        <f t="shared" si="23"/>
        <v>94.8</v>
      </c>
      <c r="I46">
        <f t="shared" si="24"/>
        <v>59.8</v>
      </c>
      <c r="J46" s="4">
        <v>-7447.835</v>
      </c>
      <c r="K46">
        <f>25082.965*0.2927</f>
        <v>7341.7838555000008</v>
      </c>
      <c r="L46">
        <f t="shared" si="25"/>
        <v>-106.05114449999928</v>
      </c>
      <c r="M46">
        <v>0</v>
      </c>
      <c r="N46">
        <f t="shared" si="22"/>
        <v>1161.5940000000001</v>
      </c>
      <c r="P46">
        <f t="shared" ref="P46:P53" si="29">0.01*ABS(L46)</f>
        <v>1.0605114449999928</v>
      </c>
      <c r="Q46">
        <f t="shared" si="26"/>
        <v>5.6234226248798649</v>
      </c>
      <c r="R46">
        <v>1161.5940000000001</v>
      </c>
      <c r="S46">
        <v>1173.4670000000001</v>
      </c>
      <c r="T46">
        <f t="shared" si="27"/>
        <v>1167.2174226248799</v>
      </c>
    </row>
    <row r="47" spans="1:20" x14ac:dyDescent="0.25">
      <c r="B47">
        <v>10</v>
      </c>
      <c r="C47">
        <v>47.595999999999997</v>
      </c>
      <c r="D47">
        <v>72.393000000000001</v>
      </c>
      <c r="E47">
        <v>77.350999999999999</v>
      </c>
      <c r="F47">
        <v>53.534999999999997</v>
      </c>
      <c r="G47">
        <v>69.8</v>
      </c>
      <c r="H47">
        <f t="shared" si="23"/>
        <v>94.8</v>
      </c>
      <c r="I47">
        <f t="shared" si="24"/>
        <v>59.8</v>
      </c>
      <c r="J47" s="4">
        <v>-7447.835</v>
      </c>
      <c r="K47">
        <f>25056.008*0.2927</f>
        <v>7333.8935416000013</v>
      </c>
      <c r="L47">
        <f t="shared" si="25"/>
        <v>-113.94145839999874</v>
      </c>
      <c r="M47">
        <v>0</v>
      </c>
      <c r="N47">
        <f t="shared" si="22"/>
        <v>1153.9870000000001</v>
      </c>
      <c r="P47">
        <f t="shared" si="29"/>
        <v>1.1394145839999874</v>
      </c>
      <c r="Q47">
        <f t="shared" si="26"/>
        <v>6.4913279711593219</v>
      </c>
      <c r="R47">
        <v>1153.9870000000001</v>
      </c>
      <c r="S47">
        <v>1166.163</v>
      </c>
      <c r="T47">
        <f t="shared" si="27"/>
        <v>1160.4783279711594</v>
      </c>
    </row>
    <row r="48" spans="1:20" x14ac:dyDescent="0.25">
      <c r="B48">
        <v>11</v>
      </c>
      <c r="C48">
        <v>47.488</v>
      </c>
      <c r="D48">
        <v>72.423000000000002</v>
      </c>
      <c r="E48">
        <v>77.507000000000005</v>
      </c>
      <c r="F48">
        <v>53.472999999999999</v>
      </c>
      <c r="G48">
        <v>69.8</v>
      </c>
      <c r="H48">
        <f t="shared" si="23"/>
        <v>94.8</v>
      </c>
      <c r="I48">
        <f t="shared" si="24"/>
        <v>59.8</v>
      </c>
      <c r="J48" s="4">
        <v>-7447.835</v>
      </c>
      <c r="K48">
        <f>25273.963*0.2927</f>
        <v>7397.6889701</v>
      </c>
      <c r="L48">
        <f t="shared" si="25"/>
        <v>-50.14602990000003</v>
      </c>
      <c r="M48">
        <v>0</v>
      </c>
      <c r="N48">
        <f t="shared" si="22"/>
        <v>1159.568</v>
      </c>
      <c r="P48">
        <f t="shared" si="29"/>
        <v>0.50146029900000033</v>
      </c>
      <c r="Q48">
        <f t="shared" si="26"/>
        <v>1.2573121573658486</v>
      </c>
      <c r="R48">
        <v>1159.568</v>
      </c>
      <c r="S48">
        <v>1166.673</v>
      </c>
      <c r="T48">
        <f t="shared" si="27"/>
        <v>1160.8253121573659</v>
      </c>
    </row>
    <row r="49" spans="2:20" x14ac:dyDescent="0.25">
      <c r="B49">
        <v>12</v>
      </c>
      <c r="C49">
        <v>48.088000000000001</v>
      </c>
      <c r="D49">
        <v>76.852000000000004</v>
      </c>
      <c r="E49">
        <v>77.040999999999997</v>
      </c>
      <c r="F49">
        <v>53.796999999999997</v>
      </c>
      <c r="G49">
        <v>69.8</v>
      </c>
      <c r="H49">
        <f t="shared" si="23"/>
        <v>94.8</v>
      </c>
      <c r="I49">
        <f t="shared" si="24"/>
        <v>59.8</v>
      </c>
      <c r="J49" s="4">
        <v>-7447.835</v>
      </c>
      <c r="K49">
        <f>24435.918*0.2927</f>
        <v>7152.3931986000007</v>
      </c>
      <c r="L49">
        <f t="shared" si="25"/>
        <v>-295.44180139999935</v>
      </c>
      <c r="M49">
        <v>0</v>
      </c>
      <c r="N49">
        <f t="shared" si="22"/>
        <v>1150.3009999999999</v>
      </c>
      <c r="P49">
        <f t="shared" si="29"/>
        <v>2.9544180139999936</v>
      </c>
      <c r="Q49">
        <f t="shared" si="26"/>
        <v>43.64292900723833</v>
      </c>
      <c r="R49">
        <v>1150.3009999999999</v>
      </c>
      <c r="S49">
        <v>1201.7670000000001</v>
      </c>
      <c r="T49">
        <f t="shared" si="27"/>
        <v>1193.9439290072382</v>
      </c>
    </row>
    <row r="50" spans="2:20" x14ac:dyDescent="0.25">
      <c r="B50">
        <v>13</v>
      </c>
      <c r="C50" s="7">
        <v>47.594000000000001</v>
      </c>
      <c r="D50">
        <v>72.412999999999997</v>
      </c>
      <c r="E50">
        <v>77.543000000000006</v>
      </c>
      <c r="F50">
        <v>53.531999999999996</v>
      </c>
      <c r="G50">
        <v>69.8</v>
      </c>
      <c r="H50">
        <f t="shared" si="23"/>
        <v>94.8</v>
      </c>
      <c r="I50">
        <f t="shared" si="24"/>
        <v>59.8</v>
      </c>
      <c r="J50" s="4">
        <v>-7447.835</v>
      </c>
      <c r="K50">
        <f>25249.537*0.2927</f>
        <v>7390.5394799000005</v>
      </c>
      <c r="L50">
        <f t="shared" si="25"/>
        <v>-57.295520099999521</v>
      </c>
      <c r="M50">
        <v>0</v>
      </c>
      <c r="N50">
        <f t="shared" si="22"/>
        <v>1158.462</v>
      </c>
      <c r="P50">
        <f t="shared" si="29"/>
        <v>0.5729552009999952</v>
      </c>
      <c r="Q50">
        <f t="shared" si="26"/>
        <v>1.6413883117647246</v>
      </c>
      <c r="R50">
        <v>1158.462</v>
      </c>
      <c r="S50">
        <v>1165.7919999999999</v>
      </c>
      <c r="T50">
        <f t="shared" si="27"/>
        <v>1160.1033883117648</v>
      </c>
    </row>
    <row r="51" spans="2:20" x14ac:dyDescent="0.25">
      <c r="B51">
        <v>14</v>
      </c>
      <c r="C51">
        <v>48.051000000000002</v>
      </c>
      <c r="D51">
        <v>76.86</v>
      </c>
      <c r="E51">
        <v>77.040999999999997</v>
      </c>
      <c r="F51">
        <v>53.768000000000001</v>
      </c>
      <c r="G51">
        <v>69.8</v>
      </c>
      <c r="H51">
        <f t="shared" si="23"/>
        <v>94.8</v>
      </c>
      <c r="I51">
        <f t="shared" si="24"/>
        <v>59.8</v>
      </c>
      <c r="J51" s="4">
        <v>-7446.835</v>
      </c>
      <c r="K51">
        <f>24465.713*0.2927</f>
        <v>7161.1141951</v>
      </c>
      <c r="L51">
        <f t="shared" si="25"/>
        <v>-285.72080490000008</v>
      </c>
      <c r="M51">
        <v>0</v>
      </c>
      <c r="N51">
        <f t="shared" si="22"/>
        <v>1151.145</v>
      </c>
      <c r="P51">
        <f t="shared" si="29"/>
        <v>2.8572080490000009</v>
      </c>
      <c r="Q51">
        <f t="shared" si="26"/>
        <v>40.818189176351957</v>
      </c>
      <c r="R51">
        <v>1151.145</v>
      </c>
      <c r="S51">
        <v>1200.03</v>
      </c>
      <c r="T51">
        <f t="shared" si="27"/>
        <v>1191.963189176352</v>
      </c>
    </row>
    <row r="52" spans="2:20" x14ac:dyDescent="0.25">
      <c r="B52">
        <v>15</v>
      </c>
      <c r="C52">
        <v>47.911999999999999</v>
      </c>
      <c r="D52">
        <v>72.421999999999997</v>
      </c>
      <c r="E52">
        <v>78.039000000000001</v>
      </c>
      <c r="F52">
        <v>53.899000000000001</v>
      </c>
      <c r="G52">
        <v>69.8</v>
      </c>
      <c r="H52">
        <f t="shared" si="23"/>
        <v>94.8</v>
      </c>
      <c r="I52">
        <f t="shared" si="24"/>
        <v>59.8</v>
      </c>
      <c r="J52" s="4">
        <v>-7445.835</v>
      </c>
      <c r="K52">
        <f>25388.611*0.2927</f>
        <v>7431.2464397000003</v>
      </c>
      <c r="L52" s="6">
        <f t="shared" si="25"/>
        <v>-14.588560299999699</v>
      </c>
      <c r="M52">
        <v>0</v>
      </c>
      <c r="N52">
        <f t="shared" si="22"/>
        <v>1156.636</v>
      </c>
      <c r="P52">
        <f t="shared" si="29"/>
        <v>0.145885602999997</v>
      </c>
      <c r="Q52">
        <f t="shared" si="26"/>
        <v>0.10641304581336367</v>
      </c>
      <c r="R52">
        <v>1156.636</v>
      </c>
      <c r="S52" s="6">
        <v>1162.8389999999999</v>
      </c>
      <c r="T52">
        <f t="shared" si="27"/>
        <v>1156.7424130458132</v>
      </c>
    </row>
    <row r="53" spans="2:20" x14ac:dyDescent="0.25">
      <c r="B53">
        <v>16</v>
      </c>
      <c r="C53">
        <v>47.524000000000001</v>
      </c>
      <c r="D53">
        <v>72.426000000000002</v>
      </c>
      <c r="E53">
        <v>77.53</v>
      </c>
      <c r="F53">
        <v>53.508000000000003</v>
      </c>
      <c r="G53">
        <v>69.8</v>
      </c>
      <c r="H53">
        <f t="shared" si="23"/>
        <v>94.8</v>
      </c>
      <c r="I53">
        <f t="shared" si="24"/>
        <v>59.8</v>
      </c>
      <c r="J53" s="4">
        <v>-7444.835</v>
      </c>
      <c r="K53">
        <f>25262.502*0.2927</f>
        <v>7394.3343354000008</v>
      </c>
      <c r="L53">
        <f t="shared" si="25"/>
        <v>-50.500664599999254</v>
      </c>
      <c r="M53">
        <v>0</v>
      </c>
      <c r="N53">
        <f t="shared" si="22"/>
        <v>1158.479</v>
      </c>
      <c r="P53">
        <f t="shared" si="29"/>
        <v>0.50500664599999256</v>
      </c>
      <c r="Q53">
        <f t="shared" si="26"/>
        <v>1.2751585625208088</v>
      </c>
      <c r="R53">
        <v>1158.479</v>
      </c>
      <c r="S53">
        <v>1165.8869999999999</v>
      </c>
      <c r="T53">
        <f t="shared" si="27"/>
        <v>1159.7541585625208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7"/>
  <sheetViews>
    <sheetView workbookViewId="0">
      <selection activeCell="M19" sqref="M19"/>
    </sheetView>
  </sheetViews>
  <sheetFormatPr defaultRowHeight="15" x14ac:dyDescent="0.25"/>
  <sheetData>
    <row r="1" spans="2:20" x14ac:dyDescent="0.25">
      <c r="P1" t="s">
        <v>66</v>
      </c>
    </row>
    <row r="2" spans="2:20" x14ac:dyDescent="0.25">
      <c r="B2" t="s">
        <v>51</v>
      </c>
      <c r="C2" t="s">
        <v>52</v>
      </c>
      <c r="D2" t="s">
        <v>52</v>
      </c>
      <c r="E2" t="s">
        <v>52</v>
      </c>
      <c r="F2" t="s">
        <v>52</v>
      </c>
      <c r="G2" t="s">
        <v>52</v>
      </c>
      <c r="H2" t="s">
        <v>52</v>
      </c>
      <c r="I2" t="s">
        <v>52</v>
      </c>
      <c r="J2" t="s">
        <v>53</v>
      </c>
      <c r="K2" t="s">
        <v>53</v>
      </c>
      <c r="L2" t="s">
        <v>53</v>
      </c>
      <c r="Q2" t="s">
        <v>63</v>
      </c>
      <c r="R2" t="s">
        <v>53</v>
      </c>
      <c r="S2" t="s">
        <v>53</v>
      </c>
      <c r="T2" t="s">
        <v>63</v>
      </c>
    </row>
    <row r="3" spans="2:20" x14ac:dyDescent="0.25">
      <c r="B3" t="s">
        <v>47</v>
      </c>
      <c r="C3" t="s">
        <v>61</v>
      </c>
      <c r="D3" t="s">
        <v>62</v>
      </c>
      <c r="E3" t="s">
        <v>4</v>
      </c>
      <c r="F3" t="s">
        <v>1</v>
      </c>
      <c r="G3" t="s">
        <v>58</v>
      </c>
      <c r="H3" t="s">
        <v>59</v>
      </c>
      <c r="I3" t="s">
        <v>60</v>
      </c>
      <c r="J3" t="s">
        <v>48</v>
      </c>
      <c r="K3" t="s">
        <v>49</v>
      </c>
      <c r="L3" t="s">
        <v>50</v>
      </c>
      <c r="M3" t="s">
        <v>54</v>
      </c>
      <c r="N3" t="s">
        <v>55</v>
      </c>
      <c r="O3" t="s">
        <v>56</v>
      </c>
      <c r="P3" t="s">
        <v>57</v>
      </c>
      <c r="Q3" t="s">
        <v>57</v>
      </c>
      <c r="R3" t="s">
        <v>2</v>
      </c>
      <c r="S3" t="s">
        <v>3</v>
      </c>
      <c r="T3" t="s">
        <v>64</v>
      </c>
    </row>
    <row r="4" spans="2:20" x14ac:dyDescent="0.25">
      <c r="B4">
        <v>1</v>
      </c>
      <c r="C4">
        <v>47.052</v>
      </c>
      <c r="D4">
        <v>68.751999999999995</v>
      </c>
      <c r="E4">
        <v>76.120999999999995</v>
      </c>
      <c r="F4">
        <v>53.156999999999996</v>
      </c>
      <c r="G4">
        <v>66.38</v>
      </c>
      <c r="H4">
        <f>G4+25</f>
        <v>91.38</v>
      </c>
      <c r="I4">
        <f>G4-10</f>
        <v>56.379999999999995</v>
      </c>
      <c r="J4" s="4">
        <v>-7447.835</v>
      </c>
      <c r="K4">
        <f>24221.666*0.2927</f>
        <v>7089.6816382000006</v>
      </c>
      <c r="L4">
        <f>K4+J4</f>
        <v>-358.1533617999994</v>
      </c>
      <c r="M4">
        <v>0</v>
      </c>
      <c r="N4">
        <f>R4</f>
        <v>1071.8140000000001</v>
      </c>
      <c r="O4">
        <f>0.9*((0))</f>
        <v>0</v>
      </c>
      <c r="P4">
        <f>0.01*ABS(L4)</f>
        <v>3.5815336179999941</v>
      </c>
      <c r="Q4">
        <f>5*(0.01*ABS(L4))^2</f>
        <v>64.136915284320651</v>
      </c>
      <c r="R4">
        <v>1071.8140000000001</v>
      </c>
      <c r="S4">
        <v>1131.6279999999999</v>
      </c>
      <c r="T4">
        <f>M4+N4+O4+Q4</f>
        <v>1135.9509152843207</v>
      </c>
    </row>
    <row r="5" spans="2:20" x14ac:dyDescent="0.25">
      <c r="B5">
        <v>2</v>
      </c>
      <c r="C5">
        <v>47.122999999999998</v>
      </c>
      <c r="D5">
        <v>68.772999999999996</v>
      </c>
      <c r="E5">
        <v>76.444999999999993</v>
      </c>
      <c r="F5">
        <v>53.168999999999997</v>
      </c>
      <c r="G5">
        <v>67.38</v>
      </c>
      <c r="H5">
        <f t="shared" ref="H5:H15" si="0">G5+25</f>
        <v>92.38</v>
      </c>
      <c r="I5">
        <f t="shared" ref="I5:I15" si="1">G5-10</f>
        <v>57.379999999999995</v>
      </c>
      <c r="J5" s="4">
        <v>-7447.835</v>
      </c>
      <c r="K5">
        <f>24552.303*0.2927</f>
        <v>7186.4590881000004</v>
      </c>
      <c r="L5">
        <f t="shared" ref="L5:L15" si="2">K5+J5</f>
        <v>-261.37591189999966</v>
      </c>
      <c r="M5">
        <v>1</v>
      </c>
      <c r="N5">
        <f t="shared" ref="N5:N15" si="3">R5</f>
        <v>1084.1769999999999</v>
      </c>
      <c r="O5">
        <f t="shared" ref="O5:O15" si="4">0.9*((0))</f>
        <v>0</v>
      </c>
      <c r="P5">
        <f t="shared" ref="P5:P15" si="5">0.01*ABS(L5)</f>
        <v>2.6137591189999969</v>
      </c>
      <c r="Q5">
        <f t="shared" ref="Q4:Q15" si="6">5*(0.01*ABS(L5))^2</f>
        <v>34.158683660778202</v>
      </c>
      <c r="R5">
        <v>1084.1769999999999</v>
      </c>
      <c r="S5">
        <v>1119.518</v>
      </c>
      <c r="T5">
        <f t="shared" ref="T5:T15" si="7">M5+N5+O5+Q5</f>
        <v>1119.3356836607782</v>
      </c>
    </row>
    <row r="6" spans="2:20" x14ac:dyDescent="0.25">
      <c r="B6">
        <v>3</v>
      </c>
      <c r="C6">
        <v>46.518000000000001</v>
      </c>
      <c r="D6">
        <v>68.983000000000004</v>
      </c>
      <c r="E6">
        <v>75.941000000000003</v>
      </c>
      <c r="F6">
        <v>52.566000000000003</v>
      </c>
      <c r="G6">
        <v>68.38</v>
      </c>
      <c r="H6">
        <f t="shared" si="0"/>
        <v>93.38</v>
      </c>
      <c r="I6">
        <f t="shared" si="1"/>
        <v>58.379999999999995</v>
      </c>
      <c r="J6" s="4">
        <v>-7447.835</v>
      </c>
      <c r="K6">
        <f>24664.498*0.2927</f>
        <v>7219.2985646000006</v>
      </c>
      <c r="L6">
        <f t="shared" si="2"/>
        <v>-228.53643539999939</v>
      </c>
      <c r="M6">
        <v>2</v>
      </c>
      <c r="N6">
        <f t="shared" si="3"/>
        <v>1096.1099999999999</v>
      </c>
      <c r="O6">
        <f t="shared" si="4"/>
        <v>0</v>
      </c>
      <c r="P6">
        <f t="shared" si="5"/>
        <v>2.2853643539999942</v>
      </c>
      <c r="Q6">
        <f t="shared" si="6"/>
        <v>26.114451152669051</v>
      </c>
      <c r="R6">
        <v>1096.1099999999999</v>
      </c>
      <c r="S6">
        <v>1124.866</v>
      </c>
      <c r="T6">
        <f t="shared" si="7"/>
        <v>1124.224451152669</v>
      </c>
    </row>
    <row r="7" spans="2:20" x14ac:dyDescent="0.25">
      <c r="B7">
        <v>4</v>
      </c>
      <c r="C7">
        <v>46.548000000000002</v>
      </c>
      <c r="D7">
        <v>68.787999999999997</v>
      </c>
      <c r="E7">
        <v>76.366</v>
      </c>
      <c r="F7">
        <v>52.59</v>
      </c>
      <c r="G7">
        <v>69.38</v>
      </c>
      <c r="H7">
        <f t="shared" si="0"/>
        <v>94.38</v>
      </c>
      <c r="I7">
        <f t="shared" si="1"/>
        <v>59.379999999999995</v>
      </c>
      <c r="J7" s="4">
        <v>-7447.835</v>
      </c>
      <c r="K7">
        <f>25076.031*0.2927</f>
        <v>7339.7542737000003</v>
      </c>
      <c r="L7" s="8">
        <f t="shared" si="2"/>
        <v>-108.0807262999997</v>
      </c>
      <c r="M7">
        <v>3</v>
      </c>
      <c r="N7">
        <f t="shared" si="3"/>
        <v>1108.6320000000001</v>
      </c>
      <c r="O7">
        <f t="shared" si="4"/>
        <v>0</v>
      </c>
      <c r="P7">
        <f t="shared" si="5"/>
        <v>1.080807262999997</v>
      </c>
      <c r="Q7">
        <f t="shared" si="6"/>
        <v>5.8407216987677231</v>
      </c>
      <c r="R7">
        <v>1108.6320000000001</v>
      </c>
      <c r="S7">
        <v>1120.671</v>
      </c>
      <c r="T7" s="8">
        <f t="shared" si="7"/>
        <v>1117.4727216987678</v>
      </c>
    </row>
    <row r="8" spans="2:20" x14ac:dyDescent="0.25">
      <c r="B8">
        <v>5</v>
      </c>
      <c r="C8">
        <v>46.720999999999997</v>
      </c>
      <c r="D8">
        <v>69.019000000000005</v>
      </c>
      <c r="E8">
        <v>76.146000000000001</v>
      </c>
      <c r="F8">
        <v>52.805</v>
      </c>
      <c r="G8">
        <v>70.38</v>
      </c>
      <c r="H8">
        <f t="shared" si="0"/>
        <v>95.38</v>
      </c>
      <c r="I8">
        <f t="shared" si="1"/>
        <v>60.379999999999995</v>
      </c>
      <c r="J8" s="4">
        <v>-7447.835</v>
      </c>
      <c r="K8">
        <f>24618.035*0.2927</f>
        <v>7205.6988445000006</v>
      </c>
      <c r="L8">
        <f t="shared" si="2"/>
        <v>-242.1361554999994</v>
      </c>
      <c r="M8">
        <v>4</v>
      </c>
      <c r="N8">
        <f t="shared" si="3"/>
        <v>1091.4649999999999</v>
      </c>
      <c r="O8">
        <f t="shared" si="4"/>
        <v>0</v>
      </c>
      <c r="P8">
        <f t="shared" si="5"/>
        <v>2.4213615549999941</v>
      </c>
      <c r="Q8">
        <f t="shared" si="6"/>
        <v>29.314958900159947</v>
      </c>
      <c r="R8">
        <v>1091.4649999999999</v>
      </c>
      <c r="S8">
        <v>1122.2529999999999</v>
      </c>
      <c r="T8">
        <f t="shared" si="7"/>
        <v>1124.77995890016</v>
      </c>
    </row>
    <row r="9" spans="2:20" x14ac:dyDescent="0.25">
      <c r="B9">
        <v>6</v>
      </c>
      <c r="C9">
        <v>47.054000000000002</v>
      </c>
      <c r="D9">
        <v>72.975999999999999</v>
      </c>
      <c r="E9">
        <v>75.224999999999994</v>
      </c>
      <c r="F9">
        <v>52.930999999999997</v>
      </c>
      <c r="G9">
        <v>71.38</v>
      </c>
      <c r="H9">
        <f t="shared" si="0"/>
        <v>96.38</v>
      </c>
      <c r="I9">
        <f t="shared" si="1"/>
        <v>61.379999999999995</v>
      </c>
      <c r="J9" s="4">
        <v>-7447.835</v>
      </c>
      <c r="K9">
        <f>23511.826*0.2927</f>
        <v>6881.9114702000006</v>
      </c>
      <c r="L9">
        <f t="shared" si="2"/>
        <v>-565.92352979999941</v>
      </c>
      <c r="M9">
        <v>5</v>
      </c>
      <c r="N9">
        <f t="shared" si="3"/>
        <v>1073.924</v>
      </c>
      <c r="O9">
        <f t="shared" si="4"/>
        <v>0</v>
      </c>
      <c r="P9">
        <f t="shared" si="5"/>
        <v>5.6592352979999943</v>
      </c>
      <c r="Q9">
        <f t="shared" si="6"/>
        <v>160.13472079064542</v>
      </c>
      <c r="R9">
        <v>1073.924</v>
      </c>
      <c r="S9">
        <v>1212.46</v>
      </c>
      <c r="T9">
        <f t="shared" si="7"/>
        <v>1239.0587207906453</v>
      </c>
    </row>
    <row r="10" spans="2:20" x14ac:dyDescent="0.25">
      <c r="B10">
        <v>7</v>
      </c>
      <c r="C10">
        <v>46.78</v>
      </c>
      <c r="D10">
        <v>69.069000000000003</v>
      </c>
      <c r="E10">
        <v>76.138000000000005</v>
      </c>
      <c r="F10">
        <v>52.865000000000002</v>
      </c>
      <c r="G10">
        <v>72.38</v>
      </c>
      <c r="H10">
        <f t="shared" si="0"/>
        <v>97.38</v>
      </c>
      <c r="I10">
        <f t="shared" si="1"/>
        <v>62.379999999999995</v>
      </c>
      <c r="J10" s="4">
        <v>-7447.835</v>
      </c>
      <c r="K10">
        <f>24546.205*0.2927</f>
        <v>7184.6742035000007</v>
      </c>
      <c r="L10">
        <f t="shared" si="2"/>
        <v>-263.16079649999938</v>
      </c>
      <c r="M10">
        <v>6</v>
      </c>
      <c r="N10">
        <f t="shared" si="3"/>
        <v>1086.941</v>
      </c>
      <c r="O10">
        <f t="shared" si="4"/>
        <v>0</v>
      </c>
      <c r="P10">
        <f t="shared" si="5"/>
        <v>2.6316079649999939</v>
      </c>
      <c r="Q10">
        <f t="shared" si="6"/>
        <v>34.626802407257046</v>
      </c>
      <c r="R10">
        <v>1086.941</v>
      </c>
      <c r="S10">
        <v>1122.759</v>
      </c>
      <c r="T10">
        <f t="shared" si="7"/>
        <v>1127.567802407257</v>
      </c>
    </row>
    <row r="11" spans="2:20" x14ac:dyDescent="0.25">
      <c r="B11">
        <v>8</v>
      </c>
      <c r="C11">
        <v>47.095999999999997</v>
      </c>
      <c r="D11">
        <v>68.760000000000005</v>
      </c>
      <c r="E11">
        <v>76.364999999999995</v>
      </c>
      <c r="F11">
        <v>53.161000000000001</v>
      </c>
      <c r="G11">
        <v>73.38</v>
      </c>
      <c r="H11">
        <f t="shared" si="0"/>
        <v>98.38</v>
      </c>
      <c r="I11">
        <f t="shared" si="1"/>
        <v>63.379999999999995</v>
      </c>
      <c r="J11" s="4">
        <v>-7447.835</v>
      </c>
      <c r="K11">
        <f>24475.947*0.2927</f>
        <v>7164.1096869000003</v>
      </c>
      <c r="L11">
        <f t="shared" si="2"/>
        <v>-283.72531309999977</v>
      </c>
      <c r="M11">
        <v>7</v>
      </c>
      <c r="N11">
        <f t="shared" si="3"/>
        <v>1081.07</v>
      </c>
      <c r="O11">
        <f t="shared" si="4"/>
        <v>0</v>
      </c>
      <c r="P11">
        <f t="shared" si="5"/>
        <v>2.8372531309999975</v>
      </c>
      <c r="Q11">
        <f t="shared" si="6"/>
        <v>40.25002664684645</v>
      </c>
      <c r="R11">
        <v>1081.07</v>
      </c>
      <c r="S11">
        <v>1121.413</v>
      </c>
      <c r="T11">
        <f t="shared" si="7"/>
        <v>1128.3200266468464</v>
      </c>
    </row>
    <row r="12" spans="2:20" x14ac:dyDescent="0.25">
      <c r="B12">
        <v>9</v>
      </c>
      <c r="C12">
        <v>47.098999999999997</v>
      </c>
      <c r="D12">
        <v>73.034999999999997</v>
      </c>
      <c r="E12">
        <v>75.402000000000001</v>
      </c>
      <c r="F12">
        <v>52.927</v>
      </c>
      <c r="G12">
        <v>74.38</v>
      </c>
      <c r="H12">
        <f t="shared" si="0"/>
        <v>99.38</v>
      </c>
      <c r="I12">
        <f t="shared" si="1"/>
        <v>64.38</v>
      </c>
      <c r="J12" s="4">
        <v>-7447.835</v>
      </c>
      <c r="K12">
        <f>23704.373*0.2927</f>
        <v>6938.2699771000007</v>
      </c>
      <c r="L12">
        <f t="shared" si="2"/>
        <v>-509.56502289999935</v>
      </c>
      <c r="M12">
        <v>8</v>
      </c>
      <c r="N12">
        <f t="shared" si="3"/>
        <v>1081.655</v>
      </c>
      <c r="O12">
        <f t="shared" si="4"/>
        <v>0</v>
      </c>
      <c r="P12">
        <f t="shared" si="5"/>
        <v>5.0956502289999932</v>
      </c>
      <c r="Q12">
        <f t="shared" si="6"/>
        <v>129.82825628153842</v>
      </c>
      <c r="R12">
        <v>1081.655</v>
      </c>
      <c r="S12">
        <v>1195.588</v>
      </c>
      <c r="T12">
        <f t="shared" si="7"/>
        <v>1219.4832562815384</v>
      </c>
    </row>
    <row r="13" spans="2:20" x14ac:dyDescent="0.25">
      <c r="B13">
        <v>10</v>
      </c>
      <c r="C13">
        <v>47.076999999999998</v>
      </c>
      <c r="D13">
        <v>73.010999999999996</v>
      </c>
      <c r="E13">
        <v>75.290000000000006</v>
      </c>
      <c r="F13">
        <v>52.911000000000001</v>
      </c>
      <c r="G13">
        <v>75.38</v>
      </c>
      <c r="H13">
        <f t="shared" si="0"/>
        <v>100.38</v>
      </c>
      <c r="I13">
        <f t="shared" si="1"/>
        <v>65.38</v>
      </c>
      <c r="J13" s="4">
        <v>-7447.835</v>
      </c>
      <c r="K13">
        <f>23603.445*0.2927</f>
        <v>6908.7283514999999</v>
      </c>
      <c r="L13">
        <f t="shared" si="2"/>
        <v>-539.10664850000012</v>
      </c>
      <c r="M13">
        <v>9</v>
      </c>
      <c r="N13">
        <f t="shared" si="3"/>
        <v>1078.5540000000001</v>
      </c>
      <c r="O13">
        <f t="shared" si="4"/>
        <v>0</v>
      </c>
      <c r="P13">
        <f t="shared" si="5"/>
        <v>5.3910664850000014</v>
      </c>
      <c r="Q13">
        <f t="shared" si="6"/>
        <v>145.31798922845135</v>
      </c>
      <c r="R13">
        <v>1078.5540000000001</v>
      </c>
      <c r="S13">
        <v>1205.0239999999999</v>
      </c>
      <c r="T13">
        <f t="shared" si="7"/>
        <v>1232.8719892284514</v>
      </c>
    </row>
    <row r="14" spans="2:20" x14ac:dyDescent="0.25">
      <c r="B14">
        <v>11</v>
      </c>
      <c r="C14">
        <v>47.131999999999998</v>
      </c>
      <c r="D14">
        <v>68.763000000000005</v>
      </c>
      <c r="E14">
        <v>76.466999999999999</v>
      </c>
      <c r="F14">
        <v>53.171999999999997</v>
      </c>
      <c r="G14">
        <v>76.38</v>
      </c>
      <c r="H14">
        <f t="shared" si="0"/>
        <v>101.38</v>
      </c>
      <c r="I14">
        <f t="shared" si="1"/>
        <v>66.38</v>
      </c>
      <c r="J14" s="4">
        <v>-7447.835</v>
      </c>
      <c r="K14">
        <f>24572.4*0.2927</f>
        <v>7192.341480000001</v>
      </c>
      <c r="L14">
        <f t="shared" si="2"/>
        <v>-255.49351999999908</v>
      </c>
      <c r="M14">
        <v>10</v>
      </c>
      <c r="N14">
        <f t="shared" si="3"/>
        <v>1084.952</v>
      </c>
      <c r="O14">
        <f t="shared" si="4"/>
        <v>0</v>
      </c>
      <c r="P14">
        <f t="shared" si="5"/>
        <v>2.5549351999999907</v>
      </c>
      <c r="Q14">
        <f t="shared" si="6"/>
        <v>32.638469380994962</v>
      </c>
      <c r="R14">
        <v>1084.952</v>
      </c>
      <c r="S14" s="8">
        <v>1119.0440000000001</v>
      </c>
      <c r="T14">
        <f t="shared" si="7"/>
        <v>1127.590469380995</v>
      </c>
    </row>
    <row r="15" spans="2:20" x14ac:dyDescent="0.25">
      <c r="B15">
        <v>12</v>
      </c>
      <c r="C15">
        <v>46.796999999999997</v>
      </c>
      <c r="D15">
        <v>68.905000000000001</v>
      </c>
      <c r="E15">
        <v>76.155000000000001</v>
      </c>
      <c r="F15">
        <v>52.884999999999998</v>
      </c>
      <c r="G15">
        <v>77.38</v>
      </c>
      <c r="H15">
        <f t="shared" si="0"/>
        <v>102.38</v>
      </c>
      <c r="I15">
        <f t="shared" si="1"/>
        <v>67.38</v>
      </c>
      <c r="J15" s="4">
        <v>-7447.835</v>
      </c>
      <c r="K15">
        <f>24543.32*0.2927</f>
        <v>7183.8297640000001</v>
      </c>
      <c r="L15">
        <f t="shared" si="2"/>
        <v>-264.00523599999997</v>
      </c>
      <c r="M15">
        <v>11</v>
      </c>
      <c r="N15">
        <f t="shared" si="3"/>
        <v>1086.2560000000001</v>
      </c>
      <c r="O15">
        <f t="shared" si="4"/>
        <v>0</v>
      </c>
      <c r="P15">
        <f t="shared" si="5"/>
        <v>2.6400523599999999</v>
      </c>
      <c r="Q15">
        <f t="shared" si="6"/>
        <v>34.849382317707843</v>
      </c>
      <c r="R15">
        <v>1086.2560000000001</v>
      </c>
      <c r="S15">
        <v>1122.23</v>
      </c>
      <c r="T15">
        <f t="shared" si="7"/>
        <v>1132.1053823177078</v>
      </c>
    </row>
    <row r="16" spans="2:20" x14ac:dyDescent="0.25">
      <c r="J16" s="4"/>
    </row>
    <row r="17" spans="10:10" x14ac:dyDescent="0.25">
      <c r="J17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9"/>
  <sheetViews>
    <sheetView topLeftCell="A3" workbookViewId="0">
      <selection activeCell="I27" sqref="I27"/>
    </sheetView>
  </sheetViews>
  <sheetFormatPr defaultRowHeight="15" x14ac:dyDescent="0.25"/>
  <sheetData>
    <row r="1" spans="2:19" x14ac:dyDescent="0.25">
      <c r="N1" t="s">
        <v>66</v>
      </c>
      <c r="S1" t="s">
        <v>70</v>
      </c>
    </row>
    <row r="2" spans="2:19" x14ac:dyDescent="0.25">
      <c r="B2" t="s">
        <v>51</v>
      </c>
      <c r="C2" t="s">
        <v>52</v>
      </c>
      <c r="D2" t="s">
        <v>52</v>
      </c>
      <c r="E2" t="s">
        <v>52</v>
      </c>
      <c r="F2" t="s">
        <v>52</v>
      </c>
      <c r="G2" t="s">
        <v>52</v>
      </c>
      <c r="H2" t="s">
        <v>53</v>
      </c>
      <c r="I2" t="s">
        <v>53</v>
      </c>
      <c r="J2" t="s">
        <v>53</v>
      </c>
      <c r="O2" t="s">
        <v>63</v>
      </c>
      <c r="P2" t="s">
        <v>53</v>
      </c>
      <c r="Q2" t="s">
        <v>53</v>
      </c>
      <c r="R2" t="s">
        <v>63</v>
      </c>
    </row>
    <row r="3" spans="2:19" x14ac:dyDescent="0.25">
      <c r="B3" t="s">
        <v>47</v>
      </c>
      <c r="C3" t="s">
        <v>61</v>
      </c>
      <c r="D3" t="s">
        <v>62</v>
      </c>
      <c r="E3" t="s">
        <v>4</v>
      </c>
      <c r="F3" t="s">
        <v>1</v>
      </c>
      <c r="G3" t="s">
        <v>58</v>
      </c>
      <c r="H3" t="s">
        <v>48</v>
      </c>
      <c r="I3" t="s">
        <v>49</v>
      </c>
      <c r="J3" t="s">
        <v>50</v>
      </c>
      <c r="K3" t="s">
        <v>54</v>
      </c>
      <c r="L3" t="s">
        <v>55</v>
      </c>
      <c r="M3" t="s">
        <v>56</v>
      </c>
      <c r="N3" t="s">
        <v>57</v>
      </c>
      <c r="O3" t="s">
        <v>57</v>
      </c>
      <c r="P3" t="s">
        <v>2</v>
      </c>
      <c r="Q3" t="s">
        <v>3</v>
      </c>
      <c r="R3" t="s">
        <v>64</v>
      </c>
    </row>
    <row r="4" spans="2:19" x14ac:dyDescent="0.25">
      <c r="B4">
        <v>1</v>
      </c>
      <c r="C4">
        <v>47.052</v>
      </c>
      <c r="D4">
        <v>68.751999999999995</v>
      </c>
      <c r="E4">
        <v>76.120999999999995</v>
      </c>
      <c r="F4">
        <v>53.156999999999996</v>
      </c>
      <c r="G4">
        <v>66.38</v>
      </c>
      <c r="H4" s="4">
        <v>-7447.835</v>
      </c>
      <c r="I4">
        <f>24221.666*0.2927</f>
        <v>7089.6816382000006</v>
      </c>
      <c r="J4">
        <f>I4+H4</f>
        <v>-358.1533617999994</v>
      </c>
      <c r="K4">
        <v>0</v>
      </c>
      <c r="L4">
        <f t="shared" ref="L4" si="0">P4</f>
        <v>1071.8140000000001</v>
      </c>
      <c r="M4">
        <f>0.9*((0))</f>
        <v>0</v>
      </c>
      <c r="N4">
        <f>0.01*ABS(J4)</f>
        <v>3.5815336179999941</v>
      </c>
      <c r="O4">
        <f>5*(0.01*ABS(J4))^2</f>
        <v>64.136915284320651</v>
      </c>
      <c r="P4">
        <v>1071.8140000000001</v>
      </c>
      <c r="Q4">
        <v>1144.4570000000001</v>
      </c>
      <c r="R4">
        <f>L4+K4+M4+O4</f>
        <v>1135.9509152843207</v>
      </c>
    </row>
    <row r="5" spans="2:19" x14ac:dyDescent="0.25">
      <c r="B5">
        <v>2</v>
      </c>
      <c r="C5">
        <v>47.122999999999998</v>
      </c>
      <c r="D5">
        <v>68.772999999999996</v>
      </c>
      <c r="E5">
        <v>76.444999999999993</v>
      </c>
      <c r="F5">
        <v>53.168999999999997</v>
      </c>
      <c r="G5">
        <v>66.38</v>
      </c>
      <c r="H5" s="4">
        <v>-7447.835</v>
      </c>
      <c r="I5">
        <f>24552.303*0.2927</f>
        <v>7186.4590881000004</v>
      </c>
      <c r="J5">
        <f t="shared" ref="J5:J19" si="1">I5+H5</f>
        <v>-261.37591189999966</v>
      </c>
      <c r="K5">
        <v>0</v>
      </c>
      <c r="L5">
        <f t="shared" ref="L5:L19" si="2">P5</f>
        <v>1084.1769999999999</v>
      </c>
      <c r="M5">
        <f t="shared" ref="M5:M19" si="3">0.9*((0))</f>
        <v>0</v>
      </c>
      <c r="N5">
        <f t="shared" ref="N5:N19" si="4">0.01*ABS(J5)</f>
        <v>2.6137591189999969</v>
      </c>
      <c r="O5">
        <f t="shared" ref="O5:O19" si="5">5*(0.01*ABS(J5))^2</f>
        <v>34.158683660778202</v>
      </c>
      <c r="P5">
        <v>1084.1769999999999</v>
      </c>
      <c r="Q5">
        <v>1126.3510000000001</v>
      </c>
      <c r="R5">
        <f t="shared" ref="R5:R19" si="6">L5+K5+M5+O5</f>
        <v>1118.3356836607782</v>
      </c>
    </row>
    <row r="6" spans="2:19" x14ac:dyDescent="0.25">
      <c r="B6">
        <v>3</v>
      </c>
      <c r="C6">
        <v>46.518000000000001</v>
      </c>
      <c r="D6">
        <v>68.986000000000004</v>
      </c>
      <c r="E6">
        <v>75.941000000000003</v>
      </c>
      <c r="F6">
        <v>52.566000000000003</v>
      </c>
      <c r="G6">
        <v>66.38</v>
      </c>
      <c r="H6" s="4">
        <v>-7447.835</v>
      </c>
      <c r="I6">
        <f>24664.498*0.2927</f>
        <v>7219.2985646000006</v>
      </c>
      <c r="J6">
        <f t="shared" si="1"/>
        <v>-228.53643539999939</v>
      </c>
      <c r="K6">
        <v>0</v>
      </c>
      <c r="L6">
        <f t="shared" si="2"/>
        <v>1096.1099999999999</v>
      </c>
      <c r="M6">
        <f t="shared" si="3"/>
        <v>0</v>
      </c>
      <c r="N6">
        <f t="shared" si="4"/>
        <v>2.2853643539999942</v>
      </c>
      <c r="O6">
        <f t="shared" si="5"/>
        <v>26.114451152669051</v>
      </c>
      <c r="P6">
        <v>1096.1099999999999</v>
      </c>
      <c r="Q6">
        <v>1130.0899999999999</v>
      </c>
      <c r="R6">
        <f t="shared" si="6"/>
        <v>1122.224451152669</v>
      </c>
    </row>
    <row r="7" spans="2:19" x14ac:dyDescent="0.25">
      <c r="B7">
        <v>4</v>
      </c>
      <c r="C7">
        <v>46.548000000000002</v>
      </c>
      <c r="D7">
        <v>68.787999999999997</v>
      </c>
      <c r="E7">
        <v>76.366</v>
      </c>
      <c r="F7">
        <v>52.59</v>
      </c>
      <c r="G7">
        <v>66.38</v>
      </c>
      <c r="H7" s="4">
        <v>-7447.835</v>
      </c>
      <c r="I7">
        <f>25076.031*0.2927</f>
        <v>7339.7542737000003</v>
      </c>
      <c r="J7">
        <f t="shared" si="1"/>
        <v>-108.0807262999997</v>
      </c>
      <c r="K7">
        <v>0</v>
      </c>
      <c r="L7">
        <f t="shared" si="2"/>
        <v>1108.6320000000001</v>
      </c>
      <c r="M7">
        <f t="shared" si="3"/>
        <v>0</v>
      </c>
      <c r="N7">
        <f t="shared" si="4"/>
        <v>1.080807262999997</v>
      </c>
      <c r="O7">
        <f t="shared" si="5"/>
        <v>5.8407216987677231</v>
      </c>
      <c r="P7">
        <v>1108.6320000000001</v>
      </c>
      <c r="Q7">
        <v>1121.8399999999999</v>
      </c>
      <c r="R7">
        <f t="shared" si="6"/>
        <v>1114.4727216987678</v>
      </c>
    </row>
    <row r="8" spans="2:19" x14ac:dyDescent="0.25">
      <c r="B8">
        <v>5</v>
      </c>
      <c r="C8">
        <v>46.08</v>
      </c>
      <c r="D8">
        <v>73.320999999999998</v>
      </c>
      <c r="E8">
        <v>75.427999999999997</v>
      </c>
      <c r="F8">
        <v>51.911000000000001</v>
      </c>
      <c r="G8">
        <v>66.38</v>
      </c>
      <c r="H8" s="4">
        <v>-7447.835</v>
      </c>
      <c r="I8">
        <f>24797.855*0.2927</f>
        <v>7258.3321585000003</v>
      </c>
      <c r="J8">
        <f t="shared" si="1"/>
        <v>-189.5028414999997</v>
      </c>
      <c r="K8">
        <v>0</v>
      </c>
      <c r="L8">
        <f t="shared" si="2"/>
        <v>1129.585</v>
      </c>
      <c r="M8">
        <f t="shared" si="3"/>
        <v>0</v>
      </c>
      <c r="N8">
        <f t="shared" si="4"/>
        <v>1.895028414999997</v>
      </c>
      <c r="O8">
        <f t="shared" si="5"/>
        <v>17.955663468287003</v>
      </c>
      <c r="P8">
        <v>1129.585</v>
      </c>
      <c r="Q8">
        <v>1155.963</v>
      </c>
      <c r="R8">
        <f t="shared" si="6"/>
        <v>1147.540663468287</v>
      </c>
    </row>
    <row r="9" spans="2:19" x14ac:dyDescent="0.25">
      <c r="B9">
        <v>6</v>
      </c>
      <c r="C9">
        <v>45.85</v>
      </c>
      <c r="D9">
        <v>73.403000000000006</v>
      </c>
      <c r="E9">
        <v>75.484999999999999</v>
      </c>
      <c r="F9">
        <v>51.552999999999997</v>
      </c>
      <c r="G9">
        <v>66.38</v>
      </c>
      <c r="H9" s="4">
        <v>-7447.835</v>
      </c>
      <c r="I9">
        <f>25100.852*0.2927</f>
        <v>7347.0193804</v>
      </c>
      <c r="J9">
        <f t="shared" si="1"/>
        <v>-100.81561959999999</v>
      </c>
      <c r="K9">
        <v>0</v>
      </c>
      <c r="L9">
        <f t="shared" si="2"/>
        <v>1142.1300000000001</v>
      </c>
      <c r="M9">
        <f t="shared" si="3"/>
        <v>0</v>
      </c>
      <c r="N9">
        <f t="shared" si="4"/>
        <v>1.0081561959999998</v>
      </c>
      <c r="O9">
        <f t="shared" si="5"/>
        <v>5.0818945776659508</v>
      </c>
      <c r="P9">
        <v>1142.1300000000001</v>
      </c>
      <c r="Q9">
        <v>1155.1890000000001</v>
      </c>
      <c r="R9">
        <f t="shared" si="6"/>
        <v>1147.211894577666</v>
      </c>
    </row>
    <row r="10" spans="2:19" x14ac:dyDescent="0.25">
      <c r="B10">
        <v>7</v>
      </c>
      <c r="C10">
        <v>46.097999999999999</v>
      </c>
      <c r="D10">
        <v>69.119</v>
      </c>
      <c r="E10">
        <v>76.132000000000005</v>
      </c>
      <c r="F10">
        <v>52.164999999999999</v>
      </c>
      <c r="G10">
        <v>66.38</v>
      </c>
      <c r="H10" s="4">
        <v>-7447.835</v>
      </c>
      <c r="I10">
        <f>25274.273*0.2927</f>
        <v>7397.7797071000005</v>
      </c>
      <c r="J10" s="6">
        <f t="shared" si="1"/>
        <v>-50.055292899999586</v>
      </c>
      <c r="K10">
        <v>0</v>
      </c>
      <c r="L10">
        <f t="shared" si="2"/>
        <v>1121.0650000000001</v>
      </c>
      <c r="M10">
        <f t="shared" si="3"/>
        <v>0</v>
      </c>
      <c r="N10">
        <f t="shared" si="4"/>
        <v>0.50055292899999582</v>
      </c>
      <c r="O10">
        <f t="shared" si="5"/>
        <v>1.2527661736523743</v>
      </c>
      <c r="P10">
        <v>1121.0650000000001</v>
      </c>
      <c r="Q10">
        <v>1129.3240000000001</v>
      </c>
      <c r="R10">
        <f t="shared" si="6"/>
        <v>1122.3177661736524</v>
      </c>
    </row>
    <row r="11" spans="2:19" x14ac:dyDescent="0.25">
      <c r="B11">
        <v>8</v>
      </c>
      <c r="C11">
        <v>46.362000000000002</v>
      </c>
      <c r="D11">
        <v>73.17</v>
      </c>
      <c r="E11">
        <v>75.212000000000003</v>
      </c>
      <c r="F11">
        <v>52.188000000000002</v>
      </c>
      <c r="G11">
        <v>66.38</v>
      </c>
      <c r="H11" s="4">
        <v>-7447.835</v>
      </c>
      <c r="I11">
        <f>24278.197*0.2927</f>
        <v>7106.2282619000007</v>
      </c>
      <c r="J11">
        <f t="shared" si="1"/>
        <v>-341.60673809999935</v>
      </c>
      <c r="K11">
        <v>0</v>
      </c>
      <c r="L11">
        <f t="shared" si="2"/>
        <v>1110.547</v>
      </c>
      <c r="M11">
        <f t="shared" si="3"/>
        <v>0</v>
      </c>
      <c r="N11">
        <f t="shared" si="4"/>
        <v>3.4160673809999937</v>
      </c>
      <c r="O11">
        <f t="shared" si="5"/>
        <v>58.347581757660777</v>
      </c>
      <c r="P11">
        <v>1110.547</v>
      </c>
      <c r="Q11">
        <v>1178.17</v>
      </c>
      <c r="R11">
        <f t="shared" si="6"/>
        <v>1168.8945817576607</v>
      </c>
    </row>
    <row r="12" spans="2:19" x14ac:dyDescent="0.25">
      <c r="B12">
        <v>9</v>
      </c>
      <c r="C12">
        <v>46.68</v>
      </c>
      <c r="D12">
        <v>68.823999999999998</v>
      </c>
      <c r="E12">
        <v>76.372</v>
      </c>
      <c r="F12">
        <v>52.728000000000002</v>
      </c>
      <c r="G12">
        <v>66.38</v>
      </c>
      <c r="H12" s="4">
        <v>-7447.835</v>
      </c>
      <c r="I12">
        <f>24937.453*0.2927</f>
        <v>7299.1924931000012</v>
      </c>
      <c r="J12">
        <f t="shared" si="1"/>
        <v>-148.64250689999881</v>
      </c>
      <c r="K12">
        <v>0</v>
      </c>
      <c r="L12">
        <f t="shared" si="2"/>
        <v>1102.479</v>
      </c>
      <c r="M12">
        <f t="shared" si="3"/>
        <v>0</v>
      </c>
      <c r="N12">
        <f t="shared" si="4"/>
        <v>1.4864250689999881</v>
      </c>
      <c r="O12">
        <f t="shared" si="5"/>
        <v>11.047297428758096</v>
      </c>
      <c r="P12">
        <v>1102.479</v>
      </c>
      <c r="Q12" s="6">
        <v>1121.07</v>
      </c>
      <c r="R12">
        <f t="shared" si="6"/>
        <v>1113.5262974287582</v>
      </c>
    </row>
    <row r="13" spans="2:19" x14ac:dyDescent="0.25">
      <c r="B13">
        <v>10</v>
      </c>
      <c r="C13">
        <v>46.720999999999997</v>
      </c>
      <c r="D13">
        <v>69.019000000000005</v>
      </c>
      <c r="E13">
        <v>76.147999999999996</v>
      </c>
      <c r="F13">
        <v>52.805</v>
      </c>
      <c r="G13">
        <v>66.38</v>
      </c>
      <c r="H13" s="4">
        <v>-7447.835</v>
      </c>
      <c r="I13">
        <f>24618.035*0.2927</f>
        <v>7205.6988445000006</v>
      </c>
      <c r="J13">
        <f t="shared" si="1"/>
        <v>-242.1361554999994</v>
      </c>
      <c r="K13">
        <v>0</v>
      </c>
      <c r="L13">
        <f t="shared" si="2"/>
        <v>1091.4649999999999</v>
      </c>
      <c r="M13">
        <f t="shared" si="3"/>
        <v>0</v>
      </c>
      <c r="N13">
        <f t="shared" si="4"/>
        <v>2.4213615549999941</v>
      </c>
      <c r="O13">
        <f t="shared" si="5"/>
        <v>29.314958900159947</v>
      </c>
      <c r="P13">
        <v>1091.4649999999999</v>
      </c>
      <c r="Q13">
        <v>1128.117</v>
      </c>
      <c r="R13">
        <f t="shared" si="6"/>
        <v>1120.77995890016</v>
      </c>
    </row>
    <row r="14" spans="2:19" x14ac:dyDescent="0.25">
      <c r="B14">
        <v>11</v>
      </c>
      <c r="C14">
        <v>46.890999999999998</v>
      </c>
      <c r="D14">
        <v>73.106999999999999</v>
      </c>
      <c r="E14">
        <v>75.463999999999999</v>
      </c>
      <c r="F14">
        <v>52.703000000000003</v>
      </c>
      <c r="G14">
        <v>66.38</v>
      </c>
      <c r="H14" s="4">
        <v>-7447.835</v>
      </c>
      <c r="I14">
        <f>24004.498*0.2927</f>
        <v>7026.1165645999999</v>
      </c>
      <c r="J14">
        <f t="shared" si="1"/>
        <v>-421.71843540000009</v>
      </c>
      <c r="K14">
        <v>0</v>
      </c>
      <c r="L14">
        <f t="shared" si="2"/>
        <v>1095.3720000000001</v>
      </c>
      <c r="M14">
        <f t="shared" si="3"/>
        <v>0</v>
      </c>
      <c r="N14">
        <f t="shared" si="4"/>
        <v>4.2171843540000014</v>
      </c>
      <c r="O14">
        <f t="shared" si="5"/>
        <v>88.923219378112037</v>
      </c>
      <c r="P14">
        <v>1095.3720000000001</v>
      </c>
      <c r="Q14">
        <v>1193.9380000000001</v>
      </c>
      <c r="R14">
        <f t="shared" si="6"/>
        <v>1184.2952193781121</v>
      </c>
    </row>
    <row r="15" spans="2:19" x14ac:dyDescent="0.25">
      <c r="B15">
        <v>12</v>
      </c>
      <c r="C15">
        <v>46.503999999999998</v>
      </c>
      <c r="D15">
        <v>72.274000000000001</v>
      </c>
      <c r="E15">
        <v>75.789000000000001</v>
      </c>
      <c r="F15">
        <v>52.462000000000003</v>
      </c>
      <c r="G15">
        <v>66.38</v>
      </c>
      <c r="H15" s="4">
        <v>-7447.835</v>
      </c>
      <c r="I15">
        <f>24606.035*0.2927</f>
        <v>7202.1864445000001</v>
      </c>
      <c r="J15">
        <f t="shared" si="1"/>
        <v>-245.64855549999993</v>
      </c>
      <c r="K15">
        <v>0</v>
      </c>
      <c r="L15">
        <f t="shared" si="2"/>
        <v>1103.896</v>
      </c>
      <c r="M15">
        <f t="shared" si="3"/>
        <v>0</v>
      </c>
      <c r="N15">
        <f t="shared" si="4"/>
        <v>2.4564855549999995</v>
      </c>
      <c r="O15">
        <f t="shared" si="5"/>
        <v>30.171606409618278</v>
      </c>
      <c r="P15">
        <v>1103.896</v>
      </c>
      <c r="Q15">
        <v>1142.3320000000001</v>
      </c>
      <c r="R15">
        <f t="shared" si="6"/>
        <v>1134.0676064096183</v>
      </c>
    </row>
    <row r="16" spans="2:19" x14ac:dyDescent="0.25">
      <c r="B16">
        <v>13</v>
      </c>
      <c r="C16">
        <v>46.383000000000003</v>
      </c>
      <c r="D16">
        <v>68.957999999999998</v>
      </c>
      <c r="E16">
        <v>75.941000000000003</v>
      </c>
      <c r="F16">
        <v>52.454000000000001</v>
      </c>
      <c r="G16">
        <v>66.38</v>
      </c>
      <c r="H16" s="4">
        <v>-7447.835</v>
      </c>
      <c r="I16">
        <f>24781.723*0.2927</f>
        <v>7253.6103221000012</v>
      </c>
      <c r="J16">
        <f t="shared" si="1"/>
        <v>-194.22467789999882</v>
      </c>
      <c r="K16">
        <v>0</v>
      </c>
      <c r="L16">
        <f t="shared" si="2"/>
        <v>1100.6869999999999</v>
      </c>
      <c r="M16">
        <f t="shared" si="3"/>
        <v>0</v>
      </c>
      <c r="N16">
        <f t="shared" si="4"/>
        <v>1.9422467789999882</v>
      </c>
      <c r="O16">
        <f t="shared" si="5"/>
        <v>18.861612752679143</v>
      </c>
      <c r="P16">
        <v>1100.6869999999999</v>
      </c>
      <c r="Q16">
        <v>1127.297</v>
      </c>
      <c r="R16">
        <f t="shared" si="6"/>
        <v>1119.548612752679</v>
      </c>
    </row>
    <row r="17" spans="2:18" x14ac:dyDescent="0.25">
      <c r="B17">
        <v>14</v>
      </c>
      <c r="C17">
        <v>46.58</v>
      </c>
      <c r="D17">
        <v>73.159000000000006</v>
      </c>
      <c r="E17">
        <v>75.322999999999993</v>
      </c>
      <c r="F17">
        <v>52.43</v>
      </c>
      <c r="G17">
        <v>66.38</v>
      </c>
      <c r="H17" s="4">
        <v>-7447.835</v>
      </c>
      <c r="I17">
        <f>24142.746*0.2927</f>
        <v>7066.5817542000004</v>
      </c>
      <c r="J17">
        <f t="shared" si="1"/>
        <v>-381.2532457999996</v>
      </c>
      <c r="K17">
        <v>0</v>
      </c>
      <c r="L17">
        <f t="shared" si="2"/>
        <v>1100.3309999999999</v>
      </c>
      <c r="M17">
        <f t="shared" si="3"/>
        <v>0</v>
      </c>
      <c r="N17">
        <f t="shared" si="4"/>
        <v>3.8125324579999962</v>
      </c>
      <c r="O17">
        <f t="shared" si="5"/>
        <v>72.677018716517466</v>
      </c>
      <c r="P17">
        <v>1100.3309999999999</v>
      </c>
      <c r="Q17">
        <v>1182.347</v>
      </c>
      <c r="R17">
        <f t="shared" si="6"/>
        <v>1173.0080187165174</v>
      </c>
    </row>
    <row r="18" spans="2:18" x14ac:dyDescent="0.25">
      <c r="B18">
        <v>15</v>
      </c>
      <c r="C18">
        <v>46.332000000000001</v>
      </c>
      <c r="D18">
        <v>69.004000000000005</v>
      </c>
      <c r="E18">
        <v>75.941000000000003</v>
      </c>
      <c r="F18">
        <v>52.418999999999997</v>
      </c>
      <c r="G18">
        <v>66.38</v>
      </c>
      <c r="H18" s="4">
        <v>-7447.835</v>
      </c>
      <c r="I18">
        <f>24817.01*0.2927</f>
        <v>7263.9388269999999</v>
      </c>
      <c r="J18">
        <f t="shared" si="1"/>
        <v>-183.89617300000009</v>
      </c>
      <c r="K18">
        <v>0</v>
      </c>
      <c r="L18">
        <f t="shared" si="2"/>
        <v>1101.4190000000001</v>
      </c>
      <c r="M18">
        <f t="shared" si="3"/>
        <v>0</v>
      </c>
      <c r="N18">
        <f t="shared" si="4"/>
        <v>1.838961730000001</v>
      </c>
      <c r="O18">
        <f t="shared" si="5"/>
        <v>16.908901222022983</v>
      </c>
      <c r="P18">
        <v>1101.4190000000001</v>
      </c>
      <c r="Q18">
        <v>1126.076</v>
      </c>
      <c r="R18">
        <f t="shared" si="6"/>
        <v>1118.327901222023</v>
      </c>
    </row>
    <row r="19" spans="2:18" x14ac:dyDescent="0.25">
      <c r="B19">
        <v>16</v>
      </c>
      <c r="C19">
        <v>46.235999999999997</v>
      </c>
      <c r="D19">
        <v>69.058000000000007</v>
      </c>
      <c r="E19">
        <v>75.635999999999996</v>
      </c>
      <c r="F19">
        <v>52.212000000000003</v>
      </c>
      <c r="G19">
        <v>66.38</v>
      </c>
      <c r="H19" s="4">
        <v>-7447.835</v>
      </c>
      <c r="I19">
        <f>24691.623*0.2927</f>
        <v>7227.2380521000005</v>
      </c>
      <c r="J19">
        <f t="shared" si="1"/>
        <v>-220.59694789999958</v>
      </c>
      <c r="K19">
        <v>0</v>
      </c>
      <c r="L19">
        <f t="shared" si="2"/>
        <v>1103.5519999999999</v>
      </c>
      <c r="M19">
        <f t="shared" si="3"/>
        <v>0</v>
      </c>
      <c r="N19">
        <f t="shared" si="4"/>
        <v>2.2059694789999957</v>
      </c>
      <c r="O19">
        <f t="shared" si="5"/>
        <v>24.331506711397562</v>
      </c>
      <c r="P19">
        <v>1103.5519999999999</v>
      </c>
      <c r="Q19">
        <v>1135.318</v>
      </c>
      <c r="R19">
        <f t="shared" si="6"/>
        <v>1127.8835067113976</v>
      </c>
    </row>
    <row r="21" spans="2:18" x14ac:dyDescent="0.25">
      <c r="N21" t="s">
        <v>67</v>
      </c>
    </row>
    <row r="22" spans="2:18" x14ac:dyDescent="0.25">
      <c r="B22" t="s">
        <v>51</v>
      </c>
      <c r="C22" t="s">
        <v>52</v>
      </c>
      <c r="D22" t="s">
        <v>52</v>
      </c>
      <c r="E22" t="s">
        <v>52</v>
      </c>
      <c r="F22" t="s">
        <v>52</v>
      </c>
      <c r="G22" t="s">
        <v>52</v>
      </c>
      <c r="H22" t="s">
        <v>53</v>
      </c>
      <c r="I22" t="s">
        <v>53</v>
      </c>
      <c r="J22" t="s">
        <v>53</v>
      </c>
      <c r="O22" t="s">
        <v>63</v>
      </c>
      <c r="P22" t="s">
        <v>53</v>
      </c>
      <c r="Q22" t="s">
        <v>53</v>
      </c>
      <c r="R22" t="s">
        <v>63</v>
      </c>
    </row>
    <row r="23" spans="2:18" x14ac:dyDescent="0.25">
      <c r="B23" t="s">
        <v>47</v>
      </c>
      <c r="C23" t="s">
        <v>61</v>
      </c>
      <c r="D23" t="s">
        <v>62</v>
      </c>
      <c r="E23" t="s">
        <v>4</v>
      </c>
      <c r="F23" t="s">
        <v>1</v>
      </c>
      <c r="G23" t="s">
        <v>58</v>
      </c>
      <c r="H23" t="s">
        <v>48</v>
      </c>
      <c r="I23" t="s">
        <v>49</v>
      </c>
      <c r="J23" t="s">
        <v>50</v>
      </c>
      <c r="K23" t="s">
        <v>54</v>
      </c>
      <c r="L23" t="s">
        <v>55</v>
      </c>
      <c r="M23" t="s">
        <v>56</v>
      </c>
      <c r="N23" t="s">
        <v>57</v>
      </c>
      <c r="O23" t="s">
        <v>57</v>
      </c>
      <c r="P23" t="s">
        <v>2</v>
      </c>
      <c r="Q23" t="s">
        <v>3</v>
      </c>
      <c r="R23" t="s">
        <v>64</v>
      </c>
    </row>
    <row r="24" spans="2:18" x14ac:dyDescent="0.25">
      <c r="B24">
        <v>1</v>
      </c>
      <c r="C24">
        <v>47.052</v>
      </c>
      <c r="D24">
        <v>68.751999999999995</v>
      </c>
      <c r="E24">
        <v>76.120999999999995</v>
      </c>
      <c r="F24">
        <v>53.156999999999996</v>
      </c>
      <c r="G24">
        <v>66.38</v>
      </c>
      <c r="H24" s="4">
        <v>-7447.835</v>
      </c>
      <c r="I24">
        <f>24221.666*0.2927</f>
        <v>7089.6816382000006</v>
      </c>
      <c r="J24">
        <f>I24+H24</f>
        <v>-358.1533617999994</v>
      </c>
      <c r="K24">
        <v>0</v>
      </c>
      <c r="L24">
        <f t="shared" ref="L24:L39" si="7">P24</f>
        <v>1071.8140000000001</v>
      </c>
      <c r="M24">
        <f>0.9*((0))</f>
        <v>0</v>
      </c>
      <c r="N24">
        <f>0.01*ABS(J24)</f>
        <v>3.5815336179999941</v>
      </c>
      <c r="O24">
        <f>5*(0.01*ABS(J24))^2</f>
        <v>64.136915284320651</v>
      </c>
      <c r="P24">
        <v>1071.8140000000001</v>
      </c>
      <c r="Q24">
        <v>1144.4570000000001</v>
      </c>
      <c r="R24">
        <f>L24+K24+M24+O24</f>
        <v>1135.9509152843207</v>
      </c>
    </row>
    <row r="25" spans="2:18" x14ac:dyDescent="0.25">
      <c r="B25">
        <v>2</v>
      </c>
      <c r="C25">
        <v>47.122999999999998</v>
      </c>
      <c r="D25">
        <v>68.772999999999996</v>
      </c>
      <c r="E25">
        <v>76.444999999999993</v>
      </c>
      <c r="F25">
        <v>53.168999999999997</v>
      </c>
      <c r="G25">
        <v>66.38</v>
      </c>
      <c r="H25" s="4">
        <v>-7447.835</v>
      </c>
      <c r="I25">
        <f>24552.303*0.2927</f>
        <v>7186.4590881000004</v>
      </c>
      <c r="J25">
        <f t="shared" ref="J25:J39" si="8">I25+H25</f>
        <v>-261.37591189999966</v>
      </c>
      <c r="K25">
        <v>0</v>
      </c>
      <c r="L25">
        <f t="shared" si="7"/>
        <v>1084.1769999999999</v>
      </c>
      <c r="M25">
        <f t="shared" ref="M25:M39" si="9">0.9*((0))</f>
        <v>0</v>
      </c>
      <c r="N25">
        <f t="shared" ref="N25:N39" si="10">0.01*ABS(J25)</f>
        <v>2.6137591189999969</v>
      </c>
      <c r="O25">
        <f t="shared" ref="O25:O39" si="11">5*(0.01*ABS(J25))^2</f>
        <v>34.158683660778202</v>
      </c>
      <c r="P25">
        <v>1084.1769999999999</v>
      </c>
      <c r="Q25">
        <v>1119.519</v>
      </c>
      <c r="R25">
        <f t="shared" ref="R25:R39" si="12">L25+K25+M25+O25</f>
        <v>1118.3356836607782</v>
      </c>
    </row>
    <row r="26" spans="2:18" x14ac:dyDescent="0.25">
      <c r="B26">
        <v>3</v>
      </c>
      <c r="C26">
        <v>46.518000000000001</v>
      </c>
      <c r="D26">
        <v>68.986000000000004</v>
      </c>
      <c r="E26">
        <v>75.941000000000003</v>
      </c>
      <c r="F26">
        <v>52.566000000000003</v>
      </c>
      <c r="G26">
        <v>66.38</v>
      </c>
      <c r="H26" s="4">
        <v>-7447.835</v>
      </c>
      <c r="I26">
        <f>24664.498*0.2927</f>
        <v>7219.2985646000006</v>
      </c>
      <c r="J26">
        <f t="shared" si="8"/>
        <v>-228.53643539999939</v>
      </c>
      <c r="K26">
        <v>0</v>
      </c>
      <c r="L26">
        <f t="shared" si="7"/>
        <v>1096.1099999999999</v>
      </c>
      <c r="M26">
        <f t="shared" si="9"/>
        <v>0</v>
      </c>
      <c r="N26">
        <f t="shared" si="10"/>
        <v>2.2853643539999942</v>
      </c>
      <c r="O26">
        <f t="shared" si="11"/>
        <v>26.114451152669051</v>
      </c>
      <c r="P26">
        <v>1096.1099999999999</v>
      </c>
      <c r="Q26">
        <v>1124.866</v>
      </c>
      <c r="R26">
        <f t="shared" si="12"/>
        <v>1122.224451152669</v>
      </c>
    </row>
    <row r="27" spans="2:18" x14ac:dyDescent="0.25">
      <c r="B27">
        <v>4</v>
      </c>
      <c r="C27">
        <v>46.548000000000002</v>
      </c>
      <c r="D27">
        <v>68.787999999999997</v>
      </c>
      <c r="E27">
        <v>76.366</v>
      </c>
      <c r="F27">
        <v>52.59</v>
      </c>
      <c r="G27">
        <v>66.38</v>
      </c>
      <c r="H27" s="4">
        <v>-7447.835</v>
      </c>
      <c r="I27">
        <f>25076.031*0.2927</f>
        <v>7339.7542737000003</v>
      </c>
      <c r="J27" s="6">
        <f t="shared" si="8"/>
        <v>-108.0807262999997</v>
      </c>
      <c r="K27">
        <v>0</v>
      </c>
      <c r="L27">
        <f t="shared" si="7"/>
        <v>1108.6320000000001</v>
      </c>
      <c r="M27">
        <f t="shared" si="9"/>
        <v>0</v>
      </c>
      <c r="N27">
        <f t="shared" si="10"/>
        <v>1.080807262999997</v>
      </c>
      <c r="O27">
        <f t="shared" si="11"/>
        <v>5.8407216987677231</v>
      </c>
      <c r="P27">
        <v>1108.6320000000001</v>
      </c>
      <c r="Q27">
        <v>1120.672</v>
      </c>
      <c r="R27">
        <f t="shared" si="12"/>
        <v>1114.4727216987678</v>
      </c>
    </row>
    <row r="28" spans="2:18" x14ac:dyDescent="0.25">
      <c r="B28">
        <v>5</v>
      </c>
      <c r="C28">
        <v>46.720999999999997</v>
      </c>
      <c r="D28">
        <v>69.019000000000005</v>
      </c>
      <c r="E28">
        <v>46.146000000000001</v>
      </c>
      <c r="F28">
        <v>52.805</v>
      </c>
      <c r="G28">
        <v>66.38</v>
      </c>
      <c r="H28" s="4">
        <v>-7447.835</v>
      </c>
      <c r="I28">
        <f>24618.035*0.2927</f>
        <v>7205.6988445000006</v>
      </c>
      <c r="J28">
        <f t="shared" si="8"/>
        <v>-242.1361554999994</v>
      </c>
      <c r="K28">
        <v>0</v>
      </c>
      <c r="L28">
        <f t="shared" si="7"/>
        <v>1091.4649999999999</v>
      </c>
      <c r="M28">
        <f t="shared" si="9"/>
        <v>0</v>
      </c>
      <c r="N28">
        <f t="shared" si="10"/>
        <v>2.4213615549999941</v>
      </c>
      <c r="O28">
        <f t="shared" si="11"/>
        <v>29.314958900159947</v>
      </c>
      <c r="P28">
        <v>1091.4649999999999</v>
      </c>
      <c r="Q28">
        <v>1122.2539999999999</v>
      </c>
      <c r="R28">
        <f t="shared" si="12"/>
        <v>1120.77995890016</v>
      </c>
    </row>
    <row r="29" spans="2:18" x14ac:dyDescent="0.25">
      <c r="B29">
        <v>6</v>
      </c>
      <c r="C29">
        <v>47.054000000000002</v>
      </c>
      <c r="D29">
        <v>72.975999999999999</v>
      </c>
      <c r="E29">
        <v>75.224999999999994</v>
      </c>
      <c r="F29">
        <v>52.930999999999997</v>
      </c>
      <c r="G29">
        <v>66.38</v>
      </c>
      <c r="H29" s="4">
        <v>-7447.835</v>
      </c>
      <c r="I29">
        <f>23511.826*0.2927</f>
        <v>6881.9114702000006</v>
      </c>
      <c r="J29">
        <f t="shared" si="8"/>
        <v>-565.92352979999941</v>
      </c>
      <c r="K29">
        <v>0</v>
      </c>
      <c r="L29">
        <f t="shared" si="7"/>
        <v>1073.924</v>
      </c>
      <c r="M29">
        <f t="shared" si="9"/>
        <v>0</v>
      </c>
      <c r="N29">
        <f t="shared" si="10"/>
        <v>5.6592352979999943</v>
      </c>
      <c r="O29">
        <f t="shared" si="11"/>
        <v>160.13472079064542</v>
      </c>
      <c r="P29">
        <v>1073.924</v>
      </c>
      <c r="Q29">
        <v>1212.462</v>
      </c>
      <c r="R29">
        <f t="shared" si="12"/>
        <v>1234.0587207906453</v>
      </c>
    </row>
    <row r="30" spans="2:18" x14ac:dyDescent="0.25">
      <c r="B30">
        <v>7</v>
      </c>
      <c r="C30">
        <v>46.78</v>
      </c>
      <c r="D30">
        <v>69.069000000000003</v>
      </c>
      <c r="E30">
        <v>76.138000000000005</v>
      </c>
      <c r="F30">
        <v>52.865000000000002</v>
      </c>
      <c r="G30">
        <v>66.38</v>
      </c>
      <c r="H30" s="4">
        <v>-7447.835</v>
      </c>
      <c r="I30">
        <f>24546.205*0.2927</f>
        <v>7184.6742035000007</v>
      </c>
      <c r="J30" s="3">
        <f t="shared" si="8"/>
        <v>-263.16079649999938</v>
      </c>
      <c r="K30">
        <v>0</v>
      </c>
      <c r="L30">
        <f t="shared" si="7"/>
        <v>1086.941</v>
      </c>
      <c r="M30">
        <f t="shared" si="9"/>
        <v>0</v>
      </c>
      <c r="N30">
        <f t="shared" si="10"/>
        <v>2.6316079649999939</v>
      </c>
      <c r="O30">
        <f t="shared" si="11"/>
        <v>34.626802407257046</v>
      </c>
      <c r="P30">
        <v>1086.941</v>
      </c>
      <c r="Q30">
        <v>1122.76</v>
      </c>
      <c r="R30">
        <f t="shared" si="12"/>
        <v>1121.567802407257</v>
      </c>
    </row>
    <row r="31" spans="2:18" x14ac:dyDescent="0.25">
      <c r="B31">
        <v>8</v>
      </c>
      <c r="C31">
        <v>47.095999999999997</v>
      </c>
      <c r="D31">
        <v>68.760000000000005</v>
      </c>
      <c r="E31">
        <v>76.364999999999995</v>
      </c>
      <c r="F31">
        <v>53.161000000000001</v>
      </c>
      <c r="G31">
        <v>66.38</v>
      </c>
      <c r="H31" s="4">
        <v>-7447.835</v>
      </c>
      <c r="I31">
        <f>24475.947*0.2927</f>
        <v>7164.1096869000003</v>
      </c>
      <c r="J31">
        <f t="shared" si="8"/>
        <v>-283.72531309999977</v>
      </c>
      <c r="K31">
        <v>0</v>
      </c>
      <c r="L31">
        <f t="shared" si="7"/>
        <v>1081.07</v>
      </c>
      <c r="M31">
        <f t="shared" si="9"/>
        <v>0</v>
      </c>
      <c r="N31">
        <f t="shared" si="10"/>
        <v>2.8372531309999975</v>
      </c>
      <c r="O31">
        <f t="shared" si="11"/>
        <v>40.25002664684645</v>
      </c>
      <c r="P31">
        <v>1081.07</v>
      </c>
      <c r="Q31">
        <v>1121.414</v>
      </c>
      <c r="R31">
        <f t="shared" si="12"/>
        <v>1121.3200266468464</v>
      </c>
    </row>
    <row r="32" spans="2:18" x14ac:dyDescent="0.25">
      <c r="B32">
        <v>9</v>
      </c>
      <c r="C32">
        <v>47.098999999999997</v>
      </c>
      <c r="D32">
        <v>73.034999999999997</v>
      </c>
      <c r="E32">
        <v>75.402000000000001</v>
      </c>
      <c r="F32">
        <v>52.927</v>
      </c>
      <c r="G32">
        <v>66.38</v>
      </c>
      <c r="H32" s="4">
        <v>-7447.835</v>
      </c>
      <c r="I32">
        <f>23704.373*0.2927</f>
        <v>6938.2699771000007</v>
      </c>
      <c r="J32">
        <f t="shared" si="8"/>
        <v>-509.56502289999935</v>
      </c>
      <c r="K32">
        <v>0</v>
      </c>
      <c r="L32">
        <f t="shared" si="7"/>
        <v>1081.655</v>
      </c>
      <c r="M32">
        <f t="shared" si="9"/>
        <v>0</v>
      </c>
      <c r="N32">
        <f t="shared" si="10"/>
        <v>5.0956502289999932</v>
      </c>
      <c r="O32">
        <f t="shared" si="11"/>
        <v>129.82825628153842</v>
      </c>
      <c r="P32">
        <v>1081.655</v>
      </c>
      <c r="Q32" s="3">
        <v>1195.5889999999999</v>
      </c>
      <c r="R32">
        <f t="shared" si="12"/>
        <v>1211.4832562815384</v>
      </c>
    </row>
    <row r="33" spans="2:18" x14ac:dyDescent="0.25">
      <c r="B33">
        <v>10</v>
      </c>
      <c r="C33">
        <v>47.076999999999998</v>
      </c>
      <c r="D33">
        <v>73.010999999999996</v>
      </c>
      <c r="E33">
        <v>75.290000000000006</v>
      </c>
      <c r="F33">
        <v>52.911000000000001</v>
      </c>
      <c r="G33">
        <v>66.38</v>
      </c>
      <c r="H33" s="4">
        <v>-7447.835</v>
      </c>
      <c r="I33">
        <f>23603.445*0.2927</f>
        <v>6908.7283514999999</v>
      </c>
      <c r="J33">
        <f t="shared" si="8"/>
        <v>-539.10664850000012</v>
      </c>
      <c r="K33">
        <v>0</v>
      </c>
      <c r="L33">
        <f t="shared" si="7"/>
        <v>1078.5540000000001</v>
      </c>
      <c r="M33">
        <f t="shared" si="9"/>
        <v>0</v>
      </c>
      <c r="N33">
        <f t="shared" si="10"/>
        <v>5.3910664850000014</v>
      </c>
      <c r="O33">
        <f t="shared" si="11"/>
        <v>145.31798922845135</v>
      </c>
      <c r="P33">
        <v>1078.5540000000001</v>
      </c>
      <c r="Q33">
        <v>1205.0260000000001</v>
      </c>
      <c r="R33">
        <f t="shared" si="12"/>
        <v>1223.8719892284514</v>
      </c>
    </row>
    <row r="34" spans="2:18" x14ac:dyDescent="0.25">
      <c r="B34">
        <v>11</v>
      </c>
      <c r="C34">
        <v>47.131999999999998</v>
      </c>
      <c r="D34">
        <v>68.763000000000005</v>
      </c>
      <c r="E34">
        <v>76.466999999999999</v>
      </c>
      <c r="F34">
        <v>53.171999999999997</v>
      </c>
      <c r="G34">
        <v>66.38</v>
      </c>
      <c r="H34" s="4">
        <v>-7447.835</v>
      </c>
      <c r="I34">
        <f>24572.4*0.2927</f>
        <v>7192.341480000001</v>
      </c>
      <c r="J34">
        <f t="shared" si="8"/>
        <v>-255.49351999999908</v>
      </c>
      <c r="K34">
        <v>0</v>
      </c>
      <c r="L34">
        <f t="shared" si="7"/>
        <v>1084.952</v>
      </c>
      <c r="M34">
        <f t="shared" si="9"/>
        <v>0</v>
      </c>
      <c r="N34">
        <f t="shared" si="10"/>
        <v>2.5549351999999907</v>
      </c>
      <c r="O34">
        <f t="shared" si="11"/>
        <v>32.638469380994962</v>
      </c>
      <c r="P34">
        <v>1084.952</v>
      </c>
      <c r="Q34" s="6">
        <v>1119.0450000000001</v>
      </c>
      <c r="R34">
        <f t="shared" si="12"/>
        <v>1117.590469380995</v>
      </c>
    </row>
    <row r="35" spans="2:18" x14ac:dyDescent="0.25">
      <c r="B35">
        <v>12</v>
      </c>
      <c r="C35">
        <v>46.796999999999997</v>
      </c>
      <c r="D35">
        <v>68.905000000000001</v>
      </c>
      <c r="E35">
        <v>76.155000000000001</v>
      </c>
      <c r="F35">
        <v>52.884999999999998</v>
      </c>
      <c r="G35">
        <v>66.38</v>
      </c>
      <c r="H35" s="4">
        <v>-7447.835</v>
      </c>
      <c r="I35">
        <f>24543.32*0.2927</f>
        <v>7183.8297640000001</v>
      </c>
      <c r="J35">
        <f t="shared" si="8"/>
        <v>-264.00523599999997</v>
      </c>
      <c r="K35">
        <v>0</v>
      </c>
      <c r="L35">
        <f t="shared" si="7"/>
        <v>1086.2560000000001</v>
      </c>
      <c r="M35">
        <f t="shared" si="9"/>
        <v>0</v>
      </c>
      <c r="N35">
        <f t="shared" si="10"/>
        <v>2.6400523599999999</v>
      </c>
      <c r="O35">
        <f t="shared" si="11"/>
        <v>34.849382317707843</v>
      </c>
      <c r="P35">
        <v>1086.2560000000001</v>
      </c>
      <c r="Q35">
        <v>1122.231</v>
      </c>
      <c r="R35">
        <f t="shared" si="12"/>
        <v>1121.1053823177078</v>
      </c>
    </row>
    <row r="36" spans="2:18" x14ac:dyDescent="0.25">
      <c r="H36" s="4"/>
    </row>
    <row r="37" spans="2:18" x14ac:dyDescent="0.25">
      <c r="H37" s="4"/>
    </row>
    <row r="38" spans="2:18" x14ac:dyDescent="0.25">
      <c r="H38" s="4"/>
    </row>
    <row r="39" spans="2:18" x14ac:dyDescent="0.25">
      <c r="H3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 1</vt:lpstr>
      <vt:lpstr>Case 2</vt:lpstr>
      <vt:lpstr>Case 3</vt:lpstr>
      <vt:lpstr>Case 4</vt:lpstr>
      <vt:lpstr>List of Functions Tried</vt:lpstr>
      <vt:lpstr>1916 Case</vt:lpstr>
      <vt:lpstr>11216 Case</vt:lpstr>
      <vt:lpstr>13016 Case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lab303user</dc:creator>
  <cp:lastModifiedBy>lab303user</cp:lastModifiedBy>
  <dcterms:created xsi:type="dcterms:W3CDTF">2015-09-19T17:47:39Z</dcterms:created>
  <dcterms:modified xsi:type="dcterms:W3CDTF">2016-01-30T22:24:29Z</dcterms:modified>
</cp:coreProperties>
</file>