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F36A8E6E-4C0D-3C41-A84B-2164FB2EAC61}" xr6:coauthVersionLast="46" xr6:coauthVersionMax="46" xr10:uidLastSave="{00000000-0000-0000-0000-000000000000}"/>
  <bookViews>
    <workbookView xWindow="0" yWindow="0" windowWidth="25600" windowHeight="16000" xr2:uid="{B6BB8298-A629-8447-9521-9D78FEDA0B7F}"/>
  </bookViews>
  <sheets>
    <sheet name="记录仪" sheetId="2" r:id="rId1"/>
    <sheet name="驾驶舱" sheetId="4" r:id="rId2"/>
    <sheet name="MVRV研究室" sheetId="1" r:id="rId3"/>
    <sheet name="S2F研究室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E7" i="5"/>
  <c r="F7" i="5"/>
  <c r="G7" i="5"/>
  <c r="H7" i="5"/>
  <c r="I7" i="5"/>
  <c r="J7" i="5"/>
  <c r="K7" i="5"/>
  <c r="D8" i="5"/>
  <c r="D10" i="5" s="1"/>
  <c r="E8" i="5"/>
  <c r="F8" i="5"/>
  <c r="F9" i="5" s="1"/>
  <c r="G8" i="5"/>
  <c r="G9" i="5" s="1"/>
  <c r="H8" i="5"/>
  <c r="H10" i="5" s="1"/>
  <c r="I8" i="5"/>
  <c r="J8" i="5"/>
  <c r="K8" i="5"/>
  <c r="K9" i="5" s="1"/>
  <c r="E9" i="5"/>
  <c r="I9" i="5"/>
  <c r="J9" i="5"/>
  <c r="E10" i="5"/>
  <c r="E11" i="5" s="1"/>
  <c r="F10" i="5"/>
  <c r="I10" i="5"/>
  <c r="J10" i="5"/>
  <c r="K10" i="5"/>
  <c r="I11" i="5"/>
  <c r="J11" i="5"/>
  <c r="H11" i="2"/>
  <c r="H12" i="2" s="1"/>
  <c r="G11" i="2"/>
  <c r="D11" i="2"/>
  <c r="H9" i="2"/>
  <c r="H10" i="2"/>
  <c r="H23" i="2"/>
  <c r="H20" i="2"/>
  <c r="H18" i="2"/>
  <c r="H25" i="2" s="1"/>
  <c r="G9" i="2"/>
  <c r="G10" i="2"/>
  <c r="G12" i="2" s="1"/>
  <c r="D8" i="2"/>
  <c r="I7" i="1"/>
  <c r="I3" i="1"/>
  <c r="L9" i="4"/>
  <c r="D5" i="2"/>
  <c r="G18" i="2"/>
  <c r="G23" i="2"/>
  <c r="G20" i="2"/>
  <c r="F20" i="2"/>
  <c r="F23" i="2"/>
  <c r="E23" i="2"/>
  <c r="E20" i="2"/>
  <c r="E18" i="2"/>
  <c r="E25" i="2" s="1"/>
  <c r="E28" i="2" s="1"/>
  <c r="D13" i="2"/>
  <c r="E14" i="4" s="1"/>
  <c r="D14" i="2"/>
  <c r="E18" i="4" s="1"/>
  <c r="D15" i="2"/>
  <c r="J18" i="4" s="1"/>
  <c r="D16" i="2"/>
  <c r="D17" i="2"/>
  <c r="D19" i="2"/>
  <c r="K16" i="4" s="1"/>
  <c r="D21" i="2"/>
  <c r="D22" i="2"/>
  <c r="F18" i="2"/>
  <c r="D7" i="2"/>
  <c r="E13" i="4" s="1"/>
  <c r="E25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K11" i="5" l="1"/>
  <c r="F11" i="5"/>
  <c r="G10" i="5"/>
  <c r="G11" i="5" s="1"/>
  <c r="H11" i="5"/>
  <c r="D11" i="5"/>
  <c r="H9" i="5"/>
  <c r="N9" i="5" s="1"/>
  <c r="D9" i="2"/>
  <c r="H24" i="2"/>
  <c r="H27" i="2" s="1"/>
  <c r="H28" i="2"/>
  <c r="P9" i="4"/>
  <c r="E26" i="4"/>
  <c r="E30" i="4" s="1"/>
  <c r="E24" i="4"/>
  <c r="E24" i="2"/>
  <c r="E27" i="2" s="1"/>
  <c r="G25" i="2"/>
  <c r="AB6" i="1"/>
  <c r="X6" i="1"/>
  <c r="T6" i="1"/>
  <c r="P6" i="1"/>
  <c r="V8" i="1"/>
  <c r="V6" i="1" s="1"/>
  <c r="R8" i="1"/>
  <c r="N8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M18" i="4"/>
  <c r="D18" i="2"/>
  <c r="F25" i="2"/>
  <c r="D23" i="2"/>
  <c r="D20" i="2"/>
  <c r="J16" i="4"/>
  <c r="J20" i="4"/>
  <c r="J17" i="4"/>
  <c r="K15" i="4"/>
  <c r="J19" i="4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L9" i="5" l="1"/>
  <c r="E27" i="4"/>
  <c r="F24" i="4" s="1"/>
  <c r="E28" i="4"/>
  <c r="F24" i="2"/>
  <c r="F27" i="2" s="1"/>
  <c r="F28" i="2"/>
  <c r="G24" i="2"/>
  <c r="G27" i="2" s="1"/>
  <c r="D27" i="2" s="1"/>
  <c r="G28" i="2"/>
  <c r="D25" i="2"/>
  <c r="D24" i="2" s="1"/>
  <c r="V10" i="1"/>
  <c r="B9" i="1"/>
  <c r="B10" i="1"/>
  <c r="M6" i="1"/>
  <c r="M10" i="1" s="1"/>
  <c r="J21" i="4"/>
  <c r="K17" i="4"/>
  <c r="J15" i="4"/>
  <c r="K18" i="4"/>
  <c r="K20" i="4"/>
  <c r="K19" i="4"/>
  <c r="E29" i="4" l="1"/>
  <c r="J36" i="4"/>
  <c r="K36" i="4" s="1"/>
  <c r="K21" i="4"/>
  <c r="J22" i="4"/>
  <c r="J23" i="4"/>
  <c r="L36" i="4" l="1"/>
  <c r="N36" i="4" s="1"/>
  <c r="O36" i="4"/>
  <c r="O35" i="4"/>
  <c r="E21" i="4"/>
  <c r="Q15" i="4"/>
  <c r="L21" i="4"/>
  <c r="Q14" i="4"/>
  <c r="K22" i="4"/>
  <c r="K23" i="4"/>
  <c r="M36" i="4" l="1"/>
  <c r="D6" i="2"/>
  <c r="D4" i="2"/>
  <c r="R9" i="4" s="1"/>
  <c r="E32" i="4" s="1"/>
  <c r="G32" i="4" s="1"/>
  <c r="Q9" i="4" l="1"/>
  <c r="D10" i="2"/>
  <c r="D12" i="2" s="1"/>
  <c r="E31" i="4" s="1"/>
  <c r="F31" i="4" s="1"/>
  <c r="G31" i="4" s="1"/>
  <c r="G33" i="4" s="1"/>
  <c r="H31" i="4" s="1"/>
  <c r="D28" i="2"/>
  <c r="D26" i="2"/>
  <c r="I8" i="1"/>
  <c r="I9" i="1" s="1"/>
  <c r="I5" i="1"/>
  <c r="I31" i="4" l="1"/>
  <c r="J31" i="4" s="1"/>
  <c r="K31" i="4" s="1"/>
  <c r="N31" i="4" s="1"/>
  <c r="O31" i="4" s="1"/>
  <c r="H32" i="4"/>
  <c r="I32" i="4" s="1"/>
  <c r="J32" i="4" s="1"/>
  <c r="I24" i="4"/>
  <c r="J24" i="4" s="1"/>
  <c r="I6" i="1"/>
  <c r="I10" i="1" s="1"/>
  <c r="L31" i="4" l="1"/>
  <c r="M31" i="4" s="1"/>
  <c r="L32" i="4"/>
  <c r="K32" i="4"/>
  <c r="J34" i="4"/>
  <c r="J35" i="4" s="1"/>
  <c r="K35" i="4" s="1"/>
  <c r="L24" i="4"/>
  <c r="M24" i="4" s="1"/>
  <c r="K24" i="4"/>
  <c r="N24" i="4" s="1"/>
  <c r="O24" i="4" s="1"/>
  <c r="M32" i="4" l="1"/>
  <c r="N32" i="4"/>
  <c r="O32" i="4" s="1"/>
  <c r="L35" i="4"/>
  <c r="N35" i="4" l="1"/>
  <c r="M35" i="4"/>
</calcChain>
</file>

<file path=xl/sharedStrings.xml><?xml version="1.0" encoding="utf-8"?>
<sst xmlns="http://schemas.openxmlformats.org/spreadsheetml/2006/main" count="170" uniqueCount="111">
  <si>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</si>
  <si>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</si>
  <si>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</si>
  <si>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</si>
  <si>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</si>
  <si>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</si>
  <si>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</si>
  <si>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</si>
  <si>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</si>
  <si>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</si>
  <si>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</si>
  <si>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</si>
  <si>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</si>
  <si>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</si>
  <si>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</si>
  <si>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</si>
  <si>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</si>
  <si>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</si>
  <si>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</si>
  <si>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</si>
  <si>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</si>
  <si>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</si>
  <si>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</si>
  <si>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</si>
  <si>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</si>
  <si>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</si>
  <si>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</si>
  <si>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</si>
  <si>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</si>
  <si>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</si>
  <si>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</si>
  <si>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</si>
  <si>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</si>
  <si>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</si>
  <si>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</si>
  <si>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</si>
  <si>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</si>
  <si>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</si>
  <si>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</si>
  <si>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</si>
  <si>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</si>
  <si>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</si>
  <si>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</si>
  <si>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</si>
  <si>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</si>
  <si>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</si>
  <si>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</si>
  <si>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</si>
  <si>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</si>
  <si>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</si>
  <si>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</si>
  <si>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</si>
  <si>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</si>
  <si>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</si>
  <si>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</si>
  <si>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</si>
  <si>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</si>
  <si>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</si>
  <si>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</si>
  <si>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</si>
  <si>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</si>
  <si>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</si>
  <si>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</si>
  <si>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</si>
  <si>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</si>
  <si>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</si>
  <si>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</si>
  <si>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</si>
  <si>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</si>
  <si>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</si>
  <si>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</si>
  <si>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</si>
  <si>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</si>
  <si>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</si>
  <si>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</si>
  <si>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</si>
  <si>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</si>
  <si>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</si>
  <si>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</si>
  <si>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</si>
  <si>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</si>
  <si>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</si>
  <si>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</si>
  <si>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</si>
  <si>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</si>
  <si>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</si>
  <si>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</si>
  <si>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</si>
  <si>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</si>
  <si>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</si>
  <si>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</si>
  <si>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</si>
  <si>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</si>
  <si>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</si>
  <si>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</si>
  <si>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</si>
  <si>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</si>
  <si>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</si>
  <si>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</si>
  <si>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</si>
  <si>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</si>
  <si>
    <t>牛熊指数</t>
    <phoneticPr fontId="1" type="noConversion"/>
  </si>
  <si>
    <t>价格</t>
    <phoneticPr fontId="1" type="noConversion"/>
  </si>
  <si>
    <t>S2F处理</t>
    <phoneticPr fontId="1" type="noConversion"/>
  </si>
  <si>
    <t>MVRV处理</t>
    <phoneticPr fontId="1" type="noConversion"/>
  </si>
  <si>
    <t>S2F处理2</t>
    <phoneticPr fontId="1" type="noConversion"/>
  </si>
  <si>
    <t>BTC牛熊指数</t>
    <phoneticPr fontId="1" type="noConversion"/>
  </si>
  <si>
    <t>LN(S2F处理*A)</t>
    <phoneticPr fontId="1" type="noConversion"/>
  </si>
  <si>
    <t>A</t>
    <phoneticPr fontId="1" type="noConversion"/>
  </si>
  <si>
    <t>B</t>
    <phoneticPr fontId="1" type="noConversion"/>
  </si>
  <si>
    <t>误差度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</si>
</sst>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 tint="0.499984740745262"/>
      <name val="等线"/>
      <family val="2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BFFF"/>
        <bgColor indexed="64"/>
      </patternFill>
    </fill>
  </fills>
  <borders count="10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0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8" fillId="5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13" borderId="4" xfId="0" applyNumberFormat="1" applyFill="1" applyBorder="1">
      <alignment vertical="center"/>
    </xf>
    <xf numFmtId="177" fontId="17" fillId="13" borderId="4" xfId="0" applyNumberFormat="1" applyFont="1" applyFill="1" applyBorder="1">
      <alignment vertical="center"/>
    </xf>
    <xf numFmtId="177" fontId="17" fillId="2" borderId="4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8" fillId="13" borderId="5" xfId="0" applyNumberFormat="1" applyFont="1" applyFill="1" applyBorder="1">
      <alignment vertical="center"/>
    </xf>
    <xf numFmtId="177" fontId="16" fillId="7" borderId="13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4" xfId="0" applyNumberFormat="1" applyFill="1" applyBorder="1">
      <alignment vertical="center"/>
    </xf>
    <xf numFmtId="179" fontId="0" fillId="2" borderId="4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4" xfId="1" applyNumberFormat="1" applyFill="1" applyBorder="1">
      <alignment vertical="center"/>
    </xf>
    <xf numFmtId="0" fontId="9" fillId="2" borderId="15" xfId="1" applyFill="1" applyBorder="1" applyAlignment="1">
      <alignment horizontal="center" vertical="center" wrapText="1"/>
    </xf>
    <xf numFmtId="0" fontId="9" fillId="2" borderId="16" xfId="1" applyFill="1" applyBorder="1" applyAlignment="1">
      <alignment horizontal="center" vertical="center" wrapText="1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9" fillId="2" borderId="14" xfId="1" applyFill="1" applyBorder="1" applyAlignment="1">
      <alignment horizontal="center" vertical="center" wrapText="1"/>
    </xf>
    <xf numFmtId="177" fontId="18" fillId="12" borderId="21" xfId="0" applyNumberFormat="1" applyFont="1" applyFill="1" applyBorder="1" applyAlignment="1">
      <alignment horizontal="center" vertical="center"/>
    </xf>
    <xf numFmtId="177" fontId="22" fillId="10" borderId="23" xfId="0" applyNumberFormat="1" applyFont="1" applyFill="1" applyBorder="1">
      <alignment vertical="center"/>
    </xf>
    <xf numFmtId="177" fontId="18" fillId="12" borderId="22" xfId="0" applyNumberFormat="1" applyFont="1" applyFill="1" applyBorder="1" applyAlignment="1">
      <alignment horizontal="center" vertical="center"/>
    </xf>
    <xf numFmtId="176" fontId="0" fillId="13" borderId="4" xfId="0" applyNumberFormat="1" applyFill="1" applyBorder="1" applyAlignment="1">
      <alignment horizontal="right" vertical="center"/>
    </xf>
    <xf numFmtId="176" fontId="0" fillId="13" borderId="33" xfId="0" applyNumberFormat="1" applyFill="1" applyBorder="1" applyAlignment="1">
      <alignment horizontal="right" vertical="center"/>
    </xf>
    <xf numFmtId="177" fontId="0" fillId="13" borderId="36" xfId="0" applyNumberFormat="1" applyFill="1" applyBorder="1" applyAlignment="1">
      <alignment horizontal="center" vertical="center"/>
    </xf>
    <xf numFmtId="177" fontId="0" fillId="13" borderId="37" xfId="0" applyNumberFormat="1" applyFill="1" applyBorder="1" applyAlignment="1">
      <alignment horizontal="center" vertical="center"/>
    </xf>
    <xf numFmtId="177" fontId="16" fillId="7" borderId="36" xfId="0" applyNumberFormat="1" applyFont="1" applyFill="1" applyBorder="1" applyAlignment="1">
      <alignment horizontal="center" vertical="center"/>
    </xf>
    <xf numFmtId="177" fontId="8" fillId="13" borderId="6" xfId="0" applyNumberFormat="1" applyFont="1" applyFill="1" applyBorder="1">
      <alignment vertical="center"/>
    </xf>
    <xf numFmtId="177" fontId="0" fillId="9" borderId="30" xfId="0" applyNumberFormat="1" applyFill="1" applyBorder="1" applyAlignment="1">
      <alignment horizontal="center" vertical="center"/>
    </xf>
    <xf numFmtId="177" fontId="0" fillId="8" borderId="31" xfId="0" applyNumberFormat="1" applyFill="1" applyBorder="1" applyAlignment="1">
      <alignment horizontal="center" vertical="center"/>
    </xf>
    <xf numFmtId="177" fontId="24" fillId="0" borderId="0" xfId="0" applyNumberFormat="1" applyFont="1" applyFill="1" applyBorder="1">
      <alignment vertical="center"/>
    </xf>
    <xf numFmtId="0" fontId="0" fillId="13" borderId="0" xfId="0" applyFont="1" applyFill="1" applyBorder="1">
      <alignment vertical="center"/>
    </xf>
    <xf numFmtId="0" fontId="0" fillId="2" borderId="42" xfId="0" applyFill="1" applyBorder="1" applyAlignment="1">
      <alignment horizontal="center" vertical="center" wrapText="1"/>
    </xf>
    <xf numFmtId="179" fontId="0" fillId="5" borderId="46" xfId="0" applyNumberFormat="1" applyFill="1" applyBorder="1">
      <alignment vertical="center"/>
    </xf>
    <xf numFmtId="179" fontId="0" fillId="13" borderId="46" xfId="0" applyNumberFormat="1" applyFill="1" applyBorder="1">
      <alignment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5" borderId="49" xfId="0" applyFill="1" applyBorder="1">
      <alignment vertical="center"/>
    </xf>
    <xf numFmtId="0" fontId="0" fillId="5" borderId="47" xfId="0" applyFill="1" applyBorder="1">
      <alignment vertical="center"/>
    </xf>
    <xf numFmtId="177" fontId="15" fillId="13" borderId="20" xfId="0" applyNumberFormat="1" applyFont="1" applyFill="1" applyBorder="1">
      <alignment vertical="center"/>
    </xf>
    <xf numFmtId="177" fontId="15" fillId="18" borderId="39" xfId="0" applyNumberFormat="1" applyFont="1" applyFill="1" applyBorder="1">
      <alignment vertical="center"/>
    </xf>
    <xf numFmtId="177" fontId="15" fillId="18" borderId="50" xfId="0" applyNumberFormat="1" applyFont="1" applyFill="1" applyBorder="1">
      <alignment vertical="center"/>
    </xf>
    <xf numFmtId="177" fontId="15" fillId="18" borderId="51" xfId="0" applyNumberFormat="1" applyFont="1" applyFill="1" applyBorder="1">
      <alignment vertical="center"/>
    </xf>
    <xf numFmtId="0" fontId="3" fillId="13" borderId="0" xfId="0" applyFont="1" applyFill="1">
      <alignment vertical="center"/>
    </xf>
    <xf numFmtId="0" fontId="5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7" fillId="0" borderId="0" xfId="0" applyFont="1" applyFill="1">
      <alignment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10" fillId="3" borderId="53" xfId="0" applyNumberFormat="1" applyFont="1" applyFill="1" applyBorder="1" applyAlignment="1">
      <alignment vertical="center"/>
    </xf>
    <xf numFmtId="177" fontId="11" fillId="3" borderId="54" xfId="0" applyNumberFormat="1" applyFont="1" applyFill="1" applyBorder="1" applyAlignment="1">
      <alignment vertical="center"/>
    </xf>
    <xf numFmtId="177" fontId="13" fillId="4" borderId="55" xfId="0" applyNumberFormat="1" applyFont="1" applyFill="1" applyBorder="1" applyAlignment="1">
      <alignment vertical="center"/>
    </xf>
    <xf numFmtId="177" fontId="12" fillId="4" borderId="30" xfId="0" applyNumberFormat="1" applyFont="1" applyFill="1" applyBorder="1" applyAlignment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60" xfId="0" applyNumberFormat="1" applyFont="1" applyFill="1" applyBorder="1">
      <alignment vertical="center"/>
    </xf>
    <xf numFmtId="177" fontId="12" fillId="4" borderId="31" xfId="0" applyNumberFormat="1" applyFont="1" applyFill="1" applyBorder="1">
      <alignment vertical="center"/>
    </xf>
    <xf numFmtId="177" fontId="12" fillId="4" borderId="61" xfId="0" applyNumberFormat="1" applyFont="1" applyFill="1" applyBorder="1" applyAlignment="1">
      <alignment vertical="center"/>
    </xf>
    <xf numFmtId="177" fontId="0" fillId="22" borderId="0" xfId="0" applyNumberFormat="1" applyFill="1">
      <alignment vertical="center"/>
    </xf>
    <xf numFmtId="177" fontId="18" fillId="22" borderId="0" xfId="0" applyNumberFormat="1" applyFont="1" applyFill="1" applyBorder="1" applyAlignment="1">
      <alignment vertical="center"/>
    </xf>
    <xf numFmtId="177" fontId="0" fillId="22" borderId="0" xfId="0" applyNumberFormat="1" applyFill="1" applyBorder="1">
      <alignment vertical="center"/>
    </xf>
    <xf numFmtId="178" fontId="18" fillId="22" borderId="0" xfId="0" applyNumberFormat="1" applyFont="1" applyFill="1" applyBorder="1" applyAlignment="1">
      <alignment horizontal="center" vertical="center"/>
    </xf>
    <xf numFmtId="177" fontId="15" fillId="22" borderId="0" xfId="0" applyNumberFormat="1" applyFont="1" applyFill="1" applyBorder="1" applyAlignment="1">
      <alignment vertical="center"/>
    </xf>
    <xf numFmtId="177" fontId="15" fillId="22" borderId="0" xfId="0" applyNumberFormat="1" applyFont="1" applyFill="1" applyBorder="1">
      <alignment vertical="center"/>
    </xf>
    <xf numFmtId="177" fontId="8" fillId="22" borderId="0" xfId="0" applyNumberFormat="1" applyFont="1" applyFill="1" applyBorder="1" applyAlignment="1">
      <alignment vertical="center"/>
    </xf>
    <xf numFmtId="177" fontId="14" fillId="22" borderId="0" xfId="0" applyNumberFormat="1" applyFont="1" applyFill="1" applyBorder="1" applyAlignment="1">
      <alignment vertical="center"/>
    </xf>
    <xf numFmtId="177" fontId="10" fillId="22" borderId="56" xfId="0" applyNumberFormat="1" applyFont="1" applyFill="1" applyBorder="1" applyAlignment="1">
      <alignment vertical="center"/>
    </xf>
    <xf numFmtId="177" fontId="11" fillId="22" borderId="0" xfId="0" applyNumberFormat="1" applyFont="1" applyFill="1" applyBorder="1" applyAlignment="1">
      <alignment vertical="center"/>
    </xf>
    <xf numFmtId="177" fontId="13" fillId="22" borderId="0" xfId="0" applyNumberFormat="1" applyFont="1" applyFill="1" applyBorder="1" applyAlignment="1">
      <alignment vertical="center"/>
    </xf>
    <xf numFmtId="177" fontId="12" fillId="22" borderId="0" xfId="0" applyNumberFormat="1" applyFont="1" applyFill="1" applyBorder="1" applyAlignment="1">
      <alignment vertical="center"/>
    </xf>
    <xf numFmtId="0" fontId="0" fillId="22" borderId="0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 wrapText="1"/>
    </xf>
    <xf numFmtId="0" fontId="0" fillId="22" borderId="46" xfId="0" applyFill="1" applyBorder="1">
      <alignment vertical="center"/>
    </xf>
    <xf numFmtId="0" fontId="0" fillId="22" borderId="0" xfId="0" applyFont="1" applyFill="1" applyBorder="1">
      <alignment vertical="center"/>
    </xf>
    <xf numFmtId="0" fontId="0" fillId="22" borderId="0" xfId="0" applyFill="1" applyBorder="1">
      <alignment vertical="center"/>
    </xf>
    <xf numFmtId="0" fontId="0" fillId="22" borderId="0" xfId="0" applyFill="1">
      <alignment vertical="center"/>
    </xf>
    <xf numFmtId="0" fontId="0" fillId="22" borderId="42" xfId="0" applyFont="1" applyFill="1" applyBorder="1" applyAlignment="1">
      <alignment horizontal="center" vertical="center" wrapText="1"/>
    </xf>
    <xf numFmtId="0" fontId="17" fillId="22" borderId="46" xfId="0" applyFont="1" applyFill="1" applyBorder="1">
      <alignment vertical="center"/>
    </xf>
    <xf numFmtId="0" fontId="0" fillId="22" borderId="43" xfId="0" applyFont="1" applyFill="1" applyBorder="1" applyAlignment="1">
      <alignment horizontal="center" vertical="center" wrapText="1"/>
    </xf>
    <xf numFmtId="179" fontId="17" fillId="22" borderId="47" xfId="0" applyNumberFormat="1" applyFont="1" applyFill="1" applyBorder="1">
      <alignment vertical="center"/>
    </xf>
    <xf numFmtId="177" fontId="0" fillId="22" borderId="0" xfId="0" applyNumberFormat="1" applyFont="1" applyFill="1" applyBorder="1">
      <alignment vertical="center"/>
    </xf>
    <xf numFmtId="177" fontId="24" fillId="22" borderId="0" xfId="0" applyNumberFormat="1" applyFont="1" applyFill="1" applyBorder="1">
      <alignment vertical="center"/>
    </xf>
    <xf numFmtId="177" fontId="18" fillId="22" borderId="0" xfId="0" applyNumberFormat="1" applyFont="1" applyFill="1" applyBorder="1" applyAlignment="1">
      <alignment horizontal="center" vertical="center"/>
    </xf>
    <xf numFmtId="177" fontId="0" fillId="16" borderId="7" xfId="0" applyNumberFormat="1" applyFill="1" applyBorder="1">
      <alignment vertical="center"/>
    </xf>
    <xf numFmtId="177" fontId="0" fillId="16" borderId="36" xfId="0" applyNumberFormat="1" applyFill="1" applyBorder="1">
      <alignment vertical="center"/>
    </xf>
    <xf numFmtId="177" fontId="15" fillId="16" borderId="4" xfId="0" applyNumberFormat="1" applyFont="1" applyFill="1" applyBorder="1">
      <alignment vertical="center"/>
    </xf>
    <xf numFmtId="177" fontId="8" fillId="16" borderId="6" xfId="0" applyNumberFormat="1" applyFont="1" applyFill="1" applyBorder="1">
      <alignment vertical="center"/>
    </xf>
    <xf numFmtId="177" fontId="15" fillId="22" borderId="0" xfId="0" applyNumberFormat="1" applyFont="1" applyFill="1" applyBorder="1" applyAlignment="1">
      <alignment horizontal="center" vertical="center"/>
    </xf>
    <xf numFmtId="177" fontId="15" fillId="22" borderId="11" xfId="0" applyNumberFormat="1" applyFont="1" applyFill="1" applyBorder="1">
      <alignment vertical="center"/>
    </xf>
    <xf numFmtId="177" fontId="8" fillId="22" borderId="24" xfId="0" applyNumberFormat="1" applyFont="1" applyFill="1" applyBorder="1">
      <alignment vertical="center"/>
    </xf>
    <xf numFmtId="177" fontId="10" fillId="22" borderId="0" xfId="0" applyNumberFormat="1" applyFont="1" applyFill="1" applyBorder="1">
      <alignment vertical="center"/>
    </xf>
    <xf numFmtId="177" fontId="11" fillId="22" borderId="0" xfId="0" applyNumberFormat="1" applyFont="1" applyFill="1" applyBorder="1">
      <alignment vertical="center"/>
    </xf>
    <xf numFmtId="177" fontId="13" fillId="22" borderId="0" xfId="0" applyNumberFormat="1" applyFont="1" applyFill="1" applyBorder="1">
      <alignment vertical="center"/>
    </xf>
    <xf numFmtId="177" fontId="12" fillId="22" borderId="0" xfId="0" applyNumberFormat="1" applyFont="1" applyFill="1" applyBorder="1">
      <alignment vertical="center"/>
    </xf>
    <xf numFmtId="0" fontId="0" fillId="15" borderId="0" xfId="0" applyFill="1">
      <alignment vertical="center"/>
    </xf>
    <xf numFmtId="0" fontId="0" fillId="15" borderId="0" xfId="0" applyFill="1" applyBorder="1">
      <alignment vertical="center"/>
    </xf>
    <xf numFmtId="0" fontId="7" fillId="15" borderId="0" xfId="0" applyFont="1" applyFill="1" applyBorder="1">
      <alignment vertical="center"/>
    </xf>
    <xf numFmtId="177" fontId="15" fillId="15" borderId="0" xfId="0" applyNumberFormat="1" applyFont="1" applyFill="1" applyBorder="1">
      <alignment vertical="center"/>
    </xf>
    <xf numFmtId="0" fontId="0" fillId="15" borderId="10" xfId="0" applyFill="1" applyBorder="1">
      <alignment vertical="center"/>
    </xf>
    <xf numFmtId="0" fontId="0" fillId="15" borderId="42" xfId="0" applyFill="1" applyBorder="1" applyAlignment="1">
      <alignment horizontal="center" vertical="center" wrapText="1"/>
    </xf>
    <xf numFmtId="0" fontId="0" fillId="15" borderId="46" xfId="0" applyFill="1" applyBorder="1">
      <alignment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179" fontId="0" fillId="15" borderId="3" xfId="0" applyNumberFormat="1" applyFill="1" applyBorder="1">
      <alignment vertical="center"/>
    </xf>
    <xf numFmtId="0" fontId="0" fillId="15" borderId="10" xfId="0" applyFont="1" applyFill="1" applyBorder="1">
      <alignment vertical="center"/>
    </xf>
    <xf numFmtId="179" fontId="17" fillId="15" borderId="3" xfId="0" applyNumberFormat="1" applyFon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5" xfId="0" applyNumberFormat="1" applyFill="1" applyBorder="1">
      <alignment vertical="center"/>
    </xf>
    <xf numFmtId="177" fontId="0" fillId="22" borderId="52" xfId="0" applyNumberFormat="1" applyFill="1" applyBorder="1">
      <alignment vertical="center"/>
    </xf>
    <xf numFmtId="177" fontId="0" fillId="22" borderId="57" xfId="0" applyNumberFormat="1" applyFill="1" applyBorder="1">
      <alignment vertical="center"/>
    </xf>
    <xf numFmtId="178" fontId="18" fillId="22" borderId="57" xfId="0" applyNumberFormat="1" applyFont="1" applyFill="1" applyBorder="1" applyAlignment="1">
      <alignment horizontal="center" vertical="center"/>
    </xf>
    <xf numFmtId="177" fontId="10" fillId="22" borderId="58" xfId="0" applyNumberFormat="1" applyFont="1" applyFill="1" applyBorder="1" applyAlignment="1">
      <alignment vertical="center"/>
    </xf>
    <xf numFmtId="177" fontId="11" fillId="22" borderId="60" xfId="0" applyNumberFormat="1" applyFont="1" applyFill="1" applyBorder="1" applyAlignment="1">
      <alignment vertical="center"/>
    </xf>
    <xf numFmtId="177" fontId="13" fillId="22" borderId="60" xfId="0" applyNumberFormat="1" applyFont="1" applyFill="1" applyBorder="1" applyAlignment="1">
      <alignment vertical="center"/>
    </xf>
    <xf numFmtId="177" fontId="12" fillId="22" borderId="60" xfId="0" applyNumberFormat="1" applyFont="1" applyFill="1" applyBorder="1" applyAlignment="1">
      <alignment vertical="center"/>
    </xf>
    <xf numFmtId="177" fontId="0" fillId="22" borderId="31" xfId="0" applyNumberFormat="1" applyFill="1" applyBorder="1">
      <alignment vertical="center"/>
    </xf>
    <xf numFmtId="177" fontId="0" fillId="22" borderId="0" xfId="0" applyNumberFormat="1" applyFill="1" applyBorder="1" applyAlignment="1">
      <alignment horizontal="center" vertical="center"/>
    </xf>
    <xf numFmtId="178" fontId="18" fillId="11" borderId="52" xfId="0" applyNumberFormat="1" applyFont="1" applyFill="1" applyBorder="1" applyAlignment="1">
      <alignment horizontal="center" vertical="center"/>
    </xf>
    <xf numFmtId="178" fontId="18" fillId="11" borderId="62" xfId="0" applyNumberFormat="1" applyFont="1" applyFill="1" applyBorder="1" applyAlignment="1">
      <alignment horizontal="center" vertical="center"/>
    </xf>
    <xf numFmtId="177" fontId="0" fillId="7" borderId="63" xfId="0" applyNumberFormat="1" applyFont="1" applyFill="1" applyBorder="1">
      <alignment vertical="center"/>
    </xf>
    <xf numFmtId="177" fontId="0" fillId="14" borderId="63" xfId="0" applyNumberFormat="1" applyFont="1" applyFill="1" applyBorder="1">
      <alignment vertical="center"/>
    </xf>
    <xf numFmtId="177" fontId="0" fillId="0" borderId="64" xfId="0" applyNumberFormat="1" applyFont="1" applyFill="1" applyBorder="1">
      <alignment vertical="center"/>
    </xf>
    <xf numFmtId="177" fontId="0" fillId="3" borderId="65" xfId="0" applyNumberFormat="1" applyFont="1" applyFill="1" applyBorder="1">
      <alignment vertical="center"/>
    </xf>
    <xf numFmtId="177" fontId="0" fillId="14" borderId="65" xfId="0" applyNumberFormat="1" applyFont="1" applyFill="1" applyBorder="1">
      <alignment vertical="center"/>
    </xf>
    <xf numFmtId="177" fontId="0" fillId="0" borderId="66" xfId="0" applyNumberFormat="1" applyFont="1" applyFill="1" applyBorder="1">
      <alignment vertical="center"/>
    </xf>
    <xf numFmtId="178" fontId="18" fillId="11" borderId="67" xfId="0" applyNumberFormat="1" applyFont="1" applyFill="1" applyBorder="1" applyAlignment="1">
      <alignment horizontal="center" vertical="center"/>
    </xf>
    <xf numFmtId="178" fontId="18" fillId="11" borderId="68" xfId="0" applyNumberFormat="1" applyFont="1" applyFill="1" applyBorder="1" applyAlignment="1">
      <alignment horizontal="center" vertical="center"/>
    </xf>
    <xf numFmtId="177" fontId="0" fillId="22" borderId="27" xfId="0" applyNumberFormat="1" applyFill="1" applyBorder="1" applyAlignment="1">
      <alignment vertical="center"/>
    </xf>
    <xf numFmtId="177" fontId="0" fillId="22" borderId="28" xfId="0" applyNumberFormat="1" applyFill="1" applyBorder="1" applyAlignment="1">
      <alignment vertical="center"/>
    </xf>
    <xf numFmtId="177" fontId="0" fillId="22" borderId="28" xfId="0" applyNumberFormat="1" applyFill="1" applyBorder="1">
      <alignment vertical="center"/>
    </xf>
    <xf numFmtId="177" fontId="0" fillId="22" borderId="29" xfId="0" applyNumberFormat="1" applyFill="1" applyBorder="1" applyAlignment="1">
      <alignment vertical="center"/>
    </xf>
    <xf numFmtId="177" fontId="15" fillId="12" borderId="4" xfId="0" applyNumberFormat="1" applyFont="1" applyFill="1" applyBorder="1">
      <alignment vertical="center"/>
    </xf>
    <xf numFmtId="177" fontId="15" fillId="12" borderId="0" xfId="0" applyNumberFormat="1" applyFont="1" applyFill="1" applyBorder="1" applyAlignment="1">
      <alignment vertical="center"/>
    </xf>
    <xf numFmtId="177" fontId="0" fillId="13" borderId="35" xfId="0" applyNumberFormat="1" applyFill="1" applyBorder="1">
      <alignment vertical="center"/>
    </xf>
    <xf numFmtId="177" fontId="18" fillId="13" borderId="0" xfId="0" applyNumberFormat="1" applyFont="1" applyFill="1" applyBorder="1" applyAlignment="1">
      <alignment horizontal="center" vertical="center"/>
    </xf>
    <xf numFmtId="177" fontId="0" fillId="9" borderId="27" xfId="0" applyNumberFormat="1" applyFill="1" applyBorder="1" applyAlignment="1">
      <alignment horizontal="center" vertical="center"/>
    </xf>
    <xf numFmtId="177" fontId="0" fillId="8" borderId="29" xfId="0" applyNumberFormat="1" applyFill="1" applyBorder="1" applyAlignment="1">
      <alignment horizontal="center" vertical="center"/>
    </xf>
    <xf numFmtId="177" fontId="0" fillId="13" borderId="33" xfId="0" applyNumberFormat="1" applyFill="1" applyBorder="1" applyAlignment="1">
      <alignment horizontal="center" vertical="center"/>
    </xf>
    <xf numFmtId="177" fontId="10" fillId="3" borderId="61" xfId="0" applyNumberFormat="1" applyFont="1" applyFill="1" applyBorder="1" applyAlignment="1">
      <alignment vertical="center"/>
    </xf>
    <xf numFmtId="177" fontId="10" fillId="3" borderId="60" xfId="0" applyNumberFormat="1" applyFont="1" applyFill="1" applyBorder="1">
      <alignment vertical="center"/>
    </xf>
    <xf numFmtId="177" fontId="15" fillId="15" borderId="34" xfId="0" applyNumberFormat="1" applyFont="1" applyFill="1" applyBorder="1">
      <alignment vertical="center"/>
    </xf>
    <xf numFmtId="177" fontId="15" fillId="21" borderId="70" xfId="0" applyNumberFormat="1" applyFont="1" applyFill="1" applyBorder="1">
      <alignment vertical="center"/>
    </xf>
    <xf numFmtId="177" fontId="15" fillId="13" borderId="71" xfId="0" applyNumberFormat="1" applyFont="1" applyFill="1" applyBorder="1" applyAlignment="1">
      <alignment vertical="center"/>
    </xf>
    <xf numFmtId="177" fontId="15" fillId="18" borderId="72" xfId="0" applyNumberFormat="1" applyFont="1" applyFill="1" applyBorder="1" applyAlignment="1">
      <alignment vertical="center"/>
    </xf>
    <xf numFmtId="177" fontId="15" fillId="18" borderId="73" xfId="0" applyNumberFormat="1" applyFont="1" applyFill="1" applyBorder="1" applyAlignment="1">
      <alignment vertical="center"/>
    </xf>
    <xf numFmtId="177" fontId="15" fillId="13" borderId="74" xfId="0" applyNumberFormat="1" applyFont="1" applyFill="1" applyBorder="1" applyAlignment="1">
      <alignment vertical="center"/>
    </xf>
    <xf numFmtId="177" fontId="8" fillId="13" borderId="75" xfId="0" applyNumberFormat="1" applyFont="1" applyFill="1" applyBorder="1" applyAlignment="1">
      <alignment vertical="center"/>
    </xf>
    <xf numFmtId="177" fontId="14" fillId="13" borderId="30" xfId="0" applyNumberFormat="1" applyFont="1" applyFill="1" applyBorder="1" applyAlignment="1">
      <alignment vertical="center"/>
    </xf>
    <xf numFmtId="177" fontId="14" fillId="13" borderId="77" xfId="0" applyNumberFormat="1" applyFont="1" applyFill="1" applyBorder="1">
      <alignment vertical="center"/>
    </xf>
    <xf numFmtId="177" fontId="15" fillId="22" borderId="56" xfId="0" applyNumberFormat="1" applyFont="1" applyFill="1" applyBorder="1" applyAlignment="1">
      <alignment horizontal="center" vertical="center"/>
    </xf>
    <xf numFmtId="177" fontId="14" fillId="22" borderId="57" xfId="0" applyNumberFormat="1" applyFont="1" applyFill="1" applyBorder="1">
      <alignment vertical="center"/>
    </xf>
    <xf numFmtId="177" fontId="15" fillId="15" borderId="56" xfId="0" applyNumberFormat="1" applyFont="1" applyFill="1" applyBorder="1">
      <alignment vertical="center"/>
    </xf>
    <xf numFmtId="177" fontId="14" fillId="13" borderId="78" xfId="0" applyNumberFormat="1" applyFont="1" applyFill="1" applyBorder="1">
      <alignment vertical="center"/>
    </xf>
    <xf numFmtId="177" fontId="15" fillId="15" borderId="58" xfId="0" applyNumberFormat="1" applyFont="1" applyFill="1" applyBorder="1">
      <alignment vertical="center"/>
    </xf>
    <xf numFmtId="177" fontId="15" fillId="15" borderId="60" xfId="0" applyNumberFormat="1" applyFont="1" applyFill="1" applyBorder="1">
      <alignment vertical="center"/>
    </xf>
    <xf numFmtId="177" fontId="8" fillId="13" borderId="79" xfId="0" applyNumberFormat="1" applyFont="1" applyFill="1" applyBorder="1">
      <alignment vertical="center"/>
    </xf>
    <xf numFmtId="177" fontId="14" fillId="13" borderId="80" xfId="0" applyNumberFormat="1" applyFont="1" applyFill="1" applyBorder="1">
      <alignment vertical="center"/>
    </xf>
    <xf numFmtId="177" fontId="9" fillId="13" borderId="32" xfId="1" applyNumberFormat="1" applyFill="1" applyBorder="1" applyAlignment="1">
      <alignment horizontal="center" vertical="center"/>
    </xf>
    <xf numFmtId="176" fontId="0" fillId="13" borderId="25" xfId="0" applyNumberFormat="1" applyFill="1" applyBorder="1" applyAlignment="1">
      <alignment horizontal="center" vertical="center"/>
    </xf>
    <xf numFmtId="176" fontId="0" fillId="13" borderId="7" xfId="0" applyNumberFormat="1" applyFill="1" applyBorder="1" applyAlignment="1">
      <alignment horizontal="right" vertical="center"/>
    </xf>
    <xf numFmtId="176" fontId="0" fillId="13" borderId="32" xfId="0" applyNumberFormat="1" applyFill="1" applyBorder="1" applyAlignment="1">
      <alignment horizontal="right" vertical="center"/>
    </xf>
    <xf numFmtId="177" fontId="15" fillId="15" borderId="83" xfId="0" applyNumberFormat="1" applyFont="1" applyFill="1" applyBorder="1">
      <alignment vertical="center"/>
    </xf>
    <xf numFmtId="177" fontId="15" fillId="16" borderId="24" xfId="0" applyNumberFormat="1" applyFont="1" applyFill="1" applyBorder="1">
      <alignment vertical="center"/>
    </xf>
    <xf numFmtId="177" fontId="8" fillId="16" borderId="83" xfId="0" applyNumberFormat="1" applyFont="1" applyFill="1" applyBorder="1" applyAlignment="1">
      <alignment vertical="center"/>
    </xf>
    <xf numFmtId="177" fontId="14" fillId="16" borderId="0" xfId="0" applyNumberFormat="1" applyFont="1" applyFill="1" applyBorder="1" applyAlignment="1">
      <alignment vertical="center"/>
    </xf>
    <xf numFmtId="177" fontId="0" fillId="22" borderId="61" xfId="0" applyNumberFormat="1" applyFont="1" applyFill="1" applyBorder="1">
      <alignment vertical="center"/>
    </xf>
    <xf numFmtId="177" fontId="0" fillId="15" borderId="61" xfId="0" applyNumberFormat="1" applyFont="1" applyFill="1" applyBorder="1">
      <alignment vertical="center"/>
    </xf>
    <xf numFmtId="177" fontId="0" fillId="15" borderId="54" xfId="0" applyNumberFormat="1" applyFill="1" applyBorder="1">
      <alignment vertical="center"/>
    </xf>
    <xf numFmtId="177" fontId="0" fillId="15" borderId="86" xfId="0" applyNumberFormat="1" applyFill="1" applyBorder="1">
      <alignment vertical="center"/>
    </xf>
    <xf numFmtId="177" fontId="0" fillId="15" borderId="0" xfId="0" applyNumberFormat="1" applyFont="1" applyFill="1" applyBorder="1">
      <alignment vertical="center"/>
    </xf>
    <xf numFmtId="177" fontId="0" fillId="15" borderId="88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4" fillId="5" borderId="89" xfId="0" applyNumberFormat="1" applyFont="1" applyFill="1" applyBorder="1">
      <alignment vertical="center"/>
    </xf>
    <xf numFmtId="177" fontId="14" fillId="13" borderId="57" xfId="0" applyNumberFormat="1" applyFont="1" applyFill="1" applyBorder="1">
      <alignment vertical="center"/>
    </xf>
    <xf numFmtId="177" fontId="16" fillId="7" borderId="57" xfId="0" applyNumberFormat="1" applyFont="1" applyFill="1" applyBorder="1">
      <alignment vertical="center"/>
    </xf>
    <xf numFmtId="177" fontId="0" fillId="13" borderId="56" xfId="0" applyNumberFormat="1" applyFill="1" applyBorder="1">
      <alignment vertical="center"/>
    </xf>
    <xf numFmtId="177" fontId="0" fillId="13" borderId="58" xfId="0" applyNumberFormat="1" applyFill="1" applyBorder="1">
      <alignment vertical="center"/>
    </xf>
    <xf numFmtId="177" fontId="0" fillId="13" borderId="60" xfId="0" applyNumberFormat="1" applyFill="1" applyBorder="1">
      <alignment vertical="center"/>
    </xf>
    <xf numFmtId="177" fontId="0" fillId="22" borderId="60" xfId="0" applyNumberFormat="1" applyFont="1" applyFill="1" applyBorder="1">
      <alignment vertical="center"/>
    </xf>
    <xf numFmtId="177" fontId="0" fillId="15" borderId="60" xfId="0" applyNumberFormat="1" applyFont="1" applyFill="1" applyBorder="1">
      <alignment vertical="center"/>
    </xf>
    <xf numFmtId="177" fontId="8" fillId="13" borderId="59" xfId="0" applyNumberFormat="1" applyFont="1" applyFill="1" applyBorder="1">
      <alignment vertical="center"/>
    </xf>
    <xf numFmtId="177" fontId="14" fillId="13" borderId="31" xfId="0" applyNumberFormat="1" applyFont="1" applyFill="1" applyBorder="1">
      <alignment vertical="center"/>
    </xf>
    <xf numFmtId="177" fontId="16" fillId="6" borderId="2" xfId="0" applyNumberFormat="1" applyFont="1" applyFill="1" applyBorder="1">
      <alignment vertical="center"/>
    </xf>
    <xf numFmtId="177" fontId="16" fillId="7" borderId="0" xfId="0" applyNumberFormat="1" applyFont="1" applyFill="1" applyBorder="1" applyAlignment="1">
      <alignment horizontal="center" vertical="center"/>
    </xf>
    <xf numFmtId="179" fontId="0" fillId="13" borderId="92" xfId="0" applyNumberFormat="1" applyFill="1" applyBorder="1">
      <alignment vertical="center"/>
    </xf>
    <xf numFmtId="177" fontId="0" fillId="13" borderId="92" xfId="0" applyNumberFormat="1" applyFill="1" applyBorder="1">
      <alignment vertical="center"/>
    </xf>
    <xf numFmtId="177" fontId="9" fillId="2" borderId="34" xfId="1" applyNumberFormat="1" applyFill="1" applyBorder="1">
      <alignment vertical="center"/>
    </xf>
    <xf numFmtId="179" fontId="0" fillId="2" borderId="34" xfId="0" applyNumberFormat="1" applyFill="1" applyBorder="1">
      <alignment vertical="center"/>
    </xf>
    <xf numFmtId="177" fontId="0" fillId="2" borderId="93" xfId="0" applyNumberFormat="1" applyFill="1" applyBorder="1">
      <alignment vertical="center"/>
    </xf>
    <xf numFmtId="177" fontId="9" fillId="19" borderId="94" xfId="1" applyNumberFormat="1" applyFill="1" applyBorder="1">
      <alignment vertical="center"/>
    </xf>
    <xf numFmtId="179" fontId="0" fillId="19" borderId="95" xfId="0" applyNumberFormat="1" applyFill="1" applyBorder="1">
      <alignment vertical="center"/>
    </xf>
    <xf numFmtId="177" fontId="19" fillId="19" borderId="96" xfId="0" applyNumberFormat="1" applyFont="1" applyFill="1" applyBorder="1">
      <alignment vertical="center"/>
    </xf>
    <xf numFmtId="177" fontId="0" fillId="19" borderId="97" xfId="0" applyNumberFormat="1" applyFill="1" applyBorder="1">
      <alignment vertical="center"/>
    </xf>
    <xf numFmtId="177" fontId="23" fillId="19" borderId="96" xfId="0" applyNumberFormat="1" applyFont="1" applyFill="1" applyBorder="1">
      <alignment vertical="center"/>
    </xf>
    <xf numFmtId="177" fontId="23" fillId="20" borderId="96" xfId="0" applyNumberFormat="1" applyFont="1" applyFill="1" applyBorder="1">
      <alignment vertical="center"/>
    </xf>
    <xf numFmtId="177" fontId="0" fillId="20" borderId="97" xfId="0" applyNumberFormat="1" applyFill="1" applyBorder="1">
      <alignment vertical="center"/>
    </xf>
    <xf numFmtId="177" fontId="23" fillId="21" borderId="98" xfId="0" applyNumberFormat="1" applyFont="1" applyFill="1" applyBorder="1">
      <alignment vertical="center"/>
    </xf>
    <xf numFmtId="177" fontId="0" fillId="21" borderId="99" xfId="0" applyNumberFormat="1" applyFill="1" applyBorder="1">
      <alignment vertical="center"/>
    </xf>
    <xf numFmtId="0" fontId="0" fillId="24" borderId="29" xfId="0" applyFill="1" applyBorder="1">
      <alignment vertical="center"/>
    </xf>
    <xf numFmtId="0" fontId="0" fillId="25" borderId="0" xfId="0" applyFill="1">
      <alignment vertical="center"/>
    </xf>
    <xf numFmtId="0" fontId="0" fillId="25" borderId="29" xfId="0" applyFill="1" applyBorder="1">
      <alignment vertical="center"/>
    </xf>
    <xf numFmtId="176" fontId="0" fillId="25" borderId="0" xfId="0" applyNumberFormat="1" applyFill="1">
      <alignment vertical="center"/>
    </xf>
    <xf numFmtId="177" fontId="0" fillId="25" borderId="4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7" fontId="0" fillId="3" borderId="4" xfId="0" applyNumberFormat="1" applyFill="1" applyBorder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7" fontId="0" fillId="4" borderId="4" xfId="0" applyNumberFormat="1" applyFill="1" applyBorder="1">
      <alignment vertical="center"/>
    </xf>
    <xf numFmtId="179" fontId="0" fillId="3" borderId="4" xfId="0" applyNumberFormat="1" applyFill="1" applyBorder="1">
      <alignment vertical="center"/>
    </xf>
    <xf numFmtId="177" fontId="0" fillId="3" borderId="34" xfId="0" applyNumberFormat="1" applyFill="1" applyBorder="1">
      <alignment vertical="center"/>
    </xf>
    <xf numFmtId="177" fontId="0" fillId="4" borderId="34" xfId="0" applyNumberFormat="1" applyFill="1" applyBorder="1">
      <alignment vertical="center"/>
    </xf>
    <xf numFmtId="177" fontId="0" fillId="25" borderId="34" xfId="0" applyNumberFormat="1" applyFill="1" applyBorder="1">
      <alignment vertical="center"/>
    </xf>
    <xf numFmtId="177" fontId="0" fillId="3" borderId="93" xfId="0" applyNumberFormat="1" applyFill="1" applyBorder="1">
      <alignment vertical="center"/>
    </xf>
    <xf numFmtId="177" fontId="0" fillId="4" borderId="93" xfId="0" applyNumberFormat="1" applyFill="1" applyBorder="1">
      <alignment vertical="center"/>
    </xf>
    <xf numFmtId="177" fontId="0" fillId="25" borderId="93" xfId="0" applyNumberFormat="1" applyFill="1" applyBorder="1">
      <alignment vertical="center"/>
    </xf>
    <xf numFmtId="177" fontId="0" fillId="3" borderId="100" xfId="0" applyNumberFormat="1" applyFill="1" applyBorder="1">
      <alignment vertical="center"/>
    </xf>
    <xf numFmtId="177" fontId="0" fillId="4" borderId="101" xfId="0" applyNumberFormat="1" applyFill="1" applyBorder="1">
      <alignment vertical="center"/>
    </xf>
    <xf numFmtId="177" fontId="0" fillId="25" borderId="101" xfId="0" applyNumberFormat="1" applyFill="1" applyBorder="1">
      <alignment vertical="center"/>
    </xf>
    <xf numFmtId="177" fontId="0" fillId="3" borderId="101" xfId="0" applyNumberFormat="1" applyFill="1" applyBorder="1">
      <alignment vertical="center"/>
    </xf>
    <xf numFmtId="177" fontId="0" fillId="3" borderId="102" xfId="0" applyNumberFormat="1" applyFill="1" applyBorder="1">
      <alignment vertical="center"/>
    </xf>
    <xf numFmtId="0" fontId="0" fillId="24" borderId="27" xfId="0" applyFill="1" applyBorder="1" applyAlignment="1">
      <alignment horizontal="center" vertical="center"/>
    </xf>
    <xf numFmtId="0" fontId="0" fillId="25" borderId="27" xfId="0" applyFill="1" applyBorder="1" applyAlignment="1">
      <alignment horizontal="center" vertical="center"/>
    </xf>
    <xf numFmtId="177" fontId="0" fillId="3" borderId="103" xfId="0" applyNumberFormat="1" applyFill="1" applyBorder="1">
      <alignment vertical="center"/>
    </xf>
    <xf numFmtId="0" fontId="0" fillId="26" borderId="27" xfId="0" applyFill="1" applyBorder="1" applyAlignment="1">
      <alignment horizontal="center" vertical="center"/>
    </xf>
    <xf numFmtId="177" fontId="0" fillId="26" borderId="29" xfId="0" applyNumberFormat="1" applyFill="1" applyBorder="1">
      <alignment vertical="center"/>
    </xf>
    <xf numFmtId="177" fontId="9" fillId="19" borderId="105" xfId="1" applyNumberFormat="1" applyFill="1" applyBorder="1">
      <alignment vertical="center"/>
    </xf>
    <xf numFmtId="179" fontId="0" fillId="19" borderId="106" xfId="0" applyNumberFormat="1" applyFill="1" applyBorder="1">
      <alignment vertical="center"/>
    </xf>
    <xf numFmtId="0" fontId="0" fillId="13" borderId="104" xfId="0" applyFill="1" applyBorder="1">
      <alignment vertical="center"/>
    </xf>
    <xf numFmtId="0" fontId="0" fillId="13" borderId="107" xfId="0" applyFill="1" applyBorder="1">
      <alignment vertical="center"/>
    </xf>
    <xf numFmtId="0" fontId="0" fillId="15" borderId="3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0" fillId="13" borderId="0" xfId="0" applyNumberFormat="1" applyFill="1" applyBorder="1" applyAlignment="1">
      <alignment horizontal="center" vertical="center" wrapText="1"/>
    </xf>
    <xf numFmtId="177" fontId="0" fillId="16" borderId="36" xfId="0" applyNumberFormat="1" applyFill="1" applyBorder="1" applyAlignment="1">
      <alignment horizontal="center" vertical="center" wrapText="1"/>
    </xf>
    <xf numFmtId="177" fontId="0" fillId="16" borderId="0" xfId="0" applyNumberFormat="1" applyFill="1" applyBorder="1" applyAlignment="1">
      <alignment horizontal="center" vertical="center" wrapText="1"/>
    </xf>
    <xf numFmtId="177" fontId="0" fillId="13" borderId="6" xfId="0" applyNumberFormat="1" applyFill="1" applyBorder="1" applyAlignment="1">
      <alignment horizontal="center" vertical="center" wrapText="1"/>
    </xf>
    <xf numFmtId="177" fontId="18" fillId="23" borderId="0" xfId="0" applyNumberFormat="1" applyFont="1" applyFill="1" applyBorder="1" applyAlignment="1">
      <alignment horizontal="center" vertical="center"/>
    </xf>
    <xf numFmtId="177" fontId="0" fillId="13" borderId="36" xfId="0" applyNumberFormat="1" applyFill="1" applyBorder="1" applyAlignment="1">
      <alignment horizontal="center" vertical="center" wrapText="1"/>
    </xf>
    <xf numFmtId="177" fontId="15" fillId="13" borderId="76" xfId="0" applyNumberFormat="1" applyFont="1" applyFill="1" applyBorder="1" applyAlignment="1">
      <alignment horizontal="center" vertical="center"/>
    </xf>
    <xf numFmtId="177" fontId="15" fillId="13" borderId="38" xfId="0" applyNumberFormat="1" applyFont="1" applyFill="1" applyBorder="1" applyAlignment="1">
      <alignment horizontal="center" vertical="center"/>
    </xf>
    <xf numFmtId="177" fontId="0" fillId="16" borderId="6" xfId="0" applyNumberFormat="1" applyFill="1" applyBorder="1" applyAlignment="1">
      <alignment horizontal="center" vertical="center" wrapText="1"/>
    </xf>
    <xf numFmtId="177" fontId="0" fillId="16" borderId="7" xfId="0" applyNumberFormat="1" applyFill="1" applyBorder="1" applyAlignment="1">
      <alignment horizontal="center" vertical="center" wrapText="1"/>
    </xf>
    <xf numFmtId="177" fontId="18" fillId="17" borderId="56" xfId="0" applyNumberFormat="1" applyFont="1" applyFill="1" applyBorder="1" applyAlignment="1">
      <alignment horizontal="center" vertical="center"/>
    </xf>
    <xf numFmtId="177" fontId="0" fillId="18" borderId="12" xfId="0" applyNumberFormat="1" applyFont="1" applyFill="1" applyBorder="1" applyAlignment="1">
      <alignment horizontal="center" vertical="center"/>
    </xf>
    <xf numFmtId="177" fontId="17" fillId="18" borderId="69" xfId="0" applyNumberFormat="1" applyFont="1" applyFill="1" applyBorder="1" applyAlignment="1">
      <alignment horizontal="center" vertical="center"/>
    </xf>
    <xf numFmtId="177" fontId="0" fillId="5" borderId="90" xfId="0" applyNumberFormat="1" applyFill="1" applyBorder="1" applyAlignment="1">
      <alignment horizontal="center" vertical="center"/>
    </xf>
    <xf numFmtId="177" fontId="0" fillId="5" borderId="91" xfId="0" applyNumberFormat="1" applyFill="1" applyBorder="1" applyAlignment="1">
      <alignment horizontal="center" vertical="center"/>
    </xf>
    <xf numFmtId="177" fontId="16" fillId="7" borderId="4" xfId="0" applyNumberFormat="1" applyFont="1" applyFill="1" applyBorder="1" applyAlignment="1">
      <alignment horizontal="center" vertical="center"/>
    </xf>
    <xf numFmtId="0" fontId="0" fillId="18" borderId="81" xfId="0" applyFill="1" applyBorder="1" applyAlignment="1">
      <alignment horizontal="center" vertical="center"/>
    </xf>
    <xf numFmtId="0" fontId="0" fillId="18" borderId="8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76" fontId="0" fillId="13" borderId="32" xfId="0" applyNumberFormat="1" applyFill="1" applyBorder="1" applyAlignment="1">
      <alignment horizontal="center" vertical="center"/>
    </xf>
    <xf numFmtId="176" fontId="0" fillId="13" borderId="8" xfId="0" applyNumberFormat="1" applyFill="1" applyBorder="1" applyAlignment="1">
      <alignment horizontal="center" vertical="center"/>
    </xf>
    <xf numFmtId="177" fontId="0" fillId="5" borderId="84" xfId="0" applyNumberFormat="1" applyFill="1" applyBorder="1" applyAlignment="1">
      <alignment horizontal="center" vertical="center"/>
    </xf>
    <xf numFmtId="177" fontId="0" fillId="5" borderId="85" xfId="0" applyNumberFormat="1" applyFill="1" applyBorder="1" applyAlignment="1">
      <alignment horizontal="center" vertical="center"/>
    </xf>
    <xf numFmtId="177" fontId="0" fillId="5" borderId="87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9" fillId="13" borderId="32" xfId="1" applyFill="1" applyBorder="1" applyAlignment="1">
      <alignment horizontal="center" vertical="center" wrapText="1"/>
    </xf>
    <xf numFmtId="0" fontId="9" fillId="13" borderId="8" xfId="1" applyFill="1" applyBorder="1" applyAlignment="1">
      <alignment horizontal="center" vertical="center" wrapText="1"/>
    </xf>
    <xf numFmtId="0" fontId="9" fillId="13" borderId="25" xfId="1" applyFill="1" applyBorder="1" applyAlignment="1">
      <alignment horizontal="center" vertical="center" wrapText="1"/>
    </xf>
    <xf numFmtId="0" fontId="9" fillId="13" borderId="37" xfId="1" applyFill="1" applyBorder="1" applyAlignment="1">
      <alignment horizontal="center" vertical="center" wrapText="1"/>
    </xf>
    <xf numFmtId="0" fontId="9" fillId="13" borderId="9" xfId="1" applyFill="1" applyBorder="1" applyAlignment="1">
      <alignment horizontal="center" vertical="center" wrapText="1"/>
    </xf>
    <xf numFmtId="0" fontId="9" fillId="13" borderId="26" xfId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79" fontId="0" fillId="5" borderId="44" xfId="0" applyNumberFormat="1" applyFill="1" applyBorder="1" applyAlignment="1">
      <alignment horizontal="center" vertical="center"/>
    </xf>
    <xf numFmtId="179" fontId="0" fillId="5" borderId="45" xfId="0" applyNumberForma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1BFFF"/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驾驶舱!$J$15:$J$18</c:f>
              <c:numCache>
                <c:formatCode>#,##0.00_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2245.9699999999998</c:v>
                </c:pt>
                <c:pt idx="3">
                  <c:v>118863.41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驾驶舱!$J$21:$J$22</c:f>
              <c:numCache>
                <c:formatCode>#,##0.00_ </c:formatCode>
                <c:ptCount val="2"/>
                <c:pt idx="0">
                  <c:v>26500</c:v>
                </c:pt>
                <c:pt idx="1">
                  <c:v>94609.38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驾驶舱!$J$16:$J$18</c:f>
              <c:numCache>
                <c:formatCode>#,##0.00_ </c:formatCode>
                <c:ptCount val="3"/>
                <c:pt idx="0">
                  <c:v>0</c:v>
                </c:pt>
                <c:pt idx="1">
                  <c:v>2245.9699999999998</c:v>
                </c:pt>
                <c:pt idx="2">
                  <c:v>118863.41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36</xdr:row>
      <xdr:rowOff>47405</xdr:rowOff>
    </xdr:from>
    <xdr:to>
      <xdr:col>14</xdr:col>
      <xdr:colOff>481514</xdr:colOff>
      <xdr:row>50</xdr:row>
      <xdr:rowOff>34611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36</xdr:row>
      <xdr:rowOff>36437</xdr:rowOff>
    </xdr:from>
    <xdr:to>
      <xdr:col>10</xdr:col>
      <xdr:colOff>778933</xdr:colOff>
      <xdr:row>50</xdr:row>
      <xdr:rowOff>17050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36</xdr:row>
      <xdr:rowOff>41318</xdr:rowOff>
    </xdr:from>
    <xdr:to>
      <xdr:col>18</xdr:col>
      <xdr:colOff>0</xdr:colOff>
      <xdr:row>50</xdr:row>
      <xdr:rowOff>43962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626533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  <xdr:twoCellAnchor>
    <xdr:from>
      <xdr:col>3</xdr:col>
      <xdr:colOff>1377109</xdr:colOff>
      <xdr:row>12</xdr:row>
      <xdr:rowOff>1</xdr:rowOff>
    </xdr:from>
    <xdr:to>
      <xdr:col>10</xdr:col>
      <xdr:colOff>1209162</xdr:colOff>
      <xdr:row>22</xdr:row>
      <xdr:rowOff>205331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3C04E-18FA-AB42-9AF4-8718AD66D759}"/>
            </a:ext>
          </a:extLst>
        </xdr:cNvPr>
        <xdr:cNvSpPr/>
      </xdr:nvSpPr>
      <xdr:spPr>
        <a:xfrm>
          <a:off x="2297289" y="2965869"/>
          <a:ext cx="5010915" cy="2266228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1391799</xdr:colOff>
      <xdr:row>23</xdr:row>
      <xdr:rowOff>0</xdr:rowOff>
    </xdr:from>
    <xdr:to>
      <xdr:col>10</xdr:col>
      <xdr:colOff>1223485</xdr:colOff>
      <xdr:row>36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C1B40D6-475C-BA4F-A0D4-CB0FEC273AC2}"/>
            </a:ext>
          </a:extLst>
        </xdr:cNvPr>
        <xdr:cNvSpPr/>
      </xdr:nvSpPr>
      <xdr:spPr>
        <a:xfrm>
          <a:off x="2310281" y="5238750"/>
          <a:ext cx="5025079" cy="884465"/>
        </a:xfrm>
        <a:prstGeom prst="rect">
          <a:avLst/>
        </a:prstGeom>
        <a:solidFill>
          <a:srgbClr val="7030A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15488</xdr:colOff>
      <xdr:row>8</xdr:row>
      <xdr:rowOff>201342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29F0AEB-253D-764E-9E15-6A206C3DA400}"/>
            </a:ext>
          </a:extLst>
        </xdr:cNvPr>
        <xdr:cNvSpPr/>
      </xdr:nvSpPr>
      <xdr:spPr>
        <a:xfrm>
          <a:off x="2316865" y="827916"/>
          <a:ext cx="8694964" cy="1495255"/>
        </a:xfrm>
        <a:prstGeom prst="rect">
          <a:avLst/>
        </a:prstGeom>
        <a:solidFill>
          <a:srgbClr val="00B0F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buffett-market-valuation" TargetMode="External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9"/>
  <sheetViews>
    <sheetView showGridLines="0" tabSelected="1" zoomScale="81" zoomScaleNormal="81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"/>
    </row>
    <row r="3" spans="2:38" s="1" customFormat="1">
      <c r="B3" s="19"/>
      <c r="C3" s="24" t="s">
        <v>40</v>
      </c>
      <c r="D3" s="24" t="s">
        <v>52</v>
      </c>
      <c r="E3" s="24">
        <v>44221</v>
      </c>
      <c r="F3" s="24">
        <v>44227</v>
      </c>
      <c r="G3" s="24">
        <v>44234</v>
      </c>
      <c r="H3" s="24">
        <v>44241</v>
      </c>
      <c r="I3" s="24">
        <v>44248</v>
      </c>
      <c r="J3" s="24">
        <v>44255</v>
      </c>
      <c r="K3" s="24">
        <v>44262</v>
      </c>
      <c r="L3" s="24">
        <v>44269</v>
      </c>
      <c r="M3" s="24">
        <v>44276</v>
      </c>
      <c r="N3" s="24">
        <v>44283</v>
      </c>
      <c r="O3" s="24">
        <v>44290</v>
      </c>
      <c r="P3" s="24">
        <v>44297</v>
      </c>
      <c r="Q3" s="24">
        <v>44304</v>
      </c>
      <c r="R3" s="24">
        <v>44311</v>
      </c>
      <c r="S3" s="24">
        <v>44318</v>
      </c>
      <c r="T3" s="24">
        <v>44325</v>
      </c>
      <c r="U3" s="19"/>
      <c r="V3" s="30"/>
    </row>
    <row r="4" spans="2:38" s="38" customFormat="1">
      <c r="B4" s="34"/>
      <c r="C4" s="39" t="s">
        <v>88</v>
      </c>
      <c r="D4" s="36">
        <f>LOOKUP(9E+307,C4:M4)</f>
        <v>33.74</v>
      </c>
      <c r="E4" s="35"/>
      <c r="F4" s="35"/>
      <c r="G4" s="35">
        <v>33.74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4"/>
      <c r="V4" s="37"/>
    </row>
    <row r="5" spans="2:38" s="38" customFormat="1" ht="17" thickBot="1">
      <c r="B5" s="34"/>
      <c r="C5" s="213" t="s">
        <v>89</v>
      </c>
      <c r="D5" s="214">
        <f>LOOKUP(9E+307,C5:M5)</f>
        <v>196</v>
      </c>
      <c r="E5" s="35"/>
      <c r="F5" s="35"/>
      <c r="G5" s="35">
        <v>218</v>
      </c>
      <c r="H5" s="35">
        <v>196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4"/>
      <c r="V5" s="37"/>
    </row>
    <row r="6" spans="2:38" s="38" customFormat="1">
      <c r="B6" s="34"/>
      <c r="C6" s="216" t="s">
        <v>90</v>
      </c>
      <c r="D6" s="217">
        <f>LOOKUP(9E+307,C6:M6)</f>
        <v>61100</v>
      </c>
      <c r="E6" s="211"/>
      <c r="F6" s="35"/>
      <c r="G6" s="35">
        <v>55000</v>
      </c>
      <c r="H6" s="35">
        <v>61100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4"/>
      <c r="V6" s="37"/>
    </row>
    <row r="7" spans="2:38" s="5" customFormat="1">
      <c r="B7" s="20"/>
      <c r="C7" s="218" t="s">
        <v>23</v>
      </c>
      <c r="D7" s="219">
        <f>LOOKUP(9E+307,C7:M7)</f>
        <v>3.597</v>
      </c>
      <c r="E7" s="212">
        <v>2.9180000000000001</v>
      </c>
      <c r="F7" s="26">
        <v>2.8519999999999999</v>
      </c>
      <c r="G7" s="26">
        <v>3.4889999999999999</v>
      </c>
      <c r="H7" s="26">
        <v>3.597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</row>
    <row r="8" spans="2:38" s="5" customFormat="1">
      <c r="B8" s="20"/>
      <c r="C8" s="220" t="s">
        <v>102</v>
      </c>
      <c r="D8" s="219">
        <f>LOOKUP(9E+307,C8:M8)</f>
        <v>47100</v>
      </c>
      <c r="E8" s="212"/>
      <c r="F8" s="26"/>
      <c r="G8" s="26">
        <v>40000</v>
      </c>
      <c r="H8" s="26">
        <v>47100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</row>
    <row r="9" spans="2:38" s="5" customFormat="1">
      <c r="B9" s="20"/>
      <c r="C9" s="221" t="s">
        <v>104</v>
      </c>
      <c r="D9" s="222">
        <f>(2.5-D7)/1.5*4</f>
        <v>-2.9253333333333331</v>
      </c>
      <c r="E9" s="212"/>
      <c r="F9" s="26"/>
      <c r="G9" s="26">
        <f t="shared" ref="G9:H9" si="0">(2.5-G7)/1.5*4</f>
        <v>-2.6373333333333329</v>
      </c>
      <c r="H9" s="26">
        <f t="shared" si="0"/>
        <v>-2.9253333333333331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</row>
    <row r="10" spans="2:38" s="5" customFormat="1">
      <c r="B10" s="20"/>
      <c r="C10" s="221" t="s">
        <v>103</v>
      </c>
      <c r="D10" s="222">
        <f>D6/D8</f>
        <v>1.2972399150743099</v>
      </c>
      <c r="E10" s="212"/>
      <c r="F10" s="26"/>
      <c r="G10" s="26">
        <f t="shared" ref="G10:H10" si="1">G6/G8</f>
        <v>1.375</v>
      </c>
      <c r="H10" s="26">
        <f t="shared" si="1"/>
        <v>1.2972399150743099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</row>
    <row r="11" spans="2:38" s="5" customFormat="1">
      <c r="B11" s="20"/>
      <c r="C11" s="221" t="s">
        <v>105</v>
      </c>
      <c r="D11" s="222">
        <f>LN(D10*0.84)/2.1*4</f>
        <v>0.16359138668647549</v>
      </c>
      <c r="E11" s="212"/>
      <c r="F11" s="26"/>
      <c r="G11" s="26">
        <f>LN(G10*0.84)/2.1*4</f>
        <v>0.27447684566429881</v>
      </c>
      <c r="H11" s="26">
        <f>LN(H10*0.84)/2.1*4</f>
        <v>0.16359138668647549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</row>
    <row r="12" spans="2:38" s="5" customFormat="1" ht="17" thickBot="1">
      <c r="B12" s="20"/>
      <c r="C12" s="223" t="s">
        <v>101</v>
      </c>
      <c r="D12" s="224">
        <f>1/(1+EXP(-(D9+D11)/2))</f>
        <v>0.20086915404488823</v>
      </c>
      <c r="E12" s="212"/>
      <c r="F12" s="26"/>
      <c r="G12" s="26">
        <f t="shared" ref="G12" si="2">1/(1+EXP(-(G9+G11)/2))</f>
        <v>0.23479549137717151</v>
      </c>
      <c r="H12" s="26">
        <f t="shared" ref="H12" si="3">1/(1+EXP(-(H9+H11)/2))</f>
        <v>0.20086915404488823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</row>
    <row r="13" spans="2:38" s="5" customFormat="1">
      <c r="B13" s="20"/>
      <c r="C13" s="215" t="s">
        <v>28</v>
      </c>
      <c r="D13" s="215">
        <f t="shared" ref="D13:D22" si="4">LOOKUP(9E+307,C13:M13)</f>
        <v>6.42</v>
      </c>
      <c r="E13" s="26">
        <v>6.41</v>
      </c>
      <c r="F13" s="26">
        <v>6.42</v>
      </c>
      <c r="G13" s="26">
        <v>6.41</v>
      </c>
      <c r="H13" s="26">
        <v>6.42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</row>
    <row r="14" spans="2:38" s="5" customFormat="1">
      <c r="B14" s="20"/>
      <c r="C14" s="25" t="s">
        <v>38</v>
      </c>
      <c r="D14" s="25">
        <f t="shared" si="4"/>
        <v>3.8755000000000002</v>
      </c>
      <c r="E14" s="26">
        <v>3.7875999999999999</v>
      </c>
      <c r="F14" s="26">
        <v>3.7875999999999999</v>
      </c>
      <c r="G14" s="26">
        <v>3.8534999999999999</v>
      </c>
      <c r="H14" s="27">
        <v>3.8755000000000002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s="5" customFormat="1">
      <c r="B15" s="20"/>
      <c r="C15" s="25" t="s">
        <v>24</v>
      </c>
      <c r="D15" s="25">
        <f t="shared" si="4"/>
        <v>118863.41</v>
      </c>
      <c r="E15" s="26">
        <v>120993.37</v>
      </c>
      <c r="F15" s="26">
        <v>119366.56</v>
      </c>
      <c r="G15" s="26">
        <v>118188.66</v>
      </c>
      <c r="H15" s="27">
        <v>118863.41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s="5" customFormat="1">
      <c r="B16" s="20"/>
      <c r="C16" s="25" t="s">
        <v>25</v>
      </c>
      <c r="D16" s="25">
        <f t="shared" si="4"/>
        <v>2245.9699999999998</v>
      </c>
      <c r="E16" s="26">
        <v>11.42</v>
      </c>
      <c r="F16" s="26">
        <v>2571.54</v>
      </c>
      <c r="G16" s="26">
        <v>1145.97</v>
      </c>
      <c r="H16" s="26">
        <v>2245.9699999999998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16384" s="5" customFormat="1">
      <c r="B17" s="20"/>
      <c r="C17" s="25" t="s">
        <v>26</v>
      </c>
      <c r="D17" s="25">
        <f t="shared" si="4"/>
        <v>0</v>
      </c>
      <c r="E17" s="26">
        <v>0</v>
      </c>
      <c r="F17" s="26">
        <v>3046.86</v>
      </c>
      <c r="G17" s="26">
        <v>0</v>
      </c>
      <c r="H17" s="27">
        <v>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16384" s="5" customFormat="1">
      <c r="B18" s="20"/>
      <c r="C18" s="26" t="s">
        <v>27</v>
      </c>
      <c r="D18" s="26">
        <f t="shared" ref="D18:E18" si="5">D17*D13</f>
        <v>0</v>
      </c>
      <c r="E18" s="26">
        <f t="shared" si="5"/>
        <v>0</v>
      </c>
      <c r="F18" s="26">
        <f>F17*F13</f>
        <v>19560.841199999999</v>
      </c>
      <c r="G18" s="26">
        <f>G17*G13</f>
        <v>0</v>
      </c>
      <c r="H18" s="26">
        <f>H17*H13</f>
        <v>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16384" s="5" customFormat="1">
      <c r="B19" s="20"/>
      <c r="C19" s="25" t="s">
        <v>73</v>
      </c>
      <c r="D19" s="25">
        <f t="shared" si="4"/>
        <v>0</v>
      </c>
      <c r="E19" s="26">
        <v>393.03070000000002</v>
      </c>
      <c r="F19" s="26">
        <v>1097.98</v>
      </c>
      <c r="G19" s="26">
        <v>0</v>
      </c>
      <c r="H19" s="27">
        <v>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16384" s="5" customFormat="1">
      <c r="B20" s="20"/>
      <c r="C20" s="26" t="s">
        <v>74</v>
      </c>
      <c r="D20" s="26">
        <f t="shared" ref="D20:E20" si="6">D19*D13</f>
        <v>0</v>
      </c>
      <c r="E20" s="26">
        <f t="shared" si="6"/>
        <v>2519.3267870000004</v>
      </c>
      <c r="F20" s="26">
        <f>F19*F13</f>
        <v>7049.0316000000003</v>
      </c>
      <c r="G20" s="26">
        <f>G19*G13</f>
        <v>0</v>
      </c>
      <c r="H20" s="26">
        <f>H19*H13</f>
        <v>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16384" s="9" customFormat="1">
      <c r="B21" s="22"/>
      <c r="C21" s="28" t="s">
        <v>47</v>
      </c>
      <c r="D21" s="28">
        <f t="shared" si="4"/>
        <v>20000</v>
      </c>
      <c r="E21" s="27">
        <v>0</v>
      </c>
      <c r="F21" s="27">
        <v>20000</v>
      </c>
      <c r="G21" s="27">
        <v>20000</v>
      </c>
      <c r="H21" s="27">
        <v>20000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16384" s="9" customFormat="1" ht="15" customHeight="1">
      <c r="B22" s="22"/>
      <c r="C22" s="28" t="s">
        <v>48</v>
      </c>
      <c r="D22" s="28">
        <f t="shared" si="4"/>
        <v>6500</v>
      </c>
      <c r="E22" s="27">
        <v>0</v>
      </c>
      <c r="F22" s="27">
        <v>6500</v>
      </c>
      <c r="G22" s="27">
        <v>6500</v>
      </c>
      <c r="H22" s="27">
        <v>6500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16384" s="4" customFormat="1">
      <c r="B23" s="23"/>
      <c r="C23" s="27" t="s">
        <v>50</v>
      </c>
      <c r="D23" s="27">
        <f t="shared" ref="D23:E23" si="7">D21+D22</f>
        <v>26500</v>
      </c>
      <c r="E23" s="27">
        <f t="shared" si="7"/>
        <v>0</v>
      </c>
      <c r="F23" s="27">
        <f>F21+F22</f>
        <v>26500</v>
      </c>
      <c r="G23" s="27">
        <f>G21+G22</f>
        <v>26500</v>
      </c>
      <c r="H23" s="27">
        <f>H21+H22</f>
        <v>26500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</row>
    <row r="24" spans="2:16384" s="3" customFormat="1">
      <c r="B24" s="20"/>
      <c r="C24" s="26" t="s">
        <v>95</v>
      </c>
      <c r="D24" s="26">
        <f>D25-D23</f>
        <v>94609.38</v>
      </c>
      <c r="E24" s="26">
        <f>E25-E23</f>
        <v>123524.11678699999</v>
      </c>
      <c r="F24" s="26">
        <f>F25-F23</f>
        <v>122047.97279999999</v>
      </c>
      <c r="G24" s="26">
        <f>G25-G23</f>
        <v>92834.63</v>
      </c>
      <c r="H24" s="26">
        <f>H25-H23</f>
        <v>94609.38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16384" s="3" customFormat="1">
      <c r="B25" s="20"/>
      <c r="C25" s="26" t="s">
        <v>94</v>
      </c>
      <c r="D25" s="26">
        <f t="shared" ref="D25:E25" si="8">D15+D16+D18+D20</f>
        <v>121109.38</v>
      </c>
      <c r="E25" s="26">
        <f t="shared" si="8"/>
        <v>123524.11678699999</v>
      </c>
      <c r="F25" s="26">
        <f>F15+F16+F18+F20</f>
        <v>148547.97279999999</v>
      </c>
      <c r="G25" s="26">
        <f>G15+G16+G18+G20</f>
        <v>119334.63</v>
      </c>
      <c r="H25" s="26">
        <f>H15+H16+H18+H20</f>
        <v>121109.38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2:16384" s="3" customFormat="1">
      <c r="B26" s="20"/>
      <c r="C26" s="28" t="s">
        <v>96</v>
      </c>
      <c r="D26" s="28">
        <f>LOOKUP(9E+307,C26:M26)</f>
        <v>40232.19</v>
      </c>
      <c r="E26" s="26">
        <v>0</v>
      </c>
      <c r="F26" s="26">
        <v>0</v>
      </c>
      <c r="G26" s="26">
        <v>35859.99</v>
      </c>
      <c r="H26" s="27">
        <v>40232.19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pans="2:16384" s="3" customFormat="1">
      <c r="B27" s="20"/>
      <c r="C27" s="26" t="s">
        <v>51</v>
      </c>
      <c r="D27" s="26">
        <f>LOOKUP(9E+307,C27:M27)</f>
        <v>134841.57</v>
      </c>
      <c r="E27" s="26">
        <f t="shared" ref="E27:F27" si="9">E24+E26</f>
        <v>123524.11678699999</v>
      </c>
      <c r="F27" s="26">
        <f t="shared" si="9"/>
        <v>122047.97279999999</v>
      </c>
      <c r="G27" s="26">
        <f>G24+G26</f>
        <v>128694.62</v>
      </c>
      <c r="H27" s="26">
        <f>H24+H26</f>
        <v>134841.57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pans="2:16384" s="3" customFormat="1">
      <c r="B28" s="20"/>
      <c r="C28" s="26" t="s">
        <v>49</v>
      </c>
      <c r="D28" s="26">
        <f>LOOKUP(9E+307,C28:M28)</f>
        <v>161341.57</v>
      </c>
      <c r="E28" s="26">
        <f t="shared" ref="E28:F28" si="10">E25+E26</f>
        <v>123524.11678699999</v>
      </c>
      <c r="F28" s="26">
        <f t="shared" si="10"/>
        <v>148547.97279999999</v>
      </c>
      <c r="G28" s="26">
        <f>G25+G26</f>
        <v>155194.62</v>
      </c>
      <c r="H28" s="26">
        <f>H25+H26</f>
        <v>161341.57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3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pans="2:16384" s="5" customFormat="1">
      <c r="B29" s="20"/>
      <c r="C29" s="13"/>
      <c r="D29" s="13"/>
      <c r="E29" s="20"/>
      <c r="F29" s="20"/>
      <c r="G29" s="2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16384" s="5" customFormat="1">
      <c r="C30" s="6"/>
      <c r="D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16384" s="5" customFormat="1">
      <c r="C31" s="6"/>
      <c r="D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16384" s="5" customFormat="1">
      <c r="C32" s="6"/>
      <c r="D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s="5" customFormat="1">
      <c r="C33" s="6"/>
      <c r="D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s="5" customFormat="1">
      <c r="C34" s="6"/>
      <c r="D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s="5" customFormat="1">
      <c r="C35" s="6"/>
      <c r="D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s="5" customFormat="1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s="5" customFormat="1"/>
    <row r="38" spans="3:38" s="5" customFormat="1"/>
    <row r="39" spans="3:38" s="5" customFormat="1">
      <c r="C39" s="6"/>
      <c r="D39" s="6"/>
    </row>
    <row r="40" spans="3:38" s="5" customFormat="1">
      <c r="C40" s="6"/>
      <c r="D40" s="6"/>
    </row>
    <row r="41" spans="3:38" s="5" customFormat="1">
      <c r="C41" s="6"/>
      <c r="D41" s="6"/>
    </row>
    <row r="42" spans="3:38" s="5" customFormat="1">
      <c r="C42" s="6"/>
      <c r="D42" s="6"/>
    </row>
    <row r="43" spans="3:38" s="5" customFormat="1">
      <c r="C43" s="6"/>
      <c r="D43" s="6"/>
    </row>
    <row r="44" spans="3:38" s="5" customFormat="1">
      <c r="C44" s="6"/>
      <c r="D44" s="6"/>
    </row>
    <row r="45" spans="3:38" s="5" customFormat="1"/>
    <row r="46" spans="3:38" s="5" customFormat="1">
      <c r="C46" s="6"/>
      <c r="D46" s="6"/>
    </row>
    <row r="47" spans="3:38" s="5" customFormat="1">
      <c r="C47" s="6"/>
      <c r="D47" s="6"/>
    </row>
    <row r="48" spans="3:38" s="5" customFormat="1">
      <c r="C48" s="7"/>
      <c r="D48" s="7"/>
      <c r="E48" s="7"/>
      <c r="F48" s="7"/>
      <c r="G48" s="7"/>
    </row>
    <row r="49" spans="3:7" s="5" customFormat="1">
      <c r="C49" s="6"/>
      <c r="D49" s="6"/>
      <c r="E49" s="7"/>
      <c r="F49" s="7"/>
      <c r="G49" s="7"/>
    </row>
    <row r="50" spans="3:7" s="5" customFormat="1">
      <c r="C50" s="7"/>
      <c r="D50" s="7"/>
      <c r="E50" s="7"/>
      <c r="F50" s="7"/>
      <c r="G50" s="7"/>
    </row>
    <row r="51" spans="3:7" s="5" customFormat="1">
      <c r="C51" s="6"/>
      <c r="D51" s="6"/>
      <c r="E51" s="7"/>
      <c r="F51" s="7"/>
      <c r="G51" s="7"/>
    </row>
    <row r="52" spans="3:7" s="5" customFormat="1"/>
    <row r="53" spans="3:7" s="5" customFormat="1">
      <c r="C53" s="6"/>
      <c r="D53" s="6"/>
    </row>
    <row r="54" spans="3:7" s="5" customFormat="1">
      <c r="C54" s="6"/>
      <c r="D54" s="6"/>
    </row>
    <row r="55" spans="3:7" s="5" customFormat="1">
      <c r="C55" s="7"/>
      <c r="D55" s="7"/>
      <c r="E55" s="7"/>
      <c r="F55" s="7"/>
      <c r="G55" s="7"/>
    </row>
    <row r="56" spans="3:7" s="5" customFormat="1">
      <c r="C56" s="6"/>
      <c r="D56" s="6"/>
      <c r="E56" s="7"/>
      <c r="F56" s="7"/>
      <c r="G56" s="7"/>
    </row>
    <row r="57" spans="3:7" s="5" customFormat="1">
      <c r="C57" s="7"/>
      <c r="D57" s="7"/>
      <c r="E57" s="7"/>
      <c r="F57" s="7"/>
      <c r="G57" s="7"/>
    </row>
    <row r="58" spans="3:7" s="5" customFormat="1">
      <c r="C58" s="6"/>
      <c r="D58" s="6"/>
      <c r="E58" s="7"/>
      <c r="F58" s="7"/>
      <c r="G58" s="7"/>
    </row>
    <row r="59" spans="3:7" s="5" customFormat="1"/>
    <row r="60" spans="3:7" s="5" customFormat="1">
      <c r="C60" s="6"/>
      <c r="D60" s="6"/>
    </row>
    <row r="61" spans="3:7" s="5" customFormat="1">
      <c r="C61" s="6"/>
      <c r="D61" s="6"/>
    </row>
    <row r="62" spans="3:7" s="5" customFormat="1">
      <c r="C62" s="7"/>
      <c r="D62" s="7"/>
      <c r="E62" s="7"/>
      <c r="F62" s="7"/>
      <c r="G62" s="7"/>
    </row>
    <row r="63" spans="3:7" s="5" customFormat="1">
      <c r="C63" s="6"/>
      <c r="D63" s="6"/>
      <c r="E63" s="7"/>
      <c r="F63" s="7"/>
      <c r="G63" s="7"/>
    </row>
    <row r="64" spans="3:7" s="5" customFormat="1">
      <c r="C64" s="7"/>
      <c r="D64" s="7"/>
      <c r="E64" s="7"/>
      <c r="F64" s="7"/>
      <c r="G64" s="7"/>
    </row>
    <row r="65" spans="3:7" s="5" customFormat="1">
      <c r="C65" s="6"/>
      <c r="D65" s="6"/>
      <c r="E65" s="7"/>
      <c r="F65" s="7"/>
      <c r="G65" s="7"/>
    </row>
    <row r="66" spans="3:7" s="5" customFormat="1"/>
    <row r="67" spans="3:7" s="5" customFormat="1"/>
    <row r="68" spans="3:7" s="5" customFormat="1"/>
    <row r="69" spans="3:7" s="5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8 D20" formula="1"/>
  </ignoredErrors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U92"/>
  <sheetViews>
    <sheetView showGridLines="0" zoomScale="82" zoomScaleNormal="75" workbookViewId="0">
      <pane xSplit="4" ySplit="12" topLeftCell="E18" activePane="bottomRight" state="frozen"/>
      <selection pane="topRight" activeCell="F1" sqref="F1"/>
      <selection pane="bottomLeft" activeCell="A13" sqref="A13"/>
      <selection pane="bottomRight" activeCell="O10" sqref="O10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</cols>
  <sheetData>
    <row r="2" spans="2:21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1">
      <c r="B3" s="17"/>
      <c r="C3" s="291" t="s">
        <v>62</v>
      </c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17"/>
    </row>
    <row r="4" spans="2:21" ht="17" thickBot="1">
      <c r="B4" s="17"/>
      <c r="C4" s="17"/>
      <c r="D4" s="29"/>
      <c r="E4" s="29"/>
      <c r="F4" s="29"/>
      <c r="G4" s="97"/>
      <c r="H4" s="97"/>
      <c r="I4" s="29"/>
      <c r="J4" s="29"/>
      <c r="K4" s="29"/>
      <c r="L4" s="29"/>
      <c r="M4" s="29"/>
      <c r="N4" s="29"/>
      <c r="O4" s="29"/>
      <c r="P4" s="29"/>
      <c r="Q4" s="29"/>
      <c r="R4" s="29"/>
      <c r="S4" s="17"/>
    </row>
    <row r="5" spans="2:21" ht="34">
      <c r="B5" s="17"/>
      <c r="C5" s="306" t="s">
        <v>83</v>
      </c>
      <c r="D5" s="293"/>
      <c r="E5" s="300" t="s">
        <v>66</v>
      </c>
      <c r="F5" s="301"/>
      <c r="G5" s="125"/>
      <c r="H5" s="126"/>
      <c r="I5" s="103" t="s">
        <v>65</v>
      </c>
      <c r="J5" s="98" t="s">
        <v>70</v>
      </c>
      <c r="K5" s="98" t="s">
        <v>69</v>
      </c>
      <c r="L5" s="103" t="s">
        <v>91</v>
      </c>
      <c r="M5" s="62" t="s">
        <v>67</v>
      </c>
      <c r="N5" s="63" t="s">
        <v>68</v>
      </c>
      <c r="O5" s="16"/>
      <c r="P5" s="294" t="s">
        <v>97</v>
      </c>
      <c r="Q5" s="295"/>
      <c r="R5" s="296"/>
      <c r="S5" s="17"/>
    </row>
    <row r="6" spans="2:21" ht="17" thickBot="1">
      <c r="B6" s="17"/>
      <c r="C6" s="306"/>
      <c r="D6" s="293"/>
      <c r="E6" s="302">
        <v>20</v>
      </c>
      <c r="F6" s="303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v>7000</v>
      </c>
      <c r="N6" s="65">
        <v>1</v>
      </c>
      <c r="O6" s="16"/>
      <c r="P6" s="297"/>
      <c r="Q6" s="298"/>
      <c r="R6" s="299"/>
      <c r="S6" s="17"/>
    </row>
    <row r="7" spans="2:21" ht="17" thickBot="1">
      <c r="B7" s="17"/>
      <c r="C7" s="17"/>
      <c r="D7" s="17"/>
      <c r="E7" s="16"/>
      <c r="F7" s="58"/>
      <c r="G7" s="100"/>
      <c r="H7" s="100"/>
      <c r="I7" s="58"/>
      <c r="J7" s="58"/>
      <c r="K7" s="16"/>
      <c r="L7" s="16"/>
      <c r="M7" s="16"/>
      <c r="N7" s="16"/>
      <c r="O7" s="16"/>
      <c r="P7" s="16"/>
      <c r="Q7" s="16"/>
      <c r="R7" s="17"/>
      <c r="S7" s="17"/>
    </row>
    <row r="8" spans="2:21" ht="34">
      <c r="B8" s="17"/>
      <c r="C8" s="293" t="s">
        <v>84</v>
      </c>
      <c r="D8" s="293"/>
      <c r="E8" s="300" t="s">
        <v>76</v>
      </c>
      <c r="F8" s="301"/>
      <c r="G8" s="125"/>
      <c r="H8" s="128"/>
      <c r="I8" s="59" t="s">
        <v>77</v>
      </c>
      <c r="J8" s="125"/>
      <c r="K8" s="125"/>
      <c r="L8" s="59" t="s">
        <v>93</v>
      </c>
      <c r="M8" s="131"/>
      <c r="N8" s="105" t="s">
        <v>92</v>
      </c>
      <c r="O8" s="16"/>
      <c r="P8" s="45" t="s">
        <v>89</v>
      </c>
      <c r="Q8" s="40" t="s">
        <v>86</v>
      </c>
      <c r="R8" s="41" t="s">
        <v>88</v>
      </c>
      <c r="S8" s="17"/>
    </row>
    <row r="9" spans="2:21" ht="17" thickBot="1">
      <c r="B9" s="17"/>
      <c r="C9" s="293"/>
      <c r="D9" s="293"/>
      <c r="E9" s="304">
        <v>25</v>
      </c>
      <c r="F9" s="305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6"/>
      <c r="P9" s="42">
        <f>记录仪!D13</f>
        <v>6.42</v>
      </c>
      <c r="Q9" s="43">
        <f>记录仪!D6</f>
        <v>61100</v>
      </c>
      <c r="R9" s="44">
        <f>记录仪!D4</f>
        <v>33.74</v>
      </c>
      <c r="S9" s="17"/>
    </row>
    <row r="10" spans="2:21">
      <c r="B10" s="17"/>
      <c r="C10" s="17"/>
      <c r="D10" s="17"/>
      <c r="E10" s="16"/>
      <c r="F10" s="16"/>
      <c r="G10" s="101"/>
      <c r="H10" s="101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</row>
    <row r="11" spans="2:21" ht="17" thickBot="1">
      <c r="B11" s="17"/>
      <c r="C11" s="257" t="s">
        <v>85</v>
      </c>
      <c r="D11" s="258"/>
      <c r="E11" s="284" t="s">
        <v>78</v>
      </c>
      <c r="F11" s="284"/>
      <c r="G11" s="282"/>
      <c r="H11" s="282"/>
      <c r="I11" s="284"/>
      <c r="J11" s="284"/>
      <c r="K11" s="284"/>
      <c r="L11" s="282" t="s">
        <v>80</v>
      </c>
      <c r="M11" s="282"/>
      <c r="N11" s="282"/>
      <c r="O11" s="283"/>
      <c r="P11" s="280" t="s">
        <v>81</v>
      </c>
      <c r="Q11" s="280" t="s">
        <v>82</v>
      </c>
      <c r="R11" s="280"/>
      <c r="S11" s="17"/>
    </row>
    <row r="12" spans="2:21" ht="17" thickBot="1">
      <c r="B12" s="17"/>
      <c r="C12" s="259"/>
      <c r="D12" s="260"/>
      <c r="E12" s="285" t="s">
        <v>71</v>
      </c>
      <c r="F12" s="286"/>
      <c r="G12" s="278" t="s">
        <v>98</v>
      </c>
      <c r="H12" s="279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280"/>
      <c r="Q12" s="281"/>
      <c r="R12" s="280"/>
      <c r="S12" s="19"/>
      <c r="T12" s="1"/>
      <c r="U12" s="1"/>
    </row>
    <row r="13" spans="2:21" s="5" customFormat="1">
      <c r="B13" s="20"/>
      <c r="C13" s="265" t="s">
        <v>78</v>
      </c>
      <c r="D13" s="184" t="s">
        <v>23</v>
      </c>
      <c r="E13" s="287">
        <f>记录仪!D7</f>
        <v>3.597</v>
      </c>
      <c r="F13" s="288"/>
      <c r="G13" s="192"/>
      <c r="H13" s="192"/>
      <c r="I13" s="193"/>
      <c r="J13" s="194"/>
      <c r="K13" s="195"/>
      <c r="L13" s="87"/>
      <c r="M13" s="87"/>
      <c r="N13" s="87"/>
      <c r="O13" s="87"/>
      <c r="P13" s="160"/>
      <c r="Q13" s="46" t="s">
        <v>53</v>
      </c>
      <c r="R13" s="11" t="s">
        <v>54</v>
      </c>
      <c r="S13" s="20"/>
    </row>
    <row r="14" spans="2:21" s="5" customFormat="1">
      <c r="B14" s="20"/>
      <c r="C14" s="265"/>
      <c r="D14" s="51" t="s">
        <v>28</v>
      </c>
      <c r="E14" s="289">
        <f>记录仪!D13</f>
        <v>6.42</v>
      </c>
      <c r="F14" s="290"/>
      <c r="G14" s="107"/>
      <c r="H14" s="107"/>
      <c r="I14" s="196"/>
      <c r="J14" s="134"/>
      <c r="K14" s="197"/>
      <c r="L14" s="87"/>
      <c r="M14" s="87"/>
      <c r="N14" s="107"/>
      <c r="O14" s="107"/>
      <c r="P14" s="13"/>
      <c r="Q14" s="48">
        <f>(J23-J17-J15)/J22</f>
        <v>1.2563596759644762</v>
      </c>
      <c r="R14" s="10">
        <v>1.1858</v>
      </c>
      <c r="S14" s="20"/>
    </row>
    <row r="15" spans="2:21" s="3" customFormat="1" ht="17" thickBot="1">
      <c r="B15" s="20"/>
      <c r="C15" s="265"/>
      <c r="D15" s="51" t="s">
        <v>43</v>
      </c>
      <c r="E15" s="198"/>
      <c r="F15" s="133"/>
      <c r="G15" s="107"/>
      <c r="H15" s="107"/>
      <c r="I15" s="196"/>
      <c r="J15" s="14">
        <f>K15*E14</f>
        <v>0</v>
      </c>
      <c r="K15" s="199">
        <f>记录仪!D17</f>
        <v>0</v>
      </c>
      <c r="L15" s="87"/>
      <c r="M15" s="87"/>
      <c r="N15" s="87"/>
      <c r="O15" s="87"/>
      <c r="P15" s="13"/>
      <c r="Q15" s="47">
        <f>J22*R14-(J23-J15-J17)</f>
        <v>-6675.6071959999972</v>
      </c>
      <c r="R15" s="12" t="s">
        <v>55</v>
      </c>
      <c r="S15" s="20"/>
    </row>
    <row r="16" spans="2:21" s="3" customFormat="1">
      <c r="B16" s="20"/>
      <c r="C16" s="265"/>
      <c r="D16" s="51" t="s">
        <v>75</v>
      </c>
      <c r="E16" s="198"/>
      <c r="F16" s="133"/>
      <c r="G16" s="107"/>
      <c r="H16" s="107"/>
      <c r="I16" s="196"/>
      <c r="J16" s="14">
        <f>K16*E14</f>
        <v>0</v>
      </c>
      <c r="K16" s="199">
        <f>记录仪!D19</f>
        <v>0</v>
      </c>
      <c r="L16" s="87"/>
      <c r="M16" s="87"/>
      <c r="N16" s="107"/>
      <c r="O16" s="107"/>
      <c r="P16" s="20"/>
      <c r="Q16" s="13"/>
      <c r="R16" s="161"/>
      <c r="S16" s="20"/>
      <c r="T16" s="5"/>
      <c r="U16" s="5"/>
    </row>
    <row r="17" spans="2:21" s="5" customFormat="1">
      <c r="B17" s="20"/>
      <c r="C17" s="265"/>
      <c r="D17" s="51" t="s">
        <v>63</v>
      </c>
      <c r="E17" s="198"/>
      <c r="F17" s="133"/>
      <c r="G17" s="107"/>
      <c r="H17" s="107"/>
      <c r="I17" s="196"/>
      <c r="J17" s="8">
        <f>记录仪!D16</f>
        <v>2245.9699999999998</v>
      </c>
      <c r="K17" s="200">
        <f>J17/E14</f>
        <v>349.83956386292834</v>
      </c>
      <c r="L17" s="87"/>
      <c r="M17" s="87"/>
      <c r="N17" s="87"/>
      <c r="O17" s="87"/>
      <c r="P17" s="85"/>
      <c r="Q17" s="87"/>
      <c r="R17" s="109"/>
      <c r="S17" s="20"/>
    </row>
    <row r="18" spans="2:21" s="5" customFormat="1">
      <c r="B18" s="20"/>
      <c r="C18" s="265"/>
      <c r="D18" s="51" t="s">
        <v>64</v>
      </c>
      <c r="E18" s="275">
        <f>记录仪!D14</f>
        <v>3.8755000000000002</v>
      </c>
      <c r="F18" s="276"/>
      <c r="G18" s="107"/>
      <c r="H18" s="107"/>
      <c r="I18" s="196"/>
      <c r="J18" s="8">
        <f>记录仪!D15</f>
        <v>118863.41</v>
      </c>
      <c r="K18" s="200">
        <f>J18/E14</f>
        <v>18514.549844236761</v>
      </c>
      <c r="L18" s="87"/>
      <c r="M18" s="108">
        <f>J18/E18</f>
        <v>30670.470906979743</v>
      </c>
      <c r="N18" s="107"/>
      <c r="O18" s="107"/>
      <c r="P18" s="85"/>
      <c r="Q18" s="87"/>
      <c r="R18" s="87"/>
      <c r="S18" s="20"/>
    </row>
    <row r="19" spans="2:21" s="3" customFormat="1">
      <c r="B19" s="20"/>
      <c r="C19" s="265"/>
      <c r="D19" s="53" t="s">
        <v>47</v>
      </c>
      <c r="E19" s="210"/>
      <c r="F19" s="210"/>
      <c r="G19" s="210"/>
      <c r="H19" s="210"/>
      <c r="I19" s="210"/>
      <c r="J19" s="209">
        <f>记录仪!D21</f>
        <v>20000</v>
      </c>
      <c r="K19" s="201">
        <f>J19/E14</f>
        <v>3115.264797507788</v>
      </c>
      <c r="L19" s="87"/>
      <c r="M19" s="87"/>
      <c r="N19" s="107"/>
      <c r="O19" s="107"/>
      <c r="P19" s="85"/>
      <c r="Q19" s="87"/>
      <c r="R19" s="87"/>
      <c r="S19" s="20"/>
      <c r="T19" s="5"/>
      <c r="U19" s="5"/>
    </row>
    <row r="20" spans="2:21" s="3" customFormat="1">
      <c r="B20" s="20"/>
      <c r="C20" s="265"/>
      <c r="D20" s="53" t="s">
        <v>48</v>
      </c>
      <c r="E20" s="210"/>
      <c r="F20" s="210"/>
      <c r="G20" s="210"/>
      <c r="H20" s="210"/>
      <c r="I20" s="210"/>
      <c r="J20" s="209">
        <f>记录仪!D22</f>
        <v>6500</v>
      </c>
      <c r="K20" s="201">
        <f>J20/E14</f>
        <v>1012.4610591900312</v>
      </c>
      <c r="L20" s="87"/>
      <c r="M20" s="87"/>
      <c r="N20" s="87"/>
      <c r="O20" s="87"/>
      <c r="P20" s="85"/>
      <c r="Q20" s="85"/>
      <c r="R20" s="85"/>
      <c r="S20" s="20"/>
      <c r="T20" s="5"/>
      <c r="U20" s="5"/>
    </row>
    <row r="21" spans="2:21" s="3" customFormat="1">
      <c r="B21" s="20"/>
      <c r="C21" s="265"/>
      <c r="D21" s="53" t="s">
        <v>50</v>
      </c>
      <c r="E21" s="277">
        <f>J23/J22</f>
        <v>1.2800990768568614</v>
      </c>
      <c r="F21" s="277"/>
      <c r="G21" s="210"/>
      <c r="H21" s="53"/>
      <c r="I21" s="53"/>
      <c r="J21" s="33">
        <f>J19+J20</f>
        <v>26500</v>
      </c>
      <c r="K21" s="201">
        <f>J21/E14</f>
        <v>4127.7258566978189</v>
      </c>
      <c r="L21" s="57">
        <f>J22*R14-(J23-J15-J17)</f>
        <v>-6675.6071959999972</v>
      </c>
      <c r="M21" s="87"/>
      <c r="N21" s="87"/>
      <c r="O21" s="87"/>
      <c r="P21" s="85"/>
      <c r="Q21" s="85"/>
      <c r="R21" s="85"/>
      <c r="S21" s="20"/>
      <c r="T21" s="5"/>
      <c r="U21" s="5"/>
    </row>
    <row r="22" spans="2:21" s="3" customFormat="1">
      <c r="B22" s="20"/>
      <c r="C22" s="265"/>
      <c r="D22" s="51" t="s">
        <v>51</v>
      </c>
      <c r="E22" s="202"/>
      <c r="F22" s="13"/>
      <c r="G22" s="107"/>
      <c r="H22" s="107"/>
      <c r="I22" s="196"/>
      <c r="J22" s="32">
        <f>J18+J17+J15+J16-J21</f>
        <v>94609.38</v>
      </c>
      <c r="K22" s="200">
        <f>J22/E14</f>
        <v>14736.663551401871</v>
      </c>
      <c r="L22" s="87"/>
      <c r="M22" s="87"/>
      <c r="N22" s="87"/>
      <c r="O22" s="87"/>
      <c r="P22" s="87"/>
      <c r="Q22" s="87"/>
      <c r="R22" s="85"/>
      <c r="S22" s="20"/>
      <c r="T22" s="5"/>
      <c r="U22" s="5"/>
    </row>
    <row r="23" spans="2:21" s="3" customFormat="1" ht="17" thickBot="1">
      <c r="B23" s="20"/>
      <c r="C23" s="265"/>
      <c r="D23" s="52" t="s">
        <v>49</v>
      </c>
      <c r="E23" s="203"/>
      <c r="F23" s="204"/>
      <c r="G23" s="205"/>
      <c r="H23" s="205"/>
      <c r="I23" s="206"/>
      <c r="J23" s="207">
        <f>J18+J17+J15+J16</f>
        <v>121109.38</v>
      </c>
      <c r="K23" s="208">
        <f>J23/E14</f>
        <v>18864.389408099691</v>
      </c>
      <c r="L23" s="87"/>
      <c r="M23" s="87"/>
      <c r="N23" s="87"/>
      <c r="O23" s="87"/>
      <c r="P23" s="87"/>
      <c r="Q23" s="87"/>
      <c r="R23" s="85"/>
      <c r="S23" s="20"/>
      <c r="T23" s="5"/>
      <c r="U23" s="5"/>
    </row>
    <row r="24" spans="2:21" s="3" customFormat="1" ht="17" hidden="1" thickBot="1">
      <c r="B24" s="85"/>
      <c r="C24" s="270" t="s">
        <v>79</v>
      </c>
      <c r="D24" s="110" t="s">
        <v>29</v>
      </c>
      <c r="E24" s="188">
        <f>100*(1-(POWER(2-LOG(4-E13+1,2),2)/4))</f>
        <v>42.885328046354928</v>
      </c>
      <c r="F24" s="159">
        <f>E27</f>
        <v>21.620764923345003</v>
      </c>
      <c r="G24" s="90"/>
      <c r="H24" s="90"/>
      <c r="I24" s="189">
        <f>F24*H24/100</f>
        <v>0</v>
      </c>
      <c r="J24" s="190">
        <f>($J$23-$M$6-$J$21*$E$6/100-$J$21*$N$6/100)*(1-($E$28-$E$29)/100*H24/100)*I24/100</f>
        <v>0</v>
      </c>
      <c r="K24" s="191">
        <f>J24/$E$14</f>
        <v>0</v>
      </c>
      <c r="L24" s="77">
        <f>J24-$J$16</f>
        <v>0</v>
      </c>
      <c r="M24" s="78">
        <f>L24/$E$18</f>
        <v>0</v>
      </c>
      <c r="N24" s="79">
        <f>K24-$K$16</f>
        <v>0</v>
      </c>
      <c r="O24" s="84" t="e">
        <f>N24/$K$16*100</f>
        <v>#DIV/0!</v>
      </c>
      <c r="P24" s="135"/>
      <c r="Q24" s="135"/>
      <c r="R24" s="85"/>
      <c r="S24" s="85"/>
      <c r="T24" s="5"/>
      <c r="U24" s="5"/>
    </row>
    <row r="25" spans="2:21" s="3" customFormat="1" ht="16" hidden="1" customHeight="1">
      <c r="B25" s="85"/>
      <c r="C25" s="270"/>
      <c r="D25" s="111" t="s">
        <v>30</v>
      </c>
      <c r="E25" s="158">
        <f>100*(POWER((2-LOG(E13,2)),2)/4)</f>
        <v>0.58680073928737064</v>
      </c>
      <c r="F25" s="159"/>
      <c r="G25" s="90"/>
      <c r="H25" s="90"/>
      <c r="I25" s="90"/>
      <c r="J25" s="91"/>
      <c r="K25" s="92"/>
      <c r="L25" s="93"/>
      <c r="M25" s="94"/>
      <c r="N25" s="95"/>
      <c r="O25" s="96"/>
      <c r="P25" s="136"/>
      <c r="Q25" s="154"/>
      <c r="R25" s="86"/>
      <c r="S25" s="85"/>
      <c r="T25" s="5"/>
      <c r="U25" s="5"/>
    </row>
    <row r="26" spans="2:21" s="3" customFormat="1" ht="16" hidden="1" customHeight="1">
      <c r="B26" s="85"/>
      <c r="C26" s="270"/>
      <c r="D26" s="111" t="s">
        <v>33</v>
      </c>
      <c r="E26" s="158">
        <f>100*(POWER((8-2*E13),4)/4096)</f>
        <v>1.0303391906640629E-2</v>
      </c>
      <c r="F26" s="159"/>
      <c r="G26" s="90"/>
      <c r="H26" s="90"/>
      <c r="I26" s="90"/>
      <c r="J26" s="91"/>
      <c r="K26" s="92"/>
      <c r="L26" s="93"/>
      <c r="M26" s="94"/>
      <c r="N26" s="95"/>
      <c r="O26" s="96"/>
      <c r="P26" s="136"/>
      <c r="Q26" s="155"/>
      <c r="R26" s="86"/>
      <c r="S26" s="85"/>
      <c r="T26" s="5"/>
      <c r="U26" s="5"/>
    </row>
    <row r="27" spans="2:21" s="3" customFormat="1" hidden="1">
      <c r="B27" s="85"/>
      <c r="C27" s="270"/>
      <c r="D27" s="111" t="s">
        <v>35</v>
      </c>
      <c r="E27" s="158">
        <f>(E24+E30)/2</f>
        <v>21.620764923345003</v>
      </c>
      <c r="F27" s="159"/>
      <c r="G27" s="90"/>
      <c r="H27" s="90"/>
      <c r="I27" s="90"/>
      <c r="J27" s="91"/>
      <c r="K27" s="92"/>
      <c r="L27" s="93"/>
      <c r="M27" s="94"/>
      <c r="N27" s="95"/>
      <c r="O27" s="96"/>
      <c r="P27" s="136"/>
      <c r="Q27" s="155"/>
      <c r="R27" s="86"/>
      <c r="S27" s="85"/>
      <c r="T27" s="5"/>
      <c r="U27" s="5"/>
    </row>
    <row r="28" spans="2:21" s="3" customFormat="1" hidden="1">
      <c r="B28" s="85"/>
      <c r="C28" s="270"/>
      <c r="D28" s="111" t="s">
        <v>36</v>
      </c>
      <c r="E28" s="112">
        <f>SQRT(E30*E24)</f>
        <v>3.9084307666980704</v>
      </c>
      <c r="F28" s="159"/>
      <c r="G28" s="89"/>
      <c r="H28" s="89"/>
      <c r="I28" s="89"/>
      <c r="J28" s="91"/>
      <c r="K28" s="92"/>
      <c r="L28" s="93"/>
      <c r="M28" s="94"/>
      <c r="N28" s="95"/>
      <c r="O28" s="96"/>
      <c r="P28" s="137"/>
      <c r="Q28" s="155"/>
      <c r="R28" s="86"/>
      <c r="S28" s="85"/>
      <c r="T28" s="5"/>
      <c r="U28" s="5"/>
    </row>
    <row r="29" spans="2:21" s="3" customFormat="1" hidden="1">
      <c r="B29" s="85"/>
      <c r="C29" s="270"/>
      <c r="D29" s="111" t="s">
        <v>37</v>
      </c>
      <c r="E29" s="112">
        <f>SQRT(E28*E30)</f>
        <v>1.1799110456228743</v>
      </c>
      <c r="F29" s="159"/>
      <c r="G29" s="89"/>
      <c r="H29" s="89"/>
      <c r="I29" s="89"/>
      <c r="J29" s="91"/>
      <c r="K29" s="92"/>
      <c r="L29" s="93"/>
      <c r="M29" s="94"/>
      <c r="N29" s="95"/>
      <c r="O29" s="96"/>
      <c r="P29" s="136"/>
      <c r="Q29" s="156"/>
      <c r="R29" s="86"/>
      <c r="S29" s="85"/>
      <c r="T29" s="5"/>
      <c r="U29" s="5"/>
    </row>
    <row r="30" spans="2:21" s="3" customFormat="1" ht="17" hidden="1" thickBot="1">
      <c r="B30" s="85"/>
      <c r="C30" s="271"/>
      <c r="D30" s="111" t="s">
        <v>34</v>
      </c>
      <c r="E30" s="167">
        <f>(3*E25+2*E26)/5</f>
        <v>0.35620180033507864</v>
      </c>
      <c r="F30" s="159"/>
      <c r="G30" s="89"/>
      <c r="H30" s="89"/>
      <c r="I30" s="89"/>
      <c r="J30" s="91"/>
      <c r="K30" s="92"/>
      <c r="L30" s="138"/>
      <c r="M30" s="139"/>
      <c r="N30" s="140"/>
      <c r="O30" s="141"/>
      <c r="P30" s="142"/>
      <c r="Q30" s="157"/>
      <c r="R30" s="86"/>
      <c r="S30" s="85"/>
      <c r="T30" s="5"/>
      <c r="U30" s="5"/>
    </row>
    <row r="31" spans="2:21" s="3" customFormat="1" ht="17" thickBot="1">
      <c r="B31" s="20"/>
      <c r="C31" s="76"/>
      <c r="D31" s="164" t="s">
        <v>106</v>
      </c>
      <c r="E31" s="168">
        <f>记录仪!D12</f>
        <v>0.20086915404488823</v>
      </c>
      <c r="F31" s="169">
        <f>E31*E24+(1-E31)*E30</f>
        <v>8.8989914116413384</v>
      </c>
      <c r="G31" s="170">
        <f t="shared" ref="G31" si="0">F31/100/(1-F31/100)</f>
        <v>9.7682688145106833E-2</v>
      </c>
      <c r="H31" s="171">
        <f>G31/G33*100</f>
        <v>27.031012077383892</v>
      </c>
      <c r="I31" s="172">
        <f t="shared" ref="I31" si="1">F31*H31/100</f>
        <v>2.4054874432461255</v>
      </c>
      <c r="J31" s="173">
        <f>($J$23-$M$6-$J$21*$E$6/100-$J$21*$N$6/100)*(1-($E$28-$E$29)/100*$H$31/100)*I31/100</f>
        <v>2591.7639341906643</v>
      </c>
      <c r="K31" s="174">
        <f>J31/$E$14</f>
        <v>403.7015473817234</v>
      </c>
      <c r="L31" s="165">
        <f t="shared" ref="L31" si="2">J31-$J$16</f>
        <v>2591.7639341906643</v>
      </c>
      <c r="M31" s="78">
        <f t="shared" ref="M31" si="3">L31/$E$18</f>
        <v>668.75601449894577</v>
      </c>
      <c r="N31" s="79">
        <f t="shared" ref="N31" si="4">K31-$K$16</f>
        <v>403.7015473817234</v>
      </c>
      <c r="O31" s="80" t="e">
        <f t="shared" ref="O31" si="5">N31/$K$16*100</f>
        <v>#DIV/0!</v>
      </c>
      <c r="P31" s="144">
        <v>1</v>
      </c>
      <c r="Q31" s="162" t="s">
        <v>56</v>
      </c>
      <c r="R31" s="272" t="s">
        <v>61</v>
      </c>
      <c r="S31" s="20"/>
      <c r="T31" s="5"/>
      <c r="U31" s="5"/>
    </row>
    <row r="32" spans="2:21" s="3" customFormat="1" ht="17" customHeight="1" thickBot="1">
      <c r="B32" s="20"/>
      <c r="C32" s="261" t="s">
        <v>87</v>
      </c>
      <c r="D32" s="262"/>
      <c r="E32" s="268">
        <f>(40-R9)/(40-10)*100</f>
        <v>20.86666666666666</v>
      </c>
      <c r="F32" s="269"/>
      <c r="G32" s="68">
        <f>E32/100/(1-E32/100)</f>
        <v>0.26368997472620037</v>
      </c>
      <c r="H32" s="69">
        <f>G32/G33*100</f>
        <v>72.968987922616108</v>
      </c>
      <c r="I32" s="66">
        <f>E32*H32/100</f>
        <v>15.226195479852557</v>
      </c>
      <c r="J32" s="54">
        <f>($J$23-$M$6-$J$21*$E$6/100-$J$21*$N$6/100)*(1-($E$28-$E$29)/100*$H$31/100)*I32/100</f>
        <v>16405.283848152274</v>
      </c>
      <c r="K32" s="175">
        <f>J32/$E$14</f>
        <v>2555.3401632635941</v>
      </c>
      <c r="L32" s="166">
        <f>J32-$J$18</f>
        <v>-102458.12615184773</v>
      </c>
      <c r="M32" s="81">
        <f>L32/$E$18</f>
        <v>-26437.395472028827</v>
      </c>
      <c r="N32" s="82">
        <f>L32/$E$14</f>
        <v>-15959.209680973167</v>
      </c>
      <c r="O32" s="83">
        <f>N32/$K$18*100</f>
        <v>-86.198205277677729</v>
      </c>
      <c r="P32" s="145">
        <v>2</v>
      </c>
      <c r="Q32" s="163" t="s">
        <v>57</v>
      </c>
      <c r="R32" s="272"/>
      <c r="S32" s="20"/>
      <c r="T32" s="5"/>
      <c r="U32" s="5"/>
    </row>
    <row r="33" spans="2:21" s="3" customFormat="1" ht="17" hidden="1" customHeight="1" thickBot="1">
      <c r="B33" s="85"/>
      <c r="C33" s="273" t="s">
        <v>100</v>
      </c>
      <c r="D33" s="274"/>
      <c r="E33" s="176"/>
      <c r="F33" s="114"/>
      <c r="G33" s="67">
        <f>G31+G32</f>
        <v>0.3613726628713072</v>
      </c>
      <c r="H33" s="115"/>
      <c r="I33" s="90"/>
      <c r="J33" s="116"/>
      <c r="K33" s="177"/>
      <c r="L33" s="117"/>
      <c r="M33" s="118"/>
      <c r="N33" s="119"/>
      <c r="O33" s="120"/>
      <c r="P33" s="88"/>
      <c r="Q33" s="143"/>
      <c r="R33" s="109"/>
      <c r="S33" s="85"/>
      <c r="T33" s="5"/>
      <c r="U33" s="5"/>
    </row>
    <row r="34" spans="2:21" s="3" customFormat="1" ht="17" hidden="1" customHeight="1" thickBot="1">
      <c r="B34" s="85"/>
      <c r="C34" s="263" t="s">
        <v>99</v>
      </c>
      <c r="D34" s="264"/>
      <c r="E34" s="176"/>
      <c r="F34" s="114"/>
      <c r="G34" s="90"/>
      <c r="H34" s="90"/>
      <c r="I34" s="90"/>
      <c r="J34" s="113">
        <f>$J$23-J31-J32</f>
        <v>102112.33221765707</v>
      </c>
      <c r="K34" s="177"/>
      <c r="L34" s="117"/>
      <c r="M34" s="118"/>
      <c r="N34" s="119"/>
      <c r="O34" s="120"/>
      <c r="P34" s="88"/>
      <c r="Q34" s="143"/>
      <c r="R34" s="109"/>
      <c r="S34" s="85"/>
      <c r="T34" s="5"/>
      <c r="U34" s="5"/>
    </row>
    <row r="35" spans="2:21" s="3" customFormat="1" ht="17" customHeight="1" thickBot="1">
      <c r="B35" s="20"/>
      <c r="C35" s="267" t="s">
        <v>43</v>
      </c>
      <c r="D35" s="262"/>
      <c r="E35" s="178"/>
      <c r="F35" s="124"/>
      <c r="G35" s="124"/>
      <c r="H35" s="124"/>
      <c r="I35" s="124"/>
      <c r="J35" s="54">
        <f>J34-$M$6-$J$21*$N$6/100</f>
        <v>94847.332217657065</v>
      </c>
      <c r="K35" s="179">
        <f>J35/$E$14</f>
        <v>14773.727759759668</v>
      </c>
      <c r="L35" s="146">
        <f>J15-J35</f>
        <v>-94847.332217657065</v>
      </c>
      <c r="M35" s="146">
        <f>L35/E18</f>
        <v>-24473.573014490274</v>
      </c>
      <c r="N35" s="147">
        <f>L35/E14</f>
        <v>-14773.727759759668</v>
      </c>
      <c r="O35" s="148">
        <f>J15/(J21*E6/100+(J23-J16)*(G28-G30)/100*I6/100+J6*K6/100)*100</f>
        <v>0</v>
      </c>
      <c r="P35" s="152">
        <v>3</v>
      </c>
      <c r="Q35" s="55" t="s">
        <v>58</v>
      </c>
      <c r="R35" s="266" t="s">
        <v>60</v>
      </c>
      <c r="S35" s="20"/>
      <c r="T35" s="5"/>
      <c r="U35" s="5"/>
    </row>
    <row r="36" spans="2:21" s="3" customFormat="1" ht="19" customHeight="1" thickBot="1">
      <c r="B36" s="20"/>
      <c r="C36" s="267" t="s">
        <v>63</v>
      </c>
      <c r="D36" s="262"/>
      <c r="E36" s="180"/>
      <c r="F36" s="181"/>
      <c r="G36" s="181"/>
      <c r="H36" s="181"/>
      <c r="I36" s="181"/>
      <c r="J36" s="182">
        <f>$M$6+$J$21*$N$6/100</f>
        <v>7265</v>
      </c>
      <c r="K36" s="183">
        <f>J36/$E$14</f>
        <v>1131.619937694704</v>
      </c>
      <c r="L36" s="149">
        <f>J17-J36</f>
        <v>-5019.0300000000007</v>
      </c>
      <c r="M36" s="149">
        <f>L36/E18</f>
        <v>-1295.066443039608</v>
      </c>
      <c r="N36" s="150">
        <f>L36/E14</f>
        <v>-781.78037383177582</v>
      </c>
      <c r="O36" s="151">
        <f>J17/J36*100</f>
        <v>30.914934618031658</v>
      </c>
      <c r="P36" s="153">
        <v>4</v>
      </c>
      <c r="Q36" s="56" t="s">
        <v>59</v>
      </c>
      <c r="R36" s="266"/>
      <c r="S36" s="20"/>
      <c r="T36" s="5"/>
      <c r="U36" s="5"/>
    </row>
    <row r="37" spans="2:21">
      <c r="B37" s="17"/>
      <c r="C37" s="121"/>
      <c r="D37" s="122"/>
      <c r="E37" s="16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7"/>
      <c r="Q37" s="17"/>
      <c r="R37" s="17"/>
      <c r="S37" s="17"/>
      <c r="T37" s="2"/>
      <c r="U37" s="2"/>
    </row>
    <row r="38" spans="2:21">
      <c r="B38" s="17"/>
      <c r="C38" s="121"/>
      <c r="D38" s="123"/>
      <c r="E38" s="18"/>
      <c r="F38" s="18"/>
      <c r="G38" s="18"/>
      <c r="H38" s="18"/>
      <c r="I38" s="18"/>
      <c r="J38" s="16"/>
      <c r="K38" s="16"/>
      <c r="L38" s="16"/>
      <c r="M38" s="16"/>
      <c r="N38" s="16"/>
      <c r="O38" s="16"/>
      <c r="P38" s="17"/>
      <c r="Q38" s="17"/>
      <c r="R38" s="17"/>
      <c r="S38" s="17"/>
      <c r="T38" s="2"/>
      <c r="U38" s="2"/>
    </row>
    <row r="39" spans="2:21">
      <c r="B39" s="17"/>
      <c r="C39" s="121"/>
      <c r="D39" s="12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/>
      <c r="R39" s="17"/>
      <c r="S39" s="17"/>
      <c r="T39" s="2"/>
      <c r="U39" s="2"/>
    </row>
    <row r="40" spans="2:21">
      <c r="B40" s="17"/>
      <c r="C40" s="121"/>
      <c r="D40" s="12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7"/>
      <c r="R40" s="17"/>
      <c r="S40" s="17"/>
      <c r="T40" s="2"/>
      <c r="U40" s="2"/>
    </row>
    <row r="41" spans="2:21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"/>
      <c r="U41" s="2"/>
    </row>
    <row r="42" spans="2:21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"/>
      <c r="U42" s="2"/>
    </row>
    <row r="43" spans="2:21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"/>
      <c r="U43" s="2"/>
    </row>
    <row r="44" spans="2:21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"/>
      <c r="U44" s="2"/>
    </row>
    <row r="45" spans="2:21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"/>
      <c r="U45" s="2"/>
    </row>
    <row r="46" spans="2:21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"/>
      <c r="U46" s="2"/>
    </row>
    <row r="47" spans="2:21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1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21"/>
      <c r="C52" s="21"/>
    </row>
    <row r="56" spans="2:19">
      <c r="I56" s="2"/>
      <c r="J56" s="2"/>
    </row>
    <row r="57" spans="2:19">
      <c r="I57" s="2"/>
      <c r="J57" s="2"/>
    </row>
    <row r="58" spans="2:19">
      <c r="I58" s="2"/>
      <c r="J58" s="2"/>
    </row>
    <row r="59" spans="2:19">
      <c r="I59" s="2"/>
      <c r="J59" s="2"/>
    </row>
    <row r="60" spans="2:19">
      <c r="I60" s="2"/>
      <c r="J60" s="2"/>
    </row>
    <row r="61" spans="2:19">
      <c r="I61" s="2"/>
      <c r="J61" s="2"/>
    </row>
    <row r="62" spans="2:19">
      <c r="I62" s="2"/>
      <c r="J62" s="2"/>
    </row>
    <row r="63" spans="2:19">
      <c r="I63" s="2"/>
      <c r="J63" s="2"/>
    </row>
    <row r="64" spans="2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75"/>
      <c r="J67" s="75"/>
    </row>
    <row r="68" spans="9:10">
      <c r="I68" s="75"/>
      <c r="J68" s="75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</sheetData>
  <mergeCells count="29">
    <mergeCell ref="C3:R3"/>
    <mergeCell ref="C8:D9"/>
    <mergeCell ref="P5:R6"/>
    <mergeCell ref="E5:F5"/>
    <mergeCell ref="E6:F6"/>
    <mergeCell ref="E8:F8"/>
    <mergeCell ref="E9:F9"/>
    <mergeCell ref="C5:D6"/>
    <mergeCell ref="L11:O11"/>
    <mergeCell ref="E11:K11"/>
    <mergeCell ref="E12:F12"/>
    <mergeCell ref="E13:F13"/>
    <mergeCell ref="E14:F14"/>
    <mergeCell ref="C11:D12"/>
    <mergeCell ref="C32:D32"/>
    <mergeCell ref="C34:D34"/>
    <mergeCell ref="C13:C23"/>
    <mergeCell ref="R35:R36"/>
    <mergeCell ref="C35:D35"/>
    <mergeCell ref="C36:D36"/>
    <mergeCell ref="E32:F32"/>
    <mergeCell ref="C24:C30"/>
    <mergeCell ref="R31:R32"/>
    <mergeCell ref="C33:D33"/>
    <mergeCell ref="E18:F18"/>
    <mergeCell ref="E21:F21"/>
    <mergeCell ref="G12:H12"/>
    <mergeCell ref="P11:P12"/>
    <mergeCell ref="Q11:R12"/>
  </mergeCells>
  <phoneticPr fontId="1" type="noConversion"/>
  <conditionalFormatting sqref="L24:L31">
    <cfRule type="iconSet" priority="32">
      <iconSet>
        <cfvo type="percent" val="0"/>
        <cfvo type="percent" val="33"/>
        <cfvo type="percent" val="67"/>
      </iconSet>
    </cfRule>
  </conditionalFormatting>
  <conditionalFormatting sqref="L24:L31">
    <cfRule type="iconSet" priority="31">
      <iconSet>
        <cfvo type="percent" val="0"/>
        <cfvo type="percent" val="33"/>
        <cfvo type="percent" val="67"/>
      </iconSet>
    </cfRule>
  </conditionalFormatting>
  <conditionalFormatting sqref="O35">
    <cfRule type="colorScale" priority="20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1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5:O36 L24:O31">
    <cfRule type="colorScale" priority="19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6:M36">
    <cfRule type="colorScale" priority="1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5:M35">
    <cfRule type="colorScale" priority="1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4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1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2">
      <iconSet iconSet="3Arrows" reverse="1">
        <cfvo type="percent" val="0"/>
        <cfvo type="num" val="1" gte="0"/>
        <cfvo type="num" val="1.1858"/>
      </iconSet>
    </cfRule>
  </conditionalFormatting>
  <conditionalFormatting sqref="N35">
    <cfRule type="colorScale" priority="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6">
    <cfRule type="colorScale" priority="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2:O34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2:L34">
    <cfRule type="iconSet" priority="3">
      <iconSet>
        <cfvo type="percent" val="0"/>
        <cfvo type="percent" val="33"/>
        <cfvo type="percent" val="67"/>
      </iconSet>
    </cfRule>
  </conditionalFormatting>
  <conditionalFormatting sqref="L36">
    <cfRule type="iconSet" priority="34">
      <iconSet>
        <cfvo type="percent" val="0"/>
        <cfvo type="num" val="-33"/>
        <cfvo type="num" val="0"/>
      </iconSet>
    </cfRule>
  </conditionalFormatting>
  <conditionalFormatting sqref="O36">
    <cfRule type="colorScale" priority="35">
      <colorScale>
        <cfvo type="num" val="100"/>
        <cfvo type="num" val="100"/>
        <color theme="5" tint="0.59999389629810485"/>
        <color theme="9" tint="0.59999389629810485"/>
      </colorScale>
    </cfRule>
    <cfRule type="iconSet" priority="36">
      <iconSet iconSet="3Symbols2">
        <cfvo type="percent" val="0"/>
        <cfvo type="num" val="50"/>
        <cfvo type="num" val="80" gte="0"/>
      </iconSet>
    </cfRule>
    <cfRule type="iconSet" priority="37">
      <iconSet iconSet="3ArrowsGray">
        <cfvo type="percent" val="0"/>
        <cfvo type="percent" val="33"/>
        <cfvo type="percent" val="67"/>
      </iconSet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3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30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L24:L31</xm:sqref>
        </x14:conditionalFormatting>
        <x14:conditionalFormatting xmlns:xm="http://schemas.microsoft.com/office/excel/2006/main">
          <x14:cfRule type="iconSet" priority="29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N24:N31</xm:sqref>
        </x14:conditionalFormatting>
        <x14:conditionalFormatting xmlns:xm="http://schemas.microsoft.com/office/excel/2006/main">
          <x14:cfRule type="iconSet" priority="26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O24:O31</xm:sqref>
        </x14:conditionalFormatting>
        <x14:conditionalFormatting xmlns:xm="http://schemas.microsoft.com/office/excel/2006/main">
          <x14:cfRule type="iconSet" priority="2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O32:O34</xm:sqref>
        </x14:conditionalFormatting>
        <x14:conditionalFormatting xmlns:xm="http://schemas.microsoft.com/office/excel/2006/main">
          <x14:cfRule type="iconSet" priority="4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L32:L34</xm:sqref>
        </x14:conditionalFormatting>
        <x14:conditionalFormatting xmlns:xm="http://schemas.microsoft.com/office/excel/2006/main">
          <x14:cfRule type="iconSet" priority="5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N32:N34</xm:sqref>
        </x14:conditionalFormatting>
        <x14:conditionalFormatting xmlns:xm="http://schemas.microsoft.com/office/excel/2006/main">
          <x14:cfRule type="iconSet" priority="38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9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86"/>
  <sheetViews>
    <sheetView showGridLines="0" topLeftCell="A7" zoomScale="59" zoomScaleNormal="50" workbookViewId="0">
      <selection activeCell="V22" sqref="V22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2"/>
    </row>
    <row r="13" spans="1:72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2"/>
    </row>
    <row r="14" spans="1:72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"/>
    </row>
    <row r="15" spans="1:7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"/>
    </row>
    <row r="16" spans="1:7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"/>
    </row>
    <row r="17" spans="2:16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"/>
    </row>
    <row r="18" spans="2:16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"/>
    </row>
    <row r="19" spans="2:16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"/>
    </row>
    <row r="20" spans="2:16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"/>
    </row>
    <row r="21" spans="2:16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"/>
    </row>
    <row r="22" spans="2:16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"/>
    </row>
    <row r="23" spans="2:16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"/>
    </row>
    <row r="24" spans="2:16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"/>
    </row>
    <row r="25" spans="2:16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"/>
    </row>
    <row r="26" spans="2:16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"/>
    </row>
    <row r="27" spans="2:16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"/>
    </row>
    <row r="28" spans="2:16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"/>
    </row>
    <row r="29" spans="2:16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"/>
    </row>
    <row r="30" spans="2:16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"/>
    </row>
    <row r="31" spans="2:16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"/>
    </row>
    <row r="32" spans="2:16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"/>
    </row>
    <row r="33" spans="2:16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"/>
    </row>
    <row r="34" spans="2:16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"/>
    </row>
    <row r="35" spans="2:16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"/>
    </row>
    <row r="36" spans="2:16" ht="20">
      <c r="D36" s="17"/>
      <c r="E36" s="74" t="s">
        <v>4</v>
      </c>
      <c r="F36" s="74">
        <v>1</v>
      </c>
      <c r="G36" s="74">
        <v>3</v>
      </c>
      <c r="H36" s="74">
        <v>4</v>
      </c>
      <c r="I36" s="74" t="s">
        <v>2</v>
      </c>
      <c r="J36" s="17"/>
      <c r="K36" s="17"/>
      <c r="L36" s="17"/>
      <c r="M36" s="17"/>
    </row>
    <row r="37" spans="2:16" ht="20">
      <c r="D37" s="17"/>
      <c r="E37" s="70" t="s">
        <v>5</v>
      </c>
      <c r="F37" s="70">
        <v>0</v>
      </c>
      <c r="G37" s="70">
        <v>2</v>
      </c>
      <c r="H37" s="70">
        <v>3</v>
      </c>
      <c r="I37" s="70" t="s">
        <v>6</v>
      </c>
      <c r="J37" s="17"/>
      <c r="K37" s="17"/>
      <c r="L37" s="17"/>
      <c r="M37" s="17"/>
    </row>
    <row r="38" spans="2:16" ht="20">
      <c r="D38" s="17"/>
      <c r="E38" s="70" t="s">
        <v>5</v>
      </c>
      <c r="F38" s="70">
        <v>4</v>
      </c>
      <c r="G38" s="70">
        <v>2</v>
      </c>
      <c r="H38" s="70">
        <v>1</v>
      </c>
      <c r="I38" s="70" t="s">
        <v>7</v>
      </c>
      <c r="J38" s="17"/>
      <c r="K38" s="17"/>
      <c r="L38" s="17"/>
      <c r="M38" s="17"/>
    </row>
    <row r="39" spans="2:16" ht="20">
      <c r="D39" s="17"/>
      <c r="E39" s="70" t="s">
        <v>5</v>
      </c>
      <c r="F39" s="70">
        <v>2</v>
      </c>
      <c r="G39" s="70">
        <v>1</v>
      </c>
      <c r="H39" s="70">
        <v>0</v>
      </c>
      <c r="I39" s="70" t="s">
        <v>0</v>
      </c>
      <c r="J39" s="17"/>
      <c r="K39" s="17"/>
      <c r="L39" s="17"/>
      <c r="M39" s="17"/>
    </row>
    <row r="40" spans="2:16" ht="20">
      <c r="D40" s="17"/>
      <c r="E40" s="70" t="s">
        <v>5</v>
      </c>
      <c r="F40" s="70">
        <v>0</v>
      </c>
      <c r="G40" s="70">
        <v>1</v>
      </c>
      <c r="H40" s="70">
        <v>2</v>
      </c>
      <c r="I40" s="70" t="s">
        <v>1</v>
      </c>
      <c r="J40" s="17"/>
      <c r="K40" s="17"/>
      <c r="L40" s="17"/>
      <c r="M40" s="17"/>
    </row>
    <row r="41" spans="2:16" ht="20">
      <c r="D41" s="17"/>
      <c r="E41" s="70" t="s">
        <v>5</v>
      </c>
      <c r="F41" s="70">
        <v>0</v>
      </c>
      <c r="G41" s="70">
        <v>1</v>
      </c>
      <c r="H41" s="70">
        <v>4</v>
      </c>
      <c r="I41" s="70" t="s">
        <v>8</v>
      </c>
      <c r="J41" s="17"/>
      <c r="K41" s="17"/>
      <c r="L41" s="17"/>
      <c r="M41" s="17"/>
    </row>
    <row r="42" spans="2:16" ht="20">
      <c r="D42" s="17"/>
      <c r="E42" s="70" t="s">
        <v>5</v>
      </c>
      <c r="F42" s="70">
        <v>0</v>
      </c>
      <c r="G42" s="70">
        <v>0.25</v>
      </c>
      <c r="H42" s="70">
        <v>1</v>
      </c>
      <c r="I42" s="70" t="s">
        <v>9</v>
      </c>
      <c r="J42" s="17"/>
      <c r="K42" s="17"/>
      <c r="L42" s="17"/>
      <c r="M42" s="17"/>
    </row>
    <row r="43" spans="2:16" ht="20">
      <c r="D43" s="17"/>
      <c r="E43" s="71" t="s">
        <v>10</v>
      </c>
      <c r="F43" s="72">
        <v>1</v>
      </c>
      <c r="G43" s="71">
        <v>0.75</v>
      </c>
      <c r="H43" s="71">
        <v>0</v>
      </c>
      <c r="I43" s="71" t="s">
        <v>11</v>
      </c>
      <c r="J43" s="17"/>
      <c r="K43" s="17"/>
      <c r="L43" s="17"/>
      <c r="M43" s="17"/>
    </row>
    <row r="44" spans="2:16" ht="20">
      <c r="D44" s="17"/>
      <c r="E44" s="70" t="s">
        <v>5</v>
      </c>
      <c r="F44" s="70" t="s">
        <v>5</v>
      </c>
      <c r="G44" s="70" t="s">
        <v>5</v>
      </c>
      <c r="H44" s="70" t="s">
        <v>5</v>
      </c>
      <c r="I44" s="70" t="s">
        <v>5</v>
      </c>
      <c r="J44" s="17"/>
      <c r="K44" s="17"/>
      <c r="L44" s="17"/>
      <c r="M44" s="17"/>
    </row>
    <row r="45" spans="2:16" ht="20">
      <c r="D45" s="17"/>
      <c r="E45" s="70" t="s">
        <v>4</v>
      </c>
      <c r="F45" s="70">
        <v>1</v>
      </c>
      <c r="G45" s="70">
        <v>2</v>
      </c>
      <c r="H45" s="70">
        <v>4</v>
      </c>
      <c r="I45" s="70" t="s">
        <v>2</v>
      </c>
      <c r="J45" s="17"/>
      <c r="K45" s="17"/>
      <c r="L45" s="17"/>
      <c r="M45" s="17"/>
    </row>
    <row r="46" spans="2:16" ht="20">
      <c r="D46" s="17"/>
      <c r="E46" s="70" t="s">
        <v>5</v>
      </c>
      <c r="F46" s="70">
        <v>0</v>
      </c>
      <c r="G46" s="70">
        <v>1</v>
      </c>
      <c r="H46" s="70">
        <v>2</v>
      </c>
      <c r="I46" s="70" t="s">
        <v>12</v>
      </c>
      <c r="J46" s="17"/>
      <c r="K46" s="17"/>
      <c r="L46" s="17"/>
      <c r="M46" s="17"/>
    </row>
    <row r="47" spans="2:16" ht="20">
      <c r="D47" s="17"/>
      <c r="E47" s="70" t="s">
        <v>5</v>
      </c>
      <c r="F47" s="70">
        <v>2</v>
      </c>
      <c r="G47" s="70">
        <v>1</v>
      </c>
      <c r="H47" s="70">
        <v>0</v>
      </c>
      <c r="I47" s="70" t="s">
        <v>13</v>
      </c>
      <c r="J47" s="17"/>
      <c r="K47" s="17"/>
      <c r="L47" s="17"/>
      <c r="M47" s="17"/>
    </row>
    <row r="48" spans="2:16" ht="20">
      <c r="D48" s="17"/>
      <c r="E48" s="70" t="s">
        <v>5</v>
      </c>
      <c r="F48" s="70">
        <v>4</v>
      </c>
      <c r="G48" s="70">
        <v>1</v>
      </c>
      <c r="H48" s="70">
        <v>0</v>
      </c>
      <c r="I48" s="70" t="s">
        <v>14</v>
      </c>
      <c r="J48" s="17"/>
      <c r="K48" s="17"/>
      <c r="L48" s="17"/>
      <c r="M48" s="17"/>
    </row>
    <row r="49" spans="4:13" ht="20">
      <c r="D49" s="17"/>
      <c r="E49" s="70" t="s">
        <v>15</v>
      </c>
      <c r="F49" s="70">
        <v>1</v>
      </c>
      <c r="G49" s="70">
        <v>0.25</v>
      </c>
      <c r="H49" s="70">
        <v>0</v>
      </c>
      <c r="I49" s="70" t="s">
        <v>16</v>
      </c>
      <c r="J49" s="17"/>
      <c r="K49" s="17"/>
      <c r="L49" s="17"/>
      <c r="M49" s="17"/>
    </row>
    <row r="50" spans="4:13" ht="20">
      <c r="D50" s="17"/>
      <c r="E50" s="70" t="s">
        <v>5</v>
      </c>
      <c r="F50" s="70" t="s">
        <v>5</v>
      </c>
      <c r="G50" s="70" t="s">
        <v>5</v>
      </c>
      <c r="H50" s="70" t="s">
        <v>5</v>
      </c>
      <c r="I50" s="70" t="s">
        <v>5</v>
      </c>
      <c r="J50" s="17"/>
      <c r="K50" s="17"/>
      <c r="L50" s="17"/>
      <c r="M50" s="17"/>
    </row>
    <row r="51" spans="4:13" ht="20">
      <c r="D51" s="17"/>
      <c r="E51" s="70" t="s">
        <v>4</v>
      </c>
      <c r="F51" s="70">
        <v>1</v>
      </c>
      <c r="G51" s="70">
        <v>1.5</v>
      </c>
      <c r="H51" s="70">
        <v>4</v>
      </c>
      <c r="I51" s="70" t="s">
        <v>2</v>
      </c>
      <c r="J51" s="17"/>
      <c r="K51" s="17"/>
      <c r="L51" s="17"/>
      <c r="M51" s="17"/>
    </row>
    <row r="52" spans="4:13"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4:13" ht="20">
      <c r="D53" s="17"/>
      <c r="E53" s="70" t="s">
        <v>5</v>
      </c>
      <c r="F53" s="70">
        <v>6</v>
      </c>
      <c r="G53" s="70">
        <v>5</v>
      </c>
      <c r="H53" s="70">
        <v>0</v>
      </c>
      <c r="I53" s="70" t="s">
        <v>3</v>
      </c>
      <c r="J53" s="17"/>
      <c r="K53" s="17"/>
      <c r="L53" s="17"/>
      <c r="M53" s="17"/>
    </row>
    <row r="54" spans="4:13" ht="20">
      <c r="D54" s="17"/>
      <c r="E54" s="70" t="s">
        <v>5</v>
      </c>
      <c r="F54" s="70">
        <v>4096</v>
      </c>
      <c r="G54" s="70">
        <v>1024</v>
      </c>
      <c r="H54" s="70">
        <v>1</v>
      </c>
      <c r="I54" s="70" t="s">
        <v>17</v>
      </c>
      <c r="J54" s="17"/>
      <c r="K54" s="17"/>
      <c r="L54" s="17"/>
      <c r="M54" s="17"/>
    </row>
    <row r="55" spans="4:13" ht="20">
      <c r="D55" s="17"/>
      <c r="E55" s="70" t="s">
        <v>18</v>
      </c>
      <c r="F55" s="70">
        <v>1</v>
      </c>
      <c r="G55" s="70">
        <v>0.25</v>
      </c>
      <c r="H55" s="70" t="s">
        <v>19</v>
      </c>
      <c r="I55" s="70" t="s">
        <v>20</v>
      </c>
      <c r="J55" s="17"/>
      <c r="K55" s="17"/>
      <c r="L55" s="17"/>
      <c r="M55" s="17"/>
    </row>
    <row r="56" spans="4:13" ht="20">
      <c r="D56" s="17"/>
      <c r="E56" s="70" t="s">
        <v>5</v>
      </c>
      <c r="F56" s="70" t="s">
        <v>5</v>
      </c>
      <c r="G56" s="70" t="s">
        <v>5</v>
      </c>
      <c r="H56" s="70" t="s">
        <v>5</v>
      </c>
      <c r="I56" s="70" t="s">
        <v>5</v>
      </c>
      <c r="J56" s="17"/>
      <c r="K56" s="17"/>
      <c r="L56" s="17"/>
      <c r="M56" s="17"/>
    </row>
    <row r="57" spans="4:13" ht="20">
      <c r="D57" s="17"/>
      <c r="E57" s="73" t="s">
        <v>21</v>
      </c>
      <c r="F57" s="70" t="s">
        <v>5</v>
      </c>
      <c r="G57" s="70" t="s">
        <v>5</v>
      </c>
      <c r="H57" s="70" t="s">
        <v>5</v>
      </c>
      <c r="I57" s="73" t="s">
        <v>22</v>
      </c>
      <c r="J57" s="17"/>
      <c r="K57" s="17"/>
      <c r="L57" s="17"/>
      <c r="M57" s="17"/>
    </row>
    <row r="58" spans="4:13"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4:13"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4:13"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4:13"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4:13"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4:13"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4:13"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4:13"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4:13"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4:13"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4:13"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4:13"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4:13"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4:13"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4:13"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4:13"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4:13"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4:13"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4:13"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4:13"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4:13"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4:13"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4:1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4:13"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4:13"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4:13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4:13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4:13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4:13">
      <c r="D86" s="2"/>
      <c r="E86" s="2"/>
      <c r="F86" s="2"/>
      <c r="G86" s="2"/>
      <c r="H86" s="2"/>
      <c r="I86" s="2"/>
      <c r="J86" s="2"/>
      <c r="K86" s="2"/>
      <c r="L86" s="2"/>
      <c r="M86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6423-1C8F-E44D-AA1D-20AEDB3CB23C}">
  <dimension ref="B1:O12"/>
  <sheetViews>
    <sheetView showGridLines="0" zoomScale="125" workbookViewId="0">
      <selection activeCell="D14" sqref="D14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2" bestFit="1" customWidth="1"/>
    <col min="12" max="14" width="11" bestFit="1" customWidth="1"/>
    <col min="15" max="15" width="3.33203125" customWidth="1"/>
  </cols>
  <sheetData>
    <row r="1" spans="2:15" ht="36" customHeight="1"/>
    <row r="2" spans="2:15" ht="17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17" thickBot="1">
      <c r="B3" s="17"/>
      <c r="C3" s="255"/>
      <c r="D3" s="256"/>
      <c r="E3" s="230">
        <v>41275</v>
      </c>
      <c r="F3" s="233">
        <v>41609</v>
      </c>
      <c r="G3" s="228">
        <v>42125</v>
      </c>
      <c r="H3" s="230">
        <v>42583</v>
      </c>
      <c r="I3" s="233">
        <v>43070</v>
      </c>
      <c r="J3" s="228">
        <v>43497</v>
      </c>
      <c r="K3" s="230">
        <v>43983</v>
      </c>
      <c r="L3" s="17"/>
      <c r="M3" s="17"/>
      <c r="N3" s="17"/>
      <c r="O3" s="17"/>
    </row>
    <row r="4" spans="2:15">
      <c r="B4" s="17"/>
      <c r="C4" s="253" t="s">
        <v>90</v>
      </c>
      <c r="D4" s="254">
        <f>LOOKUP(9E+307,C4:M4)</f>
        <v>58300</v>
      </c>
      <c r="E4" s="232">
        <v>183.09</v>
      </c>
      <c r="F4" s="234">
        <v>136.46</v>
      </c>
      <c r="G4" s="226">
        <v>415</v>
      </c>
      <c r="H4" s="231">
        <v>4756.09</v>
      </c>
      <c r="I4" s="234">
        <v>3838</v>
      </c>
      <c r="J4" s="226">
        <v>3614</v>
      </c>
      <c r="K4" s="231">
        <v>58300</v>
      </c>
      <c r="L4" s="17"/>
      <c r="M4" s="17"/>
      <c r="N4" s="17"/>
      <c r="O4" s="17"/>
    </row>
    <row r="5" spans="2:15">
      <c r="B5" s="17"/>
      <c r="C5" s="218" t="s">
        <v>23</v>
      </c>
      <c r="D5" s="219">
        <f>LOOKUP(9E+307,C5:M5)</f>
        <v>1.6</v>
      </c>
      <c r="E5" s="232">
        <v>1.78</v>
      </c>
      <c r="F5" s="234">
        <v>4.8099999999999996</v>
      </c>
      <c r="G5" s="226">
        <v>0.8</v>
      </c>
      <c r="H5" s="231">
        <v>1.7</v>
      </c>
      <c r="I5" s="234">
        <v>3.9</v>
      </c>
      <c r="J5" s="226">
        <v>0.79</v>
      </c>
      <c r="K5" s="231">
        <v>1.6</v>
      </c>
      <c r="L5" s="17"/>
      <c r="M5" s="17"/>
      <c r="N5" s="17"/>
      <c r="O5" s="17"/>
    </row>
    <row r="6" spans="2:15">
      <c r="B6" s="17"/>
      <c r="C6" s="220" t="s">
        <v>102</v>
      </c>
      <c r="D6" s="219">
        <f>LOOKUP(9E+307,C6:M6)</f>
        <v>9374.19</v>
      </c>
      <c r="E6" s="236">
        <v>14.24</v>
      </c>
      <c r="F6" s="234">
        <v>957.82</v>
      </c>
      <c r="G6" s="226">
        <v>234</v>
      </c>
      <c r="H6" s="231">
        <v>574.95000000000005</v>
      </c>
      <c r="I6" s="234">
        <v>14700</v>
      </c>
      <c r="J6" s="226">
        <v>6442</v>
      </c>
      <c r="K6" s="231">
        <v>9374.19</v>
      </c>
      <c r="L6" s="17"/>
      <c r="M6" s="17"/>
      <c r="N6" s="17"/>
      <c r="O6" s="17"/>
    </row>
    <row r="7" spans="2:15" ht="17" thickBot="1">
      <c r="B7" s="17"/>
      <c r="C7" s="221" t="s">
        <v>104</v>
      </c>
      <c r="D7" s="222">
        <f t="shared" ref="D7:K7" si="0">(2.5-D5)/1.5*4</f>
        <v>2.4</v>
      </c>
      <c r="E7" s="232">
        <f t="shared" si="0"/>
        <v>1.92</v>
      </c>
      <c r="F7" s="235">
        <f t="shared" si="0"/>
        <v>-6.1599999999999993</v>
      </c>
      <c r="G7" s="229">
        <f t="shared" si="0"/>
        <v>4.5333333333333332</v>
      </c>
      <c r="H7" s="232">
        <f t="shared" si="0"/>
        <v>2.1333333333333333</v>
      </c>
      <c r="I7" s="235">
        <f t="shared" si="0"/>
        <v>-3.7333333333333329</v>
      </c>
      <c r="J7" s="229">
        <f t="shared" si="0"/>
        <v>4.5599999999999996</v>
      </c>
      <c r="K7" s="232">
        <f t="shared" si="0"/>
        <v>2.4</v>
      </c>
      <c r="L7" s="17"/>
      <c r="M7" s="17"/>
      <c r="N7" s="17"/>
      <c r="O7" s="17"/>
    </row>
    <row r="8" spans="2:15" ht="17" thickBot="1">
      <c r="B8" s="17"/>
      <c r="C8" s="221" t="s">
        <v>103</v>
      </c>
      <c r="D8" s="222">
        <f t="shared" ref="D8:K8" si="1">D4/D6</f>
        <v>6.2192040058927756</v>
      </c>
      <c r="E8" s="237">
        <f t="shared" si="1"/>
        <v>12.857443820224718</v>
      </c>
      <c r="F8" s="238">
        <f t="shared" si="1"/>
        <v>0.14246935749932138</v>
      </c>
      <c r="G8" s="239">
        <f t="shared" si="1"/>
        <v>1.7735042735042734</v>
      </c>
      <c r="H8" s="237">
        <f t="shared" si="1"/>
        <v>8.272180189581702</v>
      </c>
      <c r="I8" s="238">
        <f t="shared" si="1"/>
        <v>0.26108843537414966</v>
      </c>
      <c r="J8" s="239">
        <f t="shared" si="1"/>
        <v>0.56100589878919593</v>
      </c>
      <c r="K8" s="250">
        <f t="shared" si="1"/>
        <v>6.2192040058927756</v>
      </c>
      <c r="L8" s="251" t="s">
        <v>110</v>
      </c>
      <c r="M8" s="248" t="s">
        <v>108</v>
      </c>
      <c r="N8" s="249" t="s">
        <v>109</v>
      </c>
      <c r="O8" s="17"/>
    </row>
    <row r="9" spans="2:15" ht="17" thickBot="1">
      <c r="B9" s="17"/>
      <c r="C9" s="221" t="s">
        <v>107</v>
      </c>
      <c r="D9" s="222"/>
      <c r="E9" s="243">
        <f t="shared" ref="E9:K9" si="2">LN(E8*0.84)</f>
        <v>2.3795695420959055</v>
      </c>
      <c r="F9" s="244">
        <f t="shared" si="2"/>
        <v>-2.1229817246340517</v>
      </c>
      <c r="G9" s="245">
        <f t="shared" si="2"/>
        <v>0.39860401772821902</v>
      </c>
      <c r="H9" s="246">
        <f t="shared" si="2"/>
        <v>1.9385447134572711</v>
      </c>
      <c r="I9" s="244">
        <f t="shared" si="2"/>
        <v>-1.5172494833439603</v>
      </c>
      <c r="J9" s="245">
        <f t="shared" si="2"/>
        <v>-0.7523772458837481</v>
      </c>
      <c r="K9" s="247">
        <f t="shared" si="2"/>
        <v>1.6532885380878894</v>
      </c>
      <c r="L9" s="252">
        <f>(E9+H9+K9)*2+(F9+I9)*3+(G9+J9)*3</f>
        <v>-3.9207721118490246E-2</v>
      </c>
      <c r="M9" s="225">
        <v>0.84</v>
      </c>
      <c r="N9" s="227">
        <f>(E9-F9+H9-I9+K9)/5-(G9+J9)/2</f>
        <v>2.0992134144015804</v>
      </c>
      <c r="O9" s="17"/>
    </row>
    <row r="10" spans="2:15">
      <c r="B10" s="17"/>
      <c r="C10" s="221" t="s">
        <v>105</v>
      </c>
      <c r="D10" s="222">
        <f>LN(D8*0.84)/2.1*4</f>
        <v>3.1491210249293129</v>
      </c>
      <c r="E10" s="240">
        <f>LN(E8*0.84)/2.1*4</f>
        <v>4.5325134135160106</v>
      </c>
      <c r="F10" s="241">
        <f>LN(F8*0.84)/2.1*4</f>
        <v>-4.0437747135886699</v>
      </c>
      <c r="G10" s="242">
        <f>LN(G8*0.84)/2.1*4</f>
        <v>0.75924574805375045</v>
      </c>
      <c r="H10" s="240">
        <f>LN(H8*0.84)/2.1*4</f>
        <v>3.6924661208709924</v>
      </c>
      <c r="I10" s="241">
        <f>LN(I8*0.84)/2.1*4</f>
        <v>-2.8899990158932574</v>
      </c>
      <c r="J10" s="242">
        <f>LN(J8*0.84)/2.1*4</f>
        <v>-1.4330995159690438</v>
      </c>
      <c r="K10" s="240">
        <f>LN(K8*0.84)/2.1*4</f>
        <v>3.1491210249293129</v>
      </c>
      <c r="L10" s="17"/>
      <c r="M10" s="17"/>
      <c r="N10" s="17"/>
      <c r="O10" s="17"/>
    </row>
    <row r="11" spans="2:15" ht="17" thickBot="1">
      <c r="B11" s="17"/>
      <c r="C11" s="223" t="s">
        <v>101</v>
      </c>
      <c r="D11" s="224">
        <f>1/(1+EXP(-(D7+D10)/2))</f>
        <v>0.94128554052888347</v>
      </c>
      <c r="E11" s="240">
        <f>1/(1+EXP(-(E7+E10)/2))</f>
        <v>0.96181049521256901</v>
      </c>
      <c r="F11" s="241">
        <f>1/(1+EXP(-(F7+F10)/2))</f>
        <v>6.0484443810016999E-3</v>
      </c>
      <c r="G11" s="242">
        <f>1/(1+EXP(-(G7+G10)/2))</f>
        <v>0.93378192974053176</v>
      </c>
      <c r="H11" s="240">
        <f>1/(1+EXP(-(H7+H10)/2))</f>
        <v>0.9484804449530585</v>
      </c>
      <c r="I11" s="241">
        <f>1/(1+EXP(-(I7+I10)/2))</f>
        <v>3.5173132120111937E-2</v>
      </c>
      <c r="J11" s="242">
        <f>1/(1+EXP(-(J7+J10)/2))</f>
        <v>0.82684788291536104</v>
      </c>
      <c r="K11" s="240">
        <f>1/(1+EXP(-(K7+K10)/2))</f>
        <v>0.94128554052888347</v>
      </c>
      <c r="L11" s="17"/>
      <c r="M11" s="17"/>
      <c r="N11" s="17"/>
      <c r="O11" s="17"/>
    </row>
    <row r="12" spans="2:1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</sheetData>
  <phoneticPr fontId="1" type="noConversion"/>
  <hyperlinks>
    <hyperlink ref="C4" r:id="rId1" display="S2F" xr:uid="{271D68DA-94C1-9640-855E-E35632FA2B93}"/>
    <hyperlink ref="C5" r:id="rId2" xr:uid="{666CDC9F-B809-3849-9DB0-60A025F65280}"/>
  </hyperlinks>
  <pageMargins left="0.7" right="0.7" top="0.75" bottom="0.75" header="0.3" footer="0.3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记录仪</vt:lpstr>
      <vt:lpstr>驾驶舱</vt:lpstr>
      <vt:lpstr>MVRV研究室</vt:lpstr>
      <vt:lpstr>S2F研究室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2021-02-14T10:13:34Z</dcterms:modified>
</cp:coreProperties>
</file>